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comments9.xml" ContentType="application/vnd.openxmlformats-officedocument.spreadsheetml.comment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comments4.xml" ContentType="application/vnd.openxmlformats-officedocument.spreadsheetml.comments+xml"/>
  <Override PartName="/xl/comments5.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bookViews>
  <sheets>
    <sheet name="7PSourceSummary" sheetId="1" r:id="rId1"/>
    <sheet name="forRPM" sheetId="22" r:id="rId2"/>
    <sheet name="SC-New" sheetId="6" r:id="rId3"/>
    <sheet name="SC-Retro" sheetId="19" r:id="rId4"/>
    <sheet name="M_Input_Retro_Out" sheetId="21" r:id="rId5"/>
    <sheet name="M_Input_Retro" sheetId="20" r:id="rId6"/>
    <sheet name="MMap" sheetId="12" r:id="rId7"/>
    <sheet name="Savings &amp; Cost" sheetId="11" r:id="rId8"/>
    <sheet name="Summary" sheetId="24" r:id="rId9"/>
    <sheet name="Impacts" sheetId="33" r:id="rId10"/>
    <sheet name="Notes" sheetId="16" r:id="rId11"/>
    <sheet name="Measure_InputOutput" sheetId="23" r:id="rId12"/>
    <sheet name="Regional Potential Estimates" sheetId="25" r:id="rId13"/>
    <sheet name="WeightingForCommercialAvg" sheetId="26" r:id="rId14"/>
    <sheet name="Usage" sheetId="27" r:id="rId15"/>
    <sheet name="Fitness Centers Survey" sheetId="28" r:id="rId16"/>
    <sheet name="FlowRates" sheetId="29" r:id="rId17"/>
    <sheet name="EnergyPerGallon" sheetId="30" r:id="rId18"/>
    <sheet name="WaterCostAndEnergy" sheetId="31" r:id="rId19"/>
    <sheet name="InstallRatesCostAndLifetime" sheetId="32" r:id="rId20"/>
    <sheet name="InputForProCost" sheetId="34" r:id="rId21"/>
    <sheet name="InputForProCost_FitnessCenter" sheetId="35" r:id="rId22"/>
  </sheets>
  <externalReferences>
    <externalReference r:id="rId23"/>
    <externalReference r:id="rId24"/>
    <externalReference r:id="rId25"/>
    <externalReference r:id="rId26"/>
  </externalReferences>
  <definedNames>
    <definedName name="_xlnm._FilterDatabase" localSheetId="20" hidden="1">InputForProCost!$A$10:$AJ$334</definedName>
    <definedName name="_xlnm._FilterDatabase" localSheetId="21" hidden="1">InputForProCost_FitnessCenter!$A$18:$AK$612</definedName>
    <definedName name="_xlnm._FilterDatabase" localSheetId="8" hidden="1">Summary!$A$20:$N$30</definedName>
    <definedName name="_Key1" localSheetId="21" hidden="1">#REF!</definedName>
    <definedName name="_Key1" hidden="1">#REF!</definedName>
    <definedName name="_Order1" hidden="1">255</definedName>
    <definedName name="_Sort" localSheetId="21" hidden="1">#REF!</definedName>
    <definedName name="_Sort" hidden="1">#REF!</definedName>
    <definedName name="atest">"a15:c19"</definedName>
    <definedName name="BLDGTYP" localSheetId="2">[1]APPLIC!$C$11:$U$11</definedName>
    <definedName name="BLDGTYP" localSheetId="3">[1]APPLIC!$C$11:$U$11</definedName>
    <definedName name="MeasureOutputR">M_Input_Retro_Out!$A$3:$ML$21</definedName>
    <definedName name="OutSCurve" localSheetId="5">M_Input_Retro!$A$86:$AL$113</definedName>
    <definedName name="PC_Main">[0]!PC_Main</definedName>
    <definedName name="table_AnnualMinutes">Usage!$C$5:$D$10</definedName>
    <definedName name="table_BaselineFlowRates">FlowRates!$G$4:$H$9</definedName>
    <definedName name="table_ElectricSaturation">EnergyPerGallon!$A$20:$B$26</definedName>
    <definedName name="table_EnergyIntensity">EnergyPerGallon!$A$5:$D$8</definedName>
    <definedName name="table_FlowRates">FlowRates!$C$5:$E$8</definedName>
    <definedName name="table_InstallationRates">InstallRatesCostAndLifetime!$A$3:$D$5</definedName>
    <definedName name="table_MeasureCosts">InstallRatesCostAndLifetime!$A$13:$B$15</definedName>
    <definedName name="TestMeasure">[0]!TestMeasure</definedName>
    <definedName name="V_POST2013">[1]CHAR!$B$13:$T$52</definedName>
    <definedName name="V_PRE2013">[1]CHAR!$B$61:$T$100</definedName>
  </definedNames>
  <calcPr calcId="125725"/>
</workbook>
</file>

<file path=xl/calcChain.xml><?xml version="1.0" encoding="utf-8"?>
<calcChain xmlns="http://schemas.openxmlformats.org/spreadsheetml/2006/main">
  <c r="D9" i="6"/>
  <c r="D8"/>
  <c r="D9" i="19"/>
  <c r="D8"/>
  <c r="A12" i="12"/>
  <c r="A13"/>
  <c r="A14"/>
  <c r="A15"/>
  <c r="A16"/>
  <c r="A17"/>
  <c r="A18"/>
  <c r="A19"/>
  <c r="A20"/>
  <c r="A21"/>
  <c r="A22"/>
  <c r="A23"/>
  <c r="A24"/>
  <c r="A25"/>
  <c r="A26"/>
  <c r="A27"/>
  <c r="A28"/>
  <c r="A29"/>
  <c r="A30"/>
  <c r="A31"/>
  <c r="A32"/>
  <c r="A33"/>
  <c r="A34"/>
  <c r="A35"/>
  <c r="A36"/>
  <c r="A37"/>
  <c r="A38"/>
  <c r="A39"/>
  <c r="A40"/>
  <c r="A41"/>
  <c r="A42"/>
  <c r="A43"/>
  <c r="A44"/>
  <c r="A45"/>
  <c r="A46"/>
  <c r="A11"/>
  <c r="B3" i="22"/>
  <c r="B4" s="1"/>
  <c r="B5" s="1"/>
  <c r="B6" s="1"/>
  <c r="C9" i="19"/>
  <c r="C9" i="6"/>
  <c r="A9" i="19"/>
  <c r="D35" i="6"/>
  <c r="A9"/>
  <c r="A35"/>
  <c r="B7" i="22" l="1"/>
  <c r="B8" l="1"/>
  <c r="L14" i="12"/>
  <c r="L15"/>
  <c r="L16"/>
  <c r="L17"/>
  <c r="L20"/>
  <c r="L21"/>
  <c r="L22"/>
  <c r="L23"/>
  <c r="L32"/>
  <c r="H11" i="20" s="1"/>
  <c r="L33" i="12"/>
  <c r="H12" i="20" s="1"/>
  <c r="L34" i="12"/>
  <c r="H13" i="20" s="1"/>
  <c r="L35" i="12"/>
  <c r="H14" i="20" s="1"/>
  <c r="L38" i="12"/>
  <c r="H17" i="20" s="1"/>
  <c r="L39" i="12"/>
  <c r="H18" i="20" s="1"/>
  <c r="L40" i="12"/>
  <c r="H19" i="20" s="1"/>
  <c r="L41" i="12"/>
  <c r="H20" i="20" s="1"/>
  <c r="M14" i="12"/>
  <c r="M15"/>
  <c r="M16"/>
  <c r="M17"/>
  <c r="M20"/>
  <c r="M21"/>
  <c r="M22"/>
  <c r="M23"/>
  <c r="M32"/>
  <c r="O11" i="20" s="1"/>
  <c r="M33" i="12"/>
  <c r="O12" i="20" s="1"/>
  <c r="M34" i="12"/>
  <c r="O13" i="20" s="1"/>
  <c r="M35" i="12"/>
  <c r="O14" i="20" s="1"/>
  <c r="M38" i="12"/>
  <c r="O17" i="20" s="1"/>
  <c r="M39" i="12"/>
  <c r="O18" i="20" s="1"/>
  <c r="M40" i="12"/>
  <c r="O19" i="20" s="1"/>
  <c r="M41" i="12"/>
  <c r="O20" i="20" s="1"/>
  <c r="D8" i="11"/>
  <c r="D9"/>
  <c r="D10"/>
  <c r="D11"/>
  <c r="D14"/>
  <c r="D15"/>
  <c r="D16"/>
  <c r="D17"/>
  <c r="C6"/>
  <c r="B37" i="19" s="1"/>
  <c r="C7" i="11"/>
  <c r="B38" i="19" s="1"/>
  <c r="C8" i="11"/>
  <c r="B39" i="19" s="1"/>
  <c r="C9" i="11"/>
  <c r="B40" i="19" s="1"/>
  <c r="C10" i="11"/>
  <c r="B41" i="19" s="1"/>
  <c r="C11" i="11"/>
  <c r="B42" i="19" s="1"/>
  <c r="C13" i="11"/>
  <c r="B44" i="19" s="1"/>
  <c r="C14" i="11"/>
  <c r="B45" i="19" s="1"/>
  <c r="C15" i="11"/>
  <c r="B46" i="19" s="1"/>
  <c r="C16" i="11"/>
  <c r="B47" i="19" s="1"/>
  <c r="C17" i="11"/>
  <c r="B48" i="19" s="1"/>
  <c r="C18" i="11"/>
  <c r="B49" i="19" s="1"/>
  <c r="C20" i="11"/>
  <c r="B51" i="19" s="1"/>
  <c r="C21" i="11"/>
  <c r="B52" i="19" s="1"/>
  <c r="C5" i="11"/>
  <c r="B36" i="19" s="1"/>
  <c r="B9" i="22" l="1"/>
  <c r="J7" i="12"/>
  <c r="J12" s="1"/>
  <c r="I14"/>
  <c r="I15"/>
  <c r="I16"/>
  <c r="I17"/>
  <c r="I20"/>
  <c r="I21"/>
  <c r="I22"/>
  <c r="I23"/>
  <c r="I32"/>
  <c r="C11" i="20" s="1"/>
  <c r="I33" i="12"/>
  <c r="C12" i="20" s="1"/>
  <c r="I34" i="12"/>
  <c r="C13" i="20" s="1"/>
  <c r="I35" i="12"/>
  <c r="C14" i="20" s="1"/>
  <c r="I38" i="12"/>
  <c r="C17" i="20" s="1"/>
  <c r="I39" i="12"/>
  <c r="C18" i="20" s="1"/>
  <c r="I40" i="12"/>
  <c r="C19" i="20" s="1"/>
  <c r="I41" i="12"/>
  <c r="C20" i="20" s="1"/>
  <c r="O53" i="25"/>
  <c r="O42"/>
  <c r="O41"/>
  <c r="O40"/>
  <c r="H59"/>
  <c r="H60"/>
  <c r="H63"/>
  <c r="G60"/>
  <c r="G59"/>
  <c r="G63"/>
  <c r="O48"/>
  <c r="O78"/>
  <c r="O76"/>
  <c r="O74"/>
  <c r="F160"/>
  <c r="G160" s="1"/>
  <c r="E160"/>
  <c r="E159"/>
  <c r="F158"/>
  <c r="O70"/>
  <c r="E158"/>
  <c r="G158" s="1"/>
  <c r="Q63"/>
  <c r="J64"/>
  <c r="B10" i="22" l="1"/>
  <c r="J15" i="12"/>
  <c r="J26"/>
  <c r="J37"/>
  <c r="E16" i="20" s="1"/>
  <c r="J11" i="12"/>
  <c r="J41"/>
  <c r="E20" i="20" s="1"/>
  <c r="J19" i="12"/>
  <c r="J46"/>
  <c r="E25" i="20" s="1"/>
  <c r="J35" i="12"/>
  <c r="E14" i="20" s="1"/>
  <c r="J25" i="12"/>
  <c r="J14"/>
  <c r="J30"/>
  <c r="E9" i="20" s="1"/>
  <c r="J42" i="12"/>
  <c r="E21" i="20" s="1"/>
  <c r="J31" i="12"/>
  <c r="E10" i="20" s="1"/>
  <c r="J21" i="12"/>
  <c r="J45"/>
  <c r="E24" i="20" s="1"/>
  <c r="J39" i="12"/>
  <c r="E18" i="20" s="1"/>
  <c r="J34" i="12"/>
  <c r="E13" i="20" s="1"/>
  <c r="J29" i="12"/>
  <c r="E8" i="20" s="1"/>
  <c r="J23" i="12"/>
  <c r="J18"/>
  <c r="J13"/>
  <c r="J43"/>
  <c r="E22" i="20" s="1"/>
  <c r="J38" i="12"/>
  <c r="E17" i="20" s="1"/>
  <c r="J33" i="12"/>
  <c r="E12" i="20" s="1"/>
  <c r="J27" i="12"/>
  <c r="J22"/>
  <c r="J17"/>
  <c r="J44"/>
  <c r="E23" i="20" s="1"/>
  <c r="J40" i="12"/>
  <c r="E19" i="20" s="1"/>
  <c r="J36" i="12"/>
  <c r="E15" i="20" s="1"/>
  <c r="J32" i="12"/>
  <c r="E11" i="20" s="1"/>
  <c r="J28" i="12"/>
  <c r="J24"/>
  <c r="J20"/>
  <c r="J16"/>
  <c r="O69" i="25"/>
  <c r="P69" s="1"/>
  <c r="B11" i="22" l="1"/>
  <c r="O56" i="25"/>
  <c r="O55"/>
  <c r="E206" i="27"/>
  <c r="E205"/>
  <c r="D205"/>
  <c r="E204"/>
  <c r="D204"/>
  <c r="E203"/>
  <c r="D203"/>
  <c r="D202"/>
  <c r="E202"/>
  <c r="B12" i="22" l="1"/>
  <c r="F3" i="24"/>
  <c r="F612" i="35"/>
  <c r="F611"/>
  <c r="F610"/>
  <c r="F609"/>
  <c r="F608"/>
  <c r="F607"/>
  <c r="F606"/>
  <c r="F605"/>
  <c r="F604"/>
  <c r="F603"/>
  <c r="F602"/>
  <c r="F601"/>
  <c r="F600"/>
  <c r="F599"/>
  <c r="F598"/>
  <c r="F597"/>
  <c r="F596"/>
  <c r="F595"/>
  <c r="F594"/>
  <c r="F593"/>
  <c r="F592"/>
  <c r="F591"/>
  <c r="F590"/>
  <c r="F589"/>
  <c r="F588"/>
  <c r="F587"/>
  <c r="F586"/>
  <c r="F585"/>
  <c r="F584"/>
  <c r="F583"/>
  <c r="F582"/>
  <c r="F581"/>
  <c r="F580"/>
  <c r="F579"/>
  <c r="F578"/>
  <c r="F577"/>
  <c r="F576"/>
  <c r="F575"/>
  <c r="F574"/>
  <c r="F573"/>
  <c r="F572"/>
  <c r="F571"/>
  <c r="F570"/>
  <c r="F569"/>
  <c r="F568"/>
  <c r="F567"/>
  <c r="F566"/>
  <c r="F565"/>
  <c r="F564"/>
  <c r="F563"/>
  <c r="F562"/>
  <c r="F561"/>
  <c r="F560"/>
  <c r="F559"/>
  <c r="F558"/>
  <c r="F557"/>
  <c r="F556"/>
  <c r="F555"/>
  <c r="F554"/>
  <c r="F553"/>
  <c r="F552"/>
  <c r="F551"/>
  <c r="F550"/>
  <c r="F549"/>
  <c r="F548"/>
  <c r="F547"/>
  <c r="F546"/>
  <c r="F545"/>
  <c r="F544"/>
  <c r="F543"/>
  <c r="F542"/>
  <c r="F541"/>
  <c r="F540"/>
  <c r="F539"/>
  <c r="F538"/>
  <c r="F537"/>
  <c r="F536"/>
  <c r="F535"/>
  <c r="F534"/>
  <c r="F533"/>
  <c r="F532"/>
  <c r="F531"/>
  <c r="F530"/>
  <c r="F529"/>
  <c r="F528"/>
  <c r="F527"/>
  <c r="F526"/>
  <c r="F525"/>
  <c r="F524"/>
  <c r="F523"/>
  <c r="F522"/>
  <c r="F521"/>
  <c r="F520"/>
  <c r="F519"/>
  <c r="F518"/>
  <c r="F517"/>
  <c r="F516"/>
  <c r="F515"/>
  <c r="F514"/>
  <c r="F513"/>
  <c r="F512"/>
  <c r="F511"/>
  <c r="F510"/>
  <c r="F509"/>
  <c r="F508"/>
  <c r="F507"/>
  <c r="F506"/>
  <c r="F505"/>
  <c r="F504"/>
  <c r="F503"/>
  <c r="F502"/>
  <c r="F501"/>
  <c r="F500"/>
  <c r="F499"/>
  <c r="F498"/>
  <c r="F497"/>
  <c r="F496"/>
  <c r="F495"/>
  <c r="F494"/>
  <c r="F493"/>
  <c r="F492"/>
  <c r="F491"/>
  <c r="F490"/>
  <c r="F489"/>
  <c r="F488"/>
  <c r="F487"/>
  <c r="F486"/>
  <c r="F485"/>
  <c r="F484"/>
  <c r="F483"/>
  <c r="F482"/>
  <c r="F481"/>
  <c r="F480"/>
  <c r="F479"/>
  <c r="F478"/>
  <c r="F477"/>
  <c r="F476"/>
  <c r="F475"/>
  <c r="F474"/>
  <c r="F473"/>
  <c r="F472"/>
  <c r="F471"/>
  <c r="F470"/>
  <c r="F469"/>
  <c r="F468"/>
  <c r="F467"/>
  <c r="F466"/>
  <c r="F465"/>
  <c r="F464"/>
  <c r="F463"/>
  <c r="F462"/>
  <c r="F461"/>
  <c r="F460"/>
  <c r="F459"/>
  <c r="F458"/>
  <c r="F457"/>
  <c r="F456"/>
  <c r="F455"/>
  <c r="F454"/>
  <c r="F453"/>
  <c r="F452"/>
  <c r="F451"/>
  <c r="F450"/>
  <c r="F449"/>
  <c r="F448"/>
  <c r="F447"/>
  <c r="F446"/>
  <c r="F445"/>
  <c r="F444"/>
  <c r="F443"/>
  <c r="F442"/>
  <c r="F441"/>
  <c r="F440"/>
  <c r="F439"/>
  <c r="F438"/>
  <c r="F437"/>
  <c r="F436"/>
  <c r="F435"/>
  <c r="F434"/>
  <c r="F433"/>
  <c r="F432"/>
  <c r="F431"/>
  <c r="F430"/>
  <c r="F429"/>
  <c r="F428"/>
  <c r="F427"/>
  <c r="F426"/>
  <c r="F425"/>
  <c r="F424"/>
  <c r="F423"/>
  <c r="F422"/>
  <c r="F421"/>
  <c r="F420"/>
  <c r="F419"/>
  <c r="F418"/>
  <c r="F417"/>
  <c r="F416"/>
  <c r="F415"/>
  <c r="F414"/>
  <c r="F413"/>
  <c r="F412"/>
  <c r="F411"/>
  <c r="F410"/>
  <c r="F409"/>
  <c r="F408"/>
  <c r="F407"/>
  <c r="F406"/>
  <c r="F405"/>
  <c r="F404"/>
  <c r="F403"/>
  <c r="F402"/>
  <c r="F401"/>
  <c r="F400"/>
  <c r="F399"/>
  <c r="F398"/>
  <c r="F397"/>
  <c r="F396"/>
  <c r="F395"/>
  <c r="F394"/>
  <c r="F393"/>
  <c r="F392"/>
  <c r="F391"/>
  <c r="F390"/>
  <c r="F389"/>
  <c r="F388"/>
  <c r="F387"/>
  <c r="F386"/>
  <c r="F385"/>
  <c r="F384"/>
  <c r="F383"/>
  <c r="F382"/>
  <c r="F381"/>
  <c r="F380"/>
  <c r="F379"/>
  <c r="F378"/>
  <c r="F377"/>
  <c r="F376"/>
  <c r="F375"/>
  <c r="F374"/>
  <c r="F373"/>
  <c r="F372"/>
  <c r="F371"/>
  <c r="F370"/>
  <c r="F369"/>
  <c r="F368"/>
  <c r="F367"/>
  <c r="F366"/>
  <c r="F365"/>
  <c r="F364"/>
  <c r="F363"/>
  <c r="F362"/>
  <c r="F361"/>
  <c r="F360"/>
  <c r="F359"/>
  <c r="F358"/>
  <c r="F357"/>
  <c r="F356"/>
  <c r="F355"/>
  <c r="F354"/>
  <c r="F353"/>
  <c r="F352"/>
  <c r="F351"/>
  <c r="F350"/>
  <c r="F349"/>
  <c r="F348"/>
  <c r="F347"/>
  <c r="F346"/>
  <c r="F345"/>
  <c r="F344"/>
  <c r="F343"/>
  <c r="F342"/>
  <c r="F341"/>
  <c r="F340"/>
  <c r="F339"/>
  <c r="F338"/>
  <c r="F337"/>
  <c r="F336"/>
  <c r="F335"/>
  <c r="F334"/>
  <c r="F333"/>
  <c r="F332"/>
  <c r="F331"/>
  <c r="F330"/>
  <c r="F329"/>
  <c r="F328"/>
  <c r="F327"/>
  <c r="F326"/>
  <c r="F325"/>
  <c r="F324"/>
  <c r="F323"/>
  <c r="F322"/>
  <c r="F321"/>
  <c r="F320"/>
  <c r="F319"/>
  <c r="F318"/>
  <c r="F317"/>
  <c r="F316"/>
  <c r="A20"/>
  <c r="I19"/>
  <c r="I316" s="1"/>
  <c r="E19"/>
  <c r="J19" s="1"/>
  <c r="D19"/>
  <c r="C19"/>
  <c r="H19" s="1"/>
  <c r="T18"/>
  <c r="S18"/>
  <c r="R18"/>
  <c r="B17"/>
  <c r="B19" s="1"/>
  <c r="G13"/>
  <c r="G12"/>
  <c r="G11"/>
  <c r="G10"/>
  <c r="G9"/>
  <c r="G8"/>
  <c r="G7"/>
  <c r="G6"/>
  <c r="G5"/>
  <c r="G4"/>
  <c r="G3"/>
  <c r="G19" l="1"/>
  <c r="K19" s="1"/>
  <c r="B13" i="22"/>
  <c r="J316" i="35"/>
  <c r="M19"/>
  <c r="C20"/>
  <c r="H20" s="1"/>
  <c r="A21"/>
  <c r="D20"/>
  <c r="I20" s="1"/>
  <c r="I317" s="1"/>
  <c r="H316"/>
  <c r="L19"/>
  <c r="B20"/>
  <c r="G20" s="1"/>
  <c r="E20"/>
  <c r="J20" s="1"/>
  <c r="G316" l="1"/>
  <c r="O19"/>
  <c r="B14" i="22"/>
  <c r="K316" i="35"/>
  <c r="V19"/>
  <c r="V316" s="1"/>
  <c r="H317"/>
  <c r="L20"/>
  <c r="G317"/>
  <c r="O20"/>
  <c r="K20"/>
  <c r="J317"/>
  <c r="M20"/>
  <c r="A22"/>
  <c r="D21"/>
  <c r="I21" s="1"/>
  <c r="I318" s="1"/>
  <c r="E21"/>
  <c r="J21" s="1"/>
  <c r="B21"/>
  <c r="G21" s="1"/>
  <c r="C21"/>
  <c r="H21" s="1"/>
  <c r="B15" i="22" l="1"/>
  <c r="G318" i="35"/>
  <c r="O21"/>
  <c r="K21"/>
  <c r="J318"/>
  <c r="H318"/>
  <c r="L21"/>
  <c r="E22"/>
  <c r="J22" s="1"/>
  <c r="B22"/>
  <c r="G22" s="1"/>
  <c r="D22"/>
  <c r="I22" s="1"/>
  <c r="I319" s="1"/>
  <c r="A23"/>
  <c r="C22"/>
  <c r="H22" s="1"/>
  <c r="K317"/>
  <c r="V20"/>
  <c r="V317" s="1"/>
  <c r="B16" i="22" l="1"/>
  <c r="B23" i="35"/>
  <c r="G23" s="1"/>
  <c r="C23"/>
  <c r="H23" s="1"/>
  <c r="A24"/>
  <c r="D23"/>
  <c r="I23" s="1"/>
  <c r="I320" s="1"/>
  <c r="E23"/>
  <c r="J23" s="1"/>
  <c r="G319"/>
  <c r="O22"/>
  <c r="K22"/>
  <c r="K318"/>
  <c r="V21"/>
  <c r="V318" s="1"/>
  <c r="H319"/>
  <c r="L22"/>
  <c r="J319"/>
  <c r="M22"/>
  <c r="B17" i="22" l="1"/>
  <c r="H320" i="35"/>
  <c r="L23"/>
  <c r="C24"/>
  <c r="H24" s="1"/>
  <c r="A25"/>
  <c r="D24"/>
  <c r="I24" s="1"/>
  <c r="I321" s="1"/>
  <c r="B24"/>
  <c r="G24" s="1"/>
  <c r="E24"/>
  <c r="J24" s="1"/>
  <c r="K319"/>
  <c r="V22"/>
  <c r="V319" s="1"/>
  <c r="J320"/>
  <c r="M23"/>
  <c r="G320"/>
  <c r="K23"/>
  <c r="O23"/>
  <c r="B18" i="22" l="1"/>
  <c r="K320" i="35"/>
  <c r="V23"/>
  <c r="V320" s="1"/>
  <c r="G321"/>
  <c r="O24"/>
  <c r="K24"/>
  <c r="A26"/>
  <c r="D25"/>
  <c r="I25" s="1"/>
  <c r="I322" s="1"/>
  <c r="E25"/>
  <c r="J25" s="1"/>
  <c r="B25"/>
  <c r="G25" s="1"/>
  <c r="C25"/>
  <c r="H25" s="1"/>
  <c r="J321"/>
  <c r="H321"/>
  <c r="L24"/>
  <c r="B19" i="22" l="1"/>
  <c r="G322" i="35"/>
  <c r="O25"/>
  <c r="K25"/>
  <c r="H322"/>
  <c r="L25"/>
  <c r="E26"/>
  <c r="J26" s="1"/>
  <c r="B26"/>
  <c r="G26" s="1"/>
  <c r="C26"/>
  <c r="H26" s="1"/>
  <c r="A27"/>
  <c r="D26"/>
  <c r="I26" s="1"/>
  <c r="I323" s="1"/>
  <c r="K321"/>
  <c r="V24"/>
  <c r="V321" s="1"/>
  <c r="J322"/>
  <c r="M25"/>
  <c r="B20" i="22" l="1"/>
  <c r="J323" i="35"/>
  <c r="M26"/>
  <c r="H323"/>
  <c r="L26"/>
  <c r="B27"/>
  <c r="G27" s="1"/>
  <c r="C27"/>
  <c r="H27" s="1"/>
  <c r="D27"/>
  <c r="I27" s="1"/>
  <c r="I324" s="1"/>
  <c r="E27"/>
  <c r="J27" s="1"/>
  <c r="A28"/>
  <c r="K322"/>
  <c r="V25"/>
  <c r="V322" s="1"/>
  <c r="G323"/>
  <c r="O26"/>
  <c r="K26"/>
  <c r="C28" l="1"/>
  <c r="H28" s="1"/>
  <c r="A29"/>
  <c r="D28"/>
  <c r="I28" s="1"/>
  <c r="I325" s="1"/>
  <c r="E28"/>
  <c r="J28" s="1"/>
  <c r="B28"/>
  <c r="G28" s="1"/>
  <c r="J324"/>
  <c r="G324"/>
  <c r="K27"/>
  <c r="O27"/>
  <c r="H324"/>
  <c r="L27"/>
  <c r="K323"/>
  <c r="V26"/>
  <c r="V323" s="1"/>
  <c r="K324" l="1"/>
  <c r="V27"/>
  <c r="V324" s="1"/>
  <c r="G325"/>
  <c r="O28"/>
  <c r="K28"/>
  <c r="H325"/>
  <c r="L28"/>
  <c r="A30"/>
  <c r="D29"/>
  <c r="I29" s="1"/>
  <c r="I326" s="1"/>
  <c r="E29"/>
  <c r="J29" s="1"/>
  <c r="C29"/>
  <c r="H29" s="1"/>
  <c r="B29"/>
  <c r="G29" s="1"/>
  <c r="J325"/>
  <c r="M28"/>
  <c r="H326" l="1"/>
  <c r="L29"/>
  <c r="G326"/>
  <c r="O29"/>
  <c r="K29"/>
  <c r="E30"/>
  <c r="J30" s="1"/>
  <c r="B30"/>
  <c r="G30" s="1"/>
  <c r="A31"/>
  <c r="D30"/>
  <c r="I30" s="1"/>
  <c r="I327" s="1"/>
  <c r="C30"/>
  <c r="H30" s="1"/>
  <c r="K325"/>
  <c r="V28"/>
  <c r="V325" s="1"/>
  <c r="J326"/>
  <c r="M29"/>
  <c r="K326" l="1"/>
  <c r="V29"/>
  <c r="V326" s="1"/>
  <c r="H327"/>
  <c r="L30"/>
  <c r="J327"/>
  <c r="B31"/>
  <c r="G31" s="1"/>
  <c r="C31"/>
  <c r="H31" s="1"/>
  <c r="A32"/>
  <c r="D31"/>
  <c r="I31" s="1"/>
  <c r="I328" s="1"/>
  <c r="E31"/>
  <c r="J31" s="1"/>
  <c r="G327"/>
  <c r="O30"/>
  <c r="K30"/>
  <c r="H328" l="1"/>
  <c r="L31"/>
  <c r="C32"/>
  <c r="H32" s="1"/>
  <c r="A33"/>
  <c r="D32"/>
  <c r="I32" s="1"/>
  <c r="I329" s="1"/>
  <c r="B32"/>
  <c r="G32" s="1"/>
  <c r="E32"/>
  <c r="J32" s="1"/>
  <c r="K327"/>
  <c r="V30"/>
  <c r="V327" s="1"/>
  <c r="J328"/>
  <c r="M31"/>
  <c r="G328"/>
  <c r="K31"/>
  <c r="O31"/>
  <c r="K328" l="1"/>
  <c r="V31"/>
  <c r="V328" s="1"/>
  <c r="A34"/>
  <c r="D33"/>
  <c r="I33" s="1"/>
  <c r="I330" s="1"/>
  <c r="E33"/>
  <c r="J33" s="1"/>
  <c r="B33"/>
  <c r="G33" s="1"/>
  <c r="C33"/>
  <c r="H33" s="1"/>
  <c r="G329"/>
  <c r="K32"/>
  <c r="O32"/>
  <c r="J329"/>
  <c r="M32"/>
  <c r="H329"/>
  <c r="L32"/>
  <c r="J330" l="1"/>
  <c r="G330"/>
  <c r="O33"/>
  <c r="K33"/>
  <c r="K329"/>
  <c r="V32"/>
  <c r="V329" s="1"/>
  <c r="H330"/>
  <c r="L33"/>
  <c r="E34"/>
  <c r="J34" s="1"/>
  <c r="B34"/>
  <c r="G34" s="1"/>
  <c r="C34"/>
  <c r="H34" s="1"/>
  <c r="A35"/>
  <c r="D34"/>
  <c r="I34" s="1"/>
  <c r="I331" s="1"/>
  <c r="K330" l="1"/>
  <c r="V33"/>
  <c r="V330" s="1"/>
  <c r="B35"/>
  <c r="G35" s="1"/>
  <c r="C35"/>
  <c r="H35" s="1"/>
  <c r="D35"/>
  <c r="I35" s="1"/>
  <c r="I332" s="1"/>
  <c r="A36"/>
  <c r="E35"/>
  <c r="J35" s="1"/>
  <c r="G331"/>
  <c r="O34"/>
  <c r="K34"/>
  <c r="H331"/>
  <c r="L34"/>
  <c r="J331"/>
  <c r="M34"/>
  <c r="K331" l="1"/>
  <c r="V34"/>
  <c r="V331" s="1"/>
  <c r="C36"/>
  <c r="H36" s="1"/>
  <c r="B36"/>
  <c r="G36" s="1"/>
  <c r="D36"/>
  <c r="I36" s="1"/>
  <c r="I333" s="1"/>
  <c r="E36"/>
  <c r="J36" s="1"/>
  <c r="A37"/>
  <c r="H332"/>
  <c r="L35"/>
  <c r="J332"/>
  <c r="M35"/>
  <c r="G332"/>
  <c r="K35"/>
  <c r="O35"/>
  <c r="K332" l="1"/>
  <c r="V35"/>
  <c r="V332" s="1"/>
  <c r="J333"/>
  <c r="G333"/>
  <c r="K36"/>
  <c r="O36"/>
  <c r="A38"/>
  <c r="D37"/>
  <c r="I37" s="1"/>
  <c r="I334" s="1"/>
  <c r="C37"/>
  <c r="H37" s="1"/>
  <c r="E37"/>
  <c r="J37" s="1"/>
  <c r="B37"/>
  <c r="G37" s="1"/>
  <c r="H333"/>
  <c r="L36"/>
  <c r="G334" l="1"/>
  <c r="O37"/>
  <c r="K37"/>
  <c r="H334"/>
  <c r="L37"/>
  <c r="E38"/>
  <c r="J38" s="1"/>
  <c r="A39"/>
  <c r="D38"/>
  <c r="I38" s="1"/>
  <c r="I335" s="1"/>
  <c r="B38"/>
  <c r="G38" s="1"/>
  <c r="C38"/>
  <c r="H38" s="1"/>
  <c r="K333"/>
  <c r="V36"/>
  <c r="V333" s="1"/>
  <c r="J334"/>
  <c r="M37"/>
  <c r="B39" l="1"/>
  <c r="G39" s="1"/>
  <c r="E39"/>
  <c r="J39" s="1"/>
  <c r="A40"/>
  <c r="D39"/>
  <c r="I39" s="1"/>
  <c r="I336" s="1"/>
  <c r="C39"/>
  <c r="H39" s="1"/>
  <c r="G335"/>
  <c r="O38"/>
  <c r="K38"/>
  <c r="K334"/>
  <c r="V37"/>
  <c r="V334" s="1"/>
  <c r="H335"/>
  <c r="L38"/>
  <c r="J335"/>
  <c r="M38"/>
  <c r="J336" l="1"/>
  <c r="H336"/>
  <c r="L39"/>
  <c r="G336"/>
  <c r="K39"/>
  <c r="O39"/>
  <c r="C40"/>
  <c r="H40" s="1"/>
  <c r="B40"/>
  <c r="G40" s="1"/>
  <c r="A41"/>
  <c r="D40"/>
  <c r="I40" s="1"/>
  <c r="I337" s="1"/>
  <c r="E40"/>
  <c r="J40" s="1"/>
  <c r="K335"/>
  <c r="V38"/>
  <c r="V335" s="1"/>
  <c r="H337" l="1"/>
  <c r="L40"/>
  <c r="J337"/>
  <c r="M40"/>
  <c r="G337"/>
  <c r="K40"/>
  <c r="O40"/>
  <c r="K336"/>
  <c r="V39"/>
  <c r="V336" s="1"/>
  <c r="A42"/>
  <c r="D41"/>
  <c r="I41" s="1"/>
  <c r="I338" s="1"/>
  <c r="C41"/>
  <c r="H41" s="1"/>
  <c r="B41"/>
  <c r="G41" s="1"/>
  <c r="E41"/>
  <c r="J41" s="1"/>
  <c r="G338" l="1"/>
  <c r="K41"/>
  <c r="O41"/>
  <c r="J338"/>
  <c r="M41"/>
  <c r="E42"/>
  <c r="J42" s="1"/>
  <c r="A43"/>
  <c r="D42"/>
  <c r="I42" s="1"/>
  <c r="I339" s="1"/>
  <c r="B42"/>
  <c r="G42" s="1"/>
  <c r="C42"/>
  <c r="H42" s="1"/>
  <c r="K337"/>
  <c r="V40"/>
  <c r="V337" s="1"/>
  <c r="H338"/>
  <c r="L41"/>
  <c r="K338" l="1"/>
  <c r="V41"/>
  <c r="V338" s="1"/>
  <c r="B43"/>
  <c r="G43" s="1"/>
  <c r="E43"/>
  <c r="J43" s="1"/>
  <c r="C43"/>
  <c r="H43" s="1"/>
  <c r="D43"/>
  <c r="I43" s="1"/>
  <c r="I340" s="1"/>
  <c r="A44"/>
  <c r="G339"/>
  <c r="O42"/>
  <c r="K42"/>
  <c r="H339"/>
  <c r="L42"/>
  <c r="J339"/>
  <c r="K339" l="1"/>
  <c r="V42"/>
  <c r="V339" s="1"/>
  <c r="H340"/>
  <c r="L43"/>
  <c r="C44"/>
  <c r="H44" s="1"/>
  <c r="B44"/>
  <c r="G44" s="1"/>
  <c r="D44"/>
  <c r="I44" s="1"/>
  <c r="I341" s="1"/>
  <c r="E44"/>
  <c r="J44" s="1"/>
  <c r="A45"/>
  <c r="G340"/>
  <c r="K43"/>
  <c r="O43"/>
  <c r="J340"/>
  <c r="M43"/>
  <c r="K340" l="1"/>
  <c r="V43"/>
  <c r="V340" s="1"/>
  <c r="J341"/>
  <c r="M44"/>
  <c r="A46"/>
  <c r="D45"/>
  <c r="I45" s="1"/>
  <c r="I342" s="1"/>
  <c r="C45"/>
  <c r="H45" s="1"/>
  <c r="E45"/>
  <c r="J45" s="1"/>
  <c r="B45"/>
  <c r="G45" s="1"/>
  <c r="H341"/>
  <c r="L44"/>
  <c r="G341"/>
  <c r="K44"/>
  <c r="O44"/>
  <c r="H342" l="1"/>
  <c r="L45"/>
  <c r="J342"/>
  <c r="G342"/>
  <c r="O45"/>
  <c r="K45"/>
  <c r="E46"/>
  <c r="J46" s="1"/>
  <c r="A47"/>
  <c r="D46"/>
  <c r="I46" s="1"/>
  <c r="I343" s="1"/>
  <c r="C46"/>
  <c r="H46" s="1"/>
  <c r="B46"/>
  <c r="G46" s="1"/>
  <c r="K341"/>
  <c r="V44"/>
  <c r="V341" s="1"/>
  <c r="H343" l="1"/>
  <c r="L46"/>
  <c r="K342"/>
  <c r="V45"/>
  <c r="V342" s="1"/>
  <c r="G343"/>
  <c r="O46"/>
  <c r="K46"/>
  <c r="J343"/>
  <c r="M46"/>
  <c r="B47"/>
  <c r="G47" s="1"/>
  <c r="E47"/>
  <c r="J47" s="1"/>
  <c r="A48"/>
  <c r="C47"/>
  <c r="H47" s="1"/>
  <c r="D47"/>
  <c r="I47" s="1"/>
  <c r="I344" s="1"/>
  <c r="C48" l="1"/>
  <c r="H48" s="1"/>
  <c r="B48"/>
  <c r="G48" s="1"/>
  <c r="A49"/>
  <c r="E48"/>
  <c r="J48" s="1"/>
  <c r="D48"/>
  <c r="I48" s="1"/>
  <c r="I345" s="1"/>
  <c r="H344"/>
  <c r="L47"/>
  <c r="J344"/>
  <c r="M47"/>
  <c r="K343"/>
  <c r="V46"/>
  <c r="V343" s="1"/>
  <c r="G344"/>
  <c r="K47"/>
  <c r="O47"/>
  <c r="H345" l="1"/>
  <c r="L48"/>
  <c r="G345"/>
  <c r="K48"/>
  <c r="O48"/>
  <c r="A50"/>
  <c r="D49"/>
  <c r="I49" s="1"/>
  <c r="I346" s="1"/>
  <c r="C49"/>
  <c r="H49" s="1"/>
  <c r="B49"/>
  <c r="G49" s="1"/>
  <c r="E49"/>
  <c r="J49" s="1"/>
  <c r="K344"/>
  <c r="V47"/>
  <c r="V344" s="1"/>
  <c r="J345"/>
  <c r="H346" l="1"/>
  <c r="L49"/>
  <c r="G346"/>
  <c r="K49"/>
  <c r="O49"/>
  <c r="K345"/>
  <c r="V48"/>
  <c r="V345" s="1"/>
  <c r="J346"/>
  <c r="M49"/>
  <c r="E50"/>
  <c r="J50" s="1"/>
  <c r="A51"/>
  <c r="D50"/>
  <c r="I50" s="1"/>
  <c r="I347" s="1"/>
  <c r="B50"/>
  <c r="G50" s="1"/>
  <c r="C50"/>
  <c r="H50" s="1"/>
  <c r="B51" l="1"/>
  <c r="G51" s="1"/>
  <c r="E51"/>
  <c r="J51" s="1"/>
  <c r="C51"/>
  <c r="H51" s="1"/>
  <c r="D51"/>
  <c r="I51" s="1"/>
  <c r="I348" s="1"/>
  <c r="A52"/>
  <c r="K346"/>
  <c r="V49"/>
  <c r="V346" s="1"/>
  <c r="G347"/>
  <c r="O50"/>
  <c r="K50"/>
  <c r="H347"/>
  <c r="L50"/>
  <c r="J347"/>
  <c r="M50"/>
  <c r="G348" l="1"/>
  <c r="K51"/>
  <c r="O51"/>
  <c r="K347"/>
  <c r="V50"/>
  <c r="V347" s="1"/>
  <c r="H348"/>
  <c r="L51"/>
  <c r="C52"/>
  <c r="H52" s="1"/>
  <c r="B52"/>
  <c r="G52" s="1"/>
  <c r="D52"/>
  <c r="I52" s="1"/>
  <c r="I349" s="1"/>
  <c r="E52"/>
  <c r="J52" s="1"/>
  <c r="A53"/>
  <c r="J348"/>
  <c r="A54" l="1"/>
  <c r="D53"/>
  <c r="I53" s="1"/>
  <c r="I350" s="1"/>
  <c r="C53"/>
  <c r="H53" s="1"/>
  <c r="E53"/>
  <c r="J53" s="1"/>
  <c r="B53"/>
  <c r="G53" s="1"/>
  <c r="K348"/>
  <c r="V51"/>
  <c r="V348" s="1"/>
  <c r="J349"/>
  <c r="M52"/>
  <c r="H349"/>
  <c r="L52"/>
  <c r="G349"/>
  <c r="K52"/>
  <c r="O52"/>
  <c r="G350" l="1"/>
  <c r="O53"/>
  <c r="K53"/>
  <c r="E54"/>
  <c r="J54" s="1"/>
  <c r="A55"/>
  <c r="D54"/>
  <c r="I54" s="1"/>
  <c r="I351" s="1"/>
  <c r="B54"/>
  <c r="G54" s="1"/>
  <c r="C54"/>
  <c r="H54" s="1"/>
  <c r="K349"/>
  <c r="V52"/>
  <c r="V349" s="1"/>
  <c r="H350"/>
  <c r="L53"/>
  <c r="J350"/>
  <c r="M53"/>
  <c r="B55" l="1"/>
  <c r="G55" s="1"/>
  <c r="E55"/>
  <c r="J55" s="1"/>
  <c r="A56"/>
  <c r="D55"/>
  <c r="I55" s="1"/>
  <c r="I352" s="1"/>
  <c r="C55"/>
  <c r="H55" s="1"/>
  <c r="G351"/>
  <c r="O54"/>
  <c r="K54"/>
  <c r="K350"/>
  <c r="V53"/>
  <c r="V350" s="1"/>
  <c r="H351"/>
  <c r="L54"/>
  <c r="J351"/>
  <c r="H352" l="1"/>
  <c r="L55"/>
  <c r="J352"/>
  <c r="M55"/>
  <c r="C56"/>
  <c r="H56" s="1"/>
  <c r="B56"/>
  <c r="G56" s="1"/>
  <c r="A57"/>
  <c r="D56"/>
  <c r="I56" s="1"/>
  <c r="I353" s="1"/>
  <c r="E56"/>
  <c r="J56" s="1"/>
  <c r="G352"/>
  <c r="K55"/>
  <c r="O55"/>
  <c r="K351"/>
  <c r="V54"/>
  <c r="V351" s="1"/>
  <c r="H353" l="1"/>
  <c r="L56"/>
  <c r="K352"/>
  <c r="V55"/>
  <c r="V352" s="1"/>
  <c r="A58"/>
  <c r="D57"/>
  <c r="I57" s="1"/>
  <c r="I354" s="1"/>
  <c r="C57"/>
  <c r="H57" s="1"/>
  <c r="B57"/>
  <c r="G57" s="1"/>
  <c r="E57"/>
  <c r="J57" s="1"/>
  <c r="J353"/>
  <c r="M56"/>
  <c r="G353"/>
  <c r="K56"/>
  <c r="O56"/>
  <c r="G354" l="1"/>
  <c r="K57"/>
  <c r="O57"/>
  <c r="J354"/>
  <c r="E58"/>
  <c r="J58" s="1"/>
  <c r="A59"/>
  <c r="D58"/>
  <c r="I58" s="1"/>
  <c r="I355" s="1"/>
  <c r="B58"/>
  <c r="G58" s="1"/>
  <c r="C58"/>
  <c r="H58" s="1"/>
  <c r="K353"/>
  <c r="V56"/>
  <c r="V353" s="1"/>
  <c r="H354"/>
  <c r="L57"/>
  <c r="K354" l="1"/>
  <c r="V57"/>
  <c r="V354" s="1"/>
  <c r="B59"/>
  <c r="G59" s="1"/>
  <c r="E59"/>
  <c r="J59" s="1"/>
  <c r="C59"/>
  <c r="H59" s="1"/>
  <c r="D59"/>
  <c r="I59" s="1"/>
  <c r="I356" s="1"/>
  <c r="A60"/>
  <c r="G355"/>
  <c r="O58"/>
  <c r="K58"/>
  <c r="H355"/>
  <c r="L58"/>
  <c r="J355"/>
  <c r="M58"/>
  <c r="H356" l="1"/>
  <c r="L59"/>
  <c r="K355"/>
  <c r="V58"/>
  <c r="V355" s="1"/>
  <c r="C60"/>
  <c r="H60" s="1"/>
  <c r="B60"/>
  <c r="G60" s="1"/>
  <c r="D60"/>
  <c r="I60" s="1"/>
  <c r="I357" s="1"/>
  <c r="E60"/>
  <c r="J60" s="1"/>
  <c r="A61"/>
  <c r="G356"/>
  <c r="K59"/>
  <c r="O59"/>
  <c r="J356"/>
  <c r="M59"/>
  <c r="J357" l="1"/>
  <c r="H357"/>
  <c r="L60"/>
  <c r="K356"/>
  <c r="V59"/>
  <c r="V356" s="1"/>
  <c r="A62"/>
  <c r="D61"/>
  <c r="I61" s="1"/>
  <c r="I358" s="1"/>
  <c r="C61"/>
  <c r="H61" s="1"/>
  <c r="E61"/>
  <c r="J61" s="1"/>
  <c r="B61"/>
  <c r="G61" s="1"/>
  <c r="G357"/>
  <c r="K60"/>
  <c r="O60"/>
  <c r="H358" l="1"/>
  <c r="L61"/>
  <c r="O61"/>
  <c r="G358"/>
  <c r="K61"/>
  <c r="E62"/>
  <c r="J62" s="1"/>
  <c r="A63"/>
  <c r="D62"/>
  <c r="I62" s="1"/>
  <c r="I359" s="1"/>
  <c r="C62"/>
  <c r="H62" s="1"/>
  <c r="B62"/>
  <c r="G62" s="1"/>
  <c r="K357"/>
  <c r="V60"/>
  <c r="V357" s="1"/>
  <c r="J358"/>
  <c r="M61"/>
  <c r="J359" l="1"/>
  <c r="M62"/>
  <c r="H359"/>
  <c r="L62"/>
  <c r="K358"/>
  <c r="V61"/>
  <c r="V358" s="1"/>
  <c r="G359"/>
  <c r="O62"/>
  <c r="K62"/>
  <c r="B63"/>
  <c r="G63" s="1"/>
  <c r="E63"/>
  <c r="J63" s="1"/>
  <c r="A64"/>
  <c r="C63"/>
  <c r="H63" s="1"/>
  <c r="D63"/>
  <c r="I63" s="1"/>
  <c r="I360" s="1"/>
  <c r="K359" l="1"/>
  <c r="V62"/>
  <c r="V359" s="1"/>
  <c r="G360"/>
  <c r="K63"/>
  <c r="O63"/>
  <c r="C64"/>
  <c r="H64" s="1"/>
  <c r="B64"/>
  <c r="G64" s="1"/>
  <c r="A65"/>
  <c r="D64"/>
  <c r="I64" s="1"/>
  <c r="I361" s="1"/>
  <c r="E64"/>
  <c r="J64" s="1"/>
  <c r="H360"/>
  <c r="L63"/>
  <c r="J360"/>
  <c r="J361" l="1"/>
  <c r="M64"/>
  <c r="G361"/>
  <c r="K64"/>
  <c r="O64"/>
  <c r="H361"/>
  <c r="L64"/>
  <c r="A66"/>
  <c r="D65"/>
  <c r="I65" s="1"/>
  <c r="I362" s="1"/>
  <c r="C65"/>
  <c r="H65" s="1"/>
  <c r="B65"/>
  <c r="G65" s="1"/>
  <c r="E65"/>
  <c r="J65" s="1"/>
  <c r="K360"/>
  <c r="V63"/>
  <c r="V360" s="1"/>
  <c r="J362" l="1"/>
  <c r="M65"/>
  <c r="G362"/>
  <c r="K65"/>
  <c r="O65"/>
  <c r="E66"/>
  <c r="J66" s="1"/>
  <c r="A67"/>
  <c r="D66"/>
  <c r="I66" s="1"/>
  <c r="I363" s="1"/>
  <c r="B66"/>
  <c r="G66" s="1"/>
  <c r="C66"/>
  <c r="H66" s="1"/>
  <c r="H362"/>
  <c r="L65"/>
  <c r="K361"/>
  <c r="V64"/>
  <c r="V361" s="1"/>
  <c r="G363" l="1"/>
  <c r="O66"/>
  <c r="K66"/>
  <c r="H363"/>
  <c r="L66"/>
  <c r="J363"/>
  <c r="B67"/>
  <c r="G67" s="1"/>
  <c r="E67"/>
  <c r="J67" s="1"/>
  <c r="C67"/>
  <c r="H67" s="1"/>
  <c r="D67"/>
  <c r="I67" s="1"/>
  <c r="I364" s="1"/>
  <c r="A68"/>
  <c r="K362"/>
  <c r="V65"/>
  <c r="V362" s="1"/>
  <c r="G364" l="1"/>
  <c r="K67"/>
  <c r="O67"/>
  <c r="J364"/>
  <c r="M67"/>
  <c r="K363"/>
  <c r="V66"/>
  <c r="V363" s="1"/>
  <c r="C68"/>
  <c r="H68" s="1"/>
  <c r="B68"/>
  <c r="G68" s="1"/>
  <c r="D68"/>
  <c r="I68" s="1"/>
  <c r="I365" s="1"/>
  <c r="E68"/>
  <c r="J68" s="1"/>
  <c r="A69"/>
  <c r="H364"/>
  <c r="L67"/>
  <c r="H365" l="1"/>
  <c r="L68"/>
  <c r="G365"/>
  <c r="K68"/>
  <c r="O68"/>
  <c r="A70"/>
  <c r="D69"/>
  <c r="I69" s="1"/>
  <c r="I366" s="1"/>
  <c r="C69"/>
  <c r="H69" s="1"/>
  <c r="E69"/>
  <c r="J69" s="1"/>
  <c r="B69"/>
  <c r="G69" s="1"/>
  <c r="K364"/>
  <c r="V67"/>
  <c r="V364" s="1"/>
  <c r="J365"/>
  <c r="M68"/>
  <c r="H366" l="1"/>
  <c r="L69"/>
  <c r="J366"/>
  <c r="K365"/>
  <c r="V68"/>
  <c r="V365" s="1"/>
  <c r="G366"/>
  <c r="O69"/>
  <c r="K69"/>
  <c r="E70"/>
  <c r="J70" s="1"/>
  <c r="A71"/>
  <c r="D70"/>
  <c r="I70" s="1"/>
  <c r="I367" s="1"/>
  <c r="B70"/>
  <c r="G70" s="1"/>
  <c r="C70"/>
  <c r="H70" s="1"/>
  <c r="K366" l="1"/>
  <c r="V69"/>
  <c r="V366" s="1"/>
  <c r="B71"/>
  <c r="G71" s="1"/>
  <c r="E71"/>
  <c r="J71" s="1"/>
  <c r="A72"/>
  <c r="C71"/>
  <c r="H71" s="1"/>
  <c r="D71"/>
  <c r="I71" s="1"/>
  <c r="I368" s="1"/>
  <c r="G367"/>
  <c r="O70"/>
  <c r="K70"/>
  <c r="H367"/>
  <c r="L70"/>
  <c r="J367"/>
  <c r="M70"/>
  <c r="C72" l="1"/>
  <c r="H72" s="1"/>
  <c r="B72"/>
  <c r="G72" s="1"/>
  <c r="A73"/>
  <c r="D72"/>
  <c r="I72" s="1"/>
  <c r="I369" s="1"/>
  <c r="E72"/>
  <c r="J72" s="1"/>
  <c r="H368"/>
  <c r="L71"/>
  <c r="K367"/>
  <c r="V70"/>
  <c r="V367" s="1"/>
  <c r="G368"/>
  <c r="K71"/>
  <c r="O71"/>
  <c r="J368"/>
  <c r="M71"/>
  <c r="J369" l="1"/>
  <c r="G369"/>
  <c r="K72"/>
  <c r="O72"/>
  <c r="K368"/>
  <c r="V71"/>
  <c r="V368" s="1"/>
  <c r="H369"/>
  <c r="L72"/>
  <c r="A74"/>
  <c r="D73"/>
  <c r="I73" s="1"/>
  <c r="I370" s="1"/>
  <c r="C73"/>
  <c r="H73" s="1"/>
  <c r="B73"/>
  <c r="G73" s="1"/>
  <c r="E73"/>
  <c r="J73" s="1"/>
  <c r="H370" l="1"/>
  <c r="L73"/>
  <c r="G370"/>
  <c r="K73"/>
  <c r="O73"/>
  <c r="J370"/>
  <c r="M73"/>
  <c r="E74"/>
  <c r="J74" s="1"/>
  <c r="A75"/>
  <c r="D74"/>
  <c r="I74" s="1"/>
  <c r="I371" s="1"/>
  <c r="B74"/>
  <c r="G74" s="1"/>
  <c r="C74"/>
  <c r="H74" s="1"/>
  <c r="K369"/>
  <c r="V72"/>
  <c r="V369" s="1"/>
  <c r="J371" l="1"/>
  <c r="M74"/>
  <c r="B75"/>
  <c r="G75" s="1"/>
  <c r="E75"/>
  <c r="J75" s="1"/>
  <c r="C75"/>
  <c r="H75" s="1"/>
  <c r="D75"/>
  <c r="I75" s="1"/>
  <c r="I372" s="1"/>
  <c r="A76"/>
  <c r="G371"/>
  <c r="O74"/>
  <c r="K74"/>
  <c r="K370"/>
  <c r="V73"/>
  <c r="V370" s="1"/>
  <c r="H371"/>
  <c r="L74"/>
  <c r="J372" l="1"/>
  <c r="H372"/>
  <c r="L75"/>
  <c r="K371"/>
  <c r="V74"/>
  <c r="V371" s="1"/>
  <c r="C76"/>
  <c r="H76" s="1"/>
  <c r="B76"/>
  <c r="G76" s="1"/>
  <c r="D76"/>
  <c r="I76" s="1"/>
  <c r="I373" s="1"/>
  <c r="E76"/>
  <c r="J76" s="1"/>
  <c r="A77"/>
  <c r="G372"/>
  <c r="K75"/>
  <c r="O75"/>
  <c r="H373" l="1"/>
  <c r="L76"/>
  <c r="G373"/>
  <c r="K76"/>
  <c r="O76"/>
  <c r="A78"/>
  <c r="D77"/>
  <c r="I77" s="1"/>
  <c r="I374" s="1"/>
  <c r="C77"/>
  <c r="H77" s="1"/>
  <c r="E77"/>
  <c r="J77" s="1"/>
  <c r="B77"/>
  <c r="G77" s="1"/>
  <c r="K372"/>
  <c r="V75"/>
  <c r="V372" s="1"/>
  <c r="J373"/>
  <c r="M76"/>
  <c r="O77" l="1"/>
  <c r="G374"/>
  <c r="K77"/>
  <c r="H374"/>
  <c r="L77"/>
  <c r="K373"/>
  <c r="V76"/>
  <c r="V373" s="1"/>
  <c r="J374"/>
  <c r="M77"/>
  <c r="E78"/>
  <c r="J78" s="1"/>
  <c r="A79"/>
  <c r="D78"/>
  <c r="I78" s="1"/>
  <c r="I375" s="1"/>
  <c r="B78"/>
  <c r="G78" s="1"/>
  <c r="C78"/>
  <c r="H78" s="1"/>
  <c r="B79" l="1"/>
  <c r="G79" s="1"/>
  <c r="E79"/>
  <c r="J79" s="1"/>
  <c r="A80"/>
  <c r="C79"/>
  <c r="H79" s="1"/>
  <c r="D79"/>
  <c r="I79" s="1"/>
  <c r="I376" s="1"/>
  <c r="G375"/>
  <c r="O78"/>
  <c r="K78"/>
  <c r="K374"/>
  <c r="V77"/>
  <c r="V374" s="1"/>
  <c r="H375"/>
  <c r="L78"/>
  <c r="J375"/>
  <c r="G376" l="1"/>
  <c r="K79"/>
  <c r="O79"/>
  <c r="J376"/>
  <c r="M79"/>
  <c r="C80"/>
  <c r="H80" s="1"/>
  <c r="B80"/>
  <c r="G80" s="1"/>
  <c r="A81"/>
  <c r="E80"/>
  <c r="J80" s="1"/>
  <c r="D80"/>
  <c r="I80" s="1"/>
  <c r="I377" s="1"/>
  <c r="K375"/>
  <c r="V78"/>
  <c r="V375" s="1"/>
  <c r="H376"/>
  <c r="L79"/>
  <c r="J377" l="1"/>
  <c r="M80"/>
  <c r="H377"/>
  <c r="L80"/>
  <c r="G377"/>
  <c r="K80"/>
  <c r="O80"/>
  <c r="K376"/>
  <c r="V79"/>
  <c r="V376" s="1"/>
  <c r="A82"/>
  <c r="D81"/>
  <c r="I81" s="1"/>
  <c r="I378" s="1"/>
  <c r="C81"/>
  <c r="H81" s="1"/>
  <c r="B81"/>
  <c r="G81" s="1"/>
  <c r="E81"/>
  <c r="J81" s="1"/>
  <c r="H378" l="1"/>
  <c r="L81"/>
  <c r="G378"/>
  <c r="K81"/>
  <c r="O81"/>
  <c r="K377"/>
  <c r="V80"/>
  <c r="V377" s="1"/>
  <c r="J378"/>
  <c r="E82"/>
  <c r="J82" s="1"/>
  <c r="A83"/>
  <c r="D82"/>
  <c r="I82" s="1"/>
  <c r="I379" s="1"/>
  <c r="B82"/>
  <c r="G82" s="1"/>
  <c r="C82"/>
  <c r="H82" s="1"/>
  <c r="G379" l="1"/>
  <c r="O82"/>
  <c r="K82"/>
  <c r="H379"/>
  <c r="L82"/>
  <c r="K378"/>
  <c r="V81"/>
  <c r="V378" s="1"/>
  <c r="J379"/>
  <c r="M82"/>
  <c r="B83"/>
  <c r="G83" s="1"/>
  <c r="E83"/>
  <c r="J83" s="1"/>
  <c r="C83"/>
  <c r="H83" s="1"/>
  <c r="D83"/>
  <c r="I83" s="1"/>
  <c r="I380" s="1"/>
  <c r="A84"/>
  <c r="J380" l="1"/>
  <c r="M83"/>
  <c r="K379"/>
  <c r="V82"/>
  <c r="V379" s="1"/>
  <c r="H380"/>
  <c r="L83"/>
  <c r="C84"/>
  <c r="H84" s="1"/>
  <c r="B84"/>
  <c r="G84" s="1"/>
  <c r="D84"/>
  <c r="I84" s="1"/>
  <c r="I381" s="1"/>
  <c r="E84"/>
  <c r="J84" s="1"/>
  <c r="A85"/>
  <c r="G380"/>
  <c r="K83"/>
  <c r="O83"/>
  <c r="A86" l="1"/>
  <c r="D85"/>
  <c r="I85" s="1"/>
  <c r="I382" s="1"/>
  <c r="C85"/>
  <c r="H85" s="1"/>
  <c r="E85"/>
  <c r="J85" s="1"/>
  <c r="B85"/>
  <c r="G85" s="1"/>
  <c r="G381"/>
  <c r="K84"/>
  <c r="O84"/>
  <c r="H381"/>
  <c r="L84"/>
  <c r="K380"/>
  <c r="V83"/>
  <c r="V380" s="1"/>
  <c r="J381"/>
  <c r="H382" l="1"/>
  <c r="L85"/>
  <c r="G382"/>
  <c r="O85"/>
  <c r="K85"/>
  <c r="E86"/>
  <c r="J86" s="1"/>
  <c r="A87"/>
  <c r="D86"/>
  <c r="I86" s="1"/>
  <c r="I383" s="1"/>
  <c r="B86"/>
  <c r="G86" s="1"/>
  <c r="C86"/>
  <c r="H86" s="1"/>
  <c r="K381"/>
  <c r="V84"/>
  <c r="V381" s="1"/>
  <c r="J382"/>
  <c r="M85"/>
  <c r="G383" l="1"/>
  <c r="O86"/>
  <c r="K86"/>
  <c r="H383"/>
  <c r="L86"/>
  <c r="J383"/>
  <c r="M86"/>
  <c r="K382"/>
  <c r="V85"/>
  <c r="V382" s="1"/>
  <c r="B87"/>
  <c r="G87" s="1"/>
  <c r="E87"/>
  <c r="J87" s="1"/>
  <c r="A88"/>
  <c r="D87"/>
  <c r="I87" s="1"/>
  <c r="I384" s="1"/>
  <c r="C87"/>
  <c r="H87" s="1"/>
  <c r="C88" l="1"/>
  <c r="H88" s="1"/>
  <c r="B88"/>
  <c r="G88" s="1"/>
  <c r="A89"/>
  <c r="D88"/>
  <c r="I88" s="1"/>
  <c r="I385" s="1"/>
  <c r="E88"/>
  <c r="J88" s="1"/>
  <c r="J384"/>
  <c r="K383"/>
  <c r="V86"/>
  <c r="V383" s="1"/>
  <c r="H384"/>
  <c r="L87"/>
  <c r="G384"/>
  <c r="K87"/>
  <c r="O87"/>
  <c r="J385" l="1"/>
  <c r="M88"/>
  <c r="G385"/>
  <c r="K88"/>
  <c r="O88"/>
  <c r="K384"/>
  <c r="V87"/>
  <c r="V384" s="1"/>
  <c r="A90"/>
  <c r="D89"/>
  <c r="I89" s="1"/>
  <c r="I386" s="1"/>
  <c r="C89"/>
  <c r="H89" s="1"/>
  <c r="B89"/>
  <c r="G89" s="1"/>
  <c r="E89"/>
  <c r="J89" s="1"/>
  <c r="H385"/>
  <c r="L88"/>
  <c r="H386" l="1"/>
  <c r="L89"/>
  <c r="G386"/>
  <c r="K89"/>
  <c r="O89"/>
  <c r="J386"/>
  <c r="M89"/>
  <c r="E90"/>
  <c r="J90" s="1"/>
  <c r="A91"/>
  <c r="D90"/>
  <c r="I90" s="1"/>
  <c r="I387" s="1"/>
  <c r="B90"/>
  <c r="G90" s="1"/>
  <c r="C90"/>
  <c r="H90" s="1"/>
  <c r="K385"/>
  <c r="V88"/>
  <c r="V385" s="1"/>
  <c r="K386" l="1"/>
  <c r="V89"/>
  <c r="V386" s="1"/>
  <c r="H387"/>
  <c r="L90"/>
  <c r="B91"/>
  <c r="G91" s="1"/>
  <c r="E91"/>
  <c r="J91" s="1"/>
  <c r="C91"/>
  <c r="H91" s="1"/>
  <c r="D91"/>
  <c r="I91" s="1"/>
  <c r="I388" s="1"/>
  <c r="A92"/>
  <c r="G387"/>
  <c r="O90"/>
  <c r="K90"/>
  <c r="J387"/>
  <c r="C92" l="1"/>
  <c r="H92" s="1"/>
  <c r="B92"/>
  <c r="G92" s="1"/>
  <c r="D92"/>
  <c r="I92" s="1"/>
  <c r="I389" s="1"/>
  <c r="E92"/>
  <c r="J92" s="1"/>
  <c r="A93"/>
  <c r="K387"/>
  <c r="V90"/>
  <c r="V387" s="1"/>
  <c r="G388"/>
  <c r="K91"/>
  <c r="O91"/>
  <c r="J388"/>
  <c r="M91"/>
  <c r="H388"/>
  <c r="L91"/>
  <c r="K388" l="1"/>
  <c r="V91"/>
  <c r="V388" s="1"/>
  <c r="A94"/>
  <c r="D93"/>
  <c r="I93" s="1"/>
  <c r="I390" s="1"/>
  <c r="C93"/>
  <c r="H93" s="1"/>
  <c r="E93"/>
  <c r="J93" s="1"/>
  <c r="B93"/>
  <c r="G93" s="1"/>
  <c r="H389"/>
  <c r="L92"/>
  <c r="G389"/>
  <c r="K92"/>
  <c r="O92"/>
  <c r="J389"/>
  <c r="M92"/>
  <c r="K389" l="1"/>
  <c r="V92"/>
  <c r="V389" s="1"/>
  <c r="H390"/>
  <c r="L93"/>
  <c r="J390"/>
  <c r="O93"/>
  <c r="G390"/>
  <c r="K93"/>
  <c r="E94"/>
  <c r="J94" s="1"/>
  <c r="A95"/>
  <c r="D94"/>
  <c r="I94" s="1"/>
  <c r="I391" s="1"/>
  <c r="C94"/>
  <c r="H94" s="1"/>
  <c r="B94"/>
  <c r="G94" s="1"/>
  <c r="B95" l="1"/>
  <c r="G95" s="1"/>
  <c r="E95"/>
  <c r="J95" s="1"/>
  <c r="A96"/>
  <c r="C95"/>
  <c r="H95" s="1"/>
  <c r="D95"/>
  <c r="I95" s="1"/>
  <c r="I392" s="1"/>
  <c r="H391"/>
  <c r="L94"/>
  <c r="K390"/>
  <c r="V93"/>
  <c r="V390" s="1"/>
  <c r="G391"/>
  <c r="O94"/>
  <c r="K94"/>
  <c r="J391"/>
  <c r="M94"/>
  <c r="K391" l="1"/>
  <c r="V94"/>
  <c r="V391" s="1"/>
  <c r="J392"/>
  <c r="M95"/>
  <c r="G392"/>
  <c r="K95"/>
  <c r="O95"/>
  <c r="C96"/>
  <c r="H96" s="1"/>
  <c r="B96"/>
  <c r="G96" s="1"/>
  <c r="A97"/>
  <c r="D96"/>
  <c r="I96" s="1"/>
  <c r="I393" s="1"/>
  <c r="E96"/>
  <c r="J96" s="1"/>
  <c r="H392"/>
  <c r="L95"/>
  <c r="G393" l="1"/>
  <c r="K96"/>
  <c r="O96"/>
  <c r="K392"/>
  <c r="V95"/>
  <c r="V392" s="1"/>
  <c r="J393"/>
  <c r="H393"/>
  <c r="L96"/>
  <c r="A98"/>
  <c r="D97"/>
  <c r="I97" s="1"/>
  <c r="I394" s="1"/>
  <c r="C97"/>
  <c r="H97" s="1"/>
  <c r="B97"/>
  <c r="G97" s="1"/>
  <c r="E97"/>
  <c r="J97" s="1"/>
  <c r="J394" l="1"/>
  <c r="M97"/>
  <c r="E98"/>
  <c r="J98" s="1"/>
  <c r="A99"/>
  <c r="D98"/>
  <c r="I98" s="1"/>
  <c r="I395" s="1"/>
  <c r="B98"/>
  <c r="G98" s="1"/>
  <c r="C98"/>
  <c r="H98" s="1"/>
  <c r="H394"/>
  <c r="L97"/>
  <c r="G394"/>
  <c r="K97"/>
  <c r="O97"/>
  <c r="K393"/>
  <c r="V96"/>
  <c r="V393" s="1"/>
  <c r="K394" l="1"/>
  <c r="V97"/>
  <c r="V394" s="1"/>
  <c r="G395"/>
  <c r="O98"/>
  <c r="K98"/>
  <c r="H395"/>
  <c r="L98"/>
  <c r="J395"/>
  <c r="M98"/>
  <c r="B99"/>
  <c r="G99" s="1"/>
  <c r="E99"/>
  <c r="J99" s="1"/>
  <c r="C99"/>
  <c r="H99" s="1"/>
  <c r="D99"/>
  <c r="I99" s="1"/>
  <c r="I396" s="1"/>
  <c r="A100"/>
  <c r="K395" l="1"/>
  <c r="V98"/>
  <c r="V395" s="1"/>
  <c r="J396"/>
  <c r="H396"/>
  <c r="L99"/>
  <c r="C100"/>
  <c r="H100" s="1"/>
  <c r="B100"/>
  <c r="G100" s="1"/>
  <c r="D100"/>
  <c r="I100" s="1"/>
  <c r="I397" s="1"/>
  <c r="E100"/>
  <c r="J100" s="1"/>
  <c r="A101"/>
  <c r="G396"/>
  <c r="K99"/>
  <c r="O99"/>
  <c r="H397" l="1"/>
  <c r="L100"/>
  <c r="K396"/>
  <c r="V99"/>
  <c r="V396" s="1"/>
  <c r="A102"/>
  <c r="D101"/>
  <c r="I101" s="1"/>
  <c r="I398" s="1"/>
  <c r="C101"/>
  <c r="H101" s="1"/>
  <c r="E101"/>
  <c r="J101" s="1"/>
  <c r="B101"/>
  <c r="G101" s="1"/>
  <c r="G397"/>
  <c r="K100"/>
  <c r="O100"/>
  <c r="J397"/>
  <c r="M100"/>
  <c r="G398" l="1"/>
  <c r="O101"/>
  <c r="K101"/>
  <c r="E102"/>
  <c r="J102" s="1"/>
  <c r="A103"/>
  <c r="D102"/>
  <c r="I102" s="1"/>
  <c r="I399" s="1"/>
  <c r="B102"/>
  <c r="G102" s="1"/>
  <c r="C102"/>
  <c r="H102" s="1"/>
  <c r="J398"/>
  <c r="M101"/>
  <c r="K397"/>
  <c r="V100"/>
  <c r="V397" s="1"/>
  <c r="H398"/>
  <c r="L101"/>
  <c r="B103" l="1"/>
  <c r="G103" s="1"/>
  <c r="E103"/>
  <c r="J103" s="1"/>
  <c r="A104"/>
  <c r="C103"/>
  <c r="H103" s="1"/>
  <c r="D103"/>
  <c r="I103" s="1"/>
  <c r="I400" s="1"/>
  <c r="H399"/>
  <c r="L102"/>
  <c r="J399"/>
  <c r="G399"/>
  <c r="O102"/>
  <c r="K102"/>
  <c r="K398"/>
  <c r="V101"/>
  <c r="V398" s="1"/>
  <c r="J400" l="1"/>
  <c r="M103"/>
  <c r="G400"/>
  <c r="K103"/>
  <c r="O103"/>
  <c r="K399"/>
  <c r="V102"/>
  <c r="V399" s="1"/>
  <c r="C104"/>
  <c r="H104" s="1"/>
  <c r="B104"/>
  <c r="G104" s="1"/>
  <c r="A105"/>
  <c r="D104"/>
  <c r="I104" s="1"/>
  <c r="I401" s="1"/>
  <c r="E104"/>
  <c r="J104" s="1"/>
  <c r="H400"/>
  <c r="L103"/>
  <c r="J401" l="1"/>
  <c r="M104"/>
  <c r="H401"/>
  <c r="L104"/>
  <c r="K400"/>
  <c r="V103"/>
  <c r="V400" s="1"/>
  <c r="G401"/>
  <c r="K104"/>
  <c r="O104"/>
  <c r="A106"/>
  <c r="D105"/>
  <c r="I105" s="1"/>
  <c r="I402" s="1"/>
  <c r="C105"/>
  <c r="H105" s="1"/>
  <c r="B105"/>
  <c r="G105" s="1"/>
  <c r="E105"/>
  <c r="J105" s="1"/>
  <c r="K401" l="1"/>
  <c r="V104"/>
  <c r="V401" s="1"/>
  <c r="H402"/>
  <c r="L105"/>
  <c r="G402"/>
  <c r="K105"/>
  <c r="O105"/>
  <c r="J402"/>
  <c r="E106"/>
  <c r="J106" s="1"/>
  <c r="A107"/>
  <c r="D106"/>
  <c r="I106" s="1"/>
  <c r="I403" s="1"/>
  <c r="B106"/>
  <c r="G106" s="1"/>
  <c r="C106"/>
  <c r="H106" s="1"/>
  <c r="G403" l="1"/>
  <c r="O106"/>
  <c r="K106"/>
  <c r="B107"/>
  <c r="G107" s="1"/>
  <c r="E107"/>
  <c r="J107" s="1"/>
  <c r="C107"/>
  <c r="H107" s="1"/>
  <c r="D107"/>
  <c r="I107" s="1"/>
  <c r="I404" s="1"/>
  <c r="A108"/>
  <c r="H403"/>
  <c r="L106"/>
  <c r="J403"/>
  <c r="M106"/>
  <c r="K402"/>
  <c r="V105"/>
  <c r="V402" s="1"/>
  <c r="H404" l="1"/>
  <c r="L107"/>
  <c r="K403"/>
  <c r="V106"/>
  <c r="V403" s="1"/>
  <c r="J404"/>
  <c r="M107"/>
  <c r="C108"/>
  <c r="H108" s="1"/>
  <c r="B108"/>
  <c r="G108" s="1"/>
  <c r="D108"/>
  <c r="I108" s="1"/>
  <c r="I405" s="1"/>
  <c r="E108"/>
  <c r="J108" s="1"/>
  <c r="A109"/>
  <c r="G404"/>
  <c r="K107"/>
  <c r="O107"/>
  <c r="H405" l="1"/>
  <c r="L108"/>
  <c r="A110"/>
  <c r="D109"/>
  <c r="I109" s="1"/>
  <c r="I406" s="1"/>
  <c r="C109"/>
  <c r="H109" s="1"/>
  <c r="E109"/>
  <c r="J109" s="1"/>
  <c r="B109"/>
  <c r="G109" s="1"/>
  <c r="G405"/>
  <c r="K108"/>
  <c r="O108"/>
  <c r="K404"/>
  <c r="V107"/>
  <c r="V404" s="1"/>
  <c r="J405"/>
  <c r="J406" l="1"/>
  <c r="M109"/>
  <c r="K405"/>
  <c r="V108"/>
  <c r="V405" s="1"/>
  <c r="H406"/>
  <c r="L109"/>
  <c r="O109"/>
  <c r="G406"/>
  <c r="K109"/>
  <c r="E110"/>
  <c r="J110" s="1"/>
  <c r="A111"/>
  <c r="D110"/>
  <c r="I110" s="1"/>
  <c r="I407" s="1"/>
  <c r="B110"/>
  <c r="G110" s="1"/>
  <c r="C110"/>
  <c r="H110" s="1"/>
  <c r="B111" l="1"/>
  <c r="G111" s="1"/>
  <c r="E111"/>
  <c r="J111" s="1"/>
  <c r="A112"/>
  <c r="C111"/>
  <c r="H111" s="1"/>
  <c r="D111"/>
  <c r="I111" s="1"/>
  <c r="I408" s="1"/>
  <c r="G407"/>
  <c r="O110"/>
  <c r="K110"/>
  <c r="K406"/>
  <c r="V109"/>
  <c r="V406" s="1"/>
  <c r="H407"/>
  <c r="L110"/>
  <c r="J407"/>
  <c r="M110"/>
  <c r="J408" l="1"/>
  <c r="C112"/>
  <c r="H112" s="1"/>
  <c r="B112"/>
  <c r="G112" s="1"/>
  <c r="A113"/>
  <c r="E112"/>
  <c r="J112" s="1"/>
  <c r="D112"/>
  <c r="I112" s="1"/>
  <c r="I409" s="1"/>
  <c r="G408"/>
  <c r="K111"/>
  <c r="O111"/>
  <c r="K407"/>
  <c r="V110"/>
  <c r="V407" s="1"/>
  <c r="H408"/>
  <c r="L111"/>
  <c r="J409" l="1"/>
  <c r="M112"/>
  <c r="G409"/>
  <c r="K112"/>
  <c r="O112"/>
  <c r="K408"/>
  <c r="V111"/>
  <c r="V408" s="1"/>
  <c r="A114"/>
  <c r="D113"/>
  <c r="I113" s="1"/>
  <c r="I410" s="1"/>
  <c r="C113"/>
  <c r="H113" s="1"/>
  <c r="B113"/>
  <c r="G113" s="1"/>
  <c r="E113"/>
  <c r="J113" s="1"/>
  <c r="L112"/>
  <c r="H409"/>
  <c r="G410" l="1"/>
  <c r="K113"/>
  <c r="O113"/>
  <c r="H410"/>
  <c r="L113"/>
  <c r="J410"/>
  <c r="M113"/>
  <c r="E114"/>
  <c r="J114" s="1"/>
  <c r="A115"/>
  <c r="D114"/>
  <c r="I114" s="1"/>
  <c r="I411" s="1"/>
  <c r="B114"/>
  <c r="G114" s="1"/>
  <c r="C114"/>
  <c r="H114" s="1"/>
  <c r="K409"/>
  <c r="V112"/>
  <c r="V409" s="1"/>
  <c r="J411" l="1"/>
  <c r="K410"/>
  <c r="V113"/>
  <c r="V410" s="1"/>
  <c r="G411"/>
  <c r="O114"/>
  <c r="K114"/>
  <c r="H411"/>
  <c r="L114"/>
  <c r="B115"/>
  <c r="G115" s="1"/>
  <c r="E115"/>
  <c r="J115" s="1"/>
  <c r="C115"/>
  <c r="H115" s="1"/>
  <c r="D115"/>
  <c r="I115" s="1"/>
  <c r="I412" s="1"/>
  <c r="A116"/>
  <c r="H412" l="1"/>
  <c r="L115"/>
  <c r="C116"/>
  <c r="H116" s="1"/>
  <c r="B116"/>
  <c r="G116" s="1"/>
  <c r="D116"/>
  <c r="I116" s="1"/>
  <c r="I413" s="1"/>
  <c r="E116"/>
  <c r="J116" s="1"/>
  <c r="A117"/>
  <c r="G412"/>
  <c r="K115"/>
  <c r="O115"/>
  <c r="K411"/>
  <c r="V114"/>
  <c r="V411" s="1"/>
  <c r="J412"/>
  <c r="M115"/>
  <c r="K412" l="1"/>
  <c r="V115"/>
  <c r="V412" s="1"/>
  <c r="A118"/>
  <c r="D117"/>
  <c r="I117" s="1"/>
  <c r="I414" s="1"/>
  <c r="C117"/>
  <c r="H117" s="1"/>
  <c r="E117"/>
  <c r="J117" s="1"/>
  <c r="B117"/>
  <c r="G117" s="1"/>
  <c r="H413"/>
  <c r="L116"/>
  <c r="G413"/>
  <c r="K116"/>
  <c r="O116"/>
  <c r="J413"/>
  <c r="M116"/>
  <c r="J414" l="1"/>
  <c r="H414"/>
  <c r="L117"/>
  <c r="G414"/>
  <c r="O117"/>
  <c r="K117"/>
  <c r="E118"/>
  <c r="J118" s="1"/>
  <c r="A119"/>
  <c r="D118"/>
  <c r="I118" s="1"/>
  <c r="I415" s="1"/>
  <c r="B118"/>
  <c r="G118" s="1"/>
  <c r="C118"/>
  <c r="H118" s="1"/>
  <c r="K413"/>
  <c r="V116"/>
  <c r="V413" s="1"/>
  <c r="G415" l="1"/>
  <c r="O118"/>
  <c r="K118"/>
  <c r="K414"/>
  <c r="V117"/>
  <c r="V414" s="1"/>
  <c r="H415"/>
  <c r="L118"/>
  <c r="B119"/>
  <c r="G119" s="1"/>
  <c r="E119"/>
  <c r="J119" s="1"/>
  <c r="A120"/>
  <c r="C119"/>
  <c r="H119" s="1"/>
  <c r="D119"/>
  <c r="I119" s="1"/>
  <c r="I416" s="1"/>
  <c r="J415"/>
  <c r="M118"/>
  <c r="J416" l="1"/>
  <c r="M119"/>
  <c r="C120"/>
  <c r="H120" s="1"/>
  <c r="B120"/>
  <c r="G120" s="1"/>
  <c r="A121"/>
  <c r="D120"/>
  <c r="I120" s="1"/>
  <c r="I417" s="1"/>
  <c r="E120"/>
  <c r="J120" s="1"/>
  <c r="K415"/>
  <c r="V118"/>
  <c r="V415" s="1"/>
  <c r="G416"/>
  <c r="K119"/>
  <c r="O119"/>
  <c r="H416"/>
  <c r="L119"/>
  <c r="A122" l="1"/>
  <c r="D121"/>
  <c r="I121" s="1"/>
  <c r="I418" s="1"/>
  <c r="C121"/>
  <c r="H121" s="1"/>
  <c r="B121"/>
  <c r="G121" s="1"/>
  <c r="E121"/>
  <c r="J121" s="1"/>
  <c r="K416"/>
  <c r="V119"/>
  <c r="V416" s="1"/>
  <c r="J417"/>
  <c r="H417"/>
  <c r="L120"/>
  <c r="G417"/>
  <c r="K120"/>
  <c r="O120"/>
  <c r="J418" l="1"/>
  <c r="M121"/>
  <c r="K417"/>
  <c r="V120"/>
  <c r="V417" s="1"/>
  <c r="H418"/>
  <c r="L121"/>
  <c r="E122"/>
  <c r="J122" s="1"/>
  <c r="A123"/>
  <c r="D122"/>
  <c r="I122" s="1"/>
  <c r="I419" s="1"/>
  <c r="B122"/>
  <c r="G122" s="1"/>
  <c r="C122"/>
  <c r="H122" s="1"/>
  <c r="G418"/>
  <c r="K121"/>
  <c r="O121"/>
  <c r="K418" l="1"/>
  <c r="V121"/>
  <c r="V418" s="1"/>
  <c r="G419"/>
  <c r="O122"/>
  <c r="K122"/>
  <c r="B123"/>
  <c r="G123" s="1"/>
  <c r="E123"/>
  <c r="J123" s="1"/>
  <c r="C123"/>
  <c r="H123" s="1"/>
  <c r="D123"/>
  <c r="I123" s="1"/>
  <c r="I420" s="1"/>
  <c r="A124"/>
  <c r="H419"/>
  <c r="L122"/>
  <c r="J419"/>
  <c r="M122"/>
  <c r="K419" l="1"/>
  <c r="V122"/>
  <c r="V419" s="1"/>
  <c r="C124"/>
  <c r="H124" s="1"/>
  <c r="B124"/>
  <c r="G124" s="1"/>
  <c r="D124"/>
  <c r="I124" s="1"/>
  <c r="I421" s="1"/>
  <c r="E124"/>
  <c r="J124" s="1"/>
  <c r="A125"/>
  <c r="J420"/>
  <c r="G420"/>
  <c r="K123"/>
  <c r="O123"/>
  <c r="H420"/>
  <c r="L123"/>
  <c r="J421" l="1"/>
  <c r="M124"/>
  <c r="K420"/>
  <c r="V123"/>
  <c r="V420" s="1"/>
  <c r="A126"/>
  <c r="D125"/>
  <c r="I125" s="1"/>
  <c r="I422" s="1"/>
  <c r="C125"/>
  <c r="H125" s="1"/>
  <c r="E125"/>
  <c r="J125" s="1"/>
  <c r="B125"/>
  <c r="G125" s="1"/>
  <c r="H421"/>
  <c r="L124"/>
  <c r="G421"/>
  <c r="K124"/>
  <c r="O124"/>
  <c r="M125" l="1"/>
  <c r="J422"/>
  <c r="G422"/>
  <c r="O125"/>
  <c r="K125"/>
  <c r="E126"/>
  <c r="J126" s="1"/>
  <c r="A127"/>
  <c r="D126"/>
  <c r="I126" s="1"/>
  <c r="I423" s="1"/>
  <c r="B126"/>
  <c r="G126" s="1"/>
  <c r="C126"/>
  <c r="H126" s="1"/>
  <c r="K421"/>
  <c r="V124"/>
  <c r="V421" s="1"/>
  <c r="H422"/>
  <c r="L125"/>
  <c r="K422" l="1"/>
  <c r="V125"/>
  <c r="V422" s="1"/>
  <c r="H423"/>
  <c r="L126"/>
  <c r="J423"/>
  <c r="G423"/>
  <c r="O126"/>
  <c r="K126"/>
  <c r="B127"/>
  <c r="G127" s="1"/>
  <c r="E127"/>
  <c r="J127" s="1"/>
  <c r="A128"/>
  <c r="C127"/>
  <c r="H127" s="1"/>
  <c r="D127"/>
  <c r="I127" s="1"/>
  <c r="I424" s="1"/>
  <c r="C128" l="1"/>
  <c r="H128" s="1"/>
  <c r="B128"/>
  <c r="G128" s="1"/>
  <c r="A129"/>
  <c r="D128"/>
  <c r="I128" s="1"/>
  <c r="I425" s="1"/>
  <c r="E128"/>
  <c r="J128" s="1"/>
  <c r="K423"/>
  <c r="V126"/>
  <c r="V423" s="1"/>
  <c r="J424"/>
  <c r="M127"/>
  <c r="H424"/>
  <c r="L127"/>
  <c r="G424"/>
  <c r="K127"/>
  <c r="O127"/>
  <c r="H425" l="1"/>
  <c r="L128"/>
  <c r="K128"/>
  <c r="G425"/>
  <c r="O128"/>
  <c r="K424"/>
  <c r="V127"/>
  <c r="V424" s="1"/>
  <c r="A130"/>
  <c r="D129"/>
  <c r="I129" s="1"/>
  <c r="I426" s="1"/>
  <c r="C129"/>
  <c r="H129" s="1"/>
  <c r="E129"/>
  <c r="J129" s="1"/>
  <c r="B129"/>
  <c r="G129" s="1"/>
  <c r="J425"/>
  <c r="M128"/>
  <c r="E130" l="1"/>
  <c r="J130" s="1"/>
  <c r="A131"/>
  <c r="D130"/>
  <c r="I130" s="1"/>
  <c r="I427" s="1"/>
  <c r="B130"/>
  <c r="G130" s="1"/>
  <c r="C130"/>
  <c r="H130" s="1"/>
  <c r="H426"/>
  <c r="L129"/>
  <c r="G426"/>
  <c r="K129"/>
  <c r="O129"/>
  <c r="J426"/>
  <c r="K425"/>
  <c r="V128"/>
  <c r="V425" s="1"/>
  <c r="K426" l="1"/>
  <c r="V129"/>
  <c r="V426" s="1"/>
  <c r="H427"/>
  <c r="L130"/>
  <c r="J427"/>
  <c r="M130"/>
  <c r="B131"/>
  <c r="G131" s="1"/>
  <c r="E131"/>
  <c r="J131" s="1"/>
  <c r="C131"/>
  <c r="H131" s="1"/>
  <c r="D131"/>
  <c r="I131" s="1"/>
  <c r="I428" s="1"/>
  <c r="A132"/>
  <c r="G427"/>
  <c r="O130"/>
  <c r="K130"/>
  <c r="J428" l="1"/>
  <c r="M131"/>
  <c r="H428"/>
  <c r="L131"/>
  <c r="K427"/>
  <c r="V130"/>
  <c r="V427" s="1"/>
  <c r="C132"/>
  <c r="H132" s="1"/>
  <c r="B132"/>
  <c r="G132" s="1"/>
  <c r="D132"/>
  <c r="I132" s="1"/>
  <c r="I429" s="1"/>
  <c r="E132"/>
  <c r="J132" s="1"/>
  <c r="A133"/>
  <c r="G428"/>
  <c r="K131"/>
  <c r="O131"/>
  <c r="G429" l="1"/>
  <c r="K132"/>
  <c r="O132"/>
  <c r="A134"/>
  <c r="D133"/>
  <c r="I133" s="1"/>
  <c r="I430" s="1"/>
  <c r="C133"/>
  <c r="H133" s="1"/>
  <c r="E133"/>
  <c r="J133" s="1"/>
  <c r="B133"/>
  <c r="G133" s="1"/>
  <c r="H429"/>
  <c r="L132"/>
  <c r="K428"/>
  <c r="V131"/>
  <c r="V428" s="1"/>
  <c r="J429"/>
  <c r="H430" l="1"/>
  <c r="L133"/>
  <c r="K429"/>
  <c r="V132"/>
  <c r="V429" s="1"/>
  <c r="J430"/>
  <c r="M133"/>
  <c r="G430"/>
  <c r="O133"/>
  <c r="K133"/>
  <c r="E134"/>
  <c r="J134" s="1"/>
  <c r="A135"/>
  <c r="D134"/>
  <c r="I134" s="1"/>
  <c r="I431" s="1"/>
  <c r="B134"/>
  <c r="G134" s="1"/>
  <c r="C134"/>
  <c r="H134" s="1"/>
  <c r="B135" l="1"/>
  <c r="G135" s="1"/>
  <c r="E135"/>
  <c r="J135" s="1"/>
  <c r="C135"/>
  <c r="H135" s="1"/>
  <c r="A136"/>
  <c r="D135"/>
  <c r="I135" s="1"/>
  <c r="I432" s="1"/>
  <c r="G431"/>
  <c r="O134"/>
  <c r="K134"/>
  <c r="K430"/>
  <c r="V133"/>
  <c r="V430" s="1"/>
  <c r="H431"/>
  <c r="L134"/>
  <c r="J431"/>
  <c r="M134"/>
  <c r="K431" l="1"/>
  <c r="V134"/>
  <c r="V431" s="1"/>
  <c r="G432"/>
  <c r="K135"/>
  <c r="O135"/>
  <c r="H432"/>
  <c r="L135"/>
  <c r="J432"/>
  <c r="C136"/>
  <c r="H136" s="1"/>
  <c r="B136"/>
  <c r="G136" s="1"/>
  <c r="A137"/>
  <c r="D136"/>
  <c r="I136" s="1"/>
  <c r="I433" s="1"/>
  <c r="E136"/>
  <c r="J136" s="1"/>
  <c r="G433" l="1"/>
  <c r="K136"/>
  <c r="O136"/>
  <c r="A138"/>
  <c r="D137"/>
  <c r="I137" s="1"/>
  <c r="I434" s="1"/>
  <c r="C137"/>
  <c r="H137" s="1"/>
  <c r="E137"/>
  <c r="J137" s="1"/>
  <c r="B137"/>
  <c r="G137" s="1"/>
  <c r="J433"/>
  <c r="M136"/>
  <c r="H433"/>
  <c r="L136"/>
  <c r="K432"/>
  <c r="V135"/>
  <c r="V432" s="1"/>
  <c r="G434" l="1"/>
  <c r="K137"/>
  <c r="O137"/>
  <c r="E138"/>
  <c r="J138" s="1"/>
  <c r="A139"/>
  <c r="D138"/>
  <c r="I138" s="1"/>
  <c r="I435" s="1"/>
  <c r="B138"/>
  <c r="G138" s="1"/>
  <c r="C138"/>
  <c r="H138" s="1"/>
  <c r="K433"/>
  <c r="V136"/>
  <c r="V433" s="1"/>
  <c r="H434"/>
  <c r="L137"/>
  <c r="J434"/>
  <c r="M137"/>
  <c r="G435" l="1"/>
  <c r="O138"/>
  <c r="K138"/>
  <c r="B139"/>
  <c r="G139" s="1"/>
  <c r="E139"/>
  <c r="J139" s="1"/>
  <c r="C139"/>
  <c r="H139" s="1"/>
  <c r="D139"/>
  <c r="I139" s="1"/>
  <c r="I436" s="1"/>
  <c r="A140"/>
  <c r="K434"/>
  <c r="V137"/>
  <c r="V434" s="1"/>
  <c r="H435"/>
  <c r="L138"/>
  <c r="J435"/>
  <c r="K435" l="1"/>
  <c r="V138"/>
  <c r="V435" s="1"/>
  <c r="C140"/>
  <c r="H140" s="1"/>
  <c r="B140"/>
  <c r="G140" s="1"/>
  <c r="D140"/>
  <c r="I140" s="1"/>
  <c r="I437" s="1"/>
  <c r="E140"/>
  <c r="J140" s="1"/>
  <c r="A141"/>
  <c r="K139"/>
  <c r="O139"/>
  <c r="G436"/>
  <c r="J436"/>
  <c r="M139"/>
  <c r="H436"/>
  <c r="L139"/>
  <c r="K436" l="1"/>
  <c r="V139"/>
  <c r="V436" s="1"/>
  <c r="J437"/>
  <c r="M140"/>
  <c r="G437"/>
  <c r="K140"/>
  <c r="O140"/>
  <c r="A142"/>
  <c r="D141"/>
  <c r="I141" s="1"/>
  <c r="I438" s="1"/>
  <c r="C141"/>
  <c r="H141" s="1"/>
  <c r="E141"/>
  <c r="J141" s="1"/>
  <c r="B141"/>
  <c r="G141" s="1"/>
  <c r="H437"/>
  <c r="L140"/>
  <c r="K437" l="1"/>
  <c r="V140"/>
  <c r="V437" s="1"/>
  <c r="H438"/>
  <c r="L141"/>
  <c r="G438"/>
  <c r="O141"/>
  <c r="K141"/>
  <c r="E142"/>
  <c r="J142" s="1"/>
  <c r="A143"/>
  <c r="D142"/>
  <c r="I142" s="1"/>
  <c r="I439" s="1"/>
  <c r="B142"/>
  <c r="G142" s="1"/>
  <c r="C142"/>
  <c r="H142" s="1"/>
  <c r="J438"/>
  <c r="J439" l="1"/>
  <c r="M142"/>
  <c r="G439"/>
  <c r="O142"/>
  <c r="K142"/>
  <c r="K438"/>
  <c r="V141"/>
  <c r="V438" s="1"/>
  <c r="H439"/>
  <c r="L142"/>
  <c r="B143"/>
  <c r="G143" s="1"/>
  <c r="E143"/>
  <c r="J143" s="1"/>
  <c r="C143"/>
  <c r="H143" s="1"/>
  <c r="A144"/>
  <c r="D143"/>
  <c r="I143" s="1"/>
  <c r="I440" s="1"/>
  <c r="K439" l="1"/>
  <c r="V142"/>
  <c r="V439" s="1"/>
  <c r="G440"/>
  <c r="K143"/>
  <c r="O143"/>
  <c r="H440"/>
  <c r="L143"/>
  <c r="C144"/>
  <c r="H144" s="1"/>
  <c r="B144"/>
  <c r="G144" s="1"/>
  <c r="A145"/>
  <c r="D144"/>
  <c r="I144" s="1"/>
  <c r="I441" s="1"/>
  <c r="E144"/>
  <c r="J144" s="1"/>
  <c r="J440"/>
  <c r="M143"/>
  <c r="A146" l="1"/>
  <c r="D145"/>
  <c r="I145" s="1"/>
  <c r="I442" s="1"/>
  <c r="C145"/>
  <c r="H145" s="1"/>
  <c r="B145"/>
  <c r="G145" s="1"/>
  <c r="E145"/>
  <c r="J145" s="1"/>
  <c r="J441"/>
  <c r="H441"/>
  <c r="L144"/>
  <c r="G441"/>
  <c r="K144"/>
  <c r="O144"/>
  <c r="K440"/>
  <c r="V143"/>
  <c r="V440" s="1"/>
  <c r="E146" l="1"/>
  <c r="J146" s="1"/>
  <c r="A147"/>
  <c r="D146"/>
  <c r="I146" s="1"/>
  <c r="I443" s="1"/>
  <c r="B146"/>
  <c r="G146" s="1"/>
  <c r="C146"/>
  <c r="H146" s="1"/>
  <c r="L145"/>
  <c r="H442"/>
  <c r="K441"/>
  <c r="V144"/>
  <c r="V441" s="1"/>
  <c r="J442"/>
  <c r="M145"/>
  <c r="G442"/>
  <c r="O145"/>
  <c r="K145"/>
  <c r="H443" l="1"/>
  <c r="L146"/>
  <c r="J443"/>
  <c r="M146"/>
  <c r="B147"/>
  <c r="G147" s="1"/>
  <c r="E147"/>
  <c r="J147" s="1"/>
  <c r="C147"/>
  <c r="H147" s="1"/>
  <c r="D147"/>
  <c r="I147" s="1"/>
  <c r="I444" s="1"/>
  <c r="A148"/>
  <c r="K442"/>
  <c r="V145"/>
  <c r="V442" s="1"/>
  <c r="G443"/>
  <c r="O146"/>
  <c r="K146"/>
  <c r="C148" l="1"/>
  <c r="H148" s="1"/>
  <c r="B148"/>
  <c r="G148" s="1"/>
  <c r="D148"/>
  <c r="I148" s="1"/>
  <c r="I445" s="1"/>
  <c r="E148"/>
  <c r="J148" s="1"/>
  <c r="A149"/>
  <c r="G444"/>
  <c r="K147"/>
  <c r="O147"/>
  <c r="H444"/>
  <c r="L147"/>
  <c r="K443"/>
  <c r="V146"/>
  <c r="V443" s="1"/>
  <c r="J444"/>
  <c r="H445" l="1"/>
  <c r="L148"/>
  <c r="J445"/>
  <c r="M148"/>
  <c r="A150"/>
  <c r="D149"/>
  <c r="I149" s="1"/>
  <c r="I446" s="1"/>
  <c r="C149"/>
  <c r="H149" s="1"/>
  <c r="E149"/>
  <c r="J149" s="1"/>
  <c r="B149"/>
  <c r="G149" s="1"/>
  <c r="K148"/>
  <c r="O148"/>
  <c r="G445"/>
  <c r="K444"/>
  <c r="V147"/>
  <c r="V444" s="1"/>
  <c r="H446" l="1"/>
  <c r="L149"/>
  <c r="J446"/>
  <c r="M149"/>
  <c r="G446"/>
  <c r="O149"/>
  <c r="K149"/>
  <c r="E150"/>
  <c r="J150" s="1"/>
  <c r="A151"/>
  <c r="D150"/>
  <c r="I150" s="1"/>
  <c r="I447" s="1"/>
  <c r="B150"/>
  <c r="G150" s="1"/>
  <c r="C150"/>
  <c r="H150" s="1"/>
  <c r="K445"/>
  <c r="V148"/>
  <c r="V445" s="1"/>
  <c r="H447" l="1"/>
  <c r="L150"/>
  <c r="J447"/>
  <c r="B151"/>
  <c r="G151" s="1"/>
  <c r="E151"/>
  <c r="J151" s="1"/>
  <c r="C151"/>
  <c r="H151" s="1"/>
  <c r="A152"/>
  <c r="D151"/>
  <c r="I151" s="1"/>
  <c r="I448" s="1"/>
  <c r="G447"/>
  <c r="O150"/>
  <c r="K150"/>
  <c r="K446"/>
  <c r="V149"/>
  <c r="V446" s="1"/>
  <c r="K447" l="1"/>
  <c r="V150"/>
  <c r="V447" s="1"/>
  <c r="C152"/>
  <c r="H152" s="1"/>
  <c r="B152"/>
  <c r="G152" s="1"/>
  <c r="A153"/>
  <c r="D152"/>
  <c r="I152" s="1"/>
  <c r="I449" s="1"/>
  <c r="E152"/>
  <c r="J152" s="1"/>
  <c r="G448"/>
  <c r="K151"/>
  <c r="O151"/>
  <c r="H448"/>
  <c r="L151"/>
  <c r="J448"/>
  <c r="M151"/>
  <c r="K448" l="1"/>
  <c r="V151"/>
  <c r="V448" s="1"/>
  <c r="A154"/>
  <c r="D153"/>
  <c r="I153" s="1"/>
  <c r="I450" s="1"/>
  <c r="C153"/>
  <c r="H153" s="1"/>
  <c r="B153"/>
  <c r="G153" s="1"/>
  <c r="E153"/>
  <c r="J153" s="1"/>
  <c r="J449"/>
  <c r="M152"/>
  <c r="H449"/>
  <c r="L152"/>
  <c r="G449"/>
  <c r="K152"/>
  <c r="O152"/>
  <c r="G450" l="1"/>
  <c r="O153"/>
  <c r="K153"/>
  <c r="K449"/>
  <c r="V152"/>
  <c r="V449" s="1"/>
  <c r="J450"/>
  <c r="H450"/>
  <c r="L153"/>
  <c r="E154"/>
  <c r="J154" s="1"/>
  <c r="A155"/>
  <c r="D154"/>
  <c r="I154" s="1"/>
  <c r="I451" s="1"/>
  <c r="B154"/>
  <c r="G154" s="1"/>
  <c r="C154"/>
  <c r="H154" s="1"/>
  <c r="G451" l="1"/>
  <c r="O154"/>
  <c r="K154"/>
  <c r="H451"/>
  <c r="L154"/>
  <c r="K450"/>
  <c r="V153"/>
  <c r="V450" s="1"/>
  <c r="J451"/>
  <c r="M154"/>
  <c r="B155"/>
  <c r="G155" s="1"/>
  <c r="E155"/>
  <c r="J155" s="1"/>
  <c r="C155"/>
  <c r="H155" s="1"/>
  <c r="D155"/>
  <c r="I155" s="1"/>
  <c r="I452" s="1"/>
  <c r="A156"/>
  <c r="K451" l="1"/>
  <c r="V154"/>
  <c r="V451" s="1"/>
  <c r="J452"/>
  <c r="M155"/>
  <c r="H452"/>
  <c r="L155"/>
  <c r="C156"/>
  <c r="H156" s="1"/>
  <c r="B156"/>
  <c r="G156" s="1"/>
  <c r="D156"/>
  <c r="I156" s="1"/>
  <c r="I453" s="1"/>
  <c r="A157"/>
  <c r="E156"/>
  <c r="J156" s="1"/>
  <c r="G452"/>
  <c r="K155"/>
  <c r="O155"/>
  <c r="K452" l="1"/>
  <c r="V155"/>
  <c r="V452" s="1"/>
  <c r="J453"/>
  <c r="L156"/>
  <c r="H453"/>
  <c r="G453"/>
  <c r="K156"/>
  <c r="O156"/>
  <c r="A158"/>
  <c r="D157"/>
  <c r="I157" s="1"/>
  <c r="I454" s="1"/>
  <c r="C157"/>
  <c r="H157" s="1"/>
  <c r="E157"/>
  <c r="J157" s="1"/>
  <c r="B157"/>
  <c r="G157" s="1"/>
  <c r="K453" l="1"/>
  <c r="V156"/>
  <c r="V453" s="1"/>
  <c r="J454"/>
  <c r="M157"/>
  <c r="H454"/>
  <c r="L157"/>
  <c r="G454"/>
  <c r="O157"/>
  <c r="K157"/>
  <c r="E158"/>
  <c r="J158" s="1"/>
  <c r="A159"/>
  <c r="D158"/>
  <c r="I158" s="1"/>
  <c r="I455" s="1"/>
  <c r="B158"/>
  <c r="G158" s="1"/>
  <c r="C158"/>
  <c r="H158" s="1"/>
  <c r="G455" l="1"/>
  <c r="O158"/>
  <c r="K158"/>
  <c r="B159"/>
  <c r="G159" s="1"/>
  <c r="E159"/>
  <c r="J159" s="1"/>
  <c r="C159"/>
  <c r="H159" s="1"/>
  <c r="A160"/>
  <c r="D159"/>
  <c r="I159" s="1"/>
  <c r="I456" s="1"/>
  <c r="K454"/>
  <c r="V157"/>
  <c r="V454" s="1"/>
  <c r="H455"/>
  <c r="L158"/>
  <c r="J455"/>
  <c r="M158"/>
  <c r="H456" l="1"/>
  <c r="L159"/>
  <c r="C160"/>
  <c r="H160" s="1"/>
  <c r="B160"/>
  <c r="G160" s="1"/>
  <c r="A161"/>
  <c r="D160"/>
  <c r="I160" s="1"/>
  <c r="I457" s="1"/>
  <c r="E160"/>
  <c r="J160" s="1"/>
  <c r="J456"/>
  <c r="K455"/>
  <c r="V158"/>
  <c r="V455" s="1"/>
  <c r="G456"/>
  <c r="K159"/>
  <c r="O159"/>
  <c r="A162" l="1"/>
  <c r="D161"/>
  <c r="I161" s="1"/>
  <c r="I458" s="1"/>
  <c r="C161"/>
  <c r="H161" s="1"/>
  <c r="E161"/>
  <c r="J161" s="1"/>
  <c r="B161"/>
  <c r="G161" s="1"/>
  <c r="K456"/>
  <c r="V159"/>
  <c r="V456" s="1"/>
  <c r="G457"/>
  <c r="K160"/>
  <c r="O160"/>
  <c r="J457"/>
  <c r="M160"/>
  <c r="H457"/>
  <c r="L160"/>
  <c r="G458" l="1"/>
  <c r="K161"/>
  <c r="O161"/>
  <c r="H458"/>
  <c r="L161"/>
  <c r="K457"/>
  <c r="V160"/>
  <c r="V457" s="1"/>
  <c r="E162"/>
  <c r="J162" s="1"/>
  <c r="A163"/>
  <c r="D162"/>
  <c r="I162" s="1"/>
  <c r="I459" s="1"/>
  <c r="B162"/>
  <c r="G162" s="1"/>
  <c r="C162"/>
  <c r="H162" s="1"/>
  <c r="J458"/>
  <c r="M161"/>
  <c r="B163" l="1"/>
  <c r="G163" s="1"/>
  <c r="E163"/>
  <c r="J163" s="1"/>
  <c r="C163"/>
  <c r="H163" s="1"/>
  <c r="D163"/>
  <c r="I163" s="1"/>
  <c r="I460" s="1"/>
  <c r="A164"/>
  <c r="K458"/>
  <c r="V161"/>
  <c r="V458" s="1"/>
  <c r="H459"/>
  <c r="L162"/>
  <c r="J459"/>
  <c r="G459"/>
  <c r="O162"/>
  <c r="K162"/>
  <c r="C164" l="1"/>
  <c r="H164" s="1"/>
  <c r="B164"/>
  <c r="G164" s="1"/>
  <c r="D164"/>
  <c r="I164" s="1"/>
  <c r="I461" s="1"/>
  <c r="E164"/>
  <c r="J164" s="1"/>
  <c r="A165"/>
  <c r="J460"/>
  <c r="M163"/>
  <c r="H460"/>
  <c r="L163"/>
  <c r="G460"/>
  <c r="K163"/>
  <c r="O163"/>
  <c r="K459"/>
  <c r="V162"/>
  <c r="V459" s="1"/>
  <c r="K460" l="1"/>
  <c r="V163"/>
  <c r="V460" s="1"/>
  <c r="A166"/>
  <c r="D165"/>
  <c r="I165" s="1"/>
  <c r="I462" s="1"/>
  <c r="C165"/>
  <c r="H165" s="1"/>
  <c r="E165"/>
  <c r="J165" s="1"/>
  <c r="B165"/>
  <c r="G165" s="1"/>
  <c r="H461"/>
  <c r="L164"/>
  <c r="G461"/>
  <c r="K164"/>
  <c r="O164"/>
  <c r="J461"/>
  <c r="M164"/>
  <c r="J462" l="1"/>
  <c r="K461"/>
  <c r="V164"/>
  <c r="V461" s="1"/>
  <c r="H462"/>
  <c r="L165"/>
  <c r="G462"/>
  <c r="O165"/>
  <c r="K165"/>
  <c r="E166"/>
  <c r="J166" s="1"/>
  <c r="A167"/>
  <c r="D166"/>
  <c r="I166" s="1"/>
  <c r="I463" s="1"/>
  <c r="B166"/>
  <c r="G166" s="1"/>
  <c r="C166"/>
  <c r="H166" s="1"/>
  <c r="G463" l="1"/>
  <c r="O166"/>
  <c r="K166"/>
  <c r="B167"/>
  <c r="G167" s="1"/>
  <c r="E167"/>
  <c r="J167" s="1"/>
  <c r="A168"/>
  <c r="C167"/>
  <c r="H167" s="1"/>
  <c r="D167"/>
  <c r="I167" s="1"/>
  <c r="I464" s="1"/>
  <c r="K462"/>
  <c r="V165"/>
  <c r="V462" s="1"/>
  <c r="H463"/>
  <c r="L166"/>
  <c r="J463"/>
  <c r="M166"/>
  <c r="G464" l="1"/>
  <c r="K167"/>
  <c r="O167"/>
  <c r="C168"/>
  <c r="H168" s="1"/>
  <c r="B168"/>
  <c r="G168" s="1"/>
  <c r="A169"/>
  <c r="D168"/>
  <c r="I168" s="1"/>
  <c r="I465" s="1"/>
  <c r="E168"/>
  <c r="J168" s="1"/>
  <c r="J464"/>
  <c r="M167"/>
  <c r="H464"/>
  <c r="L167"/>
  <c r="K463"/>
  <c r="V166"/>
  <c r="V463" s="1"/>
  <c r="G465" l="1"/>
  <c r="K168"/>
  <c r="O168"/>
  <c r="K464"/>
  <c r="V167"/>
  <c r="V464" s="1"/>
  <c r="C169"/>
  <c r="H169" s="1"/>
  <c r="B169"/>
  <c r="G169" s="1"/>
  <c r="A170"/>
  <c r="E169"/>
  <c r="J169" s="1"/>
  <c r="D169"/>
  <c r="I169" s="1"/>
  <c r="I466" s="1"/>
  <c r="J465"/>
  <c r="H465"/>
  <c r="L168"/>
  <c r="J466" l="1"/>
  <c r="M169"/>
  <c r="H466"/>
  <c r="L169"/>
  <c r="A171"/>
  <c r="D170"/>
  <c r="I170" s="1"/>
  <c r="I467" s="1"/>
  <c r="C170"/>
  <c r="H170" s="1"/>
  <c r="B170"/>
  <c r="G170" s="1"/>
  <c r="E170"/>
  <c r="J170" s="1"/>
  <c r="K465"/>
  <c r="V168"/>
  <c r="V465" s="1"/>
  <c r="G466"/>
  <c r="K169"/>
  <c r="O169"/>
  <c r="G467" l="1"/>
  <c r="K170"/>
  <c r="O170"/>
  <c r="J467"/>
  <c r="M170"/>
  <c r="E171"/>
  <c r="J171" s="1"/>
  <c r="A172"/>
  <c r="D171"/>
  <c r="I171" s="1"/>
  <c r="I468" s="1"/>
  <c r="B171"/>
  <c r="G171" s="1"/>
  <c r="C171"/>
  <c r="H171" s="1"/>
  <c r="K466"/>
  <c r="V169"/>
  <c r="V466" s="1"/>
  <c r="H467"/>
  <c r="L170"/>
  <c r="J468" l="1"/>
  <c r="B172"/>
  <c r="G172" s="1"/>
  <c r="E172"/>
  <c r="J172" s="1"/>
  <c r="C172"/>
  <c r="H172" s="1"/>
  <c r="A173"/>
  <c r="D172"/>
  <c r="I172" s="1"/>
  <c r="I469" s="1"/>
  <c r="O171"/>
  <c r="G468"/>
  <c r="K171"/>
  <c r="H468"/>
  <c r="L171"/>
  <c r="K467"/>
  <c r="V170"/>
  <c r="V467" s="1"/>
  <c r="K468" l="1"/>
  <c r="V171"/>
  <c r="V468" s="1"/>
  <c r="C173"/>
  <c r="H173" s="1"/>
  <c r="B173"/>
  <c r="G173" s="1"/>
  <c r="D173"/>
  <c r="I173" s="1"/>
  <c r="I470" s="1"/>
  <c r="E173"/>
  <c r="J173" s="1"/>
  <c r="A174"/>
  <c r="H469"/>
  <c r="L172"/>
  <c r="G469"/>
  <c r="K172"/>
  <c r="O172"/>
  <c r="J469"/>
  <c r="M172"/>
  <c r="A175" l="1"/>
  <c r="D174"/>
  <c r="I174" s="1"/>
  <c r="I471" s="1"/>
  <c r="C174"/>
  <c r="H174" s="1"/>
  <c r="E174"/>
  <c r="J174" s="1"/>
  <c r="B174"/>
  <c r="G174" s="1"/>
  <c r="H470"/>
  <c r="L173"/>
  <c r="J470"/>
  <c r="M173"/>
  <c r="K469"/>
  <c r="V172"/>
  <c r="V469" s="1"/>
  <c r="G470"/>
  <c r="K173"/>
  <c r="O173"/>
  <c r="G471" l="1"/>
  <c r="O174"/>
  <c r="K174"/>
  <c r="E175"/>
  <c r="J175" s="1"/>
  <c r="A176"/>
  <c r="D175"/>
  <c r="I175" s="1"/>
  <c r="I472" s="1"/>
  <c r="C175"/>
  <c r="H175" s="1"/>
  <c r="B175"/>
  <c r="G175" s="1"/>
  <c r="J471"/>
  <c r="K470"/>
  <c r="V173"/>
  <c r="V470" s="1"/>
  <c r="H471"/>
  <c r="L174"/>
  <c r="H472" l="1"/>
  <c r="L175"/>
  <c r="B176"/>
  <c r="G176" s="1"/>
  <c r="E176"/>
  <c r="J176" s="1"/>
  <c r="D176"/>
  <c r="I176" s="1"/>
  <c r="I473" s="1"/>
  <c r="A177"/>
  <c r="C176"/>
  <c r="H176" s="1"/>
  <c r="K471"/>
  <c r="V174"/>
  <c r="V471" s="1"/>
  <c r="G472"/>
  <c r="O175"/>
  <c r="K175"/>
  <c r="J472"/>
  <c r="M175"/>
  <c r="H473" l="1"/>
  <c r="L176"/>
  <c r="K472"/>
  <c r="V175"/>
  <c r="V472" s="1"/>
  <c r="J473"/>
  <c r="M176"/>
  <c r="G473"/>
  <c r="K176"/>
  <c r="O176"/>
  <c r="C177"/>
  <c r="H177" s="1"/>
  <c r="B177"/>
  <c r="G177" s="1"/>
  <c r="A178"/>
  <c r="E177"/>
  <c r="J177" s="1"/>
  <c r="D177"/>
  <c r="I177" s="1"/>
  <c r="I474" s="1"/>
  <c r="A179" l="1"/>
  <c r="D178"/>
  <c r="I178" s="1"/>
  <c r="I475" s="1"/>
  <c r="C178"/>
  <c r="H178" s="1"/>
  <c r="B178"/>
  <c r="G178" s="1"/>
  <c r="E178"/>
  <c r="J178" s="1"/>
  <c r="J474"/>
  <c r="G474"/>
  <c r="K177"/>
  <c r="O177"/>
  <c r="K473"/>
  <c r="V176"/>
  <c r="V473" s="1"/>
  <c r="L177"/>
  <c r="H474"/>
  <c r="J475" l="1"/>
  <c r="M178"/>
  <c r="E179"/>
  <c r="J179" s="1"/>
  <c r="A180"/>
  <c r="D179"/>
  <c r="I179" s="1"/>
  <c r="I476" s="1"/>
  <c r="B179"/>
  <c r="G179" s="1"/>
  <c r="C179"/>
  <c r="H179" s="1"/>
  <c r="K474"/>
  <c r="V177"/>
  <c r="V474" s="1"/>
  <c r="H475"/>
  <c r="L178"/>
  <c r="G475"/>
  <c r="K178"/>
  <c r="O178"/>
  <c r="G476" l="1"/>
  <c r="O179"/>
  <c r="K179"/>
  <c r="K475"/>
  <c r="V178"/>
  <c r="V475" s="1"/>
  <c r="H476"/>
  <c r="L179"/>
  <c r="J476"/>
  <c r="M179"/>
  <c r="B180"/>
  <c r="G180" s="1"/>
  <c r="E180"/>
  <c r="J180" s="1"/>
  <c r="C180"/>
  <c r="H180" s="1"/>
  <c r="A181"/>
  <c r="D180"/>
  <c r="I180" s="1"/>
  <c r="I477" s="1"/>
  <c r="A12" i="34"/>
  <c r="A13" s="1"/>
  <c r="D12" l="1"/>
  <c r="H12" s="1"/>
  <c r="C12"/>
  <c r="G12" s="1"/>
  <c r="G174" s="1"/>
  <c r="J477" i="35"/>
  <c r="H477"/>
  <c r="L180"/>
  <c r="A14" i="34"/>
  <c r="D13"/>
  <c r="H13" s="1"/>
  <c r="E13"/>
  <c r="I13" s="1"/>
  <c r="B13"/>
  <c r="F13" s="1"/>
  <c r="C13"/>
  <c r="G13" s="1"/>
  <c r="C181" i="35"/>
  <c r="H181" s="1"/>
  <c r="B181"/>
  <c r="G181" s="1"/>
  <c r="D181"/>
  <c r="I181" s="1"/>
  <c r="I478" s="1"/>
  <c r="E181"/>
  <c r="J181" s="1"/>
  <c r="A182"/>
  <c r="K476"/>
  <c r="V179"/>
  <c r="V476" s="1"/>
  <c r="E12" i="34"/>
  <c r="I12" s="1"/>
  <c r="K180" i="35"/>
  <c r="O180"/>
  <c r="G477"/>
  <c r="E11" i="34"/>
  <c r="I11" s="1"/>
  <c r="D11"/>
  <c r="H11" s="1"/>
  <c r="C11"/>
  <c r="G11" s="1"/>
  <c r="S10"/>
  <c r="R10"/>
  <c r="Q10"/>
  <c r="B9"/>
  <c r="B12" s="1"/>
  <c r="F12" s="1"/>
  <c r="H59" i="33"/>
  <c r="H58"/>
  <c r="H57"/>
  <c r="H56"/>
  <c r="H55"/>
  <c r="H54"/>
  <c r="H53"/>
  <c r="H52"/>
  <c r="H51"/>
  <c r="H50"/>
  <c r="H49"/>
  <c r="H48"/>
  <c r="H47"/>
  <c r="H46"/>
  <c r="H45"/>
  <c r="H44"/>
  <c r="H43"/>
  <c r="H42"/>
  <c r="H41"/>
  <c r="H40"/>
  <c r="H39"/>
  <c r="H38"/>
  <c r="E38"/>
  <c r="E41" s="1"/>
  <c r="H37"/>
  <c r="D37"/>
  <c r="H36"/>
  <c r="H35"/>
  <c r="F35"/>
  <c r="E35"/>
  <c r="H34"/>
  <c r="E34"/>
  <c r="E37" s="1"/>
  <c r="D34"/>
  <c r="O34" s="1"/>
  <c r="H33"/>
  <c r="D33"/>
  <c r="H32"/>
  <c r="F32"/>
  <c r="E32"/>
  <c r="D32"/>
  <c r="D35" s="1"/>
  <c r="H31"/>
  <c r="F31"/>
  <c r="E31"/>
  <c r="D31"/>
  <c r="O31" s="1"/>
  <c r="H30"/>
  <c r="E30"/>
  <c r="E33" s="1"/>
  <c r="D30"/>
  <c r="O30" s="1"/>
  <c r="H29"/>
  <c r="F29"/>
  <c r="H28"/>
  <c r="F28"/>
  <c r="H27"/>
  <c r="F27"/>
  <c r="B22"/>
  <c r="O21"/>
  <c r="B21"/>
  <c r="O20"/>
  <c r="B20"/>
  <c r="B19"/>
  <c r="O18"/>
  <c r="B18"/>
  <c r="O17"/>
  <c r="B17"/>
  <c r="B16"/>
  <c r="O15"/>
  <c r="B15"/>
  <c r="O14"/>
  <c r="B14"/>
  <c r="B13"/>
  <c r="O12"/>
  <c r="B12"/>
  <c r="O11"/>
  <c r="B11"/>
  <c r="F10"/>
  <c r="E10"/>
  <c r="E13" s="1"/>
  <c r="B10"/>
  <c r="O9"/>
  <c r="F9"/>
  <c r="E9"/>
  <c r="E12" s="1"/>
  <c r="B9"/>
  <c r="O8"/>
  <c r="F8"/>
  <c r="E8"/>
  <c r="E11" s="1"/>
  <c r="B8"/>
  <c r="G7"/>
  <c r="F7"/>
  <c r="B7"/>
  <c r="F6"/>
  <c r="B6"/>
  <c r="F5"/>
  <c r="B5"/>
  <c r="E51" i="32"/>
  <c r="D51"/>
  <c r="C51"/>
  <c r="B51"/>
  <c r="A29"/>
  <c r="A30" s="1"/>
  <c r="A31" s="1"/>
  <c r="A32" s="1"/>
  <c r="A33" s="1"/>
  <c r="A34" s="1"/>
  <c r="A35" s="1"/>
  <c r="A36" s="1"/>
  <c r="A37" s="1"/>
  <c r="A38" s="1"/>
  <c r="A39" s="1"/>
  <c r="A40" s="1"/>
  <c r="A41" s="1"/>
  <c r="A42" s="1"/>
  <c r="A43" s="1"/>
  <c r="A44" s="1"/>
  <c r="A45" s="1"/>
  <c r="A46" s="1"/>
  <c r="A47" s="1"/>
  <c r="B15"/>
  <c r="B14"/>
  <c r="B13"/>
  <c r="G11" i="31"/>
  <c r="F11"/>
  <c r="E11"/>
  <c r="D11"/>
  <c r="C11"/>
  <c r="C33" i="30"/>
  <c r="B7" s="1"/>
  <c r="B33"/>
  <c r="B34" s="1"/>
  <c r="C34" s="1"/>
  <c r="B8" s="1"/>
  <c r="C32"/>
  <c r="C31"/>
  <c r="B26"/>
  <c r="B22"/>
  <c r="B17"/>
  <c r="B15"/>
  <c r="C6" s="1"/>
  <c r="B6"/>
  <c r="D6" s="1"/>
  <c r="B5"/>
  <c r="D5" s="1"/>
  <c r="H9" i="29"/>
  <c r="G9"/>
  <c r="H8"/>
  <c r="E8"/>
  <c r="O22" i="33" s="1"/>
  <c r="H7" i="29"/>
  <c r="G7"/>
  <c r="E7"/>
  <c r="O28" i="33" s="1"/>
  <c r="H6" i="29"/>
  <c r="G6"/>
  <c r="E6"/>
  <c r="O5" i="33" s="1"/>
  <c r="H5" i="29"/>
  <c r="G5"/>
  <c r="D5"/>
  <c r="H4"/>
  <c r="G4"/>
  <c r="H6" i="33" s="1"/>
  <c r="C6" s="1"/>
  <c r="G8" i="28"/>
  <c r="F8"/>
  <c r="E8"/>
  <c r="F117" i="27" s="1"/>
  <c r="D8" i="28"/>
  <c r="E117" i="27" s="1"/>
  <c r="C8" i="28"/>
  <c r="F6"/>
  <c r="G115" i="27" s="1"/>
  <c r="E6" i="28"/>
  <c r="F115" i="27" s="1"/>
  <c r="C6" i="28"/>
  <c r="C7" s="1"/>
  <c r="G5"/>
  <c r="G7" s="1"/>
  <c r="F5"/>
  <c r="G114" i="27" s="1"/>
  <c r="E5" i="28"/>
  <c r="D5"/>
  <c r="D7" s="1"/>
  <c r="C5"/>
  <c r="C124" i="27"/>
  <c r="C123"/>
  <c r="C122"/>
  <c r="C119"/>
  <c r="I118"/>
  <c r="C118"/>
  <c r="H117"/>
  <c r="G117"/>
  <c r="D117"/>
  <c r="C117"/>
  <c r="C116"/>
  <c r="H115"/>
  <c r="E115"/>
  <c r="D115"/>
  <c r="C115"/>
  <c r="H114"/>
  <c r="F114"/>
  <c r="E114"/>
  <c r="D114"/>
  <c r="C114"/>
  <c r="H113"/>
  <c r="G113"/>
  <c r="F113"/>
  <c r="E113"/>
  <c r="D113"/>
  <c r="C113"/>
  <c r="H112"/>
  <c r="G112"/>
  <c r="F112"/>
  <c r="E112"/>
  <c r="D112"/>
  <c r="C112"/>
  <c r="H111"/>
  <c r="G111"/>
  <c r="F111"/>
  <c r="E111"/>
  <c r="D111"/>
  <c r="J100"/>
  <c r="B46" i="25" s="1"/>
  <c r="B47" s="1"/>
  <c r="G100" i="27"/>
  <c r="D34" s="1"/>
  <c r="F100"/>
  <c r="E100"/>
  <c r="D100"/>
  <c r="I100" s="1"/>
  <c r="I99"/>
  <c r="G99"/>
  <c r="H99" s="1"/>
  <c r="F99"/>
  <c r="I98"/>
  <c r="G98"/>
  <c r="H98" s="1"/>
  <c r="F98"/>
  <c r="E91"/>
  <c r="D91"/>
  <c r="F90"/>
  <c r="F92" s="1"/>
  <c r="E90"/>
  <c r="D88"/>
  <c r="G87"/>
  <c r="F87"/>
  <c r="E87"/>
  <c r="D87"/>
  <c r="D89" s="1"/>
  <c r="G81"/>
  <c r="G91" s="1"/>
  <c r="F81"/>
  <c r="F91" s="1"/>
  <c r="E81"/>
  <c r="D81"/>
  <c r="G80"/>
  <c r="G88" s="1"/>
  <c r="G89" s="1"/>
  <c r="F80"/>
  <c r="F88" s="1"/>
  <c r="F89" s="1"/>
  <c r="E80"/>
  <c r="E88" s="1"/>
  <c r="D80"/>
  <c r="H80" s="1"/>
  <c r="H88" s="1"/>
  <c r="H79"/>
  <c r="H76"/>
  <c r="H70"/>
  <c r="H90" s="1"/>
  <c r="G70"/>
  <c r="G90" s="1"/>
  <c r="G92" s="1"/>
  <c r="F70"/>
  <c r="E70"/>
  <c r="D70"/>
  <c r="D90" s="1"/>
  <c r="H69"/>
  <c r="H87" s="1"/>
  <c r="H89" s="1"/>
  <c r="H68"/>
  <c r="D59"/>
  <c r="D33"/>
  <c r="D32"/>
  <c r="D35" s="1"/>
  <c r="D8" s="1"/>
  <c r="D27"/>
  <c r="D29" s="1"/>
  <c r="D7" s="1"/>
  <c r="D17"/>
  <c r="E15"/>
  <c r="D15"/>
  <c r="D5"/>
  <c r="G5" i="33" s="1"/>
  <c r="A6" i="26"/>
  <c r="A5"/>
  <c r="A4"/>
  <c r="A3"/>
  <c r="B2"/>
  <c r="B52" i="25"/>
  <c r="B53" s="1"/>
  <c r="B51"/>
  <c r="B38"/>
  <c r="I7" s="1"/>
  <c r="B35"/>
  <c r="B31"/>
  <c r="B27"/>
  <c r="I3" s="1"/>
  <c r="D12"/>
  <c r="A12"/>
  <c r="H11"/>
  <c r="H12" s="1"/>
  <c r="D11"/>
  <c r="A11"/>
  <c r="B11" i="24" s="1"/>
  <c r="D10" i="25"/>
  <c r="A10"/>
  <c r="H9"/>
  <c r="H10" s="1"/>
  <c r="D9"/>
  <c r="A9"/>
  <c r="D8"/>
  <c r="A8"/>
  <c r="H7"/>
  <c r="H8" s="1"/>
  <c r="D7"/>
  <c r="A7"/>
  <c r="B7" i="24" s="1"/>
  <c r="D6" i="25"/>
  <c r="A6"/>
  <c r="H5"/>
  <c r="H6" s="1"/>
  <c r="D5"/>
  <c r="A5"/>
  <c r="D4"/>
  <c r="A4"/>
  <c r="H3"/>
  <c r="H4" s="1"/>
  <c r="D3"/>
  <c r="C3"/>
  <c r="C4" s="1"/>
  <c r="A3"/>
  <c r="B3" i="24" s="1"/>
  <c r="M12"/>
  <c r="H12"/>
  <c r="B12"/>
  <c r="M11"/>
  <c r="H11"/>
  <c r="M10"/>
  <c r="H10"/>
  <c r="B10"/>
  <c r="M9"/>
  <c r="H9"/>
  <c r="B9"/>
  <c r="M8"/>
  <c r="H8"/>
  <c r="B8"/>
  <c r="M7"/>
  <c r="H7"/>
  <c r="M6"/>
  <c r="H6"/>
  <c r="B6"/>
  <c r="M5"/>
  <c r="H5"/>
  <c r="B5"/>
  <c r="M4"/>
  <c r="H4"/>
  <c r="B4"/>
  <c r="M3"/>
  <c r="H3"/>
  <c r="P331" i="23"/>
  <c r="O331"/>
  <c r="N331"/>
  <c r="M331"/>
  <c r="L331"/>
  <c r="K331"/>
  <c r="J331"/>
  <c r="I331"/>
  <c r="H331"/>
  <c r="G331"/>
  <c r="F331"/>
  <c r="E331"/>
  <c r="D331"/>
  <c r="B331"/>
  <c r="P330"/>
  <c r="O330"/>
  <c r="N330"/>
  <c r="M330"/>
  <c r="L330"/>
  <c r="K330"/>
  <c r="J330"/>
  <c r="I330"/>
  <c r="H330"/>
  <c r="G330"/>
  <c r="F330"/>
  <c r="E330"/>
  <c r="D330"/>
  <c r="B330"/>
  <c r="P329"/>
  <c r="O329"/>
  <c r="N329"/>
  <c r="M329"/>
  <c r="L329"/>
  <c r="K329"/>
  <c r="J329"/>
  <c r="I329"/>
  <c r="H329"/>
  <c r="G329"/>
  <c r="F329"/>
  <c r="E329"/>
  <c r="D329"/>
  <c r="B329"/>
  <c r="P328"/>
  <c r="O328"/>
  <c r="N328"/>
  <c r="M328"/>
  <c r="L328"/>
  <c r="K328"/>
  <c r="J328"/>
  <c r="I328"/>
  <c r="H328"/>
  <c r="G328"/>
  <c r="F328"/>
  <c r="E328"/>
  <c r="D328"/>
  <c r="B328"/>
  <c r="P327"/>
  <c r="O327"/>
  <c r="N327"/>
  <c r="M327"/>
  <c r="L327"/>
  <c r="K327"/>
  <c r="J327"/>
  <c r="I327"/>
  <c r="H327"/>
  <c r="G327"/>
  <c r="F327"/>
  <c r="E327"/>
  <c r="D327"/>
  <c r="B327"/>
  <c r="P326"/>
  <c r="O326"/>
  <c r="N326"/>
  <c r="M326"/>
  <c r="L326"/>
  <c r="K326"/>
  <c r="J326"/>
  <c r="I326"/>
  <c r="H326"/>
  <c r="G326"/>
  <c r="F326"/>
  <c r="E326"/>
  <c r="D326"/>
  <c r="B326"/>
  <c r="P325"/>
  <c r="O325"/>
  <c r="N325"/>
  <c r="M325"/>
  <c r="L325"/>
  <c r="K325"/>
  <c r="J325"/>
  <c r="I325"/>
  <c r="H325"/>
  <c r="G325"/>
  <c r="F325"/>
  <c r="E325"/>
  <c r="D325"/>
  <c r="B325"/>
  <c r="P324"/>
  <c r="O324"/>
  <c r="N324"/>
  <c r="M324"/>
  <c r="L324"/>
  <c r="K324"/>
  <c r="J324"/>
  <c r="I324"/>
  <c r="H324"/>
  <c r="G324"/>
  <c r="F324"/>
  <c r="E324"/>
  <c r="D324"/>
  <c r="B324"/>
  <c r="P323"/>
  <c r="O323"/>
  <c r="N323"/>
  <c r="M323"/>
  <c r="L323"/>
  <c r="K323"/>
  <c r="J323"/>
  <c r="I323"/>
  <c r="H323"/>
  <c r="G323"/>
  <c r="F323"/>
  <c r="E323"/>
  <c r="D323"/>
  <c r="B323"/>
  <c r="P322"/>
  <c r="O322"/>
  <c r="N322"/>
  <c r="M322"/>
  <c r="L322"/>
  <c r="K322"/>
  <c r="J322"/>
  <c r="I322"/>
  <c r="H322"/>
  <c r="G322"/>
  <c r="F322"/>
  <c r="E322"/>
  <c r="D322"/>
  <c r="B322"/>
  <c r="P321"/>
  <c r="O321"/>
  <c r="N321"/>
  <c r="M321"/>
  <c r="L321"/>
  <c r="K321"/>
  <c r="J321"/>
  <c r="I321"/>
  <c r="H321"/>
  <c r="G321"/>
  <c r="F321"/>
  <c r="E321"/>
  <c r="D321"/>
  <c r="B321"/>
  <c r="P320"/>
  <c r="O320"/>
  <c r="N320"/>
  <c r="M320"/>
  <c r="L320"/>
  <c r="K320"/>
  <c r="J320"/>
  <c r="I320"/>
  <c r="H320"/>
  <c r="G320"/>
  <c r="F320"/>
  <c r="E320"/>
  <c r="D320"/>
  <c r="B320"/>
  <c r="P319"/>
  <c r="O319"/>
  <c r="N319"/>
  <c r="M319"/>
  <c r="L319"/>
  <c r="K319"/>
  <c r="J319"/>
  <c r="I319"/>
  <c r="H319"/>
  <c r="G319"/>
  <c r="F319"/>
  <c r="E319"/>
  <c r="D319"/>
  <c r="B319"/>
  <c r="P318"/>
  <c r="O318"/>
  <c r="N318"/>
  <c r="M318"/>
  <c r="L318"/>
  <c r="K318"/>
  <c r="J318"/>
  <c r="I318"/>
  <c r="H318"/>
  <c r="G318"/>
  <c r="F318"/>
  <c r="E318"/>
  <c r="D318"/>
  <c r="B318"/>
  <c r="P317"/>
  <c r="O317"/>
  <c r="N317"/>
  <c r="M317"/>
  <c r="L317"/>
  <c r="K317"/>
  <c r="J317"/>
  <c r="I317"/>
  <c r="H317"/>
  <c r="G317"/>
  <c r="F317"/>
  <c r="E317"/>
  <c r="D317"/>
  <c r="B317"/>
  <c r="P316"/>
  <c r="O316"/>
  <c r="N316"/>
  <c r="M316"/>
  <c r="L316"/>
  <c r="K316"/>
  <c r="J316"/>
  <c r="I316"/>
  <c r="H316"/>
  <c r="G316"/>
  <c r="F316"/>
  <c r="E316"/>
  <c r="D316"/>
  <c r="B316"/>
  <c r="P315"/>
  <c r="O315"/>
  <c r="N315"/>
  <c r="M315"/>
  <c r="L315"/>
  <c r="K315"/>
  <c r="J315"/>
  <c r="I315"/>
  <c r="H315"/>
  <c r="G315"/>
  <c r="F315"/>
  <c r="E315"/>
  <c r="D315"/>
  <c r="B315"/>
  <c r="P314"/>
  <c r="O314"/>
  <c r="N314"/>
  <c r="M314"/>
  <c r="L314"/>
  <c r="K314"/>
  <c r="J314"/>
  <c r="I314"/>
  <c r="H314"/>
  <c r="G314"/>
  <c r="F314"/>
  <c r="E314"/>
  <c r="D314"/>
  <c r="B314"/>
  <c r="P313"/>
  <c r="O313"/>
  <c r="N313"/>
  <c r="M313"/>
  <c r="L313"/>
  <c r="K313"/>
  <c r="J313"/>
  <c r="I313"/>
  <c r="H313"/>
  <c r="G313"/>
  <c r="F313"/>
  <c r="E313"/>
  <c r="D313"/>
  <c r="B313"/>
  <c r="P312"/>
  <c r="O312"/>
  <c r="N312"/>
  <c r="M312"/>
  <c r="L312"/>
  <c r="K312"/>
  <c r="J312"/>
  <c r="I312"/>
  <c r="H312"/>
  <c r="G312"/>
  <c r="F312"/>
  <c r="E312"/>
  <c r="D312"/>
  <c r="B312"/>
  <c r="P311"/>
  <c r="O311"/>
  <c r="N311"/>
  <c r="M311"/>
  <c r="L311"/>
  <c r="K311"/>
  <c r="J311"/>
  <c r="I311"/>
  <c r="H311"/>
  <c r="G311"/>
  <c r="F311"/>
  <c r="E311"/>
  <c r="D311"/>
  <c r="B311"/>
  <c r="P310"/>
  <c r="O310"/>
  <c r="N310"/>
  <c r="M310"/>
  <c r="L310"/>
  <c r="K310"/>
  <c r="J310"/>
  <c r="I310"/>
  <c r="H310"/>
  <c r="G310"/>
  <c r="F310"/>
  <c r="E310"/>
  <c r="D310"/>
  <c r="B310"/>
  <c r="P309"/>
  <c r="O309"/>
  <c r="N309"/>
  <c r="M309"/>
  <c r="L309"/>
  <c r="K309"/>
  <c r="J309"/>
  <c r="I309"/>
  <c r="H309"/>
  <c r="G309"/>
  <c r="F309"/>
  <c r="E309"/>
  <c r="D309"/>
  <c r="B309"/>
  <c r="P308"/>
  <c r="O308"/>
  <c r="N308"/>
  <c r="M308"/>
  <c r="L308"/>
  <c r="K308"/>
  <c r="J308"/>
  <c r="I308"/>
  <c r="H308"/>
  <c r="G308"/>
  <c r="F308"/>
  <c r="E308"/>
  <c r="D308"/>
  <c r="B308"/>
  <c r="P307"/>
  <c r="O307"/>
  <c r="N307"/>
  <c r="M307"/>
  <c r="L307"/>
  <c r="K307"/>
  <c r="J307"/>
  <c r="I307"/>
  <c r="H307"/>
  <c r="G307"/>
  <c r="F307"/>
  <c r="E307"/>
  <c r="D307"/>
  <c r="B307"/>
  <c r="P306"/>
  <c r="O306"/>
  <c r="N306"/>
  <c r="M306"/>
  <c r="L306"/>
  <c r="K306"/>
  <c r="J306"/>
  <c r="I306"/>
  <c r="H306"/>
  <c r="G306"/>
  <c r="F306"/>
  <c r="E306"/>
  <c r="D306"/>
  <c r="B306"/>
  <c r="P305"/>
  <c r="O305"/>
  <c r="N305"/>
  <c r="M305"/>
  <c r="L305"/>
  <c r="K305"/>
  <c r="J305"/>
  <c r="I305"/>
  <c r="H305"/>
  <c r="G305"/>
  <c r="F305"/>
  <c r="E305"/>
  <c r="D305"/>
  <c r="B305"/>
  <c r="P304"/>
  <c r="O304"/>
  <c r="N304"/>
  <c r="M304"/>
  <c r="L304"/>
  <c r="K304"/>
  <c r="J304"/>
  <c r="I304"/>
  <c r="H304"/>
  <c r="G304"/>
  <c r="F304"/>
  <c r="E304"/>
  <c r="D304"/>
  <c r="B304"/>
  <c r="P303"/>
  <c r="O303"/>
  <c r="N303"/>
  <c r="M303"/>
  <c r="L303"/>
  <c r="K303"/>
  <c r="J303"/>
  <c r="I303"/>
  <c r="H303"/>
  <c r="G303"/>
  <c r="F303"/>
  <c r="E303"/>
  <c r="D303"/>
  <c r="B303"/>
  <c r="P302"/>
  <c r="O302"/>
  <c r="N302"/>
  <c r="M302"/>
  <c r="L302"/>
  <c r="K302"/>
  <c r="J302"/>
  <c r="I302"/>
  <c r="H302"/>
  <c r="G302"/>
  <c r="F302"/>
  <c r="E302"/>
  <c r="D302"/>
  <c r="B302"/>
  <c r="P301"/>
  <c r="O301"/>
  <c r="N301"/>
  <c r="M301"/>
  <c r="L301"/>
  <c r="K301"/>
  <c r="J301"/>
  <c r="I301"/>
  <c r="H301"/>
  <c r="G301"/>
  <c r="F301"/>
  <c r="E301"/>
  <c r="D301"/>
  <c r="B301"/>
  <c r="P300"/>
  <c r="O300"/>
  <c r="N300"/>
  <c r="M300"/>
  <c r="L300"/>
  <c r="K300"/>
  <c r="J300"/>
  <c r="I300"/>
  <c r="H300"/>
  <c r="G300"/>
  <c r="F300"/>
  <c r="E300"/>
  <c r="D300"/>
  <c r="B300"/>
  <c r="P299"/>
  <c r="O299"/>
  <c r="N299"/>
  <c r="M299"/>
  <c r="L299"/>
  <c r="K299"/>
  <c r="J299"/>
  <c r="I299"/>
  <c r="H299"/>
  <c r="G299"/>
  <c r="F299"/>
  <c r="E299"/>
  <c r="D299"/>
  <c r="B299"/>
  <c r="P298"/>
  <c r="O298"/>
  <c r="N298"/>
  <c r="M298"/>
  <c r="L298"/>
  <c r="K298"/>
  <c r="J298"/>
  <c r="I298"/>
  <c r="H298"/>
  <c r="G298"/>
  <c r="F298"/>
  <c r="E298"/>
  <c r="D298"/>
  <c r="B298"/>
  <c r="P297"/>
  <c r="O297"/>
  <c r="N297"/>
  <c r="M297"/>
  <c r="L297"/>
  <c r="K297"/>
  <c r="J297"/>
  <c r="I297"/>
  <c r="H297"/>
  <c r="G297"/>
  <c r="F297"/>
  <c r="E297"/>
  <c r="D297"/>
  <c r="B297"/>
  <c r="P296"/>
  <c r="O296"/>
  <c r="N296"/>
  <c r="M296"/>
  <c r="L296"/>
  <c r="K296"/>
  <c r="J296"/>
  <c r="I296"/>
  <c r="H296"/>
  <c r="G296"/>
  <c r="F296"/>
  <c r="E296"/>
  <c r="D296"/>
  <c r="B296"/>
  <c r="P295"/>
  <c r="O295"/>
  <c r="N295"/>
  <c r="M295"/>
  <c r="L295"/>
  <c r="K295"/>
  <c r="J295"/>
  <c r="I295"/>
  <c r="H295"/>
  <c r="G295"/>
  <c r="F295"/>
  <c r="E295"/>
  <c r="D295"/>
  <c r="B295"/>
  <c r="P294"/>
  <c r="O294"/>
  <c r="N294"/>
  <c r="M294"/>
  <c r="L294"/>
  <c r="K294"/>
  <c r="J294"/>
  <c r="I294"/>
  <c r="H294"/>
  <c r="G294"/>
  <c r="F294"/>
  <c r="E294"/>
  <c r="D294"/>
  <c r="B294"/>
  <c r="P293"/>
  <c r="O293"/>
  <c r="N293"/>
  <c r="M293"/>
  <c r="L293"/>
  <c r="K293"/>
  <c r="J293"/>
  <c r="I293"/>
  <c r="H293"/>
  <c r="G293"/>
  <c r="F293"/>
  <c r="E293"/>
  <c r="D293"/>
  <c r="B293"/>
  <c r="P292"/>
  <c r="O292"/>
  <c r="N292"/>
  <c r="M292"/>
  <c r="L292"/>
  <c r="K292"/>
  <c r="J292"/>
  <c r="I292"/>
  <c r="H292"/>
  <c r="G292"/>
  <c r="F292"/>
  <c r="E292"/>
  <c r="D292"/>
  <c r="B292"/>
  <c r="P291"/>
  <c r="O291"/>
  <c r="N291"/>
  <c r="M291"/>
  <c r="L291"/>
  <c r="K291"/>
  <c r="J291"/>
  <c r="I291"/>
  <c r="H291"/>
  <c r="G291"/>
  <c r="F291"/>
  <c r="E291"/>
  <c r="D291"/>
  <c r="B291"/>
  <c r="P290"/>
  <c r="O290"/>
  <c r="N290"/>
  <c r="M290"/>
  <c r="L290"/>
  <c r="K290"/>
  <c r="J290"/>
  <c r="I290"/>
  <c r="H290"/>
  <c r="G290"/>
  <c r="F290"/>
  <c r="E290"/>
  <c r="D290"/>
  <c r="B290"/>
  <c r="P289"/>
  <c r="O289"/>
  <c r="N289"/>
  <c r="M289"/>
  <c r="L289"/>
  <c r="K289"/>
  <c r="J289"/>
  <c r="I289"/>
  <c r="H289"/>
  <c r="G289"/>
  <c r="F289"/>
  <c r="E289"/>
  <c r="D289"/>
  <c r="B289"/>
  <c r="P288"/>
  <c r="O288"/>
  <c r="N288"/>
  <c r="M288"/>
  <c r="L288"/>
  <c r="K288"/>
  <c r="J288"/>
  <c r="I288"/>
  <c r="H288"/>
  <c r="G288"/>
  <c r="F288"/>
  <c r="E288"/>
  <c r="D288"/>
  <c r="B288"/>
  <c r="P287"/>
  <c r="O287"/>
  <c r="N287"/>
  <c r="M287"/>
  <c r="L287"/>
  <c r="K287"/>
  <c r="J287"/>
  <c r="I287"/>
  <c r="H287"/>
  <c r="G287"/>
  <c r="F287"/>
  <c r="E287"/>
  <c r="D287"/>
  <c r="B287"/>
  <c r="P286"/>
  <c r="O286"/>
  <c r="N286"/>
  <c r="M286"/>
  <c r="L286"/>
  <c r="K286"/>
  <c r="J286"/>
  <c r="I286"/>
  <c r="H286"/>
  <c r="G286"/>
  <c r="F286"/>
  <c r="E286"/>
  <c r="D286"/>
  <c r="B286"/>
  <c r="P285"/>
  <c r="O285"/>
  <c r="N285"/>
  <c r="M285"/>
  <c r="L285"/>
  <c r="K285"/>
  <c r="J285"/>
  <c r="I285"/>
  <c r="H285"/>
  <c r="G285"/>
  <c r="F285"/>
  <c r="E285"/>
  <c r="D285"/>
  <c r="B285"/>
  <c r="P284"/>
  <c r="O284"/>
  <c r="N284"/>
  <c r="M284"/>
  <c r="L284"/>
  <c r="K284"/>
  <c r="J284"/>
  <c r="I284"/>
  <c r="H284"/>
  <c r="G284"/>
  <c r="F284"/>
  <c r="E284"/>
  <c r="D284"/>
  <c r="B284"/>
  <c r="P283"/>
  <c r="O283"/>
  <c r="N283"/>
  <c r="M283"/>
  <c r="L283"/>
  <c r="K283"/>
  <c r="J283"/>
  <c r="I283"/>
  <c r="H283"/>
  <c r="G283"/>
  <c r="F283"/>
  <c r="E283"/>
  <c r="D283"/>
  <c r="B283"/>
  <c r="P282"/>
  <c r="O282"/>
  <c r="N282"/>
  <c r="M282"/>
  <c r="L282"/>
  <c r="K282"/>
  <c r="J282"/>
  <c r="I282"/>
  <c r="H282"/>
  <c r="G282"/>
  <c r="F282"/>
  <c r="E282"/>
  <c r="D282"/>
  <c r="B282"/>
  <c r="P281"/>
  <c r="O281"/>
  <c r="N281"/>
  <c r="M281"/>
  <c r="L281"/>
  <c r="K281"/>
  <c r="J281"/>
  <c r="I281"/>
  <c r="H281"/>
  <c r="G281"/>
  <c r="F281"/>
  <c r="E281"/>
  <c r="D281"/>
  <c r="B281"/>
  <c r="P280"/>
  <c r="O280"/>
  <c r="N280"/>
  <c r="M280"/>
  <c r="L280"/>
  <c r="K280"/>
  <c r="J280"/>
  <c r="I280"/>
  <c r="H280"/>
  <c r="G280"/>
  <c r="F280"/>
  <c r="E280"/>
  <c r="D280"/>
  <c r="B280"/>
  <c r="P279"/>
  <c r="O279"/>
  <c r="N279"/>
  <c r="M279"/>
  <c r="L279"/>
  <c r="K279"/>
  <c r="J279"/>
  <c r="I279"/>
  <c r="H279"/>
  <c r="G279"/>
  <c r="F279"/>
  <c r="E279"/>
  <c r="D279"/>
  <c r="B279"/>
  <c r="P278"/>
  <c r="O278"/>
  <c r="N278"/>
  <c r="M278"/>
  <c r="L278"/>
  <c r="K278"/>
  <c r="J278"/>
  <c r="I278"/>
  <c r="H278"/>
  <c r="G278"/>
  <c r="F278"/>
  <c r="E278"/>
  <c r="D278"/>
  <c r="B278"/>
  <c r="P277"/>
  <c r="O277"/>
  <c r="N277"/>
  <c r="M277"/>
  <c r="L277"/>
  <c r="K277"/>
  <c r="J277"/>
  <c r="I277"/>
  <c r="H277"/>
  <c r="G277"/>
  <c r="F277"/>
  <c r="E277"/>
  <c r="D277"/>
  <c r="B277"/>
  <c r="P276"/>
  <c r="O276"/>
  <c r="N276"/>
  <c r="M276"/>
  <c r="L276"/>
  <c r="K276"/>
  <c r="J276"/>
  <c r="I276"/>
  <c r="H276"/>
  <c r="G276"/>
  <c r="F276"/>
  <c r="E276"/>
  <c r="D276"/>
  <c r="B276"/>
  <c r="P275"/>
  <c r="O275"/>
  <c r="N275"/>
  <c r="M275"/>
  <c r="L275"/>
  <c r="K275"/>
  <c r="J275"/>
  <c r="I275"/>
  <c r="H275"/>
  <c r="G275"/>
  <c r="F275"/>
  <c r="E275"/>
  <c r="D275"/>
  <c r="B275"/>
  <c r="P274"/>
  <c r="O274"/>
  <c r="N274"/>
  <c r="M274"/>
  <c r="L274"/>
  <c r="K274"/>
  <c r="J274"/>
  <c r="I274"/>
  <c r="H274"/>
  <c r="G274"/>
  <c r="F274"/>
  <c r="E274"/>
  <c r="D274"/>
  <c r="B274"/>
  <c r="P273"/>
  <c r="O273"/>
  <c r="N273"/>
  <c r="M273"/>
  <c r="L273"/>
  <c r="K273"/>
  <c r="J273"/>
  <c r="I273"/>
  <c r="H273"/>
  <c r="G273"/>
  <c r="F273"/>
  <c r="E273"/>
  <c r="D273"/>
  <c r="B273"/>
  <c r="P272"/>
  <c r="O272"/>
  <c r="N272"/>
  <c r="M272"/>
  <c r="L272"/>
  <c r="K272"/>
  <c r="J272"/>
  <c r="I272"/>
  <c r="H272"/>
  <c r="G272"/>
  <c r="F272"/>
  <c r="E272"/>
  <c r="D272"/>
  <c r="B272"/>
  <c r="P271"/>
  <c r="O271"/>
  <c r="N271"/>
  <c r="M271"/>
  <c r="L271"/>
  <c r="K271"/>
  <c r="J271"/>
  <c r="I271"/>
  <c r="H271"/>
  <c r="G271"/>
  <c r="F271"/>
  <c r="E271"/>
  <c r="D271"/>
  <c r="B271"/>
  <c r="P270"/>
  <c r="O270"/>
  <c r="N270"/>
  <c r="M270"/>
  <c r="L270"/>
  <c r="K270"/>
  <c r="J270"/>
  <c r="I270"/>
  <c r="H270"/>
  <c r="G270"/>
  <c r="F270"/>
  <c r="E270"/>
  <c r="D270"/>
  <c r="B270"/>
  <c r="P269"/>
  <c r="O269"/>
  <c r="N269"/>
  <c r="M269"/>
  <c r="L269"/>
  <c r="K269"/>
  <c r="J269"/>
  <c r="I269"/>
  <c r="H269"/>
  <c r="G269"/>
  <c r="F269"/>
  <c r="E269"/>
  <c r="D269"/>
  <c r="B269"/>
  <c r="P268"/>
  <c r="O268"/>
  <c r="N268"/>
  <c r="M268"/>
  <c r="L268"/>
  <c r="K268"/>
  <c r="J268"/>
  <c r="I268"/>
  <c r="H268"/>
  <c r="G268"/>
  <c r="F268"/>
  <c r="E268"/>
  <c r="D268"/>
  <c r="B268"/>
  <c r="P267"/>
  <c r="O267"/>
  <c r="N267"/>
  <c r="M267"/>
  <c r="L267"/>
  <c r="K267"/>
  <c r="J267"/>
  <c r="I267"/>
  <c r="H267"/>
  <c r="G267"/>
  <c r="F267"/>
  <c r="E267"/>
  <c r="D267"/>
  <c r="B267"/>
  <c r="P266"/>
  <c r="O266"/>
  <c r="N266"/>
  <c r="M266"/>
  <c r="L266"/>
  <c r="K266"/>
  <c r="J266"/>
  <c r="I266"/>
  <c r="H266"/>
  <c r="G266"/>
  <c r="F266"/>
  <c r="E266"/>
  <c r="D266"/>
  <c r="B266"/>
  <c r="P265"/>
  <c r="O265"/>
  <c r="N265"/>
  <c r="M265"/>
  <c r="L265"/>
  <c r="K265"/>
  <c r="J265"/>
  <c r="I265"/>
  <c r="H265"/>
  <c r="G265"/>
  <c r="F265"/>
  <c r="E265"/>
  <c r="D265"/>
  <c r="B265"/>
  <c r="P264"/>
  <c r="O264"/>
  <c r="N264"/>
  <c r="M264"/>
  <c r="L264"/>
  <c r="K264"/>
  <c r="J264"/>
  <c r="I264"/>
  <c r="H264"/>
  <c r="G264"/>
  <c r="F264"/>
  <c r="E264"/>
  <c r="D264"/>
  <c r="B264"/>
  <c r="P263"/>
  <c r="O263"/>
  <c r="N263"/>
  <c r="M263"/>
  <c r="L263"/>
  <c r="K263"/>
  <c r="J263"/>
  <c r="I263"/>
  <c r="H263"/>
  <c r="G263"/>
  <c r="F263"/>
  <c r="E263"/>
  <c r="D263"/>
  <c r="B263"/>
  <c r="P262"/>
  <c r="O262"/>
  <c r="N262"/>
  <c r="M262"/>
  <c r="L262"/>
  <c r="K262"/>
  <c r="J262"/>
  <c r="I262"/>
  <c r="H262"/>
  <c r="G262"/>
  <c r="F262"/>
  <c r="E262"/>
  <c r="D262"/>
  <c r="B262"/>
  <c r="P261"/>
  <c r="O261"/>
  <c r="N261"/>
  <c r="M261"/>
  <c r="L261"/>
  <c r="K261"/>
  <c r="J261"/>
  <c r="I261"/>
  <c r="H261"/>
  <c r="G261"/>
  <c r="F261"/>
  <c r="E261"/>
  <c r="D261"/>
  <c r="B261"/>
  <c r="P260"/>
  <c r="O260"/>
  <c r="N260"/>
  <c r="M260"/>
  <c r="L260"/>
  <c r="K260"/>
  <c r="J260"/>
  <c r="I260"/>
  <c r="H260"/>
  <c r="G260"/>
  <c r="F260"/>
  <c r="E260"/>
  <c r="D260"/>
  <c r="B260"/>
  <c r="P259"/>
  <c r="O259"/>
  <c r="N259"/>
  <c r="M259"/>
  <c r="L259"/>
  <c r="K259"/>
  <c r="J259"/>
  <c r="I259"/>
  <c r="H259"/>
  <c r="G259"/>
  <c r="F259"/>
  <c r="E259"/>
  <c r="D259"/>
  <c r="B259"/>
  <c r="P258"/>
  <c r="O258"/>
  <c r="N258"/>
  <c r="M258"/>
  <c r="L258"/>
  <c r="K258"/>
  <c r="J258"/>
  <c r="I258"/>
  <c r="H258"/>
  <c r="G258"/>
  <c r="F258"/>
  <c r="E258"/>
  <c r="D258"/>
  <c r="B258"/>
  <c r="P257"/>
  <c r="O257"/>
  <c r="N257"/>
  <c r="M257"/>
  <c r="L257"/>
  <c r="K257"/>
  <c r="J257"/>
  <c r="I257"/>
  <c r="H257"/>
  <c r="G257"/>
  <c r="F257"/>
  <c r="E257"/>
  <c r="D257"/>
  <c r="B257"/>
  <c r="P256"/>
  <c r="O256"/>
  <c r="N256"/>
  <c r="M256"/>
  <c r="L256"/>
  <c r="K256"/>
  <c r="J256"/>
  <c r="I256"/>
  <c r="H256"/>
  <c r="G256"/>
  <c r="F256"/>
  <c r="E256"/>
  <c r="D256"/>
  <c r="B256"/>
  <c r="P255"/>
  <c r="O255"/>
  <c r="N255"/>
  <c r="M255"/>
  <c r="L255"/>
  <c r="K255"/>
  <c r="J255"/>
  <c r="I255"/>
  <c r="H255"/>
  <c r="G255"/>
  <c r="F255"/>
  <c r="E255"/>
  <c r="D255"/>
  <c r="B255"/>
  <c r="P254"/>
  <c r="O254"/>
  <c r="N254"/>
  <c r="M254"/>
  <c r="L254"/>
  <c r="K254"/>
  <c r="J254"/>
  <c r="I254"/>
  <c r="H254"/>
  <c r="G254"/>
  <c r="F254"/>
  <c r="E254"/>
  <c r="D254"/>
  <c r="B254"/>
  <c r="P253"/>
  <c r="O253"/>
  <c r="N253"/>
  <c r="M253"/>
  <c r="L253"/>
  <c r="K253"/>
  <c r="J253"/>
  <c r="I253"/>
  <c r="H253"/>
  <c r="G253"/>
  <c r="F253"/>
  <c r="E253"/>
  <c r="D253"/>
  <c r="B253"/>
  <c r="P252"/>
  <c r="O252"/>
  <c r="N252"/>
  <c r="M252"/>
  <c r="L252"/>
  <c r="K252"/>
  <c r="J252"/>
  <c r="I252"/>
  <c r="H252"/>
  <c r="G252"/>
  <c r="F252"/>
  <c r="E252"/>
  <c r="D252"/>
  <c r="B252"/>
  <c r="P251"/>
  <c r="O251"/>
  <c r="N251"/>
  <c r="M251"/>
  <c r="L251"/>
  <c r="K251"/>
  <c r="J251"/>
  <c r="I251"/>
  <c r="H251"/>
  <c r="G251"/>
  <c r="F251"/>
  <c r="E251"/>
  <c r="D251"/>
  <c r="B251"/>
  <c r="P250"/>
  <c r="O250"/>
  <c r="N250"/>
  <c r="M250"/>
  <c r="L250"/>
  <c r="K250"/>
  <c r="J250"/>
  <c r="I250"/>
  <c r="H250"/>
  <c r="G250"/>
  <c r="F250"/>
  <c r="E250"/>
  <c r="D250"/>
  <c r="B250"/>
  <c r="P249"/>
  <c r="O249"/>
  <c r="N249"/>
  <c r="M249"/>
  <c r="L249"/>
  <c r="K249"/>
  <c r="J249"/>
  <c r="I249"/>
  <c r="H249"/>
  <c r="G249"/>
  <c r="F249"/>
  <c r="E249"/>
  <c r="D249"/>
  <c r="B249"/>
  <c r="P248"/>
  <c r="O248"/>
  <c r="N248"/>
  <c r="M248"/>
  <c r="L248"/>
  <c r="K248"/>
  <c r="J248"/>
  <c r="I248"/>
  <c r="H248"/>
  <c r="G248"/>
  <c r="F248"/>
  <c r="E248"/>
  <c r="D248"/>
  <c r="B248"/>
  <c r="P247"/>
  <c r="O247"/>
  <c r="N247"/>
  <c r="M247"/>
  <c r="L247"/>
  <c r="K247"/>
  <c r="J247"/>
  <c r="I247"/>
  <c r="H247"/>
  <c r="G247"/>
  <c r="F247"/>
  <c r="E247"/>
  <c r="D247"/>
  <c r="B247"/>
  <c r="P246"/>
  <c r="O246"/>
  <c r="N246"/>
  <c r="M246"/>
  <c r="L246"/>
  <c r="K246"/>
  <c r="J246"/>
  <c r="I246"/>
  <c r="H246"/>
  <c r="G246"/>
  <c r="F246"/>
  <c r="E246"/>
  <c r="D246"/>
  <c r="B246"/>
  <c r="P245"/>
  <c r="O245"/>
  <c r="N245"/>
  <c r="M245"/>
  <c r="L245"/>
  <c r="K245"/>
  <c r="J245"/>
  <c r="I245"/>
  <c r="H245"/>
  <c r="G245"/>
  <c r="F245"/>
  <c r="E245"/>
  <c r="D245"/>
  <c r="B245"/>
  <c r="P244"/>
  <c r="O244"/>
  <c r="N244"/>
  <c r="M244"/>
  <c r="L244"/>
  <c r="K244"/>
  <c r="J244"/>
  <c r="I244"/>
  <c r="H244"/>
  <c r="G244"/>
  <c r="F244"/>
  <c r="E244"/>
  <c r="D244"/>
  <c r="B244"/>
  <c r="P243"/>
  <c r="O243"/>
  <c r="N243"/>
  <c r="M243"/>
  <c r="L243"/>
  <c r="K243"/>
  <c r="J243"/>
  <c r="I243"/>
  <c r="H243"/>
  <c r="G243"/>
  <c r="F243"/>
  <c r="E243"/>
  <c r="D243"/>
  <c r="B243"/>
  <c r="P242"/>
  <c r="O242"/>
  <c r="N242"/>
  <c r="M242"/>
  <c r="L242"/>
  <c r="K242"/>
  <c r="J242"/>
  <c r="I242"/>
  <c r="H242"/>
  <c r="G242"/>
  <c r="F242"/>
  <c r="E242"/>
  <c r="D242"/>
  <c r="B242"/>
  <c r="P241"/>
  <c r="O241"/>
  <c r="N241"/>
  <c r="M241"/>
  <c r="L241"/>
  <c r="K241"/>
  <c r="J241"/>
  <c r="I241"/>
  <c r="H241"/>
  <c r="G241"/>
  <c r="F241"/>
  <c r="E241"/>
  <c r="D241"/>
  <c r="B241"/>
  <c r="P240"/>
  <c r="O240"/>
  <c r="N240"/>
  <c r="M240"/>
  <c r="L240"/>
  <c r="K240"/>
  <c r="J240"/>
  <c r="I240"/>
  <c r="H240"/>
  <c r="G240"/>
  <c r="F240"/>
  <c r="E240"/>
  <c r="D240"/>
  <c r="B240"/>
  <c r="P239"/>
  <c r="O239"/>
  <c r="N239"/>
  <c r="M239"/>
  <c r="L239"/>
  <c r="K239"/>
  <c r="J239"/>
  <c r="I239"/>
  <c r="H239"/>
  <c r="G239"/>
  <c r="F239"/>
  <c r="E239"/>
  <c r="D239"/>
  <c r="B239"/>
  <c r="P238"/>
  <c r="O238"/>
  <c r="N238"/>
  <c r="M238"/>
  <c r="L238"/>
  <c r="K238"/>
  <c r="J238"/>
  <c r="I238"/>
  <c r="H238"/>
  <c r="G238"/>
  <c r="F238"/>
  <c r="E238"/>
  <c r="D238"/>
  <c r="B238"/>
  <c r="P237"/>
  <c r="O237"/>
  <c r="N237"/>
  <c r="M237"/>
  <c r="L237"/>
  <c r="K237"/>
  <c r="J237"/>
  <c r="I237"/>
  <c r="H237"/>
  <c r="G237"/>
  <c r="F237"/>
  <c r="E237"/>
  <c r="D237"/>
  <c r="B237"/>
  <c r="P236"/>
  <c r="O236"/>
  <c r="N236"/>
  <c r="M236"/>
  <c r="L236"/>
  <c r="K236"/>
  <c r="J236"/>
  <c r="I236"/>
  <c r="H236"/>
  <c r="G236"/>
  <c r="F236"/>
  <c r="E236"/>
  <c r="D236"/>
  <c r="B236"/>
  <c r="P235"/>
  <c r="O235"/>
  <c r="N235"/>
  <c r="M235"/>
  <c r="L235"/>
  <c r="K235"/>
  <c r="J235"/>
  <c r="I235"/>
  <c r="H235"/>
  <c r="G235"/>
  <c r="F235"/>
  <c r="E235"/>
  <c r="D235"/>
  <c r="B235"/>
  <c r="P234"/>
  <c r="O234"/>
  <c r="N234"/>
  <c r="M234"/>
  <c r="L234"/>
  <c r="K234"/>
  <c r="J234"/>
  <c r="I234"/>
  <c r="H234"/>
  <c r="G234"/>
  <c r="F234"/>
  <c r="E234"/>
  <c r="D234"/>
  <c r="B234"/>
  <c r="P233"/>
  <c r="O233"/>
  <c r="N233"/>
  <c r="M233"/>
  <c r="L233"/>
  <c r="K233"/>
  <c r="J233"/>
  <c r="I233"/>
  <c r="H233"/>
  <c r="G233"/>
  <c r="F233"/>
  <c r="E233"/>
  <c r="D233"/>
  <c r="B233"/>
  <c r="P232"/>
  <c r="O232"/>
  <c r="N232"/>
  <c r="M232"/>
  <c r="L232"/>
  <c r="K232"/>
  <c r="J232"/>
  <c r="I232"/>
  <c r="H232"/>
  <c r="G232"/>
  <c r="F232"/>
  <c r="E232"/>
  <c r="D232"/>
  <c r="B232"/>
  <c r="P231"/>
  <c r="O231"/>
  <c r="N231"/>
  <c r="M231"/>
  <c r="L231"/>
  <c r="K231"/>
  <c r="J231"/>
  <c r="I231"/>
  <c r="H231"/>
  <c r="G231"/>
  <c r="F231"/>
  <c r="E231"/>
  <c r="D231"/>
  <c r="B231"/>
  <c r="P230"/>
  <c r="O230"/>
  <c r="N230"/>
  <c r="M230"/>
  <c r="L230"/>
  <c r="K230"/>
  <c r="J230"/>
  <c r="I230"/>
  <c r="H230"/>
  <c r="G230"/>
  <c r="F230"/>
  <c r="E230"/>
  <c r="D230"/>
  <c r="B230"/>
  <c r="P229"/>
  <c r="O229"/>
  <c r="N229"/>
  <c r="M229"/>
  <c r="L229"/>
  <c r="K229"/>
  <c r="J229"/>
  <c r="I229"/>
  <c r="H229"/>
  <c r="G229"/>
  <c r="F229"/>
  <c r="E229"/>
  <c r="D229"/>
  <c r="B229"/>
  <c r="P228"/>
  <c r="O228"/>
  <c r="N228"/>
  <c r="M228"/>
  <c r="L228"/>
  <c r="K228"/>
  <c r="J228"/>
  <c r="I228"/>
  <c r="H228"/>
  <c r="G228"/>
  <c r="F228"/>
  <c r="E228"/>
  <c r="D228"/>
  <c r="B228"/>
  <c r="P227"/>
  <c r="O227"/>
  <c r="N227"/>
  <c r="M227"/>
  <c r="L227"/>
  <c r="K227"/>
  <c r="J227"/>
  <c r="I227"/>
  <c r="H227"/>
  <c r="G227"/>
  <c r="F227"/>
  <c r="E227"/>
  <c r="D227"/>
  <c r="B227"/>
  <c r="P226"/>
  <c r="O226"/>
  <c r="N226"/>
  <c r="M226"/>
  <c r="L226"/>
  <c r="K226"/>
  <c r="J226"/>
  <c r="I226"/>
  <c r="H226"/>
  <c r="G226"/>
  <c r="F226"/>
  <c r="E226"/>
  <c r="D226"/>
  <c r="B226"/>
  <c r="P225"/>
  <c r="O225"/>
  <c r="N225"/>
  <c r="M225"/>
  <c r="L225"/>
  <c r="K225"/>
  <c r="J225"/>
  <c r="I225"/>
  <c r="H225"/>
  <c r="G225"/>
  <c r="F225"/>
  <c r="E225"/>
  <c r="D225"/>
  <c r="B225"/>
  <c r="P224"/>
  <c r="O224"/>
  <c r="N224"/>
  <c r="M224"/>
  <c r="L224"/>
  <c r="K224"/>
  <c r="J224"/>
  <c r="I224"/>
  <c r="H224"/>
  <c r="G224"/>
  <c r="F224"/>
  <c r="E224"/>
  <c r="D224"/>
  <c r="B224"/>
  <c r="P223"/>
  <c r="O223"/>
  <c r="N223"/>
  <c r="M223"/>
  <c r="L223"/>
  <c r="K223"/>
  <c r="J223"/>
  <c r="I223"/>
  <c r="H223"/>
  <c r="G223"/>
  <c r="F223"/>
  <c r="E223"/>
  <c r="D223"/>
  <c r="B223"/>
  <c r="P222"/>
  <c r="O222"/>
  <c r="N222"/>
  <c r="M222"/>
  <c r="L222"/>
  <c r="K222"/>
  <c r="J222"/>
  <c r="I222"/>
  <c r="H222"/>
  <c r="G222"/>
  <c r="F222"/>
  <c r="E222"/>
  <c r="D222"/>
  <c r="B222"/>
  <c r="P221"/>
  <c r="O221"/>
  <c r="N221"/>
  <c r="M221"/>
  <c r="L221"/>
  <c r="K221"/>
  <c r="J221"/>
  <c r="I221"/>
  <c r="H221"/>
  <c r="G221"/>
  <c r="F221"/>
  <c r="E221"/>
  <c r="D221"/>
  <c r="B221"/>
  <c r="P220"/>
  <c r="O220"/>
  <c r="N220"/>
  <c r="M220"/>
  <c r="L220"/>
  <c r="K220"/>
  <c r="J220"/>
  <c r="I220"/>
  <c r="H220"/>
  <c r="G220"/>
  <c r="F220"/>
  <c r="E220"/>
  <c r="D220"/>
  <c r="B220"/>
  <c r="P219"/>
  <c r="O219"/>
  <c r="N219"/>
  <c r="M219"/>
  <c r="L219"/>
  <c r="K219"/>
  <c r="J219"/>
  <c r="I219"/>
  <c r="H219"/>
  <c r="G219"/>
  <c r="F219"/>
  <c r="E219"/>
  <c r="D219"/>
  <c r="B219"/>
  <c r="P218"/>
  <c r="O218"/>
  <c r="N218"/>
  <c r="M218"/>
  <c r="L218"/>
  <c r="K218"/>
  <c r="J218"/>
  <c r="I218"/>
  <c r="H218"/>
  <c r="G218"/>
  <c r="F218"/>
  <c r="E218"/>
  <c r="D218"/>
  <c r="B218"/>
  <c r="P217"/>
  <c r="O217"/>
  <c r="N217"/>
  <c r="M217"/>
  <c r="L217"/>
  <c r="K217"/>
  <c r="J217"/>
  <c r="I217"/>
  <c r="H217"/>
  <c r="G217"/>
  <c r="F217"/>
  <c r="E217"/>
  <c r="D217"/>
  <c r="B217"/>
  <c r="P216"/>
  <c r="O216"/>
  <c r="N216"/>
  <c r="M216"/>
  <c r="L216"/>
  <c r="K216"/>
  <c r="J216"/>
  <c r="I216"/>
  <c r="H216"/>
  <c r="G216"/>
  <c r="F216"/>
  <c r="E216"/>
  <c r="D216"/>
  <c r="B216"/>
  <c r="P215"/>
  <c r="O215"/>
  <c r="N215"/>
  <c r="M215"/>
  <c r="L215"/>
  <c r="K215"/>
  <c r="J215"/>
  <c r="I215"/>
  <c r="H215"/>
  <c r="G215"/>
  <c r="F215"/>
  <c r="E215"/>
  <c r="D215"/>
  <c r="B215"/>
  <c r="P214"/>
  <c r="O214"/>
  <c r="N214"/>
  <c r="M214"/>
  <c r="L214"/>
  <c r="K214"/>
  <c r="J214"/>
  <c r="I214"/>
  <c r="H214"/>
  <c r="G214"/>
  <c r="F214"/>
  <c r="E214"/>
  <c r="D214"/>
  <c r="B214"/>
  <c r="P213"/>
  <c r="O213"/>
  <c r="N213"/>
  <c r="M213"/>
  <c r="L213"/>
  <c r="K213"/>
  <c r="J213"/>
  <c r="I213"/>
  <c r="H213"/>
  <c r="G213"/>
  <c r="F213"/>
  <c r="E213"/>
  <c r="D213"/>
  <c r="B213"/>
  <c r="P212"/>
  <c r="O212"/>
  <c r="N212"/>
  <c r="M212"/>
  <c r="L212"/>
  <c r="K212"/>
  <c r="J212"/>
  <c r="I212"/>
  <c r="H212"/>
  <c r="G212"/>
  <c r="F212"/>
  <c r="E212"/>
  <c r="D212"/>
  <c r="B212"/>
  <c r="P211"/>
  <c r="O211"/>
  <c r="N211"/>
  <c r="M211"/>
  <c r="L211"/>
  <c r="K211"/>
  <c r="J211"/>
  <c r="I211"/>
  <c r="H211"/>
  <c r="G211"/>
  <c r="F211"/>
  <c r="E211"/>
  <c r="D211"/>
  <c r="B211"/>
  <c r="P210"/>
  <c r="O210"/>
  <c r="N210"/>
  <c r="M210"/>
  <c r="L210"/>
  <c r="K210"/>
  <c r="J210"/>
  <c r="I210"/>
  <c r="H210"/>
  <c r="G210"/>
  <c r="F210"/>
  <c r="E210"/>
  <c r="D210"/>
  <c r="B210"/>
  <c r="P209"/>
  <c r="O209"/>
  <c r="N209"/>
  <c r="M209"/>
  <c r="L209"/>
  <c r="K209"/>
  <c r="J209"/>
  <c r="I209"/>
  <c r="H209"/>
  <c r="G209"/>
  <c r="F209"/>
  <c r="E209"/>
  <c r="D209"/>
  <c r="B209"/>
  <c r="P208"/>
  <c r="O208"/>
  <c r="N208"/>
  <c r="M208"/>
  <c r="L208"/>
  <c r="K208"/>
  <c r="J208"/>
  <c r="I208"/>
  <c r="H208"/>
  <c r="G208"/>
  <c r="F208"/>
  <c r="E208"/>
  <c r="D208"/>
  <c r="B208"/>
  <c r="P207"/>
  <c r="O207"/>
  <c r="N207"/>
  <c r="M207"/>
  <c r="L207"/>
  <c r="K207"/>
  <c r="J207"/>
  <c r="I207"/>
  <c r="H207"/>
  <c r="G207"/>
  <c r="F207"/>
  <c r="E207"/>
  <c r="D207"/>
  <c r="B207"/>
  <c r="P206"/>
  <c r="O206"/>
  <c r="N206"/>
  <c r="M206"/>
  <c r="L206"/>
  <c r="K206"/>
  <c r="J206"/>
  <c r="I206"/>
  <c r="H206"/>
  <c r="G206"/>
  <c r="F206"/>
  <c r="E206"/>
  <c r="D206"/>
  <c r="B206"/>
  <c r="P205"/>
  <c r="O205"/>
  <c r="N205"/>
  <c r="M205"/>
  <c r="L205"/>
  <c r="K205"/>
  <c r="J205"/>
  <c r="I205"/>
  <c r="H205"/>
  <c r="G205"/>
  <c r="F205"/>
  <c r="E205"/>
  <c r="D205"/>
  <c r="B205"/>
  <c r="P204"/>
  <c r="O204"/>
  <c r="N204"/>
  <c r="M204"/>
  <c r="L204"/>
  <c r="K204"/>
  <c r="J204"/>
  <c r="I204"/>
  <c r="H204"/>
  <c r="G204"/>
  <c r="F204"/>
  <c r="E204"/>
  <c r="D204"/>
  <c r="B204"/>
  <c r="P203"/>
  <c r="O203"/>
  <c r="N203"/>
  <c r="M203"/>
  <c r="L203"/>
  <c r="K203"/>
  <c r="J203"/>
  <c r="I203"/>
  <c r="H203"/>
  <c r="G203"/>
  <c r="F203"/>
  <c r="E203"/>
  <c r="D203"/>
  <c r="B203"/>
  <c r="P202"/>
  <c r="O202"/>
  <c r="N202"/>
  <c r="M202"/>
  <c r="L202"/>
  <c r="K202"/>
  <c r="J202"/>
  <c r="I202"/>
  <c r="H202"/>
  <c r="G202"/>
  <c r="F202"/>
  <c r="E202"/>
  <c r="D202"/>
  <c r="B202"/>
  <c r="P201"/>
  <c r="O201"/>
  <c r="N201"/>
  <c r="M201"/>
  <c r="L201"/>
  <c r="K201"/>
  <c r="J201"/>
  <c r="I201"/>
  <c r="H201"/>
  <c r="G201"/>
  <c r="F201"/>
  <c r="E201"/>
  <c r="D201"/>
  <c r="B201"/>
  <c r="P200"/>
  <c r="O200"/>
  <c r="N200"/>
  <c r="M200"/>
  <c r="L200"/>
  <c r="K200"/>
  <c r="J200"/>
  <c r="I200"/>
  <c r="H200"/>
  <c r="G200"/>
  <c r="F200"/>
  <c r="E200"/>
  <c r="D200"/>
  <c r="B200"/>
  <c r="P199"/>
  <c r="O199"/>
  <c r="N199"/>
  <c r="M199"/>
  <c r="L199"/>
  <c r="K199"/>
  <c r="J199"/>
  <c r="I199"/>
  <c r="H199"/>
  <c r="G199"/>
  <c r="F199"/>
  <c r="E199"/>
  <c r="D199"/>
  <c r="B199"/>
  <c r="P198"/>
  <c r="O198"/>
  <c r="N198"/>
  <c r="M198"/>
  <c r="L198"/>
  <c r="K198"/>
  <c r="J198"/>
  <c r="I198"/>
  <c r="H198"/>
  <c r="G198"/>
  <c r="F198"/>
  <c r="E198"/>
  <c r="D198"/>
  <c r="B198"/>
  <c r="P197"/>
  <c r="O197"/>
  <c r="N197"/>
  <c r="M197"/>
  <c r="L197"/>
  <c r="K197"/>
  <c r="J197"/>
  <c r="I197"/>
  <c r="H197"/>
  <c r="G197"/>
  <c r="F197"/>
  <c r="E197"/>
  <c r="D197"/>
  <c r="B197"/>
  <c r="P196"/>
  <c r="O196"/>
  <c r="N196"/>
  <c r="M196"/>
  <c r="L196"/>
  <c r="K196"/>
  <c r="J196"/>
  <c r="I196"/>
  <c r="H196"/>
  <c r="G196"/>
  <c r="F196"/>
  <c r="E196"/>
  <c r="D196"/>
  <c r="B196"/>
  <c r="P195"/>
  <c r="O195"/>
  <c r="N195"/>
  <c r="M195"/>
  <c r="L195"/>
  <c r="K195"/>
  <c r="J195"/>
  <c r="I195"/>
  <c r="H195"/>
  <c r="G195"/>
  <c r="F195"/>
  <c r="E195"/>
  <c r="D195"/>
  <c r="B195"/>
  <c r="P194"/>
  <c r="O194"/>
  <c r="N194"/>
  <c r="M194"/>
  <c r="L194"/>
  <c r="K194"/>
  <c r="J194"/>
  <c r="I194"/>
  <c r="H194"/>
  <c r="G194"/>
  <c r="F194"/>
  <c r="E194"/>
  <c r="D194"/>
  <c r="B194"/>
  <c r="P193"/>
  <c r="O193"/>
  <c r="N193"/>
  <c r="M193"/>
  <c r="L193"/>
  <c r="K193"/>
  <c r="J193"/>
  <c r="I193"/>
  <c r="H193"/>
  <c r="G193"/>
  <c r="F193"/>
  <c r="E193"/>
  <c r="D193"/>
  <c r="B193"/>
  <c r="P192"/>
  <c r="O192"/>
  <c r="N192"/>
  <c r="M192"/>
  <c r="L192"/>
  <c r="K192"/>
  <c r="J192"/>
  <c r="I192"/>
  <c r="H192"/>
  <c r="G192"/>
  <c r="F192"/>
  <c r="E192"/>
  <c r="D192"/>
  <c r="B192"/>
  <c r="P191"/>
  <c r="O191"/>
  <c r="N191"/>
  <c r="M191"/>
  <c r="L191"/>
  <c r="K191"/>
  <c r="J191"/>
  <c r="I191"/>
  <c r="H191"/>
  <c r="G191"/>
  <c r="F191"/>
  <c r="E191"/>
  <c r="D191"/>
  <c r="B191"/>
  <c r="P190"/>
  <c r="O190"/>
  <c r="N190"/>
  <c r="M190"/>
  <c r="L190"/>
  <c r="K190"/>
  <c r="J190"/>
  <c r="I190"/>
  <c r="H190"/>
  <c r="G190"/>
  <c r="F190"/>
  <c r="E190"/>
  <c r="D190"/>
  <c r="B190"/>
  <c r="P189"/>
  <c r="O189"/>
  <c r="N189"/>
  <c r="M189"/>
  <c r="L189"/>
  <c r="K189"/>
  <c r="J189"/>
  <c r="I189"/>
  <c r="H189"/>
  <c r="G189"/>
  <c r="F189"/>
  <c r="E189"/>
  <c r="D189"/>
  <c r="B189"/>
  <c r="P188"/>
  <c r="O188"/>
  <c r="N188"/>
  <c r="M188"/>
  <c r="L188"/>
  <c r="K188"/>
  <c r="J188"/>
  <c r="I188"/>
  <c r="H188"/>
  <c r="G188"/>
  <c r="F188"/>
  <c r="E188"/>
  <c r="D188"/>
  <c r="B188"/>
  <c r="P187"/>
  <c r="O187"/>
  <c r="N187"/>
  <c r="M187"/>
  <c r="L187"/>
  <c r="K187"/>
  <c r="J187"/>
  <c r="I187"/>
  <c r="H187"/>
  <c r="G187"/>
  <c r="F187"/>
  <c r="E187"/>
  <c r="D187"/>
  <c r="B187"/>
  <c r="P186"/>
  <c r="O186"/>
  <c r="N186"/>
  <c r="M186"/>
  <c r="L186"/>
  <c r="K186"/>
  <c r="J186"/>
  <c r="I186"/>
  <c r="H186"/>
  <c r="G186"/>
  <c r="F186"/>
  <c r="E186"/>
  <c r="D186"/>
  <c r="B186"/>
  <c r="P185"/>
  <c r="O185"/>
  <c r="N185"/>
  <c r="M185"/>
  <c r="L185"/>
  <c r="K185"/>
  <c r="J185"/>
  <c r="I185"/>
  <c r="H185"/>
  <c r="G185"/>
  <c r="F185"/>
  <c r="E185"/>
  <c r="D185"/>
  <c r="B185"/>
  <c r="P184"/>
  <c r="O184"/>
  <c r="N184"/>
  <c r="M184"/>
  <c r="L184"/>
  <c r="K184"/>
  <c r="J184"/>
  <c r="I184"/>
  <c r="H184"/>
  <c r="G184"/>
  <c r="F184"/>
  <c r="E184"/>
  <c r="D184"/>
  <c r="B184"/>
  <c r="P183"/>
  <c r="O183"/>
  <c r="N183"/>
  <c r="M183"/>
  <c r="L183"/>
  <c r="K183"/>
  <c r="J183"/>
  <c r="I183"/>
  <c r="H183"/>
  <c r="G183"/>
  <c r="F183"/>
  <c r="E183"/>
  <c r="D183"/>
  <c r="B183"/>
  <c r="P182"/>
  <c r="O182"/>
  <c r="N182"/>
  <c r="M182"/>
  <c r="L182"/>
  <c r="K182"/>
  <c r="J182"/>
  <c r="I182"/>
  <c r="H182"/>
  <c r="G182"/>
  <c r="F182"/>
  <c r="E182"/>
  <c r="D182"/>
  <c r="B182"/>
  <c r="P181"/>
  <c r="O181"/>
  <c r="N181"/>
  <c r="M181"/>
  <c r="L181"/>
  <c r="K181"/>
  <c r="J181"/>
  <c r="I181"/>
  <c r="H181"/>
  <c r="G181"/>
  <c r="F181"/>
  <c r="E181"/>
  <c r="D181"/>
  <c r="B181"/>
  <c r="P180"/>
  <c r="O180"/>
  <c r="N180"/>
  <c r="M180"/>
  <c r="L180"/>
  <c r="K180"/>
  <c r="J180"/>
  <c r="I180"/>
  <c r="H180"/>
  <c r="G180"/>
  <c r="F180"/>
  <c r="E180"/>
  <c r="D180"/>
  <c r="B180"/>
  <c r="P179"/>
  <c r="O179"/>
  <c r="N179"/>
  <c r="M179"/>
  <c r="L179"/>
  <c r="K179"/>
  <c r="J179"/>
  <c r="I179"/>
  <c r="H179"/>
  <c r="G179"/>
  <c r="F179"/>
  <c r="E179"/>
  <c r="D179"/>
  <c r="B179"/>
  <c r="P178"/>
  <c r="O178"/>
  <c r="N178"/>
  <c r="M178"/>
  <c r="L178"/>
  <c r="K178"/>
  <c r="J178"/>
  <c r="I178"/>
  <c r="H178"/>
  <c r="G178"/>
  <c r="F178"/>
  <c r="E178"/>
  <c r="D178"/>
  <c r="B178"/>
  <c r="P177"/>
  <c r="O177"/>
  <c r="N177"/>
  <c r="M177"/>
  <c r="L177"/>
  <c r="K177"/>
  <c r="J177"/>
  <c r="I177"/>
  <c r="H177"/>
  <c r="G177"/>
  <c r="F177"/>
  <c r="E177"/>
  <c r="D177"/>
  <c r="B177"/>
  <c r="P176"/>
  <c r="O176"/>
  <c r="N176"/>
  <c r="M176"/>
  <c r="L176"/>
  <c r="K176"/>
  <c r="J176"/>
  <c r="I176"/>
  <c r="H176"/>
  <c r="G176"/>
  <c r="F176"/>
  <c r="E176"/>
  <c r="D176"/>
  <c r="B176"/>
  <c r="P175"/>
  <c r="O175"/>
  <c r="N175"/>
  <c r="M175"/>
  <c r="L175"/>
  <c r="K175"/>
  <c r="J175"/>
  <c r="I175"/>
  <c r="H175"/>
  <c r="G175"/>
  <c r="F175"/>
  <c r="E175"/>
  <c r="D175"/>
  <c r="B175"/>
  <c r="P174"/>
  <c r="O174"/>
  <c r="N174"/>
  <c r="M174"/>
  <c r="L174"/>
  <c r="K174"/>
  <c r="J174"/>
  <c r="I174"/>
  <c r="H174"/>
  <c r="G174"/>
  <c r="F174"/>
  <c r="E174"/>
  <c r="D174"/>
  <c r="B174"/>
  <c r="P173"/>
  <c r="O173"/>
  <c r="N173"/>
  <c r="M173"/>
  <c r="L173"/>
  <c r="K173"/>
  <c r="J173"/>
  <c r="I173"/>
  <c r="H173"/>
  <c r="G173"/>
  <c r="F173"/>
  <c r="E173"/>
  <c r="D173"/>
  <c r="B173"/>
  <c r="P172"/>
  <c r="O172"/>
  <c r="N172"/>
  <c r="M172"/>
  <c r="L172"/>
  <c r="K172"/>
  <c r="J172"/>
  <c r="I172"/>
  <c r="H172"/>
  <c r="G172"/>
  <c r="F172"/>
  <c r="E172"/>
  <c r="D172"/>
  <c r="B172"/>
  <c r="P171"/>
  <c r="O171"/>
  <c r="N171"/>
  <c r="M171"/>
  <c r="L171"/>
  <c r="K171"/>
  <c r="J171"/>
  <c r="I171"/>
  <c r="H171"/>
  <c r="G171"/>
  <c r="F171"/>
  <c r="E171"/>
  <c r="D171"/>
  <c r="B171"/>
  <c r="P170"/>
  <c r="O170"/>
  <c r="N170"/>
  <c r="M170"/>
  <c r="L170"/>
  <c r="K170"/>
  <c r="J170"/>
  <c r="I170"/>
  <c r="H170"/>
  <c r="G170"/>
  <c r="F170"/>
  <c r="E170"/>
  <c r="D170"/>
  <c r="B170"/>
  <c r="P169"/>
  <c r="N169"/>
  <c r="M169"/>
  <c r="L169"/>
  <c r="K169"/>
  <c r="J169"/>
  <c r="I169"/>
  <c r="G169"/>
  <c r="F169"/>
  <c r="D169"/>
  <c r="B169"/>
  <c r="P168"/>
  <c r="N168"/>
  <c r="M168"/>
  <c r="L168"/>
  <c r="K168"/>
  <c r="J168"/>
  <c r="I168"/>
  <c r="G168"/>
  <c r="F168"/>
  <c r="D168"/>
  <c r="B168"/>
  <c r="P167"/>
  <c r="N167"/>
  <c r="M167"/>
  <c r="L167"/>
  <c r="K167"/>
  <c r="J167"/>
  <c r="I167"/>
  <c r="G167"/>
  <c r="F167"/>
  <c r="D167"/>
  <c r="B167"/>
  <c r="P166"/>
  <c r="N166"/>
  <c r="M166"/>
  <c r="L166"/>
  <c r="K166"/>
  <c r="J166"/>
  <c r="I166"/>
  <c r="G166"/>
  <c r="F166"/>
  <c r="D166"/>
  <c r="B166"/>
  <c r="P165"/>
  <c r="N165"/>
  <c r="M165"/>
  <c r="L165"/>
  <c r="K165"/>
  <c r="J165"/>
  <c r="I165"/>
  <c r="G165"/>
  <c r="F165"/>
  <c r="D165"/>
  <c r="B165"/>
  <c r="P164"/>
  <c r="N164"/>
  <c r="M164"/>
  <c r="L164"/>
  <c r="K164"/>
  <c r="J164"/>
  <c r="I164"/>
  <c r="G164"/>
  <c r="F164"/>
  <c r="D164"/>
  <c r="B164"/>
  <c r="P163"/>
  <c r="N163"/>
  <c r="M163"/>
  <c r="L163"/>
  <c r="K163"/>
  <c r="J163"/>
  <c r="I163"/>
  <c r="G163"/>
  <c r="F163"/>
  <c r="D163"/>
  <c r="B163"/>
  <c r="P162"/>
  <c r="N162"/>
  <c r="M162"/>
  <c r="L162"/>
  <c r="K162"/>
  <c r="J162"/>
  <c r="I162"/>
  <c r="G162"/>
  <c r="F162"/>
  <c r="D162"/>
  <c r="B162"/>
  <c r="P161"/>
  <c r="N161"/>
  <c r="M161"/>
  <c r="L161"/>
  <c r="K161"/>
  <c r="J161"/>
  <c r="I161"/>
  <c r="G161"/>
  <c r="F161"/>
  <c r="D161"/>
  <c r="B161"/>
  <c r="P160"/>
  <c r="N160"/>
  <c r="M160"/>
  <c r="L160"/>
  <c r="K160"/>
  <c r="J160"/>
  <c r="I160"/>
  <c r="G160"/>
  <c r="F160"/>
  <c r="D160"/>
  <c r="B160"/>
  <c r="P159"/>
  <c r="N159"/>
  <c r="M159"/>
  <c r="L159"/>
  <c r="K159"/>
  <c r="J159"/>
  <c r="I159"/>
  <c r="G159"/>
  <c r="F159"/>
  <c r="D159"/>
  <c r="B159"/>
  <c r="P158"/>
  <c r="N158"/>
  <c r="M158"/>
  <c r="L158"/>
  <c r="K158"/>
  <c r="J158"/>
  <c r="I158"/>
  <c r="G158"/>
  <c r="F158"/>
  <c r="D158"/>
  <c r="B158"/>
  <c r="P157"/>
  <c r="N157"/>
  <c r="M157"/>
  <c r="L157"/>
  <c r="K157"/>
  <c r="J157"/>
  <c r="I157"/>
  <c r="G157"/>
  <c r="F157"/>
  <c r="D157"/>
  <c r="B157"/>
  <c r="P156"/>
  <c r="N156"/>
  <c r="M156"/>
  <c r="L156"/>
  <c r="K156"/>
  <c r="J156"/>
  <c r="I156"/>
  <c r="G156"/>
  <c r="F156"/>
  <c r="D156"/>
  <c r="B156"/>
  <c r="P155"/>
  <c r="N155"/>
  <c r="M155"/>
  <c r="L155"/>
  <c r="K155"/>
  <c r="J155"/>
  <c r="I155"/>
  <c r="G155"/>
  <c r="F155"/>
  <c r="D155"/>
  <c r="B155"/>
  <c r="P154"/>
  <c r="N154"/>
  <c r="M154"/>
  <c r="L154"/>
  <c r="K154"/>
  <c r="J154"/>
  <c r="I154"/>
  <c r="G154"/>
  <c r="F154"/>
  <c r="D154"/>
  <c r="B154"/>
  <c r="P153"/>
  <c r="N153"/>
  <c r="M153"/>
  <c r="L153"/>
  <c r="K153"/>
  <c r="J153"/>
  <c r="I153"/>
  <c r="G153"/>
  <c r="F153"/>
  <c r="D153"/>
  <c r="B153"/>
  <c r="P152"/>
  <c r="N152"/>
  <c r="M152"/>
  <c r="L152"/>
  <c r="K152"/>
  <c r="J152"/>
  <c r="I152"/>
  <c r="G152"/>
  <c r="F152"/>
  <c r="D152"/>
  <c r="B152"/>
  <c r="P151"/>
  <c r="N151"/>
  <c r="M151"/>
  <c r="L151"/>
  <c r="K151"/>
  <c r="J151"/>
  <c r="I151"/>
  <c r="G151"/>
  <c r="F151"/>
  <c r="D151"/>
  <c r="B151"/>
  <c r="P150"/>
  <c r="N150"/>
  <c r="M150"/>
  <c r="L150"/>
  <c r="K150"/>
  <c r="J150"/>
  <c r="I150"/>
  <c r="G150"/>
  <c r="F150"/>
  <c r="D150"/>
  <c r="B150"/>
  <c r="P149"/>
  <c r="N149"/>
  <c r="M149"/>
  <c r="L149"/>
  <c r="K149"/>
  <c r="J149"/>
  <c r="I149"/>
  <c r="G149"/>
  <c r="F149"/>
  <c r="D149"/>
  <c r="B149"/>
  <c r="P148"/>
  <c r="N148"/>
  <c r="M148"/>
  <c r="L148"/>
  <c r="K148"/>
  <c r="J148"/>
  <c r="I148"/>
  <c r="G148"/>
  <c r="F148"/>
  <c r="D148"/>
  <c r="B148"/>
  <c r="P147"/>
  <c r="N147"/>
  <c r="M147"/>
  <c r="L147"/>
  <c r="K147"/>
  <c r="J147"/>
  <c r="I147"/>
  <c r="G147"/>
  <c r="F147"/>
  <c r="D147"/>
  <c r="B147"/>
  <c r="P146"/>
  <c r="N146"/>
  <c r="M146"/>
  <c r="L146"/>
  <c r="K146"/>
  <c r="J146"/>
  <c r="I146"/>
  <c r="G146"/>
  <c r="F146"/>
  <c r="D146"/>
  <c r="B146"/>
  <c r="P145"/>
  <c r="N145"/>
  <c r="M145"/>
  <c r="L145"/>
  <c r="K145"/>
  <c r="J145"/>
  <c r="I145"/>
  <c r="G145"/>
  <c r="F145"/>
  <c r="D145"/>
  <c r="B145"/>
  <c r="P144"/>
  <c r="N144"/>
  <c r="M144"/>
  <c r="L144"/>
  <c r="K144"/>
  <c r="J144"/>
  <c r="I144"/>
  <c r="G144"/>
  <c r="F144"/>
  <c r="D144"/>
  <c r="B144"/>
  <c r="P143"/>
  <c r="N143"/>
  <c r="M143"/>
  <c r="L143"/>
  <c r="K143"/>
  <c r="J143"/>
  <c r="I143"/>
  <c r="G143"/>
  <c r="F143"/>
  <c r="D143"/>
  <c r="B143"/>
  <c r="P142"/>
  <c r="N142"/>
  <c r="M142"/>
  <c r="L142"/>
  <c r="K142"/>
  <c r="J142"/>
  <c r="I142"/>
  <c r="G142"/>
  <c r="F142"/>
  <c r="D142"/>
  <c r="B142"/>
  <c r="P141"/>
  <c r="N141"/>
  <c r="M141"/>
  <c r="L141"/>
  <c r="K141"/>
  <c r="J141"/>
  <c r="I141"/>
  <c r="G141"/>
  <c r="F141"/>
  <c r="D141"/>
  <c r="B141"/>
  <c r="P140"/>
  <c r="N140"/>
  <c r="M140"/>
  <c r="L140"/>
  <c r="K140"/>
  <c r="J140"/>
  <c r="I140"/>
  <c r="G140"/>
  <c r="F140"/>
  <c r="D140"/>
  <c r="B140"/>
  <c r="P139"/>
  <c r="N139"/>
  <c r="M139"/>
  <c r="L139"/>
  <c r="K139"/>
  <c r="J139"/>
  <c r="I139"/>
  <c r="G139"/>
  <c r="F139"/>
  <c r="D139"/>
  <c r="B139"/>
  <c r="P138"/>
  <c r="N138"/>
  <c r="M138"/>
  <c r="L138"/>
  <c r="K138"/>
  <c r="J138"/>
  <c r="I138"/>
  <c r="G138"/>
  <c r="F138"/>
  <c r="D138"/>
  <c r="B138"/>
  <c r="P137"/>
  <c r="N137"/>
  <c r="M137"/>
  <c r="L137"/>
  <c r="K137"/>
  <c r="J137"/>
  <c r="I137"/>
  <c r="G137"/>
  <c r="F137"/>
  <c r="D137"/>
  <c r="B137"/>
  <c r="P136"/>
  <c r="N136"/>
  <c r="M136"/>
  <c r="L136"/>
  <c r="K136"/>
  <c r="J136"/>
  <c r="I136"/>
  <c r="G136"/>
  <c r="F136"/>
  <c r="D136"/>
  <c r="B136"/>
  <c r="P135"/>
  <c r="N135"/>
  <c r="M135"/>
  <c r="L135"/>
  <c r="K135"/>
  <c r="J135"/>
  <c r="I135"/>
  <c r="G135"/>
  <c r="F135"/>
  <c r="D135"/>
  <c r="B135"/>
  <c r="P134"/>
  <c r="N134"/>
  <c r="M134"/>
  <c r="L134"/>
  <c r="K134"/>
  <c r="J134"/>
  <c r="I134"/>
  <c r="G134"/>
  <c r="F134"/>
  <c r="D134"/>
  <c r="B134"/>
  <c r="P133"/>
  <c r="N133"/>
  <c r="M133"/>
  <c r="L133"/>
  <c r="K133"/>
  <c r="J133"/>
  <c r="I133"/>
  <c r="G133"/>
  <c r="F133"/>
  <c r="D133"/>
  <c r="B133"/>
  <c r="P132"/>
  <c r="N132"/>
  <c r="M132"/>
  <c r="L132"/>
  <c r="K132"/>
  <c r="J132"/>
  <c r="I132"/>
  <c r="G132"/>
  <c r="F132"/>
  <c r="D132"/>
  <c r="B132"/>
  <c r="P131"/>
  <c r="N131"/>
  <c r="M131"/>
  <c r="L131"/>
  <c r="K131"/>
  <c r="J131"/>
  <c r="I131"/>
  <c r="G131"/>
  <c r="F131"/>
  <c r="D131"/>
  <c r="B131"/>
  <c r="P130"/>
  <c r="N130"/>
  <c r="M130"/>
  <c r="L130"/>
  <c r="K130"/>
  <c r="J130"/>
  <c r="I130"/>
  <c r="G130"/>
  <c r="F130"/>
  <c r="D130"/>
  <c r="B130"/>
  <c r="P129"/>
  <c r="N129"/>
  <c r="M129"/>
  <c r="L129"/>
  <c r="K129"/>
  <c r="J129"/>
  <c r="I129"/>
  <c r="G129"/>
  <c r="F129"/>
  <c r="D129"/>
  <c r="B129"/>
  <c r="P128"/>
  <c r="N128"/>
  <c r="M128"/>
  <c r="L128"/>
  <c r="K128"/>
  <c r="J128"/>
  <c r="I128"/>
  <c r="G128"/>
  <c r="F128"/>
  <c r="D128"/>
  <c r="B128"/>
  <c r="P127"/>
  <c r="N127"/>
  <c r="M127"/>
  <c r="L127"/>
  <c r="K127"/>
  <c r="J127"/>
  <c r="I127"/>
  <c r="G127"/>
  <c r="F127"/>
  <c r="D127"/>
  <c r="B127"/>
  <c r="P126"/>
  <c r="N126"/>
  <c r="M126"/>
  <c r="L126"/>
  <c r="K126"/>
  <c r="J126"/>
  <c r="I126"/>
  <c r="G126"/>
  <c r="F126"/>
  <c r="D126"/>
  <c r="B126"/>
  <c r="P125"/>
  <c r="N125"/>
  <c r="M125"/>
  <c r="L125"/>
  <c r="K125"/>
  <c r="J125"/>
  <c r="I125"/>
  <c r="G125"/>
  <c r="F125"/>
  <c r="D125"/>
  <c r="B125"/>
  <c r="P124"/>
  <c r="N124"/>
  <c r="M124"/>
  <c r="L124"/>
  <c r="K124"/>
  <c r="J124"/>
  <c r="I124"/>
  <c r="G124"/>
  <c r="F124"/>
  <c r="D124"/>
  <c r="B124"/>
  <c r="P123"/>
  <c r="N123"/>
  <c r="M123"/>
  <c r="L123"/>
  <c r="K123"/>
  <c r="J123"/>
  <c r="I123"/>
  <c r="G123"/>
  <c r="F123"/>
  <c r="D123"/>
  <c r="B123"/>
  <c r="P122"/>
  <c r="N122"/>
  <c r="M122"/>
  <c r="L122"/>
  <c r="K122"/>
  <c r="J122"/>
  <c r="I122"/>
  <c r="G122"/>
  <c r="F122"/>
  <c r="D122"/>
  <c r="B122"/>
  <c r="P121"/>
  <c r="N121"/>
  <c r="M121"/>
  <c r="L121"/>
  <c r="K121"/>
  <c r="J121"/>
  <c r="I121"/>
  <c r="G121"/>
  <c r="F121"/>
  <c r="D121"/>
  <c r="B121"/>
  <c r="P120"/>
  <c r="N120"/>
  <c r="M120"/>
  <c r="L120"/>
  <c r="K120"/>
  <c r="J120"/>
  <c r="I120"/>
  <c r="G120"/>
  <c r="F120"/>
  <c r="D120"/>
  <c r="B120"/>
  <c r="P119"/>
  <c r="N119"/>
  <c r="M119"/>
  <c r="L119"/>
  <c r="K119"/>
  <c r="J119"/>
  <c r="I119"/>
  <c r="G119"/>
  <c r="F119"/>
  <c r="D119"/>
  <c r="B119"/>
  <c r="P118"/>
  <c r="N118"/>
  <c r="M118"/>
  <c r="L118"/>
  <c r="K118"/>
  <c r="J118"/>
  <c r="I118"/>
  <c r="G118"/>
  <c r="F118"/>
  <c r="D118"/>
  <c r="B118"/>
  <c r="P117"/>
  <c r="N117"/>
  <c r="M117"/>
  <c r="L117"/>
  <c r="K117"/>
  <c r="J117"/>
  <c r="I117"/>
  <c r="G117"/>
  <c r="F117"/>
  <c r="D117"/>
  <c r="B117"/>
  <c r="P116"/>
  <c r="N116"/>
  <c r="M116"/>
  <c r="L116"/>
  <c r="K116"/>
  <c r="J116"/>
  <c r="I116"/>
  <c r="G116"/>
  <c r="F116"/>
  <c r="D116"/>
  <c r="B116"/>
  <c r="P115"/>
  <c r="N115"/>
  <c r="M115"/>
  <c r="L115"/>
  <c r="K115"/>
  <c r="J115"/>
  <c r="I115"/>
  <c r="G115"/>
  <c r="F115"/>
  <c r="D115"/>
  <c r="B115"/>
  <c r="P114"/>
  <c r="N114"/>
  <c r="M114"/>
  <c r="L114"/>
  <c r="K114"/>
  <c r="J114"/>
  <c r="I114"/>
  <c r="G114"/>
  <c r="F114"/>
  <c r="D114"/>
  <c r="B114"/>
  <c r="P113"/>
  <c r="N113"/>
  <c r="M113"/>
  <c r="L113"/>
  <c r="K113"/>
  <c r="J113"/>
  <c r="I113"/>
  <c r="G113"/>
  <c r="F113"/>
  <c r="D113"/>
  <c r="B113"/>
  <c r="P112"/>
  <c r="N112"/>
  <c r="M112"/>
  <c r="L112"/>
  <c r="K112"/>
  <c r="J112"/>
  <c r="I112"/>
  <c r="G112"/>
  <c r="F112"/>
  <c r="D112"/>
  <c r="B112"/>
  <c r="P111"/>
  <c r="N111"/>
  <c r="M111"/>
  <c r="L111"/>
  <c r="K111"/>
  <c r="J111"/>
  <c r="I111"/>
  <c r="G111"/>
  <c r="F111"/>
  <c r="D111"/>
  <c r="B111"/>
  <c r="P110"/>
  <c r="N110"/>
  <c r="M110"/>
  <c r="L110"/>
  <c r="K110"/>
  <c r="J110"/>
  <c r="I110"/>
  <c r="G110"/>
  <c r="F110"/>
  <c r="D110"/>
  <c r="B110"/>
  <c r="P109"/>
  <c r="N109"/>
  <c r="M109"/>
  <c r="L109"/>
  <c r="K109"/>
  <c r="J109"/>
  <c r="I109"/>
  <c r="G109"/>
  <c r="F109"/>
  <c r="D109"/>
  <c r="B109"/>
  <c r="P108"/>
  <c r="N108"/>
  <c r="M108"/>
  <c r="L108"/>
  <c r="K108"/>
  <c r="J108"/>
  <c r="I108"/>
  <c r="G108"/>
  <c r="F108"/>
  <c r="D108"/>
  <c r="B108"/>
  <c r="P107"/>
  <c r="N107"/>
  <c r="M107"/>
  <c r="L107"/>
  <c r="K107"/>
  <c r="J107"/>
  <c r="I107"/>
  <c r="G107"/>
  <c r="F107"/>
  <c r="D107"/>
  <c r="B107"/>
  <c r="P106"/>
  <c r="N106"/>
  <c r="M106"/>
  <c r="L106"/>
  <c r="K106"/>
  <c r="J106"/>
  <c r="I106"/>
  <c r="G106"/>
  <c r="F106"/>
  <c r="D106"/>
  <c r="B106"/>
  <c r="P105"/>
  <c r="N105"/>
  <c r="M105"/>
  <c r="L105"/>
  <c r="K105"/>
  <c r="J105"/>
  <c r="I105"/>
  <c r="G105"/>
  <c r="F105"/>
  <c r="D105"/>
  <c r="B105"/>
  <c r="P104"/>
  <c r="N104"/>
  <c r="M104"/>
  <c r="L104"/>
  <c r="K104"/>
  <c r="J104"/>
  <c r="I104"/>
  <c r="G104"/>
  <c r="F104"/>
  <c r="D104"/>
  <c r="B104"/>
  <c r="P103"/>
  <c r="N103"/>
  <c r="M103"/>
  <c r="L103"/>
  <c r="K103"/>
  <c r="J103"/>
  <c r="I103"/>
  <c r="G103"/>
  <c r="F103"/>
  <c r="D103"/>
  <c r="B103"/>
  <c r="P102"/>
  <c r="N102"/>
  <c r="M102"/>
  <c r="L102"/>
  <c r="K102"/>
  <c r="J102"/>
  <c r="I102"/>
  <c r="G102"/>
  <c r="F102"/>
  <c r="D102"/>
  <c r="B102"/>
  <c r="P101"/>
  <c r="N101"/>
  <c r="M101"/>
  <c r="L101"/>
  <c r="K101"/>
  <c r="J101"/>
  <c r="I101"/>
  <c r="G101"/>
  <c r="F101"/>
  <c r="D101"/>
  <c r="B101"/>
  <c r="P100"/>
  <c r="N100"/>
  <c r="M100"/>
  <c r="L100"/>
  <c r="K100"/>
  <c r="J100"/>
  <c r="I100"/>
  <c r="G100"/>
  <c r="F100"/>
  <c r="D100"/>
  <c r="B100"/>
  <c r="P99"/>
  <c r="N99"/>
  <c r="M99"/>
  <c r="L99"/>
  <c r="K99"/>
  <c r="J99"/>
  <c r="I99"/>
  <c r="G99"/>
  <c r="F99"/>
  <c r="D99"/>
  <c r="B99"/>
  <c r="P98"/>
  <c r="N98"/>
  <c r="M98"/>
  <c r="L98"/>
  <c r="K98"/>
  <c r="J98"/>
  <c r="I98"/>
  <c r="G98"/>
  <c r="F98"/>
  <c r="D98"/>
  <c r="B98"/>
  <c r="P97"/>
  <c r="N97"/>
  <c r="M97"/>
  <c r="L97"/>
  <c r="K97"/>
  <c r="J97"/>
  <c r="I97"/>
  <c r="G97"/>
  <c r="F97"/>
  <c r="D97"/>
  <c r="B97"/>
  <c r="P96"/>
  <c r="N96"/>
  <c r="M96"/>
  <c r="L96"/>
  <c r="K96"/>
  <c r="J96"/>
  <c r="I96"/>
  <c r="G96"/>
  <c r="F96"/>
  <c r="D96"/>
  <c r="B96"/>
  <c r="P95"/>
  <c r="N95"/>
  <c r="M95"/>
  <c r="L95"/>
  <c r="K95"/>
  <c r="J95"/>
  <c r="I95"/>
  <c r="G95"/>
  <c r="F95"/>
  <c r="D95"/>
  <c r="B95"/>
  <c r="P94"/>
  <c r="N94"/>
  <c r="M94"/>
  <c r="L94"/>
  <c r="K94"/>
  <c r="J94"/>
  <c r="I94"/>
  <c r="G94"/>
  <c r="F94"/>
  <c r="D94"/>
  <c r="B94"/>
  <c r="P93"/>
  <c r="N93"/>
  <c r="M93"/>
  <c r="L93"/>
  <c r="K93"/>
  <c r="J93"/>
  <c r="I93"/>
  <c r="G93"/>
  <c r="F93"/>
  <c r="D93"/>
  <c r="B93"/>
  <c r="P92"/>
  <c r="N92"/>
  <c r="M92"/>
  <c r="L92"/>
  <c r="K92"/>
  <c r="J92"/>
  <c r="I92"/>
  <c r="G92"/>
  <c r="F92"/>
  <c r="D92"/>
  <c r="B92"/>
  <c r="P91"/>
  <c r="N91"/>
  <c r="M91"/>
  <c r="L91"/>
  <c r="K91"/>
  <c r="J91"/>
  <c r="I91"/>
  <c r="G91"/>
  <c r="F91"/>
  <c r="D91"/>
  <c r="B91"/>
  <c r="P90"/>
  <c r="N90"/>
  <c r="M90"/>
  <c r="L90"/>
  <c r="K90"/>
  <c r="J90"/>
  <c r="I90"/>
  <c r="G90"/>
  <c r="F90"/>
  <c r="D90"/>
  <c r="B90"/>
  <c r="P89"/>
  <c r="N89"/>
  <c r="M89"/>
  <c r="L89"/>
  <c r="K89"/>
  <c r="J89"/>
  <c r="I89"/>
  <c r="G89"/>
  <c r="F89"/>
  <c r="D89"/>
  <c r="B89"/>
  <c r="P88"/>
  <c r="N88"/>
  <c r="M88"/>
  <c r="L88"/>
  <c r="K88"/>
  <c r="J88"/>
  <c r="I88"/>
  <c r="G88"/>
  <c r="F88"/>
  <c r="D88"/>
  <c r="B88"/>
  <c r="P87"/>
  <c r="N87"/>
  <c r="M87"/>
  <c r="L87"/>
  <c r="K87"/>
  <c r="J87"/>
  <c r="I87"/>
  <c r="G87"/>
  <c r="F87"/>
  <c r="D87"/>
  <c r="B87"/>
  <c r="P86"/>
  <c r="N86"/>
  <c r="M86"/>
  <c r="L86"/>
  <c r="K86"/>
  <c r="J86"/>
  <c r="I86"/>
  <c r="G86"/>
  <c r="F86"/>
  <c r="D86"/>
  <c r="B86"/>
  <c r="P85"/>
  <c r="N85"/>
  <c r="M85"/>
  <c r="L85"/>
  <c r="K85"/>
  <c r="J85"/>
  <c r="I85"/>
  <c r="G85"/>
  <c r="F85"/>
  <c r="D85"/>
  <c r="B85"/>
  <c r="P84"/>
  <c r="N84"/>
  <c r="M84"/>
  <c r="L84"/>
  <c r="K84"/>
  <c r="J84"/>
  <c r="I84"/>
  <c r="G84"/>
  <c r="F84"/>
  <c r="D84"/>
  <c r="B84"/>
  <c r="P83"/>
  <c r="N83"/>
  <c r="M83"/>
  <c r="L83"/>
  <c r="K83"/>
  <c r="J83"/>
  <c r="I83"/>
  <c r="G83"/>
  <c r="F83"/>
  <c r="D83"/>
  <c r="B83"/>
  <c r="P82"/>
  <c r="N82"/>
  <c r="M82"/>
  <c r="L82"/>
  <c r="K82"/>
  <c r="J82"/>
  <c r="I82"/>
  <c r="G82"/>
  <c r="F82"/>
  <c r="D82"/>
  <c r="B82"/>
  <c r="P81"/>
  <c r="N81"/>
  <c r="M81"/>
  <c r="L81"/>
  <c r="K81"/>
  <c r="J81"/>
  <c r="I81"/>
  <c r="G81"/>
  <c r="F81"/>
  <c r="D81"/>
  <c r="B81"/>
  <c r="P80"/>
  <c r="N80"/>
  <c r="M80"/>
  <c r="L80"/>
  <c r="K80"/>
  <c r="J80"/>
  <c r="I80"/>
  <c r="G80"/>
  <c r="F80"/>
  <c r="D80"/>
  <c r="B80"/>
  <c r="P79"/>
  <c r="N79"/>
  <c r="M79"/>
  <c r="L79"/>
  <c r="K79"/>
  <c r="J79"/>
  <c r="I79"/>
  <c r="G79"/>
  <c r="F79"/>
  <c r="D79"/>
  <c r="B79"/>
  <c r="P78"/>
  <c r="N78"/>
  <c r="M78"/>
  <c r="L78"/>
  <c r="K78"/>
  <c r="J78"/>
  <c r="I78"/>
  <c r="G78"/>
  <c r="F78"/>
  <c r="D78"/>
  <c r="B78"/>
  <c r="P77"/>
  <c r="N77"/>
  <c r="M77"/>
  <c r="L77"/>
  <c r="K77"/>
  <c r="J77"/>
  <c r="I77"/>
  <c r="G77"/>
  <c r="F77"/>
  <c r="D77"/>
  <c r="B77"/>
  <c r="P76"/>
  <c r="N76"/>
  <c r="M76"/>
  <c r="L76"/>
  <c r="K76"/>
  <c r="J76"/>
  <c r="I76"/>
  <c r="G76"/>
  <c r="F76"/>
  <c r="D76"/>
  <c r="B76"/>
  <c r="P75"/>
  <c r="N75"/>
  <c r="M75"/>
  <c r="L75"/>
  <c r="K75"/>
  <c r="J75"/>
  <c r="I75"/>
  <c r="G75"/>
  <c r="F75"/>
  <c r="D75"/>
  <c r="B75"/>
  <c r="P74"/>
  <c r="N74"/>
  <c r="M74"/>
  <c r="L74"/>
  <c r="K74"/>
  <c r="J74"/>
  <c r="I74"/>
  <c r="G74"/>
  <c r="F74"/>
  <c r="D74"/>
  <c r="B74"/>
  <c r="P73"/>
  <c r="N73"/>
  <c r="M73"/>
  <c r="L73"/>
  <c r="K73"/>
  <c r="J73"/>
  <c r="I73"/>
  <c r="G73"/>
  <c r="F73"/>
  <c r="D73"/>
  <c r="B73"/>
  <c r="P72"/>
  <c r="N72"/>
  <c r="M72"/>
  <c r="L72"/>
  <c r="K72"/>
  <c r="J72"/>
  <c r="I72"/>
  <c r="G72"/>
  <c r="F72"/>
  <c r="D72"/>
  <c r="B72"/>
  <c r="P71"/>
  <c r="N71"/>
  <c r="M71"/>
  <c r="L71"/>
  <c r="K71"/>
  <c r="J71"/>
  <c r="I71"/>
  <c r="G71"/>
  <c r="F71"/>
  <c r="D71"/>
  <c r="B71"/>
  <c r="P70"/>
  <c r="N70"/>
  <c r="M70"/>
  <c r="L70"/>
  <c r="K70"/>
  <c r="J70"/>
  <c r="I70"/>
  <c r="G70"/>
  <c r="F70"/>
  <c r="D70"/>
  <c r="B70"/>
  <c r="P69"/>
  <c r="N69"/>
  <c r="M69"/>
  <c r="L69"/>
  <c r="K69"/>
  <c r="J69"/>
  <c r="I69"/>
  <c r="G69"/>
  <c r="F69"/>
  <c r="D69"/>
  <c r="B69"/>
  <c r="P68"/>
  <c r="N68"/>
  <c r="M68"/>
  <c r="L68"/>
  <c r="K68"/>
  <c r="J68"/>
  <c r="I68"/>
  <c r="G68"/>
  <c r="F68"/>
  <c r="D68"/>
  <c r="B68"/>
  <c r="P67"/>
  <c r="N67"/>
  <c r="M67"/>
  <c r="L67"/>
  <c r="K67"/>
  <c r="J67"/>
  <c r="I67"/>
  <c r="G67"/>
  <c r="F67"/>
  <c r="D67"/>
  <c r="B67"/>
  <c r="P66"/>
  <c r="N66"/>
  <c r="M66"/>
  <c r="L66"/>
  <c r="K66"/>
  <c r="J66"/>
  <c r="I66"/>
  <c r="G66"/>
  <c r="F66"/>
  <c r="D66"/>
  <c r="B66"/>
  <c r="P65"/>
  <c r="N65"/>
  <c r="M65"/>
  <c r="L65"/>
  <c r="K65"/>
  <c r="J65"/>
  <c r="I65"/>
  <c r="G65"/>
  <c r="F65"/>
  <c r="D65"/>
  <c r="B65"/>
  <c r="P64"/>
  <c r="N64"/>
  <c r="M64"/>
  <c r="L64"/>
  <c r="K64"/>
  <c r="J64"/>
  <c r="I64"/>
  <c r="G64"/>
  <c r="F64"/>
  <c r="D64"/>
  <c r="B64"/>
  <c r="P63"/>
  <c r="N63"/>
  <c r="M63"/>
  <c r="L63"/>
  <c r="K63"/>
  <c r="J63"/>
  <c r="I63"/>
  <c r="G63"/>
  <c r="F63"/>
  <c r="D63"/>
  <c r="B63"/>
  <c r="P62"/>
  <c r="N62"/>
  <c r="M62"/>
  <c r="L62"/>
  <c r="K62"/>
  <c r="J62"/>
  <c r="I62"/>
  <c r="G62"/>
  <c r="F62"/>
  <c r="D62"/>
  <c r="B62"/>
  <c r="P61"/>
  <c r="N61"/>
  <c r="M61"/>
  <c r="L61"/>
  <c r="K61"/>
  <c r="J61"/>
  <c r="I61"/>
  <c r="G61"/>
  <c r="F61"/>
  <c r="D61"/>
  <c r="B61"/>
  <c r="P60"/>
  <c r="N60"/>
  <c r="M60"/>
  <c r="L60"/>
  <c r="K60"/>
  <c r="J60"/>
  <c r="I60"/>
  <c r="G60"/>
  <c r="F60"/>
  <c r="D60"/>
  <c r="B60"/>
  <c r="P59"/>
  <c r="N59"/>
  <c r="M59"/>
  <c r="L59"/>
  <c r="K59"/>
  <c r="J59"/>
  <c r="I59"/>
  <c r="G59"/>
  <c r="F59"/>
  <c r="D59"/>
  <c r="B59"/>
  <c r="P58"/>
  <c r="N58"/>
  <c r="M58"/>
  <c r="L58"/>
  <c r="K58"/>
  <c r="J58"/>
  <c r="I58"/>
  <c r="G58"/>
  <c r="F58"/>
  <c r="D58"/>
  <c r="B58"/>
  <c r="P57"/>
  <c r="N57"/>
  <c r="M57"/>
  <c r="L57"/>
  <c r="K57"/>
  <c r="J57"/>
  <c r="I57"/>
  <c r="G57"/>
  <c r="F57"/>
  <c r="D57"/>
  <c r="B57"/>
  <c r="P56"/>
  <c r="N56"/>
  <c r="M56"/>
  <c r="L56"/>
  <c r="K56"/>
  <c r="J56"/>
  <c r="I56"/>
  <c r="G56"/>
  <c r="F56"/>
  <c r="D56"/>
  <c r="B56"/>
  <c r="P55"/>
  <c r="N55"/>
  <c r="M55"/>
  <c r="L55"/>
  <c r="K55"/>
  <c r="J55"/>
  <c r="I55"/>
  <c r="G55"/>
  <c r="F55"/>
  <c r="D55"/>
  <c r="B55"/>
  <c r="P54"/>
  <c r="N54"/>
  <c r="M54"/>
  <c r="L54"/>
  <c r="K54"/>
  <c r="J54"/>
  <c r="I54"/>
  <c r="G54"/>
  <c r="F54"/>
  <c r="D54"/>
  <c r="B54"/>
  <c r="P53"/>
  <c r="N53"/>
  <c r="M53"/>
  <c r="L53"/>
  <c r="K53"/>
  <c r="J53"/>
  <c r="I53"/>
  <c r="G53"/>
  <c r="F53"/>
  <c r="D53"/>
  <c r="B53"/>
  <c r="P52"/>
  <c r="N52"/>
  <c r="M52"/>
  <c r="L52"/>
  <c r="K52"/>
  <c r="J52"/>
  <c r="I52"/>
  <c r="G52"/>
  <c r="F52"/>
  <c r="D52"/>
  <c r="B52"/>
  <c r="P51"/>
  <c r="N51"/>
  <c r="M51"/>
  <c r="L51"/>
  <c r="K51"/>
  <c r="J51"/>
  <c r="I51"/>
  <c r="G51"/>
  <c r="F51"/>
  <c r="D51"/>
  <c r="B51"/>
  <c r="P50"/>
  <c r="N50"/>
  <c r="M50"/>
  <c r="L50"/>
  <c r="K50"/>
  <c r="J50"/>
  <c r="I50"/>
  <c r="G50"/>
  <c r="F50"/>
  <c r="D50"/>
  <c r="B50"/>
  <c r="P49"/>
  <c r="N49"/>
  <c r="M49"/>
  <c r="L49"/>
  <c r="K49"/>
  <c r="J49"/>
  <c r="I49"/>
  <c r="G49"/>
  <c r="F49"/>
  <c r="D49"/>
  <c r="B49"/>
  <c r="P48"/>
  <c r="N48"/>
  <c r="M48"/>
  <c r="L48"/>
  <c r="K48"/>
  <c r="J48"/>
  <c r="I48"/>
  <c r="G48"/>
  <c r="F48"/>
  <c r="D48"/>
  <c r="B48"/>
  <c r="P47"/>
  <c r="N47"/>
  <c r="M47"/>
  <c r="L47"/>
  <c r="K47"/>
  <c r="J47"/>
  <c r="I47"/>
  <c r="G47"/>
  <c r="F47"/>
  <c r="D47"/>
  <c r="B47"/>
  <c r="P46"/>
  <c r="N46"/>
  <c r="M46"/>
  <c r="L46"/>
  <c r="K46"/>
  <c r="J46"/>
  <c r="I46"/>
  <c r="G46"/>
  <c r="F46"/>
  <c r="D46"/>
  <c r="B46"/>
  <c r="P45"/>
  <c r="N45"/>
  <c r="M45"/>
  <c r="L45"/>
  <c r="K45"/>
  <c r="J45"/>
  <c r="I45"/>
  <c r="G45"/>
  <c r="F45"/>
  <c r="D45"/>
  <c r="B45"/>
  <c r="P44"/>
  <c r="N44"/>
  <c r="M44"/>
  <c r="L44"/>
  <c r="K44"/>
  <c r="J44"/>
  <c r="I44"/>
  <c r="G44"/>
  <c r="F44"/>
  <c r="D44"/>
  <c r="B44"/>
  <c r="P43"/>
  <c r="N43"/>
  <c r="M43"/>
  <c r="L43"/>
  <c r="K43"/>
  <c r="J43"/>
  <c r="I43"/>
  <c r="G43"/>
  <c r="F43"/>
  <c r="D43"/>
  <c r="B43"/>
  <c r="P42"/>
  <c r="N42"/>
  <c r="M42"/>
  <c r="L42"/>
  <c r="K42"/>
  <c r="J42"/>
  <c r="I42"/>
  <c r="G42"/>
  <c r="F42"/>
  <c r="D42"/>
  <c r="B42"/>
  <c r="P41"/>
  <c r="N41"/>
  <c r="M41"/>
  <c r="L41"/>
  <c r="K41"/>
  <c r="J41"/>
  <c r="I41"/>
  <c r="G41"/>
  <c r="F41"/>
  <c r="D41"/>
  <c r="B41"/>
  <c r="P40"/>
  <c r="N40"/>
  <c r="M40"/>
  <c r="L40"/>
  <c r="K40"/>
  <c r="J40"/>
  <c r="I40"/>
  <c r="G40"/>
  <c r="F40"/>
  <c r="D40"/>
  <c r="B40"/>
  <c r="P39"/>
  <c r="N39"/>
  <c r="M39"/>
  <c r="L39"/>
  <c r="K39"/>
  <c r="J39"/>
  <c r="I39"/>
  <c r="G39"/>
  <c r="F39"/>
  <c r="D39"/>
  <c r="B39"/>
  <c r="P38"/>
  <c r="N38"/>
  <c r="M38"/>
  <c r="L38"/>
  <c r="K38"/>
  <c r="J38"/>
  <c r="I38"/>
  <c r="G38"/>
  <c r="F38"/>
  <c r="D38"/>
  <c r="B38"/>
  <c r="P37"/>
  <c r="N37"/>
  <c r="M37"/>
  <c r="L37"/>
  <c r="K37"/>
  <c r="J37"/>
  <c r="I37"/>
  <c r="G37"/>
  <c r="F37"/>
  <c r="D37"/>
  <c r="B37"/>
  <c r="P36"/>
  <c r="N36"/>
  <c r="M36"/>
  <c r="L36"/>
  <c r="K36"/>
  <c r="J36"/>
  <c r="I36"/>
  <c r="G36"/>
  <c r="F36"/>
  <c r="D36"/>
  <c r="B36"/>
  <c r="P35"/>
  <c r="N35"/>
  <c r="M35"/>
  <c r="L35"/>
  <c r="K35"/>
  <c r="J35"/>
  <c r="I35"/>
  <c r="G35"/>
  <c r="F35"/>
  <c r="D35"/>
  <c r="B35"/>
  <c r="P34"/>
  <c r="N34"/>
  <c r="M34"/>
  <c r="L34"/>
  <c r="K34"/>
  <c r="J34"/>
  <c r="I34"/>
  <c r="G34"/>
  <c r="F34"/>
  <c r="D34"/>
  <c r="B34"/>
  <c r="P33"/>
  <c r="N33"/>
  <c r="M33"/>
  <c r="L33"/>
  <c r="K33"/>
  <c r="J33"/>
  <c r="I33"/>
  <c r="G33"/>
  <c r="F33"/>
  <c r="D33"/>
  <c r="B33"/>
  <c r="P32"/>
  <c r="N32"/>
  <c r="M32"/>
  <c r="L32"/>
  <c r="K32"/>
  <c r="J32"/>
  <c r="I32"/>
  <c r="G32"/>
  <c r="F32"/>
  <c r="D32"/>
  <c r="B32"/>
  <c r="P31"/>
  <c r="N31"/>
  <c r="M31"/>
  <c r="L31"/>
  <c r="K31"/>
  <c r="J31"/>
  <c r="I31"/>
  <c r="G31"/>
  <c r="F31"/>
  <c r="D31"/>
  <c r="B31"/>
  <c r="P30"/>
  <c r="N30"/>
  <c r="M30"/>
  <c r="L30"/>
  <c r="K30"/>
  <c r="J30"/>
  <c r="I30"/>
  <c r="G30"/>
  <c r="F30"/>
  <c r="D30"/>
  <c r="B30"/>
  <c r="P29"/>
  <c r="N29"/>
  <c r="M29"/>
  <c r="L29"/>
  <c r="K29"/>
  <c r="J29"/>
  <c r="I29"/>
  <c r="G29"/>
  <c r="F29"/>
  <c r="D29"/>
  <c r="B29"/>
  <c r="P28"/>
  <c r="N28"/>
  <c r="M28"/>
  <c r="L28"/>
  <c r="K28"/>
  <c r="J28"/>
  <c r="I28"/>
  <c r="G28"/>
  <c r="F28"/>
  <c r="D28"/>
  <c r="B28"/>
  <c r="P27"/>
  <c r="N27"/>
  <c r="M27"/>
  <c r="L27"/>
  <c r="K27"/>
  <c r="J27"/>
  <c r="I27"/>
  <c r="G27"/>
  <c r="F27"/>
  <c r="D27"/>
  <c r="B27"/>
  <c r="P26"/>
  <c r="N26"/>
  <c r="M26"/>
  <c r="L26"/>
  <c r="K26"/>
  <c r="J26"/>
  <c r="I26"/>
  <c r="G26"/>
  <c r="F26"/>
  <c r="D26"/>
  <c r="B26"/>
  <c r="P25"/>
  <c r="N25"/>
  <c r="M25"/>
  <c r="L25"/>
  <c r="K25"/>
  <c r="J25"/>
  <c r="I25"/>
  <c r="G25"/>
  <c r="F25"/>
  <c r="D25"/>
  <c r="B25"/>
  <c r="P24"/>
  <c r="N24"/>
  <c r="M24"/>
  <c r="L24"/>
  <c r="K24"/>
  <c r="J24"/>
  <c r="I24"/>
  <c r="G24"/>
  <c r="F24"/>
  <c r="D24"/>
  <c r="B24"/>
  <c r="P23"/>
  <c r="N23"/>
  <c r="M23"/>
  <c r="L23"/>
  <c r="K23"/>
  <c r="J23"/>
  <c r="I23"/>
  <c r="G23"/>
  <c r="F23"/>
  <c r="D23"/>
  <c r="B23"/>
  <c r="P22"/>
  <c r="N22"/>
  <c r="M22"/>
  <c r="L22"/>
  <c r="K22"/>
  <c r="J22"/>
  <c r="I22"/>
  <c r="G22"/>
  <c r="F22"/>
  <c r="D22"/>
  <c r="B22"/>
  <c r="P21"/>
  <c r="N21"/>
  <c r="M21"/>
  <c r="L21"/>
  <c r="K21"/>
  <c r="J21"/>
  <c r="I21"/>
  <c r="G21"/>
  <c r="F21"/>
  <c r="D21"/>
  <c r="B21"/>
  <c r="P20"/>
  <c r="N20"/>
  <c r="M20"/>
  <c r="L20"/>
  <c r="K20"/>
  <c r="J20"/>
  <c r="I20"/>
  <c r="G20"/>
  <c r="F20"/>
  <c r="D20"/>
  <c r="B20"/>
  <c r="P19"/>
  <c r="N19"/>
  <c r="M19"/>
  <c r="L19"/>
  <c r="K19"/>
  <c r="J19"/>
  <c r="I19"/>
  <c r="G19"/>
  <c r="F19"/>
  <c r="D19"/>
  <c r="B19"/>
  <c r="P18"/>
  <c r="N18"/>
  <c r="M18"/>
  <c r="L18"/>
  <c r="K18"/>
  <c r="J18"/>
  <c r="I18"/>
  <c r="G18"/>
  <c r="F18"/>
  <c r="D18"/>
  <c r="B18"/>
  <c r="P17"/>
  <c r="N17"/>
  <c r="M17"/>
  <c r="L17"/>
  <c r="K17"/>
  <c r="J17"/>
  <c r="I17"/>
  <c r="G17"/>
  <c r="F17"/>
  <c r="D17"/>
  <c r="B17"/>
  <c r="P16"/>
  <c r="N16"/>
  <c r="M16"/>
  <c r="L16"/>
  <c r="K16"/>
  <c r="J16"/>
  <c r="I16"/>
  <c r="G16"/>
  <c r="F16"/>
  <c r="D16"/>
  <c r="B16"/>
  <c r="P15"/>
  <c r="N15"/>
  <c r="M15"/>
  <c r="L15"/>
  <c r="K15"/>
  <c r="J15"/>
  <c r="I15"/>
  <c r="G15"/>
  <c r="F15"/>
  <c r="D15"/>
  <c r="B15"/>
  <c r="P14"/>
  <c r="N14"/>
  <c r="M14"/>
  <c r="L14"/>
  <c r="K14"/>
  <c r="J14"/>
  <c r="I14"/>
  <c r="G14"/>
  <c r="F14"/>
  <c r="D14"/>
  <c r="B14"/>
  <c r="P13"/>
  <c r="N13"/>
  <c r="M13"/>
  <c r="L13"/>
  <c r="K13"/>
  <c r="J13"/>
  <c r="I13"/>
  <c r="G13"/>
  <c r="F13"/>
  <c r="D13"/>
  <c r="B13"/>
  <c r="P12"/>
  <c r="N12"/>
  <c r="M12"/>
  <c r="L12"/>
  <c r="K12"/>
  <c r="J12"/>
  <c r="I12"/>
  <c r="G12"/>
  <c r="F12"/>
  <c r="D12"/>
  <c r="B12"/>
  <c r="P11"/>
  <c r="N11"/>
  <c r="M11"/>
  <c r="L11"/>
  <c r="K11"/>
  <c r="J11"/>
  <c r="I11"/>
  <c r="G11"/>
  <c r="F11"/>
  <c r="D11"/>
  <c r="B11"/>
  <c r="P10"/>
  <c r="N10"/>
  <c r="M10"/>
  <c r="L10"/>
  <c r="K10"/>
  <c r="J10"/>
  <c r="I10"/>
  <c r="G10"/>
  <c r="F10"/>
  <c r="D10"/>
  <c r="B10"/>
  <c r="P9"/>
  <c r="N9"/>
  <c r="M9"/>
  <c r="L9"/>
  <c r="K9"/>
  <c r="J9"/>
  <c r="I9"/>
  <c r="G9"/>
  <c r="F9"/>
  <c r="D9"/>
  <c r="B9"/>
  <c r="P8"/>
  <c r="N8"/>
  <c r="M8"/>
  <c r="L8"/>
  <c r="K8"/>
  <c r="J8"/>
  <c r="I8"/>
  <c r="G8"/>
  <c r="F8"/>
  <c r="D8"/>
  <c r="B8"/>
  <c r="O1"/>
  <c r="G1"/>
  <c r="F1"/>
  <c r="E1"/>
  <c r="D1"/>
  <c r="C1"/>
  <c r="B1"/>
  <c r="I11" i="25" l="1"/>
  <c r="F11" i="24" s="1"/>
  <c r="O57" i="25"/>
  <c r="C22" i="11" s="1"/>
  <c r="B53" i="19" s="1"/>
  <c r="I9" i="25"/>
  <c r="O47"/>
  <c r="C12" i="11" s="1"/>
  <c r="B43" i="19" s="1"/>
  <c r="H100" i="27"/>
  <c r="J12" i="34"/>
  <c r="H174"/>
  <c r="K12"/>
  <c r="H5" i="33"/>
  <c r="C5" s="1"/>
  <c r="B5" i="26"/>
  <c r="I8" i="25"/>
  <c r="F8" i="24" s="1"/>
  <c r="F7"/>
  <c r="H173" i="34"/>
  <c r="I10" i="25"/>
  <c r="F10" i="24" s="1"/>
  <c r="B6" i="26"/>
  <c r="F9" i="24"/>
  <c r="Q20" i="33"/>
  <c r="Q17"/>
  <c r="Q14"/>
  <c r="Q11"/>
  <c r="Q8"/>
  <c r="Q27"/>
  <c r="Q5"/>
  <c r="Q30"/>
  <c r="I12" i="25"/>
  <c r="F12" i="24" s="1"/>
  <c r="C9" i="25"/>
  <c r="G16" i="33"/>
  <c r="G15"/>
  <c r="G14"/>
  <c r="I5" i="25"/>
  <c r="B30"/>
  <c r="B32" s="1"/>
  <c r="O54" s="1"/>
  <c r="C19" i="11" s="1"/>
  <c r="B50" i="19" s="1"/>
  <c r="E116" i="27"/>
  <c r="D9" i="28"/>
  <c r="E118" i="27" s="1"/>
  <c r="D116"/>
  <c r="C9" i="28"/>
  <c r="R20" i="33"/>
  <c r="R14"/>
  <c r="R27"/>
  <c r="R5"/>
  <c r="R17"/>
  <c r="R11"/>
  <c r="R8"/>
  <c r="C7" i="30"/>
  <c r="D7"/>
  <c r="Z37" i="35"/>
  <c r="Z38"/>
  <c r="Z39"/>
  <c r="Z40"/>
  <c r="Z41"/>
  <c r="Z42"/>
  <c r="Z43"/>
  <c r="Z44"/>
  <c r="Z45"/>
  <c r="Z64"/>
  <c r="Z65"/>
  <c r="Z66"/>
  <c r="Z67"/>
  <c r="Z68"/>
  <c r="Z69"/>
  <c r="Z70"/>
  <c r="Z71"/>
  <c r="Z72"/>
  <c r="Z91"/>
  <c r="Z92"/>
  <c r="Z93"/>
  <c r="Z94"/>
  <c r="Z95"/>
  <c r="Z96"/>
  <c r="Z97"/>
  <c r="Z98"/>
  <c r="Z99"/>
  <c r="Z118"/>
  <c r="Z119"/>
  <c r="Z120"/>
  <c r="Z121"/>
  <c r="Z122"/>
  <c r="Z123"/>
  <c r="Z124"/>
  <c r="Z125"/>
  <c r="Z126"/>
  <c r="Z145"/>
  <c r="Z146"/>
  <c r="Z147"/>
  <c r="Z148"/>
  <c r="Z149"/>
  <c r="Z150"/>
  <c r="Z151"/>
  <c r="Z152"/>
  <c r="Z153"/>
  <c r="Z172"/>
  <c r="Z173"/>
  <c r="Z174"/>
  <c r="Z175"/>
  <c r="Z176"/>
  <c r="Z177"/>
  <c r="Z178"/>
  <c r="Z179"/>
  <c r="Z180"/>
  <c r="E14" i="33"/>
  <c r="F11"/>
  <c r="E15"/>
  <c r="F12"/>
  <c r="E16"/>
  <c r="F13"/>
  <c r="F9" i="28"/>
  <c r="G118" i="27" s="1"/>
  <c r="E89"/>
  <c r="D92"/>
  <c r="R37" i="33"/>
  <c r="N5"/>
  <c r="P5" s="1"/>
  <c r="E40"/>
  <c r="F37"/>
  <c r="E44"/>
  <c r="F41"/>
  <c r="E36"/>
  <c r="F33"/>
  <c r="G173" i="34"/>
  <c r="K11"/>
  <c r="Y11"/>
  <c r="E8" i="23" s="1"/>
  <c r="B3" i="26"/>
  <c r="I4" i="25"/>
  <c r="F4" i="24" s="1"/>
  <c r="G13" i="33"/>
  <c r="G12"/>
  <c r="G11"/>
  <c r="C7" i="25"/>
  <c r="C8" s="1"/>
  <c r="H116" i="27"/>
  <c r="G9" i="28"/>
  <c r="H118" i="27" s="1"/>
  <c r="K46" i="33"/>
  <c r="K30"/>
  <c r="K5"/>
  <c r="K41"/>
  <c r="K20"/>
  <c r="K19"/>
  <c r="K16"/>
  <c r="K15"/>
  <c r="K14"/>
  <c r="K13"/>
  <c r="K12"/>
  <c r="K11"/>
  <c r="K10"/>
  <c r="K47"/>
  <c r="K31"/>
  <c r="K6"/>
  <c r="K53"/>
  <c r="K52"/>
  <c r="K36"/>
  <c r="K22"/>
  <c r="K21"/>
  <c r="K18"/>
  <c r="K17"/>
  <c r="K9"/>
  <c r="K8"/>
  <c r="K7"/>
  <c r="C8" i="30"/>
  <c r="Q32" i="33" s="1"/>
  <c r="D8" i="30"/>
  <c r="K50" i="33" s="1"/>
  <c r="O35"/>
  <c r="D38"/>
  <c r="I173" i="34"/>
  <c r="L11"/>
  <c r="E92" i="27"/>
  <c r="R33" i="33"/>
  <c r="M21" i="35"/>
  <c r="M24"/>
  <c r="M27"/>
  <c r="M30"/>
  <c r="M33"/>
  <c r="M36"/>
  <c r="M39"/>
  <c r="M42"/>
  <c r="M45"/>
  <c r="M48"/>
  <c r="M51"/>
  <c r="M54"/>
  <c r="M57"/>
  <c r="M60"/>
  <c r="M63"/>
  <c r="M66"/>
  <c r="M69"/>
  <c r="M72"/>
  <c r="M75"/>
  <c r="M78"/>
  <c r="M81"/>
  <c r="M84"/>
  <c r="M87"/>
  <c r="M90"/>
  <c r="M93"/>
  <c r="M96"/>
  <c r="M99"/>
  <c r="M102"/>
  <c r="M105"/>
  <c r="M108"/>
  <c r="M111"/>
  <c r="M114"/>
  <c r="M117"/>
  <c r="M120"/>
  <c r="M123"/>
  <c r="M126"/>
  <c r="M129"/>
  <c r="M132"/>
  <c r="M135"/>
  <c r="M138"/>
  <c r="M141"/>
  <c r="M144"/>
  <c r="M147"/>
  <c r="M150"/>
  <c r="M153"/>
  <c r="M156"/>
  <c r="M159"/>
  <c r="M162"/>
  <c r="M165"/>
  <c r="M168"/>
  <c r="M171"/>
  <c r="M174"/>
  <c r="M177"/>
  <c r="Z20"/>
  <c r="Z21"/>
  <c r="Z22"/>
  <c r="Z23"/>
  <c r="Z24"/>
  <c r="Z25"/>
  <c r="Z26"/>
  <c r="Z27"/>
  <c r="Z46"/>
  <c r="Z47"/>
  <c r="Z48"/>
  <c r="Z49"/>
  <c r="Z50"/>
  <c r="Z51"/>
  <c r="Z52"/>
  <c r="Z53"/>
  <c r="Z54"/>
  <c r="Z73"/>
  <c r="Z74"/>
  <c r="Z75"/>
  <c r="Z76"/>
  <c r="Z77"/>
  <c r="Z78"/>
  <c r="Z79"/>
  <c r="Z80"/>
  <c r="Z81"/>
  <c r="Z100"/>
  <c r="Z101"/>
  <c r="Z102"/>
  <c r="Z103"/>
  <c r="Z104"/>
  <c r="Z105"/>
  <c r="Z106"/>
  <c r="Z107"/>
  <c r="Z108"/>
  <c r="Z127"/>
  <c r="Z128"/>
  <c r="Z129"/>
  <c r="Z130"/>
  <c r="Z131"/>
  <c r="Z132"/>
  <c r="Z133"/>
  <c r="Z134"/>
  <c r="Z135"/>
  <c r="Z154"/>
  <c r="Z155"/>
  <c r="Z156"/>
  <c r="Z157"/>
  <c r="Z158"/>
  <c r="Z159"/>
  <c r="Z160"/>
  <c r="Z161"/>
  <c r="Z162"/>
  <c r="I175" i="34"/>
  <c r="L13"/>
  <c r="J174"/>
  <c r="U12"/>
  <c r="Z28" i="35"/>
  <c r="Z29"/>
  <c r="Z30"/>
  <c r="Z31"/>
  <c r="Z32"/>
  <c r="Z33"/>
  <c r="Z34"/>
  <c r="Z35"/>
  <c r="Z36"/>
  <c r="Z55"/>
  <c r="Z56"/>
  <c r="Z57"/>
  <c r="Z58"/>
  <c r="Z59"/>
  <c r="Z60"/>
  <c r="Z61"/>
  <c r="Z62"/>
  <c r="Z63"/>
  <c r="Z82"/>
  <c r="Z83"/>
  <c r="Z84"/>
  <c r="Z85"/>
  <c r="Z86"/>
  <c r="Z87"/>
  <c r="Z88"/>
  <c r="Z89"/>
  <c r="Z90"/>
  <c r="Z109"/>
  <c r="Z110"/>
  <c r="Z111"/>
  <c r="Z112"/>
  <c r="Z113"/>
  <c r="Z114"/>
  <c r="Z115"/>
  <c r="Z116"/>
  <c r="Z117"/>
  <c r="Z136"/>
  <c r="Z137"/>
  <c r="Z138"/>
  <c r="Z139"/>
  <c r="Z140"/>
  <c r="Z141"/>
  <c r="Z142"/>
  <c r="Z143"/>
  <c r="Z144"/>
  <c r="Z163"/>
  <c r="Z164"/>
  <c r="Z165"/>
  <c r="Z166"/>
  <c r="Z167"/>
  <c r="Z168"/>
  <c r="Z169"/>
  <c r="Z170"/>
  <c r="Z171"/>
  <c r="F174" i="34"/>
  <c r="N12"/>
  <c r="K477" i="35"/>
  <c r="V180"/>
  <c r="V477" s="1"/>
  <c r="A183"/>
  <c r="D182"/>
  <c r="I182" s="1"/>
  <c r="I479" s="1"/>
  <c r="C182"/>
  <c r="H182" s="1"/>
  <c r="E182"/>
  <c r="J182" s="1"/>
  <c r="B182"/>
  <c r="G182" s="1"/>
  <c r="H478"/>
  <c r="L181"/>
  <c r="Z181"/>
  <c r="H175" i="34"/>
  <c r="J13"/>
  <c r="F7" i="28"/>
  <c r="G116" i="27" s="1"/>
  <c r="O10" i="33"/>
  <c r="O13"/>
  <c r="O16"/>
  <c r="O19"/>
  <c r="O32"/>
  <c r="H78" i="27"/>
  <c r="H81" s="1"/>
  <c r="H91" s="1"/>
  <c r="H92" s="1"/>
  <c r="D22" s="1"/>
  <c r="D24" s="1"/>
  <c r="D6" s="1"/>
  <c r="N7" i="33"/>
  <c r="O29"/>
  <c r="O37"/>
  <c r="M180" i="35"/>
  <c r="C5" i="30"/>
  <c r="G6" i="33"/>
  <c r="O6"/>
  <c r="H7"/>
  <c r="C7" s="1"/>
  <c r="H8"/>
  <c r="C8" s="1"/>
  <c r="H9"/>
  <c r="C9" s="1"/>
  <c r="H10"/>
  <c r="C10" s="1"/>
  <c r="H11"/>
  <c r="C11" s="1"/>
  <c r="H12"/>
  <c r="C12" s="1"/>
  <c r="H13"/>
  <c r="C13" s="1"/>
  <c r="H14"/>
  <c r="C14" s="1"/>
  <c r="H15"/>
  <c r="C15" s="1"/>
  <c r="H16"/>
  <c r="C16" s="1"/>
  <c r="H17"/>
  <c r="C17" s="1"/>
  <c r="H18"/>
  <c r="C18" s="1"/>
  <c r="H19"/>
  <c r="C19" s="1"/>
  <c r="H20"/>
  <c r="C20" s="1"/>
  <c r="H21"/>
  <c r="C21" s="1"/>
  <c r="H22"/>
  <c r="C22" s="1"/>
  <c r="O27"/>
  <c r="F30"/>
  <c r="R30"/>
  <c r="Q33"/>
  <c r="F34"/>
  <c r="R34"/>
  <c r="D36"/>
  <c r="Q37"/>
  <c r="F38"/>
  <c r="D40"/>
  <c r="B11" i="34"/>
  <c r="F11" s="1"/>
  <c r="J11" s="1"/>
  <c r="Y12"/>
  <c r="E9" i="23" s="1"/>
  <c r="G478" i="35"/>
  <c r="K181"/>
  <c r="O181"/>
  <c r="F175" i="34"/>
  <c r="N13"/>
  <c r="I174"/>
  <c r="L12"/>
  <c r="J478" i="35"/>
  <c r="M181"/>
  <c r="G175" i="34"/>
  <c r="Y13"/>
  <c r="E10" i="23" s="1"/>
  <c r="K13" i="34"/>
  <c r="A15"/>
  <c r="D14"/>
  <c r="H14" s="1"/>
  <c r="E14"/>
  <c r="I14" s="1"/>
  <c r="C14"/>
  <c r="G14" s="1"/>
  <c r="B14"/>
  <c r="F14" s="1"/>
  <c r="O7" i="33"/>
  <c r="E7" i="28"/>
  <c r="F116" i="27" s="1"/>
  <c r="O33" i="33"/>
  <c r="H77" i="27"/>
  <c r="AL12" i="34"/>
  <c r="I5" i="33" l="1"/>
  <c r="Y5" s="1"/>
  <c r="R12" i="34" s="1"/>
  <c r="I7" i="33"/>
  <c r="M7" s="1"/>
  <c r="J173" i="34"/>
  <c r="U11"/>
  <c r="G9" i="33"/>
  <c r="G8"/>
  <c r="C5" i="25"/>
  <c r="C6" s="1"/>
  <c r="G10" i="33"/>
  <c r="K478" i="35"/>
  <c r="V181"/>
  <c r="V478" s="1"/>
  <c r="E21" i="33"/>
  <c r="F21" s="1"/>
  <c r="E18"/>
  <c r="F18" s="1"/>
  <c r="F15"/>
  <c r="I176" i="34"/>
  <c r="L14"/>
  <c r="U174"/>
  <c r="A171" i="23" s="1"/>
  <c r="A9"/>
  <c r="O38" i="33"/>
  <c r="R38"/>
  <c r="D41"/>
  <c r="Q38"/>
  <c r="I11"/>
  <c r="M11" s="1"/>
  <c r="N11"/>
  <c r="P11" s="1"/>
  <c r="S11" s="1"/>
  <c r="E47"/>
  <c r="F44"/>
  <c r="F176" i="34"/>
  <c r="N14"/>
  <c r="A16"/>
  <c r="D15"/>
  <c r="H15" s="1"/>
  <c r="E15"/>
  <c r="I15" s="1"/>
  <c r="C15"/>
  <c r="G15" s="1"/>
  <c r="B15"/>
  <c r="F15" s="1"/>
  <c r="D43" i="33"/>
  <c r="Q40"/>
  <c r="R40"/>
  <c r="O40"/>
  <c r="J57"/>
  <c r="J53"/>
  <c r="J49"/>
  <c r="J45"/>
  <c r="J41"/>
  <c r="J37"/>
  <c r="J33"/>
  <c r="J29"/>
  <c r="J56"/>
  <c r="J48"/>
  <c r="J44"/>
  <c r="J32"/>
  <c r="J22"/>
  <c r="J19"/>
  <c r="J18"/>
  <c r="J17"/>
  <c r="J13"/>
  <c r="J11"/>
  <c r="L11" s="1"/>
  <c r="J8"/>
  <c r="J59"/>
  <c r="J55"/>
  <c r="J51"/>
  <c r="J43"/>
  <c r="J39"/>
  <c r="J35"/>
  <c r="J6"/>
  <c r="J58"/>
  <c r="J54"/>
  <c r="J50"/>
  <c r="J46"/>
  <c r="J42"/>
  <c r="J38"/>
  <c r="J34"/>
  <c r="J30"/>
  <c r="J28"/>
  <c r="J5"/>
  <c r="J52"/>
  <c r="J40"/>
  <c r="J36"/>
  <c r="J21"/>
  <c r="J20"/>
  <c r="J16"/>
  <c r="J15"/>
  <c r="J14"/>
  <c r="J12"/>
  <c r="J10"/>
  <c r="J9"/>
  <c r="J7"/>
  <c r="J47"/>
  <c r="J31"/>
  <c r="J27"/>
  <c r="J479" i="35"/>
  <c r="M182"/>
  <c r="I13" i="33"/>
  <c r="M13" s="1"/>
  <c r="N13"/>
  <c r="P13" s="1"/>
  <c r="E39"/>
  <c r="F36"/>
  <c r="E43"/>
  <c r="F40"/>
  <c r="R21"/>
  <c r="R15"/>
  <c r="R12"/>
  <c r="R28"/>
  <c r="R18"/>
  <c r="R9"/>
  <c r="R31"/>
  <c r="R6"/>
  <c r="I15"/>
  <c r="N15"/>
  <c r="P15" s="1"/>
  <c r="K48"/>
  <c r="K27"/>
  <c r="K33"/>
  <c r="S5"/>
  <c r="R35"/>
  <c r="K40"/>
  <c r="K56"/>
  <c r="K57"/>
  <c r="K35"/>
  <c r="K51"/>
  <c r="M15"/>
  <c r="K32"/>
  <c r="K49"/>
  <c r="K34"/>
  <c r="H176" i="34"/>
  <c r="J14"/>
  <c r="F173"/>
  <c r="N11"/>
  <c r="D39" i="33"/>
  <c r="Q36"/>
  <c r="R36"/>
  <c r="O36"/>
  <c r="I6"/>
  <c r="N6"/>
  <c r="P6" s="1"/>
  <c r="G479" i="35"/>
  <c r="O182"/>
  <c r="K182"/>
  <c r="E183"/>
  <c r="J183" s="1"/>
  <c r="A184"/>
  <c r="D183"/>
  <c r="I183" s="1"/>
  <c r="I480" s="1"/>
  <c r="C183"/>
  <c r="H183" s="1"/>
  <c r="B183"/>
  <c r="G183" s="1"/>
  <c r="Q22" i="33"/>
  <c r="Q19"/>
  <c r="Q16"/>
  <c r="Q13"/>
  <c r="Q10"/>
  <c r="Q7"/>
  <c r="Q29"/>
  <c r="I12"/>
  <c r="N12"/>
  <c r="P12" s="1"/>
  <c r="I14"/>
  <c r="M14" s="1"/>
  <c r="N14"/>
  <c r="P14" s="1"/>
  <c r="S14" s="1"/>
  <c r="J175" i="34"/>
  <c r="U13"/>
  <c r="R29" i="33"/>
  <c r="R32"/>
  <c r="R16"/>
  <c r="R10"/>
  <c r="R7"/>
  <c r="R22"/>
  <c r="R19"/>
  <c r="R13"/>
  <c r="B4" i="26"/>
  <c r="C4" s="1"/>
  <c r="I6" i="25"/>
  <c r="F6" i="24" s="1"/>
  <c r="F5"/>
  <c r="C10" i="25"/>
  <c r="G176" i="34"/>
  <c r="Y14"/>
  <c r="E11" i="23" s="1"/>
  <c r="K14" i="34"/>
  <c r="H479" i="35"/>
  <c r="L182"/>
  <c r="Z182"/>
  <c r="E22" i="33"/>
  <c r="F22" s="1"/>
  <c r="E19"/>
  <c r="F19" s="1"/>
  <c r="F16"/>
  <c r="E20"/>
  <c r="F20" s="1"/>
  <c r="E17"/>
  <c r="F17" s="1"/>
  <c r="F14"/>
  <c r="Q21"/>
  <c r="Q18"/>
  <c r="Q15"/>
  <c r="S15" s="1"/>
  <c r="Q12"/>
  <c r="S12" s="1"/>
  <c r="Q9"/>
  <c r="Q31"/>
  <c r="Q34"/>
  <c r="Q28"/>
  <c r="Q6"/>
  <c r="D118" i="27"/>
  <c r="I16" i="33"/>
  <c r="M16" s="1"/>
  <c r="N16"/>
  <c r="P16" s="1"/>
  <c r="K45"/>
  <c r="K43"/>
  <c r="K59"/>
  <c r="K28"/>
  <c r="K42"/>
  <c r="K58"/>
  <c r="E9" i="28"/>
  <c r="F118" i="27" s="1"/>
  <c r="P7" i="33"/>
  <c r="Q35"/>
  <c r="K44"/>
  <c r="K37"/>
  <c r="K39"/>
  <c r="K55"/>
  <c r="K29"/>
  <c r="K38"/>
  <c r="K54"/>
  <c r="T5"/>
  <c r="AL11" i="34"/>
  <c r="AL13"/>
  <c r="L5" i="33" l="1"/>
  <c r="U5" s="1"/>
  <c r="O11" i="34" s="1"/>
  <c r="M5" i="33"/>
  <c r="X5" s="1"/>
  <c r="Q11" i="34" s="1"/>
  <c r="AI11" s="1"/>
  <c r="O8" i="23" s="1"/>
  <c r="Y12" i="33"/>
  <c r="V12" s="1"/>
  <c r="G7" i="25" s="1"/>
  <c r="S16" i="33"/>
  <c r="Y6"/>
  <c r="Z6" s="1"/>
  <c r="S14" i="34" s="1"/>
  <c r="AB14" s="1"/>
  <c r="H11" i="23" s="1"/>
  <c r="L15" i="33"/>
  <c r="L7"/>
  <c r="Y7"/>
  <c r="V7" s="1"/>
  <c r="G4" i="25" s="1"/>
  <c r="G10" s="1"/>
  <c r="C6" i="26"/>
  <c r="S13" i="33"/>
  <c r="T13"/>
  <c r="X13" s="1"/>
  <c r="F5" i="11" s="1"/>
  <c r="T12" i="33"/>
  <c r="Y13"/>
  <c r="V13" s="1"/>
  <c r="G8" i="25" s="1"/>
  <c r="L16" i="33"/>
  <c r="T7"/>
  <c r="X7" s="1"/>
  <c r="K479" i="35"/>
  <c r="V182"/>
  <c r="V479" s="1"/>
  <c r="D42" i="33"/>
  <c r="R39"/>
  <c r="O39"/>
  <c r="Q39"/>
  <c r="G480" i="35"/>
  <c r="O183"/>
  <c r="K183"/>
  <c r="J176" i="34"/>
  <c r="U14"/>
  <c r="F177"/>
  <c r="N15"/>
  <c r="A17"/>
  <c r="D16"/>
  <c r="H16" s="1"/>
  <c r="B16"/>
  <c r="F16" s="1"/>
  <c r="E16"/>
  <c r="I16" s="1"/>
  <c r="C16"/>
  <c r="G16" s="1"/>
  <c r="F47" i="33"/>
  <c r="E50"/>
  <c r="R41"/>
  <c r="O41"/>
  <c r="D44"/>
  <c r="Q41"/>
  <c r="U173" i="34"/>
  <c r="A170" i="23" s="1"/>
  <c r="A8"/>
  <c r="B184" i="35"/>
  <c r="G184" s="1"/>
  <c r="E184"/>
  <c r="J184" s="1"/>
  <c r="D184"/>
  <c r="I184" s="1"/>
  <c r="I481" s="1"/>
  <c r="C184"/>
  <c r="H184" s="1"/>
  <c r="A185"/>
  <c r="E42" i="33"/>
  <c r="F39"/>
  <c r="H177" i="34"/>
  <c r="J15"/>
  <c r="I10" i="33"/>
  <c r="L10" s="1"/>
  <c r="N10"/>
  <c r="P10" s="1"/>
  <c r="T10" s="1"/>
  <c r="L6"/>
  <c r="T11"/>
  <c r="X11" s="1"/>
  <c r="T6"/>
  <c r="M12"/>
  <c r="Y16"/>
  <c r="C3" i="26"/>
  <c r="T14" i="33"/>
  <c r="X14" s="1"/>
  <c r="Y15"/>
  <c r="L14"/>
  <c r="U14" s="1"/>
  <c r="Z5"/>
  <c r="S11" i="34" s="1"/>
  <c r="AB11" s="1"/>
  <c r="H8" i="23" s="1"/>
  <c r="V5" i="33"/>
  <c r="H480" i="35"/>
  <c r="Z183"/>
  <c r="L183"/>
  <c r="V6" i="33"/>
  <c r="G3" i="25" s="1"/>
  <c r="G9" s="1"/>
  <c r="E46" i="33"/>
  <c r="F43"/>
  <c r="G177" i="34"/>
  <c r="Y15"/>
  <c r="E12" i="23" s="1"/>
  <c r="K15" i="34"/>
  <c r="I8" i="33"/>
  <c r="N8"/>
  <c r="P8" s="1"/>
  <c r="J480" i="35"/>
  <c r="M183"/>
  <c r="U175" i="34"/>
  <c r="A172" i="23" s="1"/>
  <c r="A10"/>
  <c r="R11" i="34"/>
  <c r="Q43" i="33"/>
  <c r="R43"/>
  <c r="O43"/>
  <c r="D46"/>
  <c r="I177" i="34"/>
  <c r="L15"/>
  <c r="I9" i="33"/>
  <c r="N9"/>
  <c r="P9" s="1"/>
  <c r="S9" s="1"/>
  <c r="U11"/>
  <c r="C10" i="28"/>
  <c r="D119" i="27" s="1"/>
  <c r="D38" s="1"/>
  <c r="D10" s="1"/>
  <c r="U15" i="33"/>
  <c r="M6"/>
  <c r="S6"/>
  <c r="T16"/>
  <c r="X16" s="1"/>
  <c r="F12" i="11" s="1"/>
  <c r="Y14" i="33"/>
  <c r="S7"/>
  <c r="C5" i="26"/>
  <c r="T15" i="33"/>
  <c r="X15" s="1"/>
  <c r="L12"/>
  <c r="U12" s="1"/>
  <c r="L13"/>
  <c r="R13" i="34"/>
  <c r="Y11" i="33"/>
  <c r="AL14" i="34"/>
  <c r="Z13" i="33" l="1"/>
  <c r="E5" i="11" s="1"/>
  <c r="E6" s="1"/>
  <c r="R14" i="34"/>
  <c r="Q13"/>
  <c r="AI13" s="1"/>
  <c r="O10" i="23" s="1"/>
  <c r="Q12" i="34"/>
  <c r="AI12" s="1"/>
  <c r="O9" i="23" s="1"/>
  <c r="U16" i="33"/>
  <c r="L29" i="12"/>
  <c r="H8" i="20" s="1"/>
  <c r="M18" i="12"/>
  <c r="M36"/>
  <c r="O15" i="20" s="1"/>
  <c r="F13" i="11"/>
  <c r="F18"/>
  <c r="M11" i="12"/>
  <c r="M29"/>
  <c r="O8" i="20" s="1"/>
  <c r="F6" i="11"/>
  <c r="Z12" i="33"/>
  <c r="W11" i="34"/>
  <c r="C8" i="23" s="1"/>
  <c r="U7" i="33"/>
  <c r="F4" i="25" s="1"/>
  <c r="S10" i="33"/>
  <c r="U10" s="1"/>
  <c r="Z7"/>
  <c r="X12"/>
  <c r="U13"/>
  <c r="F8" i="25" s="1"/>
  <c r="Y9" i="33"/>
  <c r="M9"/>
  <c r="B25" i="30"/>
  <c r="D9" i="27"/>
  <c r="A18" i="34"/>
  <c r="D17"/>
  <c r="H17" s="1"/>
  <c r="C17"/>
  <c r="G17" s="1"/>
  <c r="E17"/>
  <c r="I17" s="1"/>
  <c r="B17"/>
  <c r="F17" s="1"/>
  <c r="G58" i="33"/>
  <c r="G54"/>
  <c r="G50"/>
  <c r="G46"/>
  <c r="G42"/>
  <c r="G38"/>
  <c r="G34"/>
  <c r="G30"/>
  <c r="G28"/>
  <c r="G49"/>
  <c r="G41"/>
  <c r="G37"/>
  <c r="G29"/>
  <c r="G32"/>
  <c r="G22"/>
  <c r="G21"/>
  <c r="G20"/>
  <c r="C11" i="25"/>
  <c r="G59" i="33"/>
  <c r="G55"/>
  <c r="G51"/>
  <c r="G47"/>
  <c r="G43"/>
  <c r="G39"/>
  <c r="G35"/>
  <c r="G31"/>
  <c r="G27"/>
  <c r="G57"/>
  <c r="G53"/>
  <c r="G45"/>
  <c r="G33"/>
  <c r="G56"/>
  <c r="G52"/>
  <c r="G48"/>
  <c r="G44"/>
  <c r="G40"/>
  <c r="G36"/>
  <c r="O46"/>
  <c r="Q46"/>
  <c r="R46"/>
  <c r="D49"/>
  <c r="Y8"/>
  <c r="M8"/>
  <c r="Z16"/>
  <c r="E12" i="11" s="1"/>
  <c r="V16" i="33"/>
  <c r="J177" i="34"/>
  <c r="U15"/>
  <c r="C185" i="35"/>
  <c r="H185" s="1"/>
  <c r="B185"/>
  <c r="G185" s="1"/>
  <c r="A186"/>
  <c r="E185"/>
  <c r="J185" s="1"/>
  <c r="D185"/>
  <c r="I185" s="1"/>
  <c r="I482" s="1"/>
  <c r="H178" i="34"/>
  <c r="J16"/>
  <c r="V11" i="33"/>
  <c r="W11" s="1"/>
  <c r="Z11"/>
  <c r="Z14"/>
  <c r="V14"/>
  <c r="W14" s="1"/>
  <c r="S12" i="34"/>
  <c r="AB12" s="1"/>
  <c r="H9" i="23" s="1"/>
  <c r="S13" i="34"/>
  <c r="AB13" s="1"/>
  <c r="H10" i="23" s="1"/>
  <c r="Z15" i="33"/>
  <c r="V15"/>
  <c r="W15" s="1"/>
  <c r="I178" i="34"/>
  <c r="L16"/>
  <c r="R15"/>
  <c r="P15"/>
  <c r="W177" s="1"/>
  <c r="C174" i="23" s="1"/>
  <c r="S15" i="34"/>
  <c r="AB15" s="1"/>
  <c r="H12" i="23" s="1"/>
  <c r="U176" i="34"/>
  <c r="A173" i="23" s="1"/>
  <c r="A11"/>
  <c r="T9" i="33"/>
  <c r="L9"/>
  <c r="U9" s="1"/>
  <c r="U6"/>
  <c r="F3" i="25" s="1"/>
  <c r="M3" s="1"/>
  <c r="P12" i="34"/>
  <c r="W174" s="1"/>
  <c r="C171" i="23" s="1"/>
  <c r="P13" i="34"/>
  <c r="W175" s="1"/>
  <c r="C172" i="23" s="1"/>
  <c r="H481" i="35"/>
  <c r="Z184"/>
  <c r="L184"/>
  <c r="G178" i="34"/>
  <c r="Y16"/>
  <c r="E13" i="23" s="1"/>
  <c r="K16" i="34"/>
  <c r="W5" i="33"/>
  <c r="O13" i="34"/>
  <c r="W13" s="1"/>
  <c r="C10" i="23" s="1"/>
  <c r="O12" i="34"/>
  <c r="W12" s="1"/>
  <c r="C9" i="23" s="1"/>
  <c r="G481" i="35"/>
  <c r="K184"/>
  <c r="O184"/>
  <c r="D47" i="33"/>
  <c r="Q44"/>
  <c r="R44"/>
  <c r="O44"/>
  <c r="K480" i="35"/>
  <c r="V183"/>
  <c r="V480" s="1"/>
  <c r="F7" i="25"/>
  <c r="W12" i="33"/>
  <c r="T8"/>
  <c r="S8"/>
  <c r="E49"/>
  <c r="F46"/>
  <c r="Y10"/>
  <c r="M10"/>
  <c r="X10" s="1"/>
  <c r="F19" i="11" s="1"/>
  <c r="E45" i="33"/>
  <c r="F42"/>
  <c r="J481" i="35"/>
  <c r="M184"/>
  <c r="E53" i="33"/>
  <c r="F50"/>
  <c r="F178" i="34"/>
  <c r="N16"/>
  <c r="O42" i="33"/>
  <c r="Q42"/>
  <c r="R42"/>
  <c r="D45"/>
  <c r="X6"/>
  <c r="Q14" i="34" s="1"/>
  <c r="AI14" s="1"/>
  <c r="O11" i="23" s="1"/>
  <c r="L8" i="33"/>
  <c r="P11" i="34"/>
  <c r="W173" s="1"/>
  <c r="C170" i="23" s="1"/>
  <c r="P14" i="34"/>
  <c r="W176" s="1"/>
  <c r="C173" i="23" s="1"/>
  <c r="AL15" i="34"/>
  <c r="L11" i="12" l="1"/>
  <c r="W16" i="33"/>
  <c r="L36" i="12"/>
  <c r="H15" i="20" s="1"/>
  <c r="L18" i="12"/>
  <c r="F7" i="11"/>
  <c r="M30" i="12"/>
  <c r="O9" i="20" s="1"/>
  <c r="M12" i="12"/>
  <c r="M19"/>
  <c r="M37"/>
  <c r="O16" i="20" s="1"/>
  <c r="M43" i="12"/>
  <c r="O22" i="20" s="1"/>
  <c r="M25" i="12"/>
  <c r="E21" i="11"/>
  <c r="E18"/>
  <c r="E13"/>
  <c r="M42" i="12"/>
  <c r="O21" i="20" s="1"/>
  <c r="F20" i="11"/>
  <c r="M24" i="12"/>
  <c r="E7" i="11"/>
  <c r="L30" i="12"/>
  <c r="H9" i="20" s="1"/>
  <c r="L12" i="12"/>
  <c r="W7" i="33"/>
  <c r="Q15" i="34"/>
  <c r="AI15" s="1"/>
  <c r="O12" i="23" s="1"/>
  <c r="W13" i="33"/>
  <c r="Z10"/>
  <c r="E19" i="11" s="1"/>
  <c r="V10" i="33"/>
  <c r="G6" i="25" s="1"/>
  <c r="D50" i="33"/>
  <c r="R47"/>
  <c r="O47"/>
  <c r="Q47"/>
  <c r="W6"/>
  <c r="O14" i="34"/>
  <c r="W14" s="1"/>
  <c r="C11" i="23" s="1"/>
  <c r="U177" i="34"/>
  <c r="A174" i="23" s="1"/>
  <c r="A12"/>
  <c r="N33" i="33"/>
  <c r="P33" s="1"/>
  <c r="I33"/>
  <c r="N43"/>
  <c r="P43" s="1"/>
  <c r="I43"/>
  <c r="I22"/>
  <c r="N22"/>
  <c r="P22" s="1"/>
  <c r="N34"/>
  <c r="P34" s="1"/>
  <c r="I34"/>
  <c r="I179" i="34"/>
  <c r="L17"/>
  <c r="M4" i="25"/>
  <c r="K4"/>
  <c r="L4" s="1"/>
  <c r="F10"/>
  <c r="R45" i="33"/>
  <c r="D48"/>
  <c r="Q45"/>
  <c r="O45"/>
  <c r="M8" i="25"/>
  <c r="K8"/>
  <c r="L8" s="1"/>
  <c r="H482" i="35"/>
  <c r="L185"/>
  <c r="Z185"/>
  <c r="I56" i="33"/>
  <c r="N56"/>
  <c r="I39"/>
  <c r="N39"/>
  <c r="P39" s="1"/>
  <c r="N37"/>
  <c r="P37" s="1"/>
  <c r="I37"/>
  <c r="F179" i="34"/>
  <c r="N17"/>
  <c r="A19"/>
  <c r="B18"/>
  <c r="F18" s="1"/>
  <c r="C18"/>
  <c r="G18" s="1"/>
  <c r="D18"/>
  <c r="H18" s="1"/>
  <c r="E18"/>
  <c r="I18" s="1"/>
  <c r="F5" i="25"/>
  <c r="F11" s="1"/>
  <c r="J178" i="34"/>
  <c r="U16"/>
  <c r="A187" i="35"/>
  <c r="D186"/>
  <c r="I186" s="1"/>
  <c r="I483" s="1"/>
  <c r="C186"/>
  <c r="H186" s="1"/>
  <c r="B186"/>
  <c r="G186" s="1"/>
  <c r="E186"/>
  <c r="J186" s="1"/>
  <c r="V8" i="33"/>
  <c r="Z8"/>
  <c r="I48"/>
  <c r="N48"/>
  <c r="N45"/>
  <c r="I45"/>
  <c r="I31"/>
  <c r="N31"/>
  <c r="P31" s="1"/>
  <c r="N47"/>
  <c r="P47" s="1"/>
  <c r="I47"/>
  <c r="C12" i="25"/>
  <c r="I32" i="33"/>
  <c r="N32"/>
  <c r="P32" s="1"/>
  <c r="N49"/>
  <c r="I49"/>
  <c r="N38"/>
  <c r="P38" s="1"/>
  <c r="I38"/>
  <c r="I54"/>
  <c r="N54"/>
  <c r="G179" i="34"/>
  <c r="K17"/>
  <c r="Y17"/>
  <c r="E14" i="23" s="1"/>
  <c r="O15" i="34"/>
  <c r="W15" s="1"/>
  <c r="C12" i="23" s="1"/>
  <c r="U8" i="33"/>
  <c r="F6" i="25"/>
  <c r="J482" i="35"/>
  <c r="M185"/>
  <c r="I44" i="33"/>
  <c r="N44"/>
  <c r="P44" s="1"/>
  <c r="S44" s="1"/>
  <c r="I27"/>
  <c r="N27"/>
  <c r="P27" s="1"/>
  <c r="I59"/>
  <c r="N59"/>
  <c r="N41"/>
  <c r="P41" s="1"/>
  <c r="I41"/>
  <c r="I50"/>
  <c r="N50"/>
  <c r="G19"/>
  <c r="G18"/>
  <c r="G17"/>
  <c r="Q16" i="34"/>
  <c r="AI16" s="1"/>
  <c r="O13" i="23" s="1"/>
  <c r="R16" i="34"/>
  <c r="S16"/>
  <c r="AB16" s="1"/>
  <c r="H13" i="23" s="1"/>
  <c r="O16" i="34"/>
  <c r="W16" s="1"/>
  <c r="C13" i="23" s="1"/>
  <c r="P16" i="34"/>
  <c r="W178" s="1"/>
  <c r="C175" i="23" s="1"/>
  <c r="I40" i="33"/>
  <c r="N40"/>
  <c r="P40" s="1"/>
  <c r="N57"/>
  <c r="I57"/>
  <c r="N55"/>
  <c r="I55"/>
  <c r="I21"/>
  <c r="N21"/>
  <c r="P21" s="1"/>
  <c r="N30"/>
  <c r="P30" s="1"/>
  <c r="I30"/>
  <c r="I46"/>
  <c r="N46"/>
  <c r="P46" s="1"/>
  <c r="S46" s="1"/>
  <c r="Z9"/>
  <c r="V9"/>
  <c r="G5" i="25" s="1"/>
  <c r="G11" s="1"/>
  <c r="E56" i="33"/>
  <c r="F53"/>
  <c r="E48"/>
  <c r="F45"/>
  <c r="E52"/>
  <c r="F49"/>
  <c r="K7" i="25"/>
  <c r="L7" s="1"/>
  <c r="M7"/>
  <c r="D7" i="24" s="1"/>
  <c r="K481" i="35"/>
  <c r="V184"/>
  <c r="V481" s="1"/>
  <c r="G482"/>
  <c r="K185"/>
  <c r="O185"/>
  <c r="R49" i="33"/>
  <c r="O49"/>
  <c r="D52"/>
  <c r="Q49"/>
  <c r="I36"/>
  <c r="N36"/>
  <c r="P36" s="1"/>
  <c r="I52"/>
  <c r="N52"/>
  <c r="N53"/>
  <c r="I53"/>
  <c r="N35"/>
  <c r="P35" s="1"/>
  <c r="I35"/>
  <c r="N51"/>
  <c r="I51"/>
  <c r="I20"/>
  <c r="N20"/>
  <c r="P20" s="1"/>
  <c r="N29"/>
  <c r="P29" s="1"/>
  <c r="I29"/>
  <c r="N28"/>
  <c r="P28" s="1"/>
  <c r="I28"/>
  <c r="I42"/>
  <c r="N42"/>
  <c r="P42" s="1"/>
  <c r="S42" s="1"/>
  <c r="N58"/>
  <c r="I58"/>
  <c r="H179" i="34"/>
  <c r="J17"/>
  <c r="X8" i="33"/>
  <c r="X9"/>
  <c r="AL16" i="34"/>
  <c r="P45" i="33" l="1"/>
  <c r="S45" s="1"/>
  <c r="D8" i="24"/>
  <c r="P40" i="25"/>
  <c r="D4" i="24"/>
  <c r="P53" i="25"/>
  <c r="P55"/>
  <c r="P56"/>
  <c r="P48"/>
  <c r="L43" i="12"/>
  <c r="H22" i="20" s="1"/>
  <c r="L25" i="12"/>
  <c r="F21" i="11"/>
  <c r="M26" i="12"/>
  <c r="M44"/>
  <c r="O23" i="20" s="1"/>
  <c r="L27" i="12"/>
  <c r="L45"/>
  <c r="H24" i="20" s="1"/>
  <c r="E20" i="11"/>
  <c r="T44" i="33"/>
  <c r="L24" i="12"/>
  <c r="L42"/>
  <c r="H21" i="20" s="1"/>
  <c r="M31" i="12"/>
  <c r="O10" i="20" s="1"/>
  <c r="M13" i="12"/>
  <c r="L31"/>
  <c r="H10" i="20" s="1"/>
  <c r="L13" i="12"/>
  <c r="L19"/>
  <c r="L37"/>
  <c r="H16" i="20" s="1"/>
  <c r="T46" i="33"/>
  <c r="T42"/>
  <c r="S28"/>
  <c r="T28"/>
  <c r="Y20"/>
  <c r="M20"/>
  <c r="L20"/>
  <c r="S35"/>
  <c r="T35"/>
  <c r="M52"/>
  <c r="L52"/>
  <c r="D55"/>
  <c r="Q52"/>
  <c r="R52"/>
  <c r="O52"/>
  <c r="P52" s="1"/>
  <c r="Y52" s="1"/>
  <c r="I18"/>
  <c r="N18"/>
  <c r="P18" s="1"/>
  <c r="Y41"/>
  <c r="M41"/>
  <c r="L41"/>
  <c r="S27"/>
  <c r="T27"/>
  <c r="I180" i="34"/>
  <c r="L18"/>
  <c r="S37" i="33"/>
  <c r="T37"/>
  <c r="M56"/>
  <c r="L56"/>
  <c r="T43"/>
  <c r="S43"/>
  <c r="Y28"/>
  <c r="M28"/>
  <c r="L28"/>
  <c r="F52"/>
  <c r="E55"/>
  <c r="Y46"/>
  <c r="S185" i="35" s="1"/>
  <c r="M46" i="33"/>
  <c r="L46"/>
  <c r="U46" s="1"/>
  <c r="P184" i="35" s="1"/>
  <c r="X184" s="1"/>
  <c r="Y21" i="33"/>
  <c r="M21"/>
  <c r="L21"/>
  <c r="M50"/>
  <c r="L50"/>
  <c r="Y44"/>
  <c r="M44"/>
  <c r="L44"/>
  <c r="U44" s="1"/>
  <c r="S38"/>
  <c r="T38"/>
  <c r="L45"/>
  <c r="M45"/>
  <c r="H483" i="35"/>
  <c r="L186"/>
  <c r="Z186"/>
  <c r="Y37" i="33"/>
  <c r="L37"/>
  <c r="M37"/>
  <c r="Y34"/>
  <c r="L34"/>
  <c r="M34"/>
  <c r="Y43"/>
  <c r="L43"/>
  <c r="M43"/>
  <c r="O50"/>
  <c r="Q50"/>
  <c r="R50"/>
  <c r="D53"/>
  <c r="J179" i="34"/>
  <c r="U17"/>
  <c r="Y29" i="33"/>
  <c r="M29"/>
  <c r="L29"/>
  <c r="L51"/>
  <c r="M51"/>
  <c r="M53"/>
  <c r="L53"/>
  <c r="T36"/>
  <c r="S36"/>
  <c r="E51"/>
  <c r="F48"/>
  <c r="S30"/>
  <c r="T30"/>
  <c r="Y40"/>
  <c r="M40"/>
  <c r="L40"/>
  <c r="I19"/>
  <c r="N19"/>
  <c r="P19" s="1"/>
  <c r="S41"/>
  <c r="T41"/>
  <c r="Y27"/>
  <c r="L27"/>
  <c r="M27"/>
  <c r="L54"/>
  <c r="M54"/>
  <c r="K11" i="25"/>
  <c r="L11" s="1"/>
  <c r="M11"/>
  <c r="D11" i="24" s="1"/>
  <c r="S31" i="33"/>
  <c r="T31"/>
  <c r="J483" i="35"/>
  <c r="M186"/>
  <c r="E187"/>
  <c r="J187" s="1"/>
  <c r="A188"/>
  <c r="D187"/>
  <c r="I187" s="1"/>
  <c r="I484" s="1"/>
  <c r="B187"/>
  <c r="G187" s="1"/>
  <c r="C187"/>
  <c r="H187" s="1"/>
  <c r="K5" i="25"/>
  <c r="L5" s="1"/>
  <c r="M5"/>
  <c r="D5" i="24" s="1"/>
  <c r="H180" i="34"/>
  <c r="J18"/>
  <c r="Q17"/>
  <c r="AI17" s="1"/>
  <c r="O14" i="23" s="1"/>
  <c r="P17" i="34"/>
  <c r="W179" s="1"/>
  <c r="C176" i="23" s="1"/>
  <c r="R17" i="34"/>
  <c r="S17"/>
  <c r="AB17" s="1"/>
  <c r="H14" i="23" s="1"/>
  <c r="O17" i="34"/>
  <c r="W17" s="1"/>
  <c r="C14" i="23" s="1"/>
  <c r="T39" i="33"/>
  <c r="S39"/>
  <c r="S22"/>
  <c r="T22"/>
  <c r="Y33"/>
  <c r="M33"/>
  <c r="L33"/>
  <c r="W9"/>
  <c r="P49"/>
  <c r="S49" s="1"/>
  <c r="K482" i="35"/>
  <c r="V185"/>
  <c r="V482" s="1"/>
  <c r="Y30" i="33"/>
  <c r="M30"/>
  <c r="L30"/>
  <c r="L55"/>
  <c r="M55"/>
  <c r="T40"/>
  <c r="S40"/>
  <c r="M49"/>
  <c r="L49"/>
  <c r="A20" i="34"/>
  <c r="D19"/>
  <c r="H19" s="1"/>
  <c r="B19"/>
  <c r="F19" s="1"/>
  <c r="C19"/>
  <c r="G19" s="1"/>
  <c r="E19"/>
  <c r="I19" s="1"/>
  <c r="D51" i="33"/>
  <c r="Q48"/>
  <c r="R48"/>
  <c r="O48"/>
  <c r="P48" s="1"/>
  <c r="Y48" s="1"/>
  <c r="T34"/>
  <c r="S34"/>
  <c r="L58"/>
  <c r="M58"/>
  <c r="T20"/>
  <c r="S20"/>
  <c r="Y35"/>
  <c r="M35"/>
  <c r="L35"/>
  <c r="E59"/>
  <c r="F59" s="1"/>
  <c r="F56"/>
  <c r="I17"/>
  <c r="N17"/>
  <c r="P17" s="1"/>
  <c r="L59"/>
  <c r="M59"/>
  <c r="Y32"/>
  <c r="M32"/>
  <c r="L32"/>
  <c r="Y47"/>
  <c r="M47"/>
  <c r="L47"/>
  <c r="F180" i="34"/>
  <c r="N18"/>
  <c r="K3" i="25"/>
  <c r="L3" s="1"/>
  <c r="D3" i="24"/>
  <c r="F9" i="25"/>
  <c r="Y42" i="33"/>
  <c r="M42"/>
  <c r="L42"/>
  <c r="U42" s="1"/>
  <c r="S29"/>
  <c r="T29"/>
  <c r="Y36"/>
  <c r="M36"/>
  <c r="L36"/>
  <c r="T21"/>
  <c r="S21"/>
  <c r="L57"/>
  <c r="M57"/>
  <c r="M6" i="25"/>
  <c r="K6"/>
  <c r="L6" s="1"/>
  <c r="Y38" i="33"/>
  <c r="L38"/>
  <c r="M38"/>
  <c r="S32"/>
  <c r="T32"/>
  <c r="G12" i="25"/>
  <c r="F12"/>
  <c r="Y31" i="33"/>
  <c r="M31"/>
  <c r="L31"/>
  <c r="L48"/>
  <c r="M48"/>
  <c r="G483" i="35"/>
  <c r="K186"/>
  <c r="O186"/>
  <c r="U178" i="34"/>
  <c r="A175" i="23" s="1"/>
  <c r="A13"/>
  <c r="G180" i="34"/>
  <c r="K18"/>
  <c r="Y18"/>
  <c r="E15" i="23" s="1"/>
  <c r="Y39" i="33"/>
  <c r="M39"/>
  <c r="L39"/>
  <c r="M10" i="25"/>
  <c r="K10"/>
  <c r="L10" s="1"/>
  <c r="Y22" i="33"/>
  <c r="M22"/>
  <c r="L22"/>
  <c r="S33"/>
  <c r="T33"/>
  <c r="S47"/>
  <c r="W10"/>
  <c r="W8"/>
  <c r="P50"/>
  <c r="Y50" s="1"/>
  <c r="T47"/>
  <c r="AL17" i="34"/>
  <c r="T49" i="33" l="1"/>
  <c r="S184" i="35"/>
  <c r="U39" i="33"/>
  <c r="P146" i="35" s="1"/>
  <c r="X146" s="1"/>
  <c r="T45" i="33"/>
  <c r="Y45"/>
  <c r="S183" i="35" s="1"/>
  <c r="X44" i="33"/>
  <c r="R171" i="35" s="1"/>
  <c r="Y49" i="33"/>
  <c r="V49" s="1"/>
  <c r="D20" i="11"/>
  <c r="I26" i="12"/>
  <c r="I44"/>
  <c r="C23" i="20" s="1"/>
  <c r="D6" i="24"/>
  <c r="P54" i="25"/>
  <c r="M27" i="12"/>
  <c r="M45"/>
  <c r="O24" i="20" s="1"/>
  <c r="D21" i="11"/>
  <c r="I45" i="12"/>
  <c r="C24" i="20" s="1"/>
  <c r="I27" i="12"/>
  <c r="D5" i="11"/>
  <c r="I29" i="12"/>
  <c r="C8" i="20" s="1"/>
  <c r="P41" i="25"/>
  <c r="I11" i="12"/>
  <c r="D10" i="24"/>
  <c r="P47" i="25"/>
  <c r="L44" i="12"/>
  <c r="H23" i="20" s="1"/>
  <c r="L26" i="12"/>
  <c r="D13" i="11"/>
  <c r="I37" i="12"/>
  <c r="C16" i="20" s="1"/>
  <c r="I19" i="12"/>
  <c r="D18" i="11"/>
  <c r="I24" i="12"/>
  <c r="I42"/>
  <c r="C21" i="20" s="1"/>
  <c r="X42" i="33"/>
  <c r="R156" i="35" s="1"/>
  <c r="P185"/>
  <c r="X185" s="1"/>
  <c r="X46" i="33"/>
  <c r="R185" i="35" s="1"/>
  <c r="AJ185" s="1"/>
  <c r="U27" i="33"/>
  <c r="P28" i="35" s="1"/>
  <c r="X28" s="1"/>
  <c r="S182"/>
  <c r="X36" i="33"/>
  <c r="R119" i="35" s="1"/>
  <c r="X35" i="33"/>
  <c r="R79" i="35" s="1"/>
  <c r="U37" i="33"/>
  <c r="P121" i="35" s="1"/>
  <c r="X121" s="1"/>
  <c r="X41" i="33"/>
  <c r="R134" i="35" s="1"/>
  <c r="U30" i="33"/>
  <c r="P47" i="35" s="1"/>
  <c r="X47" s="1"/>
  <c r="U47" i="33"/>
  <c r="X32"/>
  <c r="R63" i="35" s="1"/>
  <c r="U20" i="33"/>
  <c r="X39"/>
  <c r="R128" i="35" s="1"/>
  <c r="U38" i="33"/>
  <c r="P116" i="35" s="1"/>
  <c r="X116" s="1"/>
  <c r="U29" i="33"/>
  <c r="P26" i="35" s="1"/>
  <c r="X26" s="1"/>
  <c r="X34" i="33"/>
  <c r="R96" i="35" s="1"/>
  <c r="X31" i="33"/>
  <c r="R67" i="35" s="1"/>
  <c r="X22" i="33"/>
  <c r="F22" i="11" s="1"/>
  <c r="U33" i="33"/>
  <c r="P82" i="35" s="1"/>
  <c r="X82" s="1"/>
  <c r="U21" i="33"/>
  <c r="U28"/>
  <c r="P40" i="35" s="1"/>
  <c r="X40" s="1"/>
  <c r="Z52" i="33"/>
  <c r="V52"/>
  <c r="Z48"/>
  <c r="V48"/>
  <c r="Z50"/>
  <c r="V50"/>
  <c r="A21" i="34"/>
  <c r="D20"/>
  <c r="H20" s="1"/>
  <c r="E20"/>
  <c r="I20" s="1"/>
  <c r="B20"/>
  <c r="F20" s="1"/>
  <c r="C20"/>
  <c r="G20" s="1"/>
  <c r="H484" i="35"/>
  <c r="Z187"/>
  <c r="L187"/>
  <c r="Y19" i="33"/>
  <c r="M19"/>
  <c r="L19"/>
  <c r="Z44"/>
  <c r="V44"/>
  <c r="W44" s="1"/>
  <c r="S179" i="35"/>
  <c r="S180"/>
  <c r="S162"/>
  <c r="Z41" i="33"/>
  <c r="V41"/>
  <c r="S151" i="35"/>
  <c r="S142"/>
  <c r="S135"/>
  <c r="S143"/>
  <c r="S133"/>
  <c r="S134"/>
  <c r="S153"/>
  <c r="S152"/>
  <c r="S144"/>
  <c r="R60"/>
  <c r="Z38" i="33"/>
  <c r="V38"/>
  <c r="S125" i="35"/>
  <c r="S108"/>
  <c r="S126"/>
  <c r="S107"/>
  <c r="S115"/>
  <c r="S116"/>
  <c r="S117"/>
  <c r="S106"/>
  <c r="S124"/>
  <c r="K9" i="25"/>
  <c r="L9" s="1"/>
  <c r="M9"/>
  <c r="D9" i="24" s="1"/>
  <c r="H181" i="34"/>
  <c r="J19"/>
  <c r="Z30" i="33"/>
  <c r="V30"/>
  <c r="S65" i="35"/>
  <c r="S56"/>
  <c r="S64"/>
  <c r="S66"/>
  <c r="S46"/>
  <c r="S57"/>
  <c r="S48"/>
  <c r="S55"/>
  <c r="S47"/>
  <c r="B188"/>
  <c r="G188" s="1"/>
  <c r="E188"/>
  <c r="J188" s="1"/>
  <c r="C188"/>
  <c r="H188" s="1"/>
  <c r="A189"/>
  <c r="D188"/>
  <c r="I188" s="1"/>
  <c r="I485" s="1"/>
  <c r="T19" i="33"/>
  <c r="S19"/>
  <c r="Z40"/>
  <c r="V40"/>
  <c r="S148" i="35"/>
  <c r="S139"/>
  <c r="S150"/>
  <c r="S131"/>
  <c r="S132"/>
  <c r="S130"/>
  <c r="S140"/>
  <c r="S141"/>
  <c r="S149"/>
  <c r="U179" i="34"/>
  <c r="A176" i="23" s="1"/>
  <c r="A14"/>
  <c r="Z43" i="33"/>
  <c r="V43"/>
  <c r="S167" i="35"/>
  <c r="S177"/>
  <c r="S175"/>
  <c r="S168"/>
  <c r="S158"/>
  <c r="Z39" i="33"/>
  <c r="V39"/>
  <c r="S138" i="35"/>
  <c r="S136"/>
  <c r="S129"/>
  <c r="S128"/>
  <c r="S137"/>
  <c r="S145"/>
  <c r="S127"/>
  <c r="S146"/>
  <c r="S147"/>
  <c r="Z42" i="33"/>
  <c r="V42"/>
  <c r="S155" i="35"/>
  <c r="S156"/>
  <c r="S172"/>
  <c r="S164"/>
  <c r="S163"/>
  <c r="S154"/>
  <c r="S174"/>
  <c r="Q18" i="34"/>
  <c r="AI18" s="1"/>
  <c r="O15" i="23" s="1"/>
  <c r="S18" i="34"/>
  <c r="AB18" s="1"/>
  <c r="H15" i="23" s="1"/>
  <c r="O18" i="34"/>
  <c r="W18" s="1"/>
  <c r="C15" i="23" s="1"/>
  <c r="P18" i="34"/>
  <c r="W180" s="1"/>
  <c r="C177" i="23" s="1"/>
  <c r="R18" i="34"/>
  <c r="Z47" i="33"/>
  <c r="V47"/>
  <c r="Y17"/>
  <c r="M17"/>
  <c r="L17"/>
  <c r="F181" i="34"/>
  <c r="N19"/>
  <c r="Z33" i="33"/>
  <c r="V33"/>
  <c r="S82" i="35"/>
  <c r="S74"/>
  <c r="S84"/>
  <c r="S83"/>
  <c r="S93"/>
  <c r="S75"/>
  <c r="S73"/>
  <c r="S91"/>
  <c r="S92"/>
  <c r="Z29" i="33"/>
  <c r="V29"/>
  <c r="S27" i="35"/>
  <c r="S35"/>
  <c r="S44"/>
  <c r="S36"/>
  <c r="S43"/>
  <c r="S25"/>
  <c r="S34"/>
  <c r="S45"/>
  <c r="S26"/>
  <c r="Z34" i="33"/>
  <c r="V34"/>
  <c r="S96" i="35"/>
  <c r="S86"/>
  <c r="S85"/>
  <c r="S94"/>
  <c r="S95"/>
  <c r="S76"/>
  <c r="S77"/>
  <c r="S87"/>
  <c r="S78"/>
  <c r="P160"/>
  <c r="X160" s="1"/>
  <c r="P171"/>
  <c r="X171" s="1"/>
  <c r="P178"/>
  <c r="X178" s="1"/>
  <c r="P161"/>
  <c r="X161" s="1"/>
  <c r="P170"/>
  <c r="X170" s="1"/>
  <c r="P179"/>
  <c r="X179" s="1"/>
  <c r="P169"/>
  <c r="X169" s="1"/>
  <c r="P180"/>
  <c r="X180" s="1"/>
  <c r="Z21" i="33"/>
  <c r="V21"/>
  <c r="E58"/>
  <c r="F58" s="1"/>
  <c r="F55"/>
  <c r="Z28"/>
  <c r="V28"/>
  <c r="S42" i="35"/>
  <c r="S23"/>
  <c r="S33"/>
  <c r="S31"/>
  <c r="S32"/>
  <c r="S40"/>
  <c r="S41"/>
  <c r="S24"/>
  <c r="S22"/>
  <c r="Y18" i="33"/>
  <c r="M18"/>
  <c r="L18"/>
  <c r="R55"/>
  <c r="O55"/>
  <c r="P55" s="1"/>
  <c r="Y55" s="1"/>
  <c r="D58"/>
  <c r="Q55"/>
  <c r="V20"/>
  <c r="Z20"/>
  <c r="T52"/>
  <c r="X52" s="1"/>
  <c r="U22"/>
  <c r="U36"/>
  <c r="U32"/>
  <c r="S50"/>
  <c r="U50" s="1"/>
  <c r="X37"/>
  <c r="U31"/>
  <c r="U35"/>
  <c r="S48"/>
  <c r="U48" s="1"/>
  <c r="X49"/>
  <c r="X30"/>
  <c r="X27"/>
  <c r="X40"/>
  <c r="T50"/>
  <c r="X50" s="1"/>
  <c r="U43"/>
  <c r="U45"/>
  <c r="U41"/>
  <c r="P138" i="35"/>
  <c r="X138" s="1"/>
  <c r="P127"/>
  <c r="X127" s="1"/>
  <c r="S186"/>
  <c r="P186"/>
  <c r="X186" s="1"/>
  <c r="Z31" i="33"/>
  <c r="V31"/>
  <c r="S51" i="35"/>
  <c r="S67"/>
  <c r="S69"/>
  <c r="S50"/>
  <c r="S68"/>
  <c r="S58"/>
  <c r="S59"/>
  <c r="S49"/>
  <c r="S60"/>
  <c r="R109"/>
  <c r="P173"/>
  <c r="X173" s="1"/>
  <c r="P163"/>
  <c r="X163" s="1"/>
  <c r="P172"/>
  <c r="X172" s="1"/>
  <c r="P174"/>
  <c r="X174" s="1"/>
  <c r="P165"/>
  <c r="X165" s="1"/>
  <c r="Z35" i="33"/>
  <c r="V35"/>
  <c r="S89" i="35"/>
  <c r="S80"/>
  <c r="S99"/>
  <c r="S98"/>
  <c r="S97"/>
  <c r="S88"/>
  <c r="S81"/>
  <c r="S90"/>
  <c r="S79"/>
  <c r="I181" i="34"/>
  <c r="L19"/>
  <c r="J180"/>
  <c r="U18"/>
  <c r="J484" i="35"/>
  <c r="M187"/>
  <c r="Z27" i="33"/>
  <c r="V27"/>
  <c r="S21" i="35"/>
  <c r="S29"/>
  <c r="S30"/>
  <c r="S38"/>
  <c r="S37"/>
  <c r="S20"/>
  <c r="S19"/>
  <c r="S28"/>
  <c r="S39"/>
  <c r="R51" i="33"/>
  <c r="O51"/>
  <c r="P51" s="1"/>
  <c r="Y51" s="1"/>
  <c r="D54"/>
  <c r="Q51"/>
  <c r="E54"/>
  <c r="F51"/>
  <c r="Z45"/>
  <c r="V45"/>
  <c r="R178" i="35"/>
  <c r="R180"/>
  <c r="V22" i="33"/>
  <c r="Z22"/>
  <c r="E22" i="11" s="1"/>
  <c r="K483" i="35"/>
  <c r="V186"/>
  <c r="V483" s="1"/>
  <c r="M12" i="25"/>
  <c r="K12"/>
  <c r="L12" s="1"/>
  <c r="Z36" i="33"/>
  <c r="V36"/>
  <c r="S118" i="35"/>
  <c r="S101"/>
  <c r="S109"/>
  <c r="S119"/>
  <c r="S102"/>
  <c r="S100"/>
  <c r="S111"/>
  <c r="S120"/>
  <c r="S110"/>
  <c r="Z32" i="33"/>
  <c r="V32"/>
  <c r="S70" i="35"/>
  <c r="S61"/>
  <c r="S63"/>
  <c r="S54"/>
  <c r="S72"/>
  <c r="S62"/>
  <c r="S71"/>
  <c r="S52"/>
  <c r="S53"/>
  <c r="T17" i="33"/>
  <c r="S17"/>
  <c r="G181" i="34"/>
  <c r="K19"/>
  <c r="Y19"/>
  <c r="E16" i="23" s="1"/>
  <c r="O187" i="35"/>
  <c r="G484"/>
  <c r="K187"/>
  <c r="R53" i="33"/>
  <c r="D56"/>
  <c r="Q53"/>
  <c r="O53"/>
  <c r="P53" s="1"/>
  <c r="Y53" s="1"/>
  <c r="Z37"/>
  <c r="V37"/>
  <c r="S112" i="35"/>
  <c r="S105"/>
  <c r="S121"/>
  <c r="S114"/>
  <c r="S123"/>
  <c r="S113"/>
  <c r="S104"/>
  <c r="S122"/>
  <c r="S103"/>
  <c r="Z46" i="33"/>
  <c r="V46"/>
  <c r="W46" s="1"/>
  <c r="S18"/>
  <c r="T18"/>
  <c r="X38"/>
  <c r="X47"/>
  <c r="T48"/>
  <c r="X48" s="1"/>
  <c r="U49"/>
  <c r="X33"/>
  <c r="U40"/>
  <c r="X29"/>
  <c r="X43"/>
  <c r="U34"/>
  <c r="X45"/>
  <c r="X21"/>
  <c r="X28"/>
  <c r="S52"/>
  <c r="U52" s="1"/>
  <c r="X20"/>
  <c r="AL18" i="34"/>
  <c r="P145" i="35" l="1"/>
  <c r="X145" s="1"/>
  <c r="P136"/>
  <c r="X136" s="1"/>
  <c r="W39" i="33"/>
  <c r="P129" i="35"/>
  <c r="X129" s="1"/>
  <c r="R162"/>
  <c r="AJ162" s="1"/>
  <c r="R170"/>
  <c r="R161"/>
  <c r="P128"/>
  <c r="X128" s="1"/>
  <c r="P137"/>
  <c r="X137" s="1"/>
  <c r="W38" i="33"/>
  <c r="R179" i="35"/>
  <c r="AJ179" s="1"/>
  <c r="R80"/>
  <c r="R160"/>
  <c r="P147"/>
  <c r="X147" s="1"/>
  <c r="R143"/>
  <c r="AJ143" s="1"/>
  <c r="S181"/>
  <c r="R86"/>
  <c r="Z49" i="33"/>
  <c r="R98" i="35"/>
  <c r="AJ98" s="1"/>
  <c r="P125"/>
  <c r="X125" s="1"/>
  <c r="P55"/>
  <c r="X55" s="1"/>
  <c r="R127"/>
  <c r="AJ127" s="1"/>
  <c r="R186"/>
  <c r="AJ186" s="1"/>
  <c r="R76"/>
  <c r="R110"/>
  <c r="AJ110" s="1"/>
  <c r="P64"/>
  <c r="X64" s="1"/>
  <c r="R111"/>
  <c r="AJ111" s="1"/>
  <c r="W30" i="33"/>
  <c r="P65" i="35"/>
  <c r="X65" s="1"/>
  <c r="R147"/>
  <c r="AJ147" s="1"/>
  <c r="R100"/>
  <c r="AJ100" s="1"/>
  <c r="R101"/>
  <c r="P48"/>
  <c r="X48" s="1"/>
  <c r="R136"/>
  <c r="AJ136" s="1"/>
  <c r="R120"/>
  <c r="AJ120" s="1"/>
  <c r="R118"/>
  <c r="R184"/>
  <c r="AJ184" s="1"/>
  <c r="R146"/>
  <c r="AJ146" s="1"/>
  <c r="R102"/>
  <c r="AJ102" s="1"/>
  <c r="R58"/>
  <c r="R144"/>
  <c r="AJ144" s="1"/>
  <c r="P32"/>
  <c r="X32" s="1"/>
  <c r="P33"/>
  <c r="X33" s="1"/>
  <c r="P37"/>
  <c r="X37" s="1"/>
  <c r="W50" i="33"/>
  <c r="P104" i="35"/>
  <c r="X104" s="1"/>
  <c r="D12" i="24"/>
  <c r="P57" i="25"/>
  <c r="L46" i="12"/>
  <c r="H25" i="20" s="1"/>
  <c r="L28" i="12"/>
  <c r="F15" i="24"/>
  <c r="R154" i="35"/>
  <c r="AJ154" s="1"/>
  <c r="R151"/>
  <c r="AJ151" s="1"/>
  <c r="W20" i="33"/>
  <c r="T55"/>
  <c r="X55" s="1"/>
  <c r="R77" i="35"/>
  <c r="D6" i="11"/>
  <c r="I12" i="12"/>
  <c r="P42" i="25"/>
  <c r="I30" i="12"/>
  <c r="C9" i="20" s="1"/>
  <c r="D19" i="11"/>
  <c r="I25" i="12"/>
  <c r="I43"/>
  <c r="C22" i="20" s="1"/>
  <c r="M28" i="12"/>
  <c r="M46"/>
  <c r="O25" i="20" s="1"/>
  <c r="D12" i="11"/>
  <c r="I18" i="12"/>
  <c r="I36"/>
  <c r="C15" i="20" s="1"/>
  <c r="R155" i="35"/>
  <c r="AJ155" s="1"/>
  <c r="R135"/>
  <c r="AJ135" s="1"/>
  <c r="P35"/>
  <c r="X35" s="1"/>
  <c r="R94"/>
  <c r="R172"/>
  <c r="AJ172" s="1"/>
  <c r="W27" i="33"/>
  <c r="R165" i="35"/>
  <c r="R142"/>
  <c r="AJ142" s="1"/>
  <c r="R153"/>
  <c r="AJ153" s="1"/>
  <c r="R152"/>
  <c r="AJ152" s="1"/>
  <c r="P30"/>
  <c r="X30" s="1"/>
  <c r="R52"/>
  <c r="P113"/>
  <c r="X113" s="1"/>
  <c r="R78"/>
  <c r="AJ78" s="1"/>
  <c r="R95"/>
  <c r="AJ95" s="1"/>
  <c r="R85"/>
  <c r="P73"/>
  <c r="X73" s="1"/>
  <c r="P20"/>
  <c r="X20" s="1"/>
  <c r="P19"/>
  <c r="X19" s="1"/>
  <c r="R71"/>
  <c r="AJ71" s="1"/>
  <c r="P112"/>
  <c r="X112" s="1"/>
  <c r="R133"/>
  <c r="AJ133" s="1"/>
  <c r="P21"/>
  <c r="X21" s="1"/>
  <c r="P34"/>
  <c r="X34" s="1"/>
  <c r="W21" i="33"/>
  <c r="P123" i="35"/>
  <c r="X123" s="1"/>
  <c r="R87"/>
  <c r="AJ87" s="1"/>
  <c r="P83"/>
  <c r="X83" s="1"/>
  <c r="R99"/>
  <c r="AJ99" s="1"/>
  <c r="P29"/>
  <c r="X29" s="1"/>
  <c r="P39"/>
  <c r="X39" s="1"/>
  <c r="T51" i="33"/>
  <c r="X51" s="1"/>
  <c r="R81" i="35"/>
  <c r="AJ81" s="1"/>
  <c r="R97"/>
  <c r="AJ97" s="1"/>
  <c r="P27"/>
  <c r="X27" s="1"/>
  <c r="R70"/>
  <c r="P124"/>
  <c r="X124" s="1"/>
  <c r="P103"/>
  <c r="X103" s="1"/>
  <c r="P105"/>
  <c r="X105" s="1"/>
  <c r="P91"/>
  <c r="X91" s="1"/>
  <c r="W49" i="33"/>
  <c r="R89" i="35"/>
  <c r="AJ89" s="1"/>
  <c r="P38"/>
  <c r="X38" s="1"/>
  <c r="S51" i="33"/>
  <c r="U51" s="1"/>
  <c r="R90" i="35"/>
  <c r="AJ90" s="1"/>
  <c r="R88"/>
  <c r="AJ88" s="1"/>
  <c r="P44"/>
  <c r="X44" s="1"/>
  <c r="R62"/>
  <c r="AJ62" s="1"/>
  <c r="W29" i="33"/>
  <c r="P114" i="35"/>
  <c r="X114" s="1"/>
  <c r="P122"/>
  <c r="X122" s="1"/>
  <c r="P75"/>
  <c r="X75" s="1"/>
  <c r="W48" i="33"/>
  <c r="W28"/>
  <c r="R50" i="35"/>
  <c r="AJ50" s="1"/>
  <c r="R68"/>
  <c r="P31"/>
  <c r="X31" s="1"/>
  <c r="P24"/>
  <c r="X24" s="1"/>
  <c r="P66"/>
  <c r="X66" s="1"/>
  <c r="R145"/>
  <c r="R69"/>
  <c r="AJ69" s="1"/>
  <c r="R51"/>
  <c r="AJ51" s="1"/>
  <c r="R49"/>
  <c r="AJ49" s="1"/>
  <c r="P41"/>
  <c r="X41" s="1"/>
  <c r="P42"/>
  <c r="X42" s="1"/>
  <c r="P22"/>
  <c r="X22" s="1"/>
  <c r="U19" i="33"/>
  <c r="W47"/>
  <c r="P56" i="35"/>
  <c r="X56" s="1"/>
  <c r="P46"/>
  <c r="X46" s="1"/>
  <c r="R129"/>
  <c r="AJ129" s="1"/>
  <c r="P57"/>
  <c r="X57" s="1"/>
  <c r="R138"/>
  <c r="R137"/>
  <c r="AJ137" s="1"/>
  <c r="R59"/>
  <c r="AJ59" s="1"/>
  <c r="P23"/>
  <c r="X23" s="1"/>
  <c r="P107"/>
  <c r="X107" s="1"/>
  <c r="W52" i="33"/>
  <c r="P45" i="35"/>
  <c r="X45" s="1"/>
  <c r="P25"/>
  <c r="X25" s="1"/>
  <c r="P36"/>
  <c r="X36" s="1"/>
  <c r="R54"/>
  <c r="AJ54" s="1"/>
  <c r="R53"/>
  <c r="AJ53" s="1"/>
  <c r="P126"/>
  <c r="X126" s="1"/>
  <c r="P106"/>
  <c r="X106" s="1"/>
  <c r="P115"/>
  <c r="X115" s="1"/>
  <c r="P92"/>
  <c r="X92" s="1"/>
  <c r="P93"/>
  <c r="X93" s="1"/>
  <c r="P74"/>
  <c r="X74" s="1"/>
  <c r="X17" i="33"/>
  <c r="P108" i="35"/>
  <c r="X108" s="1"/>
  <c r="P43"/>
  <c r="X43" s="1"/>
  <c r="R72"/>
  <c r="R61"/>
  <c r="AJ61" s="1"/>
  <c r="U17" i="33"/>
  <c r="P117" i="35"/>
  <c r="X117" s="1"/>
  <c r="P84"/>
  <c r="X84" s="1"/>
  <c r="R181"/>
  <c r="AJ181" s="1"/>
  <c r="R182"/>
  <c r="AJ182" s="1"/>
  <c r="R183"/>
  <c r="AJ183" s="1"/>
  <c r="T184"/>
  <c r="AC184" s="1"/>
  <c r="T185"/>
  <c r="AC185" s="1"/>
  <c r="Z53" i="33"/>
  <c r="V53"/>
  <c r="AJ72" i="35"/>
  <c r="T182"/>
  <c r="AC182" s="1"/>
  <c r="T181"/>
  <c r="AC181" s="1"/>
  <c r="T183"/>
  <c r="AC183" s="1"/>
  <c r="O54" i="33"/>
  <c r="P54" s="1"/>
  <c r="Y54" s="1"/>
  <c r="Q54"/>
  <c r="R54"/>
  <c r="D57"/>
  <c r="AJ80" i="35"/>
  <c r="AJ60"/>
  <c r="W43" i="33"/>
  <c r="P157" i="35"/>
  <c r="X157" s="1"/>
  <c r="P177"/>
  <c r="X177" s="1"/>
  <c r="P166"/>
  <c r="X166" s="1"/>
  <c r="P176"/>
  <c r="X176" s="1"/>
  <c r="P158"/>
  <c r="X158" s="1"/>
  <c r="AJ96"/>
  <c r="Q173"/>
  <c r="Q156"/>
  <c r="X453" s="1"/>
  <c r="Q155"/>
  <c r="X452" s="1"/>
  <c r="Q172"/>
  <c r="X469" s="1"/>
  <c r="Q164"/>
  <c r="X461" s="1"/>
  <c r="Q166"/>
  <c r="Q176"/>
  <c r="Q158"/>
  <c r="X455" s="1"/>
  <c r="Q167"/>
  <c r="X464" s="1"/>
  <c r="Q157"/>
  <c r="Q159"/>
  <c r="Q175"/>
  <c r="X472" s="1"/>
  <c r="J485"/>
  <c r="M188"/>
  <c r="T180"/>
  <c r="AC180" s="1"/>
  <c r="T161"/>
  <c r="AC161" s="1"/>
  <c r="T170"/>
  <c r="AC170" s="1"/>
  <c r="T169"/>
  <c r="AC169" s="1"/>
  <c r="T178"/>
  <c r="AC178" s="1"/>
  <c r="T162"/>
  <c r="AC162" s="1"/>
  <c r="R43"/>
  <c r="AJ43" s="1"/>
  <c r="R25"/>
  <c r="AJ25" s="1"/>
  <c r="R44"/>
  <c r="AJ44" s="1"/>
  <c r="R34"/>
  <c r="AJ34" s="1"/>
  <c r="R45"/>
  <c r="AJ45" s="1"/>
  <c r="R35"/>
  <c r="AJ35" s="1"/>
  <c r="R36"/>
  <c r="AJ36" s="1"/>
  <c r="R26"/>
  <c r="AJ26" s="1"/>
  <c r="R27"/>
  <c r="AJ27" s="1"/>
  <c r="Q185"/>
  <c r="X482" s="1"/>
  <c r="Q184"/>
  <c r="X481" s="1"/>
  <c r="AJ101"/>
  <c r="AJ58"/>
  <c r="W36" i="33"/>
  <c r="P120" i="35"/>
  <c r="X120" s="1"/>
  <c r="P111"/>
  <c r="X111" s="1"/>
  <c r="P101"/>
  <c r="X101" s="1"/>
  <c r="P119"/>
  <c r="X119" s="1"/>
  <c r="P100"/>
  <c r="X100" s="1"/>
  <c r="P110"/>
  <c r="X110" s="1"/>
  <c r="P118"/>
  <c r="X118" s="1"/>
  <c r="P102"/>
  <c r="X102" s="1"/>
  <c r="P109"/>
  <c r="X109" s="1"/>
  <c r="Z18" i="33"/>
  <c r="V18"/>
  <c r="AJ76" i="35"/>
  <c r="Q75"/>
  <c r="X372" s="1"/>
  <c r="Q93"/>
  <c r="X390" s="1"/>
  <c r="Q82"/>
  <c r="X379" s="1"/>
  <c r="Q92"/>
  <c r="X389" s="1"/>
  <c r="Q83"/>
  <c r="X380" s="1"/>
  <c r="Q84"/>
  <c r="X381" s="1"/>
  <c r="Q74"/>
  <c r="X371" s="1"/>
  <c r="Q91"/>
  <c r="X388" s="1"/>
  <c r="Q73"/>
  <c r="X370" s="1"/>
  <c r="H485"/>
  <c r="Z188"/>
  <c r="L188"/>
  <c r="J181" i="34"/>
  <c r="U19"/>
  <c r="Q180" i="35"/>
  <c r="X477" s="1"/>
  <c r="Q162"/>
  <c r="X459" s="1"/>
  <c r="Q169"/>
  <c r="Q178"/>
  <c r="Q161"/>
  <c r="Q171"/>
  <c r="Q179"/>
  <c r="X476" s="1"/>
  <c r="Q170"/>
  <c r="H182" i="34"/>
  <c r="J20"/>
  <c r="Q112" i="35"/>
  <c r="X409" s="1"/>
  <c r="Q123"/>
  <c r="X420" s="1"/>
  <c r="Q113"/>
  <c r="X410" s="1"/>
  <c r="Q121"/>
  <c r="X418" s="1"/>
  <c r="Q103"/>
  <c r="X400" s="1"/>
  <c r="Q122"/>
  <c r="X419" s="1"/>
  <c r="Q104"/>
  <c r="X401" s="1"/>
  <c r="Q114"/>
  <c r="X411" s="1"/>
  <c r="Q105"/>
  <c r="X402" s="1"/>
  <c r="D59" i="33"/>
  <c r="Q56"/>
  <c r="R56"/>
  <c r="O56"/>
  <c r="P56" s="1"/>
  <c r="Y56" s="1"/>
  <c r="S187" i="35"/>
  <c r="R187"/>
  <c r="T187"/>
  <c r="AC187" s="1"/>
  <c r="Q187"/>
  <c r="P187"/>
  <c r="X187" s="1"/>
  <c r="AJ63"/>
  <c r="T53"/>
  <c r="AC53" s="1"/>
  <c r="T54"/>
  <c r="AC54" s="1"/>
  <c r="T61"/>
  <c r="AC61" s="1"/>
  <c r="T62"/>
  <c r="AC62" s="1"/>
  <c r="T70"/>
  <c r="AC70" s="1"/>
  <c r="T71"/>
  <c r="AC71" s="1"/>
  <c r="T52"/>
  <c r="AC52" s="1"/>
  <c r="T63"/>
  <c r="AC63" s="1"/>
  <c r="T72"/>
  <c r="AC72" s="1"/>
  <c r="AJ109"/>
  <c r="T118"/>
  <c r="AC118" s="1"/>
  <c r="T102"/>
  <c r="AC102" s="1"/>
  <c r="T120"/>
  <c r="AC120" s="1"/>
  <c r="T110"/>
  <c r="AC110" s="1"/>
  <c r="T101"/>
  <c r="AC101" s="1"/>
  <c r="T109"/>
  <c r="AC109" s="1"/>
  <c r="T111"/>
  <c r="AC111" s="1"/>
  <c r="T100"/>
  <c r="AC100" s="1"/>
  <c r="T119"/>
  <c r="AC119" s="1"/>
  <c r="E57" i="33"/>
  <c r="F57" s="1"/>
  <c r="F54"/>
  <c r="Z19" i="35"/>
  <c r="T20"/>
  <c r="AC20" s="1"/>
  <c r="T38"/>
  <c r="AC38" s="1"/>
  <c r="T30"/>
  <c r="AC30" s="1"/>
  <c r="T19"/>
  <c r="AC19" s="1"/>
  <c r="T21"/>
  <c r="AC21" s="1"/>
  <c r="T28"/>
  <c r="AC28" s="1"/>
  <c r="T29"/>
  <c r="AC29" s="1"/>
  <c r="T37"/>
  <c r="AC37" s="1"/>
  <c r="T39"/>
  <c r="AC39" s="1"/>
  <c r="Q81"/>
  <c r="X378" s="1"/>
  <c r="Q90"/>
  <c r="X387" s="1"/>
  <c r="Q88"/>
  <c r="X385" s="1"/>
  <c r="Q80"/>
  <c r="X377" s="1"/>
  <c r="Q97"/>
  <c r="X394" s="1"/>
  <c r="Q79"/>
  <c r="X376" s="1"/>
  <c r="Q89"/>
  <c r="X386" s="1"/>
  <c r="Q99"/>
  <c r="X396" s="1"/>
  <c r="Q98"/>
  <c r="X395" s="1"/>
  <c r="T51"/>
  <c r="AC51" s="1"/>
  <c r="T68"/>
  <c r="AC68" s="1"/>
  <c r="T69"/>
  <c r="AC69" s="1"/>
  <c r="T50"/>
  <c r="AC50" s="1"/>
  <c r="T58"/>
  <c r="AC58" s="1"/>
  <c r="T59"/>
  <c r="AC59" s="1"/>
  <c r="T49"/>
  <c r="AC49" s="1"/>
  <c r="T60"/>
  <c r="AC60" s="1"/>
  <c r="T67"/>
  <c r="AC67" s="1"/>
  <c r="R48"/>
  <c r="AJ48" s="1"/>
  <c r="R64"/>
  <c r="AJ64" s="1"/>
  <c r="R55"/>
  <c r="AJ55" s="1"/>
  <c r="R66"/>
  <c r="AJ66" s="1"/>
  <c r="R46"/>
  <c r="AJ46" s="1"/>
  <c r="R56"/>
  <c r="AJ56" s="1"/>
  <c r="R57"/>
  <c r="AJ57" s="1"/>
  <c r="R65"/>
  <c r="AJ65" s="1"/>
  <c r="R47"/>
  <c r="AJ47" s="1"/>
  <c r="W35" i="33"/>
  <c r="P88" i="35"/>
  <c r="X88" s="1"/>
  <c r="P90"/>
  <c r="X90" s="1"/>
  <c r="P98"/>
  <c r="X98" s="1"/>
  <c r="P89"/>
  <c r="X89" s="1"/>
  <c r="P99"/>
  <c r="X99" s="1"/>
  <c r="P79"/>
  <c r="X79" s="1"/>
  <c r="P81"/>
  <c r="X81" s="1"/>
  <c r="P80"/>
  <c r="X80" s="1"/>
  <c r="P97"/>
  <c r="X97" s="1"/>
  <c r="W32" i="33"/>
  <c r="P72" i="35"/>
  <c r="X72" s="1"/>
  <c r="P54"/>
  <c r="X54" s="1"/>
  <c r="P71"/>
  <c r="X71" s="1"/>
  <c r="P70"/>
  <c r="X70" s="1"/>
  <c r="P63"/>
  <c r="X63" s="1"/>
  <c r="P61"/>
  <c r="X61" s="1"/>
  <c r="P52"/>
  <c r="X52" s="1"/>
  <c r="P62"/>
  <c r="X62" s="1"/>
  <c r="P53"/>
  <c r="X53" s="1"/>
  <c r="O58" i="33"/>
  <c r="P58" s="1"/>
  <c r="Y58" s="1"/>
  <c r="R58"/>
  <c r="Q58"/>
  <c r="T31" i="35"/>
  <c r="AC31" s="1"/>
  <c r="T32"/>
  <c r="AC32" s="1"/>
  <c r="T41"/>
  <c r="AC41" s="1"/>
  <c r="T24"/>
  <c r="AC24" s="1"/>
  <c r="T22"/>
  <c r="AC22" s="1"/>
  <c r="T40"/>
  <c r="AC40" s="1"/>
  <c r="T23"/>
  <c r="AC23" s="1"/>
  <c r="T33"/>
  <c r="AC33" s="1"/>
  <c r="T42"/>
  <c r="AC42" s="1"/>
  <c r="AJ77"/>
  <c r="AJ85"/>
  <c r="T77"/>
  <c r="AC77" s="1"/>
  <c r="T94"/>
  <c r="AC94" s="1"/>
  <c r="T95"/>
  <c r="AC95" s="1"/>
  <c r="T86"/>
  <c r="AC86" s="1"/>
  <c r="T76"/>
  <c r="AC76" s="1"/>
  <c r="T96"/>
  <c r="AC96" s="1"/>
  <c r="T85"/>
  <c r="AC85" s="1"/>
  <c r="T78"/>
  <c r="AC78" s="1"/>
  <c r="T87"/>
  <c r="AC87" s="1"/>
  <c r="AJ156"/>
  <c r="T146"/>
  <c r="AC146" s="1"/>
  <c r="T145"/>
  <c r="AC145" s="1"/>
  <c r="T138"/>
  <c r="AC138" s="1"/>
  <c r="T137"/>
  <c r="AC137" s="1"/>
  <c r="T127"/>
  <c r="AC127" s="1"/>
  <c r="T136"/>
  <c r="AC136" s="1"/>
  <c r="T147"/>
  <c r="AC147" s="1"/>
  <c r="T128"/>
  <c r="AC128" s="1"/>
  <c r="T129"/>
  <c r="AC129" s="1"/>
  <c r="T131"/>
  <c r="AC131" s="1"/>
  <c r="T150"/>
  <c r="AC150" s="1"/>
  <c r="T132"/>
  <c r="AC132" s="1"/>
  <c r="T149"/>
  <c r="AC149" s="1"/>
  <c r="T141"/>
  <c r="AC141" s="1"/>
  <c r="T130"/>
  <c r="AC130" s="1"/>
  <c r="T140"/>
  <c r="AC140" s="1"/>
  <c r="T148"/>
  <c r="AC148" s="1"/>
  <c r="T139"/>
  <c r="AC139" s="1"/>
  <c r="C189"/>
  <c r="H189" s="1"/>
  <c r="B189"/>
  <c r="G189" s="1"/>
  <c r="D189"/>
  <c r="I189" s="1"/>
  <c r="I486" s="1"/>
  <c r="E189"/>
  <c r="J189" s="1"/>
  <c r="A190"/>
  <c r="T46"/>
  <c r="AC46" s="1"/>
  <c r="T57"/>
  <c r="AC57" s="1"/>
  <c r="T47"/>
  <c r="AC47" s="1"/>
  <c r="T64"/>
  <c r="AC64" s="1"/>
  <c r="T56"/>
  <c r="AC56" s="1"/>
  <c r="T55"/>
  <c r="AC55" s="1"/>
  <c r="T48"/>
  <c r="AC48" s="1"/>
  <c r="T65"/>
  <c r="AC65" s="1"/>
  <c r="T66"/>
  <c r="AC66" s="1"/>
  <c r="AJ134"/>
  <c r="V19" i="33"/>
  <c r="Z19"/>
  <c r="I182" i="34"/>
  <c r="L20"/>
  <c r="T186" i="35"/>
  <c r="AC186" s="1"/>
  <c r="W33" i="33"/>
  <c r="W42"/>
  <c r="Q186" i="35"/>
  <c r="X483" s="1"/>
  <c r="X18" i="33"/>
  <c r="W37"/>
  <c r="K484" i="35"/>
  <c r="V187"/>
  <c r="V484" s="1"/>
  <c r="AJ70"/>
  <c r="AJ118"/>
  <c r="AJ68"/>
  <c r="W41" i="33"/>
  <c r="P135" i="35"/>
  <c r="X135" s="1"/>
  <c r="P142"/>
  <c r="X142" s="1"/>
  <c r="P151"/>
  <c r="X151" s="1"/>
  <c r="P134"/>
  <c r="X134" s="1"/>
  <c r="P152"/>
  <c r="X152" s="1"/>
  <c r="P133"/>
  <c r="X133" s="1"/>
  <c r="P153"/>
  <c r="X153" s="1"/>
  <c r="P143"/>
  <c r="X143" s="1"/>
  <c r="P144"/>
  <c r="X144" s="1"/>
  <c r="R130"/>
  <c r="AJ130" s="1"/>
  <c r="R140"/>
  <c r="AJ140" s="1"/>
  <c r="R150"/>
  <c r="AJ150" s="1"/>
  <c r="R141"/>
  <c r="AJ141" s="1"/>
  <c r="R148"/>
  <c r="AJ148" s="1"/>
  <c r="R132"/>
  <c r="AJ132" s="1"/>
  <c r="R149"/>
  <c r="AJ149" s="1"/>
  <c r="R139"/>
  <c r="AJ139" s="1"/>
  <c r="R131"/>
  <c r="AJ131" s="1"/>
  <c r="R121"/>
  <c r="AJ121" s="1"/>
  <c r="R105"/>
  <c r="AJ105" s="1"/>
  <c r="R114"/>
  <c r="AJ114" s="1"/>
  <c r="R113"/>
  <c r="AJ113" s="1"/>
  <c r="R103"/>
  <c r="AJ103" s="1"/>
  <c r="R112"/>
  <c r="AJ112" s="1"/>
  <c r="R104"/>
  <c r="AJ104" s="1"/>
  <c r="R122"/>
  <c r="AJ122" s="1"/>
  <c r="R123"/>
  <c r="AJ123" s="1"/>
  <c r="Q25"/>
  <c r="X322" s="1"/>
  <c r="Q26"/>
  <c r="X323" s="1"/>
  <c r="Q45"/>
  <c r="X342" s="1"/>
  <c r="Q35"/>
  <c r="X332" s="1"/>
  <c r="Q27"/>
  <c r="X324" s="1"/>
  <c r="Q43"/>
  <c r="X340" s="1"/>
  <c r="Q34"/>
  <c r="X331" s="1"/>
  <c r="Q36"/>
  <c r="X333" s="1"/>
  <c r="Q44"/>
  <c r="X341" s="1"/>
  <c r="T83"/>
  <c r="AC83" s="1"/>
  <c r="T92"/>
  <c r="AC92" s="1"/>
  <c r="T75"/>
  <c r="AC75" s="1"/>
  <c r="T73"/>
  <c r="AC73" s="1"/>
  <c r="T84"/>
  <c r="AC84" s="1"/>
  <c r="T82"/>
  <c r="AC82" s="1"/>
  <c r="T74"/>
  <c r="AC74" s="1"/>
  <c r="T93"/>
  <c r="AC93" s="1"/>
  <c r="T91"/>
  <c r="AC91" s="1"/>
  <c r="AJ138"/>
  <c r="Q107"/>
  <c r="X404" s="1"/>
  <c r="Q124"/>
  <c r="X421" s="1"/>
  <c r="Q126"/>
  <c r="X423" s="1"/>
  <c r="Q115"/>
  <c r="X412" s="1"/>
  <c r="Q106"/>
  <c r="X403" s="1"/>
  <c r="Q117"/>
  <c r="X414" s="1"/>
  <c r="Q125"/>
  <c r="X422" s="1"/>
  <c r="Q108"/>
  <c r="X405" s="1"/>
  <c r="Q116"/>
  <c r="X413" s="1"/>
  <c r="Q133"/>
  <c r="X430" s="1"/>
  <c r="Q153"/>
  <c r="X450" s="1"/>
  <c r="Q152"/>
  <c r="X449" s="1"/>
  <c r="Q143"/>
  <c r="X440" s="1"/>
  <c r="Q151"/>
  <c r="X448" s="1"/>
  <c r="Q142"/>
  <c r="X439" s="1"/>
  <c r="Q144"/>
  <c r="X441" s="1"/>
  <c r="Q135"/>
  <c r="Q134"/>
  <c r="X431" s="1"/>
  <c r="G182" i="34"/>
  <c r="K20"/>
  <c r="Y20"/>
  <c r="E17" i="23" s="1"/>
  <c r="A22" i="34"/>
  <c r="D21"/>
  <c r="H21" s="1"/>
  <c r="E21"/>
  <c r="I21" s="1"/>
  <c r="C21"/>
  <c r="G21" s="1"/>
  <c r="B21"/>
  <c r="F21" s="1"/>
  <c r="T114" i="35"/>
  <c r="AC114" s="1"/>
  <c r="T122"/>
  <c r="AC122" s="1"/>
  <c r="T113"/>
  <c r="AC113" s="1"/>
  <c r="T103"/>
  <c r="AC103" s="1"/>
  <c r="T123"/>
  <c r="AC123" s="1"/>
  <c r="T104"/>
  <c r="AC104" s="1"/>
  <c r="T112"/>
  <c r="AC112" s="1"/>
  <c r="T105"/>
  <c r="AC105" s="1"/>
  <c r="T121"/>
  <c r="AC121" s="1"/>
  <c r="Q182"/>
  <c r="X479" s="1"/>
  <c r="Q181"/>
  <c r="X478" s="1"/>
  <c r="Q183"/>
  <c r="X480" s="1"/>
  <c r="T80"/>
  <c r="AC80" s="1"/>
  <c r="T99"/>
  <c r="AC99" s="1"/>
  <c r="T89"/>
  <c r="AC89" s="1"/>
  <c r="T90"/>
  <c r="AC90" s="1"/>
  <c r="T81"/>
  <c r="AC81" s="1"/>
  <c r="T97"/>
  <c r="AC97" s="1"/>
  <c r="T88"/>
  <c r="AC88" s="1"/>
  <c r="T98"/>
  <c r="AC98" s="1"/>
  <c r="T79"/>
  <c r="AC79" s="1"/>
  <c r="AJ67"/>
  <c r="W45" i="33"/>
  <c r="P181" i="35"/>
  <c r="X181" s="1"/>
  <c r="P183"/>
  <c r="X183" s="1"/>
  <c r="P182"/>
  <c r="X182" s="1"/>
  <c r="Z55" i="33"/>
  <c r="V55"/>
  <c r="AJ86" i="35"/>
  <c r="AJ145"/>
  <c r="R166"/>
  <c r="R175"/>
  <c r="AJ175" s="1"/>
  <c r="R177"/>
  <c r="AJ177" s="1"/>
  <c r="R159"/>
  <c r="R158"/>
  <c r="AJ158" s="1"/>
  <c r="R92"/>
  <c r="AJ92" s="1"/>
  <c r="R73"/>
  <c r="AJ73" s="1"/>
  <c r="R91"/>
  <c r="AJ91" s="1"/>
  <c r="R93"/>
  <c r="AJ93" s="1"/>
  <c r="R82"/>
  <c r="AJ82" s="1"/>
  <c r="R84"/>
  <c r="AJ84" s="1"/>
  <c r="R83"/>
  <c r="AJ83" s="1"/>
  <c r="R75"/>
  <c r="AJ75" s="1"/>
  <c r="R74"/>
  <c r="AJ74" s="1"/>
  <c r="R115"/>
  <c r="AJ115" s="1"/>
  <c r="R108"/>
  <c r="AJ108" s="1"/>
  <c r="R125"/>
  <c r="AJ125" s="1"/>
  <c r="R116"/>
  <c r="AJ116" s="1"/>
  <c r="R117"/>
  <c r="AJ117" s="1"/>
  <c r="R124"/>
  <c r="AJ124" s="1"/>
  <c r="R106"/>
  <c r="AJ106" s="1"/>
  <c r="R107"/>
  <c r="AJ107" s="1"/>
  <c r="R126"/>
  <c r="AJ126" s="1"/>
  <c r="R23"/>
  <c r="AJ23" s="1"/>
  <c r="R24"/>
  <c r="AJ24" s="1"/>
  <c r="R32"/>
  <c r="AJ32" s="1"/>
  <c r="R33"/>
  <c r="AJ33" s="1"/>
  <c r="R40"/>
  <c r="AJ40" s="1"/>
  <c r="R22"/>
  <c r="AJ22" s="1"/>
  <c r="R42"/>
  <c r="AJ42" s="1"/>
  <c r="R41"/>
  <c r="AJ41" s="1"/>
  <c r="R31"/>
  <c r="AJ31" s="1"/>
  <c r="W34" i="33"/>
  <c r="P78" i="35"/>
  <c r="X78" s="1"/>
  <c r="P86"/>
  <c r="X86" s="1"/>
  <c r="P77"/>
  <c r="X77" s="1"/>
  <c r="P76"/>
  <c r="X76" s="1"/>
  <c r="P95"/>
  <c r="X95" s="1"/>
  <c r="P87"/>
  <c r="X87" s="1"/>
  <c r="P94"/>
  <c r="X94" s="1"/>
  <c r="P96"/>
  <c r="X96" s="1"/>
  <c r="P85"/>
  <c r="X85" s="1"/>
  <c r="W40" i="33"/>
  <c r="P139" i="35"/>
  <c r="X139" s="1"/>
  <c r="P131"/>
  <c r="X131" s="1"/>
  <c r="P149"/>
  <c r="X149" s="1"/>
  <c r="P140"/>
  <c r="X140" s="1"/>
  <c r="P141"/>
  <c r="X141" s="1"/>
  <c r="P132"/>
  <c r="X132" s="1"/>
  <c r="P148"/>
  <c r="X148" s="1"/>
  <c r="P150"/>
  <c r="X150" s="1"/>
  <c r="P130"/>
  <c r="X130" s="1"/>
  <c r="AJ52"/>
  <c r="Q52"/>
  <c r="X349" s="1"/>
  <c r="Q54"/>
  <c r="X351" s="1"/>
  <c r="Q62"/>
  <c r="X359" s="1"/>
  <c r="Q71"/>
  <c r="X368" s="1"/>
  <c r="Q72"/>
  <c r="X369" s="1"/>
  <c r="Q70"/>
  <c r="X367" s="1"/>
  <c r="Q53"/>
  <c r="X350" s="1"/>
  <c r="Q63"/>
  <c r="X360" s="1"/>
  <c r="Q61"/>
  <c r="X358" s="1"/>
  <c r="AJ119"/>
  <c r="Q109"/>
  <c r="X406" s="1"/>
  <c r="Q102"/>
  <c r="X399" s="1"/>
  <c r="Q111"/>
  <c r="X408" s="1"/>
  <c r="Q110"/>
  <c r="X407" s="1"/>
  <c r="Q120"/>
  <c r="X417" s="1"/>
  <c r="Q100"/>
  <c r="X397" s="1"/>
  <c r="Q119"/>
  <c r="X416" s="1"/>
  <c r="Q118"/>
  <c r="X415" s="1"/>
  <c r="Q101"/>
  <c r="X398" s="1"/>
  <c r="Z51" i="33"/>
  <c r="V51"/>
  <c r="Q20" i="35"/>
  <c r="X317" s="1"/>
  <c r="Q28"/>
  <c r="X325" s="1"/>
  <c r="Q19"/>
  <c r="X316" s="1"/>
  <c r="Q29"/>
  <c r="X326" s="1"/>
  <c r="Q37"/>
  <c r="X334" s="1"/>
  <c r="Q39"/>
  <c r="X336" s="1"/>
  <c r="Q21"/>
  <c r="X318" s="1"/>
  <c r="Q30"/>
  <c r="X327" s="1"/>
  <c r="Q38"/>
  <c r="X335" s="1"/>
  <c r="U180" i="34"/>
  <c r="A177" i="23" s="1"/>
  <c r="A15"/>
  <c r="AJ79" i="35"/>
  <c r="Q59"/>
  <c r="X356" s="1"/>
  <c r="Q60"/>
  <c r="X357" s="1"/>
  <c r="Q51"/>
  <c r="X348" s="1"/>
  <c r="Q50"/>
  <c r="X347" s="1"/>
  <c r="Q58"/>
  <c r="X355" s="1"/>
  <c r="Q67"/>
  <c r="X364" s="1"/>
  <c r="Q69"/>
  <c r="X366" s="1"/>
  <c r="Q49"/>
  <c r="X346" s="1"/>
  <c r="Q68"/>
  <c r="X365" s="1"/>
  <c r="R37"/>
  <c r="AJ37" s="1"/>
  <c r="R39"/>
  <c r="AJ39" s="1"/>
  <c r="R19"/>
  <c r="AJ19" s="1"/>
  <c r="R20"/>
  <c r="AJ20" s="1"/>
  <c r="R28"/>
  <c r="AJ28" s="1"/>
  <c r="R21"/>
  <c r="AJ21" s="1"/>
  <c r="R29"/>
  <c r="AJ29" s="1"/>
  <c r="R38"/>
  <c r="AJ38" s="1"/>
  <c r="R30"/>
  <c r="AJ30" s="1"/>
  <c r="W31" i="33"/>
  <c r="P67" i="35"/>
  <c r="X67" s="1"/>
  <c r="P50"/>
  <c r="X50" s="1"/>
  <c r="P58"/>
  <c r="X58" s="1"/>
  <c r="P59"/>
  <c r="X59" s="1"/>
  <c r="P51"/>
  <c r="X51" s="1"/>
  <c r="P68"/>
  <c r="X68" s="1"/>
  <c r="P49"/>
  <c r="X49" s="1"/>
  <c r="P69"/>
  <c r="X69" s="1"/>
  <c r="P60"/>
  <c r="X60" s="1"/>
  <c r="Q24"/>
  <c r="X321" s="1"/>
  <c r="Q40"/>
  <c r="X337" s="1"/>
  <c r="Q31"/>
  <c r="X328" s="1"/>
  <c r="Q41"/>
  <c r="X338" s="1"/>
  <c r="Q22"/>
  <c r="X319" s="1"/>
  <c r="Q32"/>
  <c r="X329" s="1"/>
  <c r="Q23"/>
  <c r="X320" s="1"/>
  <c r="Q33"/>
  <c r="X330" s="1"/>
  <c r="Q42"/>
  <c r="X339" s="1"/>
  <c r="AJ94"/>
  <c r="Q86"/>
  <c r="X383" s="1"/>
  <c r="Q78"/>
  <c r="X375" s="1"/>
  <c r="Q87"/>
  <c r="X384" s="1"/>
  <c r="Q94"/>
  <c r="X391" s="1"/>
  <c r="Q95"/>
  <c r="X392" s="1"/>
  <c r="Q96"/>
  <c r="X393" s="1"/>
  <c r="Q76"/>
  <c r="X373" s="1"/>
  <c r="Q77"/>
  <c r="X374" s="1"/>
  <c r="Q85"/>
  <c r="X382" s="1"/>
  <c r="T34"/>
  <c r="AC34" s="1"/>
  <c r="T36"/>
  <c r="AC36" s="1"/>
  <c r="T35"/>
  <c r="AC35" s="1"/>
  <c r="T43"/>
  <c r="AC43" s="1"/>
  <c r="T27"/>
  <c r="AC27" s="1"/>
  <c r="T26"/>
  <c r="AC26" s="1"/>
  <c r="T44"/>
  <c r="AC44" s="1"/>
  <c r="T45"/>
  <c r="AC45" s="1"/>
  <c r="T25"/>
  <c r="AC25" s="1"/>
  <c r="Q19" i="34"/>
  <c r="AI19" s="1"/>
  <c r="O16" i="23" s="1"/>
  <c r="S19" i="34"/>
  <c r="AB19" s="1"/>
  <c r="H16" i="23" s="1"/>
  <c r="O19" i="34"/>
  <c r="W19" s="1"/>
  <c r="C16" i="23" s="1"/>
  <c r="R19" i="34"/>
  <c r="P19"/>
  <c r="W181" s="1"/>
  <c r="C178" i="23" s="1"/>
  <c r="V17" i="33"/>
  <c r="Z17"/>
  <c r="T174" i="35"/>
  <c r="AC174" s="1"/>
  <c r="T163"/>
  <c r="AC163" s="1"/>
  <c r="T164"/>
  <c r="AC164" s="1"/>
  <c r="T173"/>
  <c r="AC173" s="1"/>
  <c r="T154"/>
  <c r="AC154" s="1"/>
  <c r="AJ128"/>
  <c r="Q145"/>
  <c r="X442" s="1"/>
  <c r="Q127"/>
  <c r="X424" s="1"/>
  <c r="Q147"/>
  <c r="X444" s="1"/>
  <c r="Q137"/>
  <c r="X434" s="1"/>
  <c r="Q146"/>
  <c r="X443" s="1"/>
  <c r="Q128"/>
  <c r="X425" s="1"/>
  <c r="Q138"/>
  <c r="X435" s="1"/>
  <c r="Q136"/>
  <c r="X433" s="1"/>
  <c r="Q129"/>
  <c r="X426" s="1"/>
  <c r="T176"/>
  <c r="AC176" s="1"/>
  <c r="T157"/>
  <c r="AC157" s="1"/>
  <c r="T168"/>
  <c r="AC168" s="1"/>
  <c r="T166"/>
  <c r="AC166" s="1"/>
  <c r="T177"/>
  <c r="AC177" s="1"/>
  <c r="T167"/>
  <c r="AC167" s="1"/>
  <c r="Q139"/>
  <c r="X436" s="1"/>
  <c r="Q149"/>
  <c r="X446" s="1"/>
  <c r="Q148"/>
  <c r="X445" s="1"/>
  <c r="Q130"/>
  <c r="X427" s="1"/>
  <c r="Q131"/>
  <c r="X428" s="1"/>
  <c r="Q150"/>
  <c r="X447" s="1"/>
  <c r="Q141"/>
  <c r="X438" s="1"/>
  <c r="Q140"/>
  <c r="X437" s="1"/>
  <c r="Q132"/>
  <c r="X429" s="1"/>
  <c r="G485"/>
  <c r="K188"/>
  <c r="O188"/>
  <c r="Q47"/>
  <c r="X344" s="1"/>
  <c r="Q55"/>
  <c r="X352" s="1"/>
  <c r="Q66"/>
  <c r="X363" s="1"/>
  <c r="Q57"/>
  <c r="X354" s="1"/>
  <c r="Q48"/>
  <c r="X345" s="1"/>
  <c r="Q65"/>
  <c r="X362" s="1"/>
  <c r="Q46"/>
  <c r="X343" s="1"/>
  <c r="Q64"/>
  <c r="X361" s="1"/>
  <c r="Q56"/>
  <c r="X353" s="1"/>
  <c r="T107"/>
  <c r="AC107" s="1"/>
  <c r="T108"/>
  <c r="AC108" s="1"/>
  <c r="T125"/>
  <c r="AC125" s="1"/>
  <c r="T116"/>
  <c r="AC116" s="1"/>
  <c r="T106"/>
  <c r="AC106" s="1"/>
  <c r="T126"/>
  <c r="AC126" s="1"/>
  <c r="T124"/>
  <c r="AC124" s="1"/>
  <c r="T117"/>
  <c r="AC117" s="1"/>
  <c r="T115"/>
  <c r="AC115" s="1"/>
  <c r="X432"/>
  <c r="T144"/>
  <c r="AC144" s="1"/>
  <c r="T143"/>
  <c r="AC143" s="1"/>
  <c r="T134"/>
  <c r="AC134" s="1"/>
  <c r="T142"/>
  <c r="AC142" s="1"/>
  <c r="T133"/>
  <c r="AC133" s="1"/>
  <c r="T135"/>
  <c r="AC135" s="1"/>
  <c r="T153"/>
  <c r="AC153" s="1"/>
  <c r="T151"/>
  <c r="AC151" s="1"/>
  <c r="T152"/>
  <c r="AC152" s="1"/>
  <c r="AJ180"/>
  <c r="F182" i="34"/>
  <c r="N20"/>
  <c r="T53" i="33"/>
  <c r="X53" s="1"/>
  <c r="S53"/>
  <c r="U53" s="1"/>
  <c r="W22"/>
  <c r="S55"/>
  <c r="U55" s="1"/>
  <c r="U18"/>
  <c r="X19"/>
  <c r="AL19" i="34"/>
  <c r="W17" i="33" l="1"/>
  <c r="W53"/>
  <c r="W51"/>
  <c r="D22" i="11"/>
  <c r="I46" i="12"/>
  <c r="C25" i="20" s="1"/>
  <c r="I28" i="12"/>
  <c r="D7" i="11"/>
  <c r="I13" i="12"/>
  <c r="I31"/>
  <c r="C10" i="20" s="1"/>
  <c r="W19" i="33"/>
  <c r="W55"/>
  <c r="H183" i="34"/>
  <c r="J21"/>
  <c r="A191" i="35"/>
  <c r="D190"/>
  <c r="I190" s="1"/>
  <c r="I487" s="1"/>
  <c r="C190"/>
  <c r="H190" s="1"/>
  <c r="E190"/>
  <c r="J190" s="1"/>
  <c r="B190"/>
  <c r="G190" s="1"/>
  <c r="H486"/>
  <c r="L189"/>
  <c r="Z189"/>
  <c r="R57" i="33"/>
  <c r="Q57"/>
  <c r="O57"/>
  <c r="P57" s="1"/>
  <c r="Y57" s="1"/>
  <c r="G486" i="35"/>
  <c r="K189"/>
  <c r="O189"/>
  <c r="Z58" i="33"/>
  <c r="V58"/>
  <c r="X484" i="35"/>
  <c r="AJ187"/>
  <c r="Z54" i="33"/>
  <c r="V54"/>
  <c r="Q20" i="34"/>
  <c r="AI20" s="1"/>
  <c r="O17" i="23" s="1"/>
  <c r="R20" i="34"/>
  <c r="O20"/>
  <c r="W20" s="1"/>
  <c r="C17" i="23" s="1"/>
  <c r="P20" i="34"/>
  <c r="W182" s="1"/>
  <c r="C179" i="23" s="1"/>
  <c r="S20" i="34"/>
  <c r="AB20" s="1"/>
  <c r="H17" i="23" s="1"/>
  <c r="K485" i="35"/>
  <c r="V188"/>
  <c r="V485" s="1"/>
  <c r="G183" i="34"/>
  <c r="Y21"/>
  <c r="E18" i="23" s="1"/>
  <c r="K21" i="34"/>
  <c r="T58" i="33"/>
  <c r="X58" s="1"/>
  <c r="S56"/>
  <c r="U56" s="1"/>
  <c r="S54"/>
  <c r="U54" s="1"/>
  <c r="Z56"/>
  <c r="V56"/>
  <c r="I183" i="34"/>
  <c r="L21"/>
  <c r="Q59" i="33"/>
  <c r="R59"/>
  <c r="O59"/>
  <c r="P59" s="1"/>
  <c r="Y59" s="1"/>
  <c r="T188" i="35"/>
  <c r="AC188" s="1"/>
  <c r="P188"/>
  <c r="X188" s="1"/>
  <c r="S188"/>
  <c r="R188"/>
  <c r="Q188"/>
  <c r="F183" i="34"/>
  <c r="N21"/>
  <c r="A23"/>
  <c r="D22"/>
  <c r="H22" s="1"/>
  <c r="B22"/>
  <c r="F22" s="1"/>
  <c r="C22"/>
  <c r="G22" s="1"/>
  <c r="E22"/>
  <c r="I22" s="1"/>
  <c r="J486" i="35"/>
  <c r="M189"/>
  <c r="J182" i="34"/>
  <c r="U20"/>
  <c r="U181"/>
  <c r="A178" i="23" s="1"/>
  <c r="A16"/>
  <c r="W18" i="33"/>
  <c r="S58"/>
  <c r="U58" s="1"/>
  <c r="W58" s="1"/>
  <c r="T56"/>
  <c r="X56" s="1"/>
  <c r="T54"/>
  <c r="X54" s="1"/>
  <c r="AL20" i="34"/>
  <c r="C25" i="11" l="1"/>
  <c r="C26" s="1"/>
  <c r="T57" i="33"/>
  <c r="X57" s="1"/>
  <c r="W56"/>
  <c r="J487" i="35"/>
  <c r="M190"/>
  <c r="K486"/>
  <c r="V189"/>
  <c r="V486" s="1"/>
  <c r="E191"/>
  <c r="J191" s="1"/>
  <c r="A192"/>
  <c r="D191"/>
  <c r="I191" s="1"/>
  <c r="I488" s="1"/>
  <c r="C191"/>
  <c r="H191" s="1"/>
  <c r="B191"/>
  <c r="G191" s="1"/>
  <c r="G184" i="34"/>
  <c r="K22"/>
  <c r="Y22"/>
  <c r="E19" i="23" s="1"/>
  <c r="Q21" i="34"/>
  <c r="AI21" s="1"/>
  <c r="O18" i="23" s="1"/>
  <c r="R21" i="34"/>
  <c r="O21"/>
  <c r="W21" s="1"/>
  <c r="C18" i="23" s="1"/>
  <c r="P21" i="34"/>
  <c r="W183" s="1"/>
  <c r="C180" i="23" s="1"/>
  <c r="S21" i="34"/>
  <c r="AB21" s="1"/>
  <c r="H18" i="23" s="1"/>
  <c r="X485" i="35"/>
  <c r="AJ188"/>
  <c r="Z57" i="33"/>
  <c r="V57"/>
  <c r="H487" i="35"/>
  <c r="L190"/>
  <c r="Z190"/>
  <c r="W54" i="33"/>
  <c r="T59"/>
  <c r="X59" s="1"/>
  <c r="U182" i="34"/>
  <c r="A179" i="23" s="1"/>
  <c r="A17"/>
  <c r="I184" i="34"/>
  <c r="L22"/>
  <c r="A24"/>
  <c r="D23"/>
  <c r="H23" s="1"/>
  <c r="E23"/>
  <c r="I23" s="1"/>
  <c r="B23"/>
  <c r="F23" s="1"/>
  <c r="C23"/>
  <c r="G23" s="1"/>
  <c r="Z59" i="33"/>
  <c r="V59"/>
  <c r="J183" i="34"/>
  <c r="U21"/>
  <c r="H184"/>
  <c r="J22"/>
  <c r="G487" i="35"/>
  <c r="O190"/>
  <c r="K190"/>
  <c r="F184" i="34"/>
  <c r="N22"/>
  <c r="Q189" i="35"/>
  <c r="T189"/>
  <c r="AC189" s="1"/>
  <c r="P189"/>
  <c r="X189" s="1"/>
  <c r="S189"/>
  <c r="R189"/>
  <c r="S59" i="33"/>
  <c r="U59" s="1"/>
  <c r="S57"/>
  <c r="U57" s="1"/>
  <c r="W57" s="1"/>
  <c r="AL21" i="34"/>
  <c r="I185" l="1"/>
  <c r="L23"/>
  <c r="G488" i="35"/>
  <c r="O191"/>
  <c r="K191"/>
  <c r="J488"/>
  <c r="M191"/>
  <c r="Q22" i="34"/>
  <c r="AI22" s="1"/>
  <c r="O19" i="23" s="1"/>
  <c r="S22" i="34"/>
  <c r="AB22" s="1"/>
  <c r="H19" i="23" s="1"/>
  <c r="R22" i="34"/>
  <c r="O22"/>
  <c r="W22" s="1"/>
  <c r="C19" i="23" s="1"/>
  <c r="P22" i="34"/>
  <c r="W184" s="1"/>
  <c r="C181" i="23" s="1"/>
  <c r="B192" i="35"/>
  <c r="G192" s="1"/>
  <c r="E192"/>
  <c r="J192" s="1"/>
  <c r="D192"/>
  <c r="I192" s="1"/>
  <c r="I489" s="1"/>
  <c r="A193"/>
  <c r="C192"/>
  <c r="H192" s="1"/>
  <c r="R190"/>
  <c r="Q190"/>
  <c r="T190"/>
  <c r="AC190" s="1"/>
  <c r="P190"/>
  <c r="X190" s="1"/>
  <c r="S190"/>
  <c r="U183" i="34"/>
  <c r="A180" i="23" s="1"/>
  <c r="A18"/>
  <c r="G185" i="34"/>
  <c r="Y23"/>
  <c r="E20" i="23" s="1"/>
  <c r="K23" i="34"/>
  <c r="A25"/>
  <c r="D24"/>
  <c r="H24" s="1"/>
  <c r="E24"/>
  <c r="I24" s="1"/>
  <c r="B24"/>
  <c r="F24" s="1"/>
  <c r="C24"/>
  <c r="G24" s="1"/>
  <c r="J184"/>
  <c r="U22"/>
  <c r="X486" i="35"/>
  <c r="AJ189"/>
  <c r="F185" i="34"/>
  <c r="N23"/>
  <c r="K487" i="35"/>
  <c r="V190"/>
  <c r="V487" s="1"/>
  <c r="P155"/>
  <c r="X155" s="1"/>
  <c r="Q174"/>
  <c r="X471" s="1"/>
  <c r="T171"/>
  <c r="AC171" s="1"/>
  <c r="S178"/>
  <c r="T158"/>
  <c r="AC158" s="1"/>
  <c r="S160"/>
  <c r="R157"/>
  <c r="R164"/>
  <c r="AJ164" s="1"/>
  <c r="S170"/>
  <c r="T172"/>
  <c r="AC172" s="1"/>
  <c r="S165"/>
  <c r="Q168"/>
  <c r="X465" s="1"/>
  <c r="R173"/>
  <c r="S161"/>
  <c r="R169"/>
  <c r="S157"/>
  <c r="S159"/>
  <c r="P164"/>
  <c r="X164" s="1"/>
  <c r="P167"/>
  <c r="X167" s="1"/>
  <c r="T165"/>
  <c r="AC165" s="1"/>
  <c r="P159"/>
  <c r="X159" s="1"/>
  <c r="R167"/>
  <c r="AJ167" s="1"/>
  <c r="T159"/>
  <c r="AC159" s="1"/>
  <c r="S169"/>
  <c r="P162"/>
  <c r="X162" s="1"/>
  <c r="R168"/>
  <c r="AJ168" s="1"/>
  <c r="P154"/>
  <c r="X154" s="1"/>
  <c r="R174"/>
  <c r="AJ174" s="1"/>
  <c r="S166"/>
  <c r="S173"/>
  <c r="T175"/>
  <c r="AC175" s="1"/>
  <c r="S171"/>
  <c r="S176"/>
  <c r="T160"/>
  <c r="AC160" s="1"/>
  <c r="Q163"/>
  <c r="X460" s="1"/>
  <c r="T156"/>
  <c r="AC156" s="1"/>
  <c r="R163"/>
  <c r="AJ163" s="1"/>
  <c r="Q154"/>
  <c r="X451" s="1"/>
  <c r="P175"/>
  <c r="X175" s="1"/>
  <c r="T179"/>
  <c r="AC179" s="1"/>
  <c r="P156"/>
  <c r="X156" s="1"/>
  <c r="Q165"/>
  <c r="Q160"/>
  <c r="T155"/>
  <c r="AC155" s="1"/>
  <c r="Q177"/>
  <c r="X474" s="1"/>
  <c r="P168"/>
  <c r="X168" s="1"/>
  <c r="R176"/>
  <c r="H185" i="34"/>
  <c r="J23"/>
  <c r="H488" i="35"/>
  <c r="Z191"/>
  <c r="L191"/>
  <c r="W59" i="33"/>
  <c r="AL22" i="34"/>
  <c r="X456" i="35" l="1"/>
  <c r="AJ159"/>
  <c r="X467"/>
  <c r="AJ170"/>
  <c r="H186" i="34"/>
  <c r="J24"/>
  <c r="Z192" i="35"/>
  <c r="L192"/>
  <c r="H489"/>
  <c r="K488"/>
  <c r="V191"/>
  <c r="V488" s="1"/>
  <c r="X470"/>
  <c r="AJ173"/>
  <c r="X458"/>
  <c r="AJ161"/>
  <c r="X457"/>
  <c r="AJ160"/>
  <c r="Q23" i="34"/>
  <c r="AI23" s="1"/>
  <c r="O20" i="23" s="1"/>
  <c r="R23" i="34"/>
  <c r="S23"/>
  <c r="AB23" s="1"/>
  <c r="H20" i="23" s="1"/>
  <c r="O23" i="34"/>
  <c r="W23" s="1"/>
  <c r="C20" i="23" s="1"/>
  <c r="P23" i="34"/>
  <c r="W185" s="1"/>
  <c r="C182" i="23" s="1"/>
  <c r="U184" i="34"/>
  <c r="A181" i="23" s="1"/>
  <c r="A19"/>
  <c r="J489" i="35"/>
  <c r="M192"/>
  <c r="X462"/>
  <c r="AJ165"/>
  <c r="F186" i="34"/>
  <c r="N24"/>
  <c r="J185"/>
  <c r="U23"/>
  <c r="X473" i="35"/>
  <c r="AJ176"/>
  <c r="X463"/>
  <c r="AJ166"/>
  <c r="G489"/>
  <c r="K192"/>
  <c r="O192"/>
  <c r="I186" i="34"/>
  <c r="L24"/>
  <c r="X487" i="35"/>
  <c r="AJ190"/>
  <c r="X468"/>
  <c r="AJ171"/>
  <c r="X466"/>
  <c r="AJ169"/>
  <c r="X454"/>
  <c r="AJ157"/>
  <c r="X475"/>
  <c r="AJ178"/>
  <c r="G186" i="34"/>
  <c r="Y24"/>
  <c r="E21" i="23" s="1"/>
  <c r="K24" i="34"/>
  <c r="A26"/>
  <c r="D25"/>
  <c r="H25" s="1"/>
  <c r="E25"/>
  <c r="I25" s="1"/>
  <c r="B25"/>
  <c r="F25" s="1"/>
  <c r="C25"/>
  <c r="G25" s="1"/>
  <c r="C193" i="35"/>
  <c r="H193" s="1"/>
  <c r="B193"/>
  <c r="G193" s="1"/>
  <c r="A194"/>
  <c r="E193"/>
  <c r="J193" s="1"/>
  <c r="D193"/>
  <c r="I193" s="1"/>
  <c r="I490" s="1"/>
  <c r="S191"/>
  <c r="R191"/>
  <c r="P191"/>
  <c r="X191" s="1"/>
  <c r="Q191"/>
  <c r="T191"/>
  <c r="AC191" s="1"/>
  <c r="AL23" i="34"/>
  <c r="X488" i="35" l="1"/>
  <c r="AJ191"/>
  <c r="I187" i="34"/>
  <c r="L25"/>
  <c r="K489" i="35"/>
  <c r="V192"/>
  <c r="V489" s="1"/>
  <c r="Q24" i="34"/>
  <c r="AI24" s="1"/>
  <c r="O21" i="23" s="1"/>
  <c r="R24" i="34"/>
  <c r="S24"/>
  <c r="AB24" s="1"/>
  <c r="H21" i="23" s="1"/>
  <c r="O24" i="34"/>
  <c r="W24" s="1"/>
  <c r="C21" i="23" s="1"/>
  <c r="P24" i="34"/>
  <c r="W186" s="1"/>
  <c r="C183" i="23" s="1"/>
  <c r="J186" i="34"/>
  <c r="U24"/>
  <c r="J490" i="35"/>
  <c r="M193"/>
  <c r="G187" i="34"/>
  <c r="Y25"/>
  <c r="E22" i="23" s="1"/>
  <c r="K25" i="34"/>
  <c r="A27"/>
  <c r="C26"/>
  <c r="G26" s="1"/>
  <c r="D26"/>
  <c r="H26" s="1"/>
  <c r="E26"/>
  <c r="I26" s="1"/>
  <c r="B26"/>
  <c r="F26" s="1"/>
  <c r="T192" i="35"/>
  <c r="AC192" s="1"/>
  <c r="P192"/>
  <c r="X192" s="1"/>
  <c r="S192"/>
  <c r="Q192"/>
  <c r="R192"/>
  <c r="G490"/>
  <c r="K193"/>
  <c r="O193"/>
  <c r="A195"/>
  <c r="D194"/>
  <c r="I194" s="1"/>
  <c r="I491" s="1"/>
  <c r="C194"/>
  <c r="H194" s="1"/>
  <c r="B194"/>
  <c r="G194" s="1"/>
  <c r="E194"/>
  <c r="J194" s="1"/>
  <c r="F187" i="34"/>
  <c r="N25"/>
  <c r="H490" i="35"/>
  <c r="L193"/>
  <c r="Z193"/>
  <c r="H187" i="34"/>
  <c r="J25"/>
  <c r="U185"/>
  <c r="A182" i="23" s="1"/>
  <c r="A20"/>
  <c r="AL24" i="34"/>
  <c r="Q25" l="1"/>
  <c r="AI25" s="1"/>
  <c r="O22" i="23" s="1"/>
  <c r="R25" i="34"/>
  <c r="S25"/>
  <c r="AB25" s="1"/>
  <c r="H22" i="23" s="1"/>
  <c r="O25" i="34"/>
  <c r="W25" s="1"/>
  <c r="C22" i="23" s="1"/>
  <c r="P25" i="34"/>
  <c r="W187" s="1"/>
  <c r="C184" i="23" s="1"/>
  <c r="H491" i="35"/>
  <c r="L194"/>
  <c r="Z194"/>
  <c r="K490"/>
  <c r="V193"/>
  <c r="V490" s="1"/>
  <c r="J187" i="34"/>
  <c r="U25"/>
  <c r="G491" i="35"/>
  <c r="K194"/>
  <c r="O194"/>
  <c r="Q193"/>
  <c r="T193"/>
  <c r="AC193" s="1"/>
  <c r="P193"/>
  <c r="X193" s="1"/>
  <c r="R193"/>
  <c r="S193"/>
  <c r="F188" i="34"/>
  <c r="N26"/>
  <c r="A28"/>
  <c r="D27"/>
  <c r="H27" s="1"/>
  <c r="E27"/>
  <c r="I27" s="1"/>
  <c r="C27"/>
  <c r="G27" s="1"/>
  <c r="B27"/>
  <c r="F27" s="1"/>
  <c r="H188"/>
  <c r="J26"/>
  <c r="U186"/>
  <c r="A183" i="23" s="1"/>
  <c r="A21"/>
  <c r="X489" i="35"/>
  <c r="AJ192"/>
  <c r="I188" i="34"/>
  <c r="L26"/>
  <c r="J491" i="35"/>
  <c r="M194"/>
  <c r="E195"/>
  <c r="J195" s="1"/>
  <c r="A196"/>
  <c r="D195"/>
  <c r="I195" s="1"/>
  <c r="I492" s="1"/>
  <c r="B195"/>
  <c r="G195" s="1"/>
  <c r="C195"/>
  <c r="H195" s="1"/>
  <c r="G188" i="34"/>
  <c r="Y26"/>
  <c r="E23" i="23" s="1"/>
  <c r="K26" i="34"/>
  <c r="AL25"/>
  <c r="J188" l="1"/>
  <c r="U26"/>
  <c r="I189"/>
  <c r="L27"/>
  <c r="J492" i="35"/>
  <c r="M195"/>
  <c r="B196"/>
  <c r="G196" s="1"/>
  <c r="E196"/>
  <c r="J196" s="1"/>
  <c r="C196"/>
  <c r="H196" s="1"/>
  <c r="A197"/>
  <c r="D196"/>
  <c r="I196" s="1"/>
  <c r="I493" s="1"/>
  <c r="F189" i="34"/>
  <c r="N27"/>
  <c r="A29"/>
  <c r="D28"/>
  <c r="H28" s="1"/>
  <c r="E28"/>
  <c r="I28" s="1"/>
  <c r="C28"/>
  <c r="G28" s="1"/>
  <c r="B28"/>
  <c r="F28" s="1"/>
  <c r="R194" i="35"/>
  <c r="Q194"/>
  <c r="S194"/>
  <c r="P194"/>
  <c r="X194" s="1"/>
  <c r="T194"/>
  <c r="AC194" s="1"/>
  <c r="G492"/>
  <c r="O195"/>
  <c r="K195"/>
  <c r="H492"/>
  <c r="Z195"/>
  <c r="L195"/>
  <c r="G189" i="34"/>
  <c r="Y27"/>
  <c r="E24" i="23" s="1"/>
  <c r="K27" i="34"/>
  <c r="P26"/>
  <c r="W188" s="1"/>
  <c r="C185" i="23" s="1"/>
  <c r="Q26" i="34"/>
  <c r="AI26" s="1"/>
  <c r="O23" i="23" s="1"/>
  <c r="R26" i="34"/>
  <c r="S26"/>
  <c r="AB26" s="1"/>
  <c r="H23" i="23" s="1"/>
  <c r="O26" i="34"/>
  <c r="W26" s="1"/>
  <c r="C23" i="23" s="1"/>
  <c r="K491" i="35"/>
  <c r="V194"/>
  <c r="V491" s="1"/>
  <c r="H189" i="34"/>
  <c r="J27"/>
  <c r="X490" i="35"/>
  <c r="AJ193"/>
  <c r="U187" i="34"/>
  <c r="A184" i="23" s="1"/>
  <c r="A22"/>
  <c r="AL26" i="34"/>
  <c r="F190" l="1"/>
  <c r="N28"/>
  <c r="A30"/>
  <c r="D29"/>
  <c r="H29" s="1"/>
  <c r="C29"/>
  <c r="G29" s="1"/>
  <c r="E29"/>
  <c r="I29" s="1"/>
  <c r="B29"/>
  <c r="F29" s="1"/>
  <c r="C197" i="35"/>
  <c r="H197" s="1"/>
  <c r="B197"/>
  <c r="G197" s="1"/>
  <c r="D197"/>
  <c r="I197" s="1"/>
  <c r="I494" s="1"/>
  <c r="E197"/>
  <c r="J197" s="1"/>
  <c r="A198"/>
  <c r="U188" i="34"/>
  <c r="A185" i="23" s="1"/>
  <c r="A23"/>
  <c r="J189" i="34"/>
  <c r="U27"/>
  <c r="S195" i="35"/>
  <c r="R195"/>
  <c r="T195"/>
  <c r="AC195" s="1"/>
  <c r="Q195"/>
  <c r="P195"/>
  <c r="X195" s="1"/>
  <c r="X491"/>
  <c r="AJ194"/>
  <c r="G190" i="34"/>
  <c r="Y28"/>
  <c r="E25" i="23" s="1"/>
  <c r="K28" i="34"/>
  <c r="Q27"/>
  <c r="AI27" s="1"/>
  <c r="O24" i="23" s="1"/>
  <c r="R27" i="34"/>
  <c r="S27"/>
  <c r="AB27" s="1"/>
  <c r="H24" i="23" s="1"/>
  <c r="O27" i="34"/>
  <c r="W27" s="1"/>
  <c r="C24" i="23" s="1"/>
  <c r="P27" i="34"/>
  <c r="W189" s="1"/>
  <c r="C186" i="23" s="1"/>
  <c r="H493" i="35"/>
  <c r="Z196"/>
  <c r="L196"/>
  <c r="K492"/>
  <c r="V195"/>
  <c r="V492" s="1"/>
  <c r="H190" i="34"/>
  <c r="J28"/>
  <c r="G493" i="35"/>
  <c r="K196"/>
  <c r="O196"/>
  <c r="I190" i="34"/>
  <c r="L28"/>
  <c r="J493" i="35"/>
  <c r="M196"/>
  <c r="AL27" i="34"/>
  <c r="T196" i="35" l="1"/>
  <c r="AC196" s="1"/>
  <c r="P196"/>
  <c r="X196" s="1"/>
  <c r="S196"/>
  <c r="R196"/>
  <c r="Q196"/>
  <c r="X492"/>
  <c r="AJ195"/>
  <c r="G494"/>
  <c r="K197"/>
  <c r="O197"/>
  <c r="G191" i="34"/>
  <c r="K29"/>
  <c r="Y29"/>
  <c r="E26" i="23" s="1"/>
  <c r="J190" i="34"/>
  <c r="U28"/>
  <c r="I191"/>
  <c r="L29"/>
  <c r="Q28"/>
  <c r="AI28" s="1"/>
  <c r="O25" i="23" s="1"/>
  <c r="R28" i="34"/>
  <c r="O28"/>
  <c r="P28"/>
  <c r="W190" s="1"/>
  <c r="C187" i="23" s="1"/>
  <c r="S28" i="34"/>
  <c r="AB28" s="1"/>
  <c r="H25" i="23" s="1"/>
  <c r="J494" i="35"/>
  <c r="M197"/>
  <c r="F191" i="34"/>
  <c r="N29"/>
  <c r="A31"/>
  <c r="D30"/>
  <c r="H30" s="1"/>
  <c r="C30"/>
  <c r="G30" s="1"/>
  <c r="E30"/>
  <c r="I30" s="1"/>
  <c r="B30"/>
  <c r="F30" s="1"/>
  <c r="K493" i="35"/>
  <c r="V196"/>
  <c r="V493" s="1"/>
  <c r="U189" i="34"/>
  <c r="A186" i="23" s="1"/>
  <c r="A24"/>
  <c r="A199" i="35"/>
  <c r="D198"/>
  <c r="I198" s="1"/>
  <c r="I495" s="1"/>
  <c r="C198"/>
  <c r="H198" s="1"/>
  <c r="E198"/>
  <c r="J198" s="1"/>
  <c r="B198"/>
  <c r="G198" s="1"/>
  <c r="H494"/>
  <c r="L197"/>
  <c r="Z197"/>
  <c r="H191" i="34"/>
  <c r="J29"/>
  <c r="AL28"/>
  <c r="W28" l="1"/>
  <c r="C25" i="23" s="1"/>
  <c r="G192" i="34"/>
  <c r="K30"/>
  <c r="Y30"/>
  <c r="E27" i="23" s="1"/>
  <c r="Q29" i="34"/>
  <c r="AI29" s="1"/>
  <c r="O26" i="23" s="1"/>
  <c r="S29" i="34"/>
  <c r="AB29" s="1"/>
  <c r="H26" i="23" s="1"/>
  <c r="R29" i="34"/>
  <c r="O29"/>
  <c r="W29" s="1"/>
  <c r="C26" i="23" s="1"/>
  <c r="P29" i="34"/>
  <c r="W191" s="1"/>
  <c r="C188" i="23" s="1"/>
  <c r="J495" i="35"/>
  <c r="M198"/>
  <c r="F192" i="34"/>
  <c r="N30"/>
  <c r="A32"/>
  <c r="D31"/>
  <c r="H31" s="1"/>
  <c r="E31"/>
  <c r="I31" s="1"/>
  <c r="B31"/>
  <c r="F31" s="1"/>
  <c r="C31"/>
  <c r="G31" s="1"/>
  <c r="U190"/>
  <c r="A187" i="23" s="1"/>
  <c r="A25"/>
  <c r="X493" i="35"/>
  <c r="AJ196"/>
  <c r="J191" i="34"/>
  <c r="U29"/>
  <c r="K494" i="35"/>
  <c r="V197"/>
  <c r="V494" s="1"/>
  <c r="H495"/>
  <c r="L198"/>
  <c r="Z198"/>
  <c r="I192" i="34"/>
  <c r="L30"/>
  <c r="Q197" i="35"/>
  <c r="T197"/>
  <c r="AC197" s="1"/>
  <c r="P197"/>
  <c r="X197" s="1"/>
  <c r="S197"/>
  <c r="R197"/>
  <c r="G495"/>
  <c r="O198"/>
  <c r="K198"/>
  <c r="E199"/>
  <c r="J199" s="1"/>
  <c r="A200"/>
  <c r="D199"/>
  <c r="I199" s="1"/>
  <c r="I496" s="1"/>
  <c r="C199"/>
  <c r="H199" s="1"/>
  <c r="B199"/>
  <c r="G199" s="1"/>
  <c r="H192" i="34"/>
  <c r="J30"/>
  <c r="AL29"/>
  <c r="A33" l="1"/>
  <c r="D32"/>
  <c r="H32" s="1"/>
  <c r="E32"/>
  <c r="I32" s="1"/>
  <c r="C32"/>
  <c r="G32" s="1"/>
  <c r="B32"/>
  <c r="F32" s="1"/>
  <c r="X494" i="35"/>
  <c r="AJ197"/>
  <c r="U191" i="34"/>
  <c r="A188" i="23" s="1"/>
  <c r="A26"/>
  <c r="I193" i="34"/>
  <c r="L31"/>
  <c r="J192"/>
  <c r="U30"/>
  <c r="R198" i="35"/>
  <c r="Q198"/>
  <c r="T198"/>
  <c r="AC198" s="1"/>
  <c r="P198"/>
  <c r="X198" s="1"/>
  <c r="S198"/>
  <c r="G193" i="34"/>
  <c r="Y31"/>
  <c r="E28" i="23" s="1"/>
  <c r="K31" i="34"/>
  <c r="H496" i="35"/>
  <c r="Z199"/>
  <c r="L199"/>
  <c r="K495"/>
  <c r="V198"/>
  <c r="V495" s="1"/>
  <c r="H193" i="34"/>
  <c r="J31"/>
  <c r="G496" i="35"/>
  <c r="O199"/>
  <c r="K199"/>
  <c r="J496"/>
  <c r="M199"/>
  <c r="B200"/>
  <c r="G200" s="1"/>
  <c r="E200"/>
  <c r="J200" s="1"/>
  <c r="D200"/>
  <c r="I200" s="1"/>
  <c r="I497" s="1"/>
  <c r="A201"/>
  <c r="C200"/>
  <c r="H200" s="1"/>
  <c r="F193" i="34"/>
  <c r="N31"/>
  <c r="Q30"/>
  <c r="AI30" s="1"/>
  <c r="O27" i="23" s="1"/>
  <c r="O30" i="34"/>
  <c r="W30" s="1"/>
  <c r="C27" i="23" s="1"/>
  <c r="P30" i="34"/>
  <c r="W192" s="1"/>
  <c r="C189" i="23" s="1"/>
  <c r="R30" i="34"/>
  <c r="S30"/>
  <c r="AB30" s="1"/>
  <c r="H27" i="23" s="1"/>
  <c r="AL30" i="34"/>
  <c r="C201" i="35" l="1"/>
  <c r="H201" s="1"/>
  <c r="B201"/>
  <c r="G201" s="1"/>
  <c r="A202"/>
  <c r="E201"/>
  <c r="J201" s="1"/>
  <c r="D201"/>
  <c r="I201" s="1"/>
  <c r="I498" s="1"/>
  <c r="U192" i="34"/>
  <c r="A189" i="23" s="1"/>
  <c r="A27"/>
  <c r="G497" i="35"/>
  <c r="K200"/>
  <c r="O200"/>
  <c r="X495"/>
  <c r="AJ198"/>
  <c r="H194" i="34"/>
  <c r="J32"/>
  <c r="J497" i="35"/>
  <c r="M200"/>
  <c r="K496"/>
  <c r="V199"/>
  <c r="V496" s="1"/>
  <c r="I194" i="34"/>
  <c r="L32"/>
  <c r="F194"/>
  <c r="N32"/>
  <c r="A34"/>
  <c r="D33"/>
  <c r="H33" s="1"/>
  <c r="B33"/>
  <c r="F33" s="1"/>
  <c r="C33"/>
  <c r="G33" s="1"/>
  <c r="E33"/>
  <c r="I33" s="1"/>
  <c r="H497" i="35"/>
  <c r="Z200"/>
  <c r="L200"/>
  <c r="S199"/>
  <c r="R199"/>
  <c r="P199"/>
  <c r="X199" s="1"/>
  <c r="Q199"/>
  <c r="T199"/>
  <c r="AC199" s="1"/>
  <c r="Q31" i="34"/>
  <c r="AI31" s="1"/>
  <c r="O28" i="23" s="1"/>
  <c r="R31" i="34"/>
  <c r="S31"/>
  <c r="AB31" s="1"/>
  <c r="H28" i="23" s="1"/>
  <c r="O31" i="34"/>
  <c r="W31" s="1"/>
  <c r="C28" i="23" s="1"/>
  <c r="P31" i="34"/>
  <c r="W193" s="1"/>
  <c r="C190" i="23" s="1"/>
  <c r="J193" i="34"/>
  <c r="U31"/>
  <c r="G194"/>
  <c r="Y32"/>
  <c r="E29" i="23" s="1"/>
  <c r="K32" i="34"/>
  <c r="AL31"/>
  <c r="F195" l="1"/>
  <c r="N33"/>
  <c r="K497" i="35"/>
  <c r="V200"/>
  <c r="V497" s="1"/>
  <c r="G195" i="34"/>
  <c r="K33"/>
  <c r="Y33"/>
  <c r="E30" i="23" s="1"/>
  <c r="T200" i="35"/>
  <c r="AC200" s="1"/>
  <c r="P200"/>
  <c r="X200" s="1"/>
  <c r="S200"/>
  <c r="Q200"/>
  <c r="R200"/>
  <c r="X496"/>
  <c r="AJ199"/>
  <c r="I195" i="34"/>
  <c r="L33"/>
  <c r="A35"/>
  <c r="D34"/>
  <c r="H34" s="1"/>
  <c r="E34"/>
  <c r="I34" s="1"/>
  <c r="B34"/>
  <c r="F34" s="1"/>
  <c r="C34"/>
  <c r="G34" s="1"/>
  <c r="A203" i="35"/>
  <c r="D202"/>
  <c r="I202" s="1"/>
  <c r="I499" s="1"/>
  <c r="C202"/>
  <c r="H202" s="1"/>
  <c r="B202"/>
  <c r="G202" s="1"/>
  <c r="E202"/>
  <c r="J202" s="1"/>
  <c r="H498"/>
  <c r="L201"/>
  <c r="Z201"/>
  <c r="U193" i="34"/>
  <c r="A190" i="23" s="1"/>
  <c r="A28"/>
  <c r="Q32" i="34"/>
  <c r="AI32" s="1"/>
  <c r="O29" i="23" s="1"/>
  <c r="R32" i="34"/>
  <c r="S32"/>
  <c r="AB32" s="1"/>
  <c r="H29" i="23" s="1"/>
  <c r="O32" i="34"/>
  <c r="W32" s="1"/>
  <c r="C29" i="23" s="1"/>
  <c r="P32" i="34"/>
  <c r="W194" s="1"/>
  <c r="C191" i="23" s="1"/>
  <c r="J194" i="34"/>
  <c r="U32"/>
  <c r="G498" i="35"/>
  <c r="K201"/>
  <c r="O201"/>
  <c r="H195" i="34"/>
  <c r="J33"/>
  <c r="J498" i="35"/>
  <c r="M201"/>
  <c r="AL32" i="34"/>
  <c r="J499" i="35" l="1"/>
  <c r="M202"/>
  <c r="E203"/>
  <c r="J203" s="1"/>
  <c r="A204"/>
  <c r="D203"/>
  <c r="I203" s="1"/>
  <c r="I500" s="1"/>
  <c r="B203"/>
  <c r="G203" s="1"/>
  <c r="C203"/>
  <c r="H203" s="1"/>
  <c r="H196" i="34"/>
  <c r="J34"/>
  <c r="Q33"/>
  <c r="AI33" s="1"/>
  <c r="O30" i="23" s="1"/>
  <c r="S33" i="34"/>
  <c r="AB33" s="1"/>
  <c r="H30" i="23" s="1"/>
  <c r="O33" i="34"/>
  <c r="W33" s="1"/>
  <c r="C30" i="23" s="1"/>
  <c r="P33" i="34"/>
  <c r="W195" s="1"/>
  <c r="C192" i="23" s="1"/>
  <c r="R33" i="34"/>
  <c r="Q201" i="35"/>
  <c r="T201"/>
  <c r="AC201" s="1"/>
  <c r="P201"/>
  <c r="X201" s="1"/>
  <c r="R201"/>
  <c r="S201"/>
  <c r="G499"/>
  <c r="K202"/>
  <c r="O202"/>
  <c r="G196" i="34"/>
  <c r="Y34"/>
  <c r="E31" i="23" s="1"/>
  <c r="K34" i="34"/>
  <c r="A36"/>
  <c r="D35"/>
  <c r="H35" s="1"/>
  <c r="E35"/>
  <c r="I35" s="1"/>
  <c r="B35"/>
  <c r="F35" s="1"/>
  <c r="C35"/>
  <c r="G35" s="1"/>
  <c r="U194"/>
  <c r="A191" i="23" s="1"/>
  <c r="A29"/>
  <c r="X497" i="35"/>
  <c r="AJ200"/>
  <c r="J195" i="34"/>
  <c r="U33"/>
  <c r="I196"/>
  <c r="L34"/>
  <c r="K498" i="35"/>
  <c r="V201"/>
  <c r="V498" s="1"/>
  <c r="H499"/>
  <c r="L202"/>
  <c r="Z202"/>
  <c r="F196" i="34"/>
  <c r="N34"/>
  <c r="AL33"/>
  <c r="Q34" l="1"/>
  <c r="AI34" s="1"/>
  <c r="O31" i="23" s="1"/>
  <c r="R34" i="34"/>
  <c r="S34"/>
  <c r="AB34" s="1"/>
  <c r="H31" i="23" s="1"/>
  <c r="O34" i="34"/>
  <c r="W34" s="1"/>
  <c r="C31" i="23" s="1"/>
  <c r="P34" i="34"/>
  <c r="W196" s="1"/>
  <c r="C193" i="23" s="1"/>
  <c r="F197" i="34"/>
  <c r="N35"/>
  <c r="J196"/>
  <c r="U34"/>
  <c r="G500" i="35"/>
  <c r="O203"/>
  <c r="K203"/>
  <c r="H197" i="34"/>
  <c r="J35"/>
  <c r="X498" i="35"/>
  <c r="AJ201"/>
  <c r="H500"/>
  <c r="Z203"/>
  <c r="L203"/>
  <c r="J500"/>
  <c r="M203"/>
  <c r="K499"/>
  <c r="V202"/>
  <c r="V499" s="1"/>
  <c r="G197" i="34"/>
  <c r="Y35"/>
  <c r="E32" i="23" s="1"/>
  <c r="K35" i="34"/>
  <c r="A37"/>
  <c r="D36"/>
  <c r="H36" s="1"/>
  <c r="C36"/>
  <c r="G36" s="1"/>
  <c r="E36"/>
  <c r="I36" s="1"/>
  <c r="B36"/>
  <c r="F36" s="1"/>
  <c r="R202" i="35"/>
  <c r="Q202"/>
  <c r="S202"/>
  <c r="P202"/>
  <c r="X202" s="1"/>
  <c r="T202"/>
  <c r="AC202" s="1"/>
  <c r="U195" i="34"/>
  <c r="A192" i="23" s="1"/>
  <c r="A30"/>
  <c r="I197" i="34"/>
  <c r="L35"/>
  <c r="B204" i="35"/>
  <c r="G204" s="1"/>
  <c r="E204"/>
  <c r="J204" s="1"/>
  <c r="C204"/>
  <c r="H204" s="1"/>
  <c r="A205"/>
  <c r="D204"/>
  <c r="I204" s="1"/>
  <c r="I501" s="1"/>
  <c r="AL34" i="34"/>
  <c r="X499" i="35" l="1"/>
  <c r="AJ202"/>
  <c r="I198" i="34"/>
  <c r="L36"/>
  <c r="J197"/>
  <c r="U35"/>
  <c r="H501" i="35"/>
  <c r="Z204"/>
  <c r="L204"/>
  <c r="F198" i="34"/>
  <c r="N36"/>
  <c r="A38"/>
  <c r="D37"/>
  <c r="H37" s="1"/>
  <c r="E37"/>
  <c r="I37" s="1"/>
  <c r="C37"/>
  <c r="G37" s="1"/>
  <c r="B37"/>
  <c r="F37" s="1"/>
  <c r="G501" i="35"/>
  <c r="K204"/>
  <c r="O204"/>
  <c r="G198" i="34"/>
  <c r="Y36"/>
  <c r="E33" i="23" s="1"/>
  <c r="K36" i="34"/>
  <c r="U196"/>
  <c r="A193" i="23" s="1"/>
  <c r="A31"/>
  <c r="J501" i="35"/>
  <c r="M204"/>
  <c r="S203"/>
  <c r="R203"/>
  <c r="T203"/>
  <c r="AC203" s="1"/>
  <c r="Q203"/>
  <c r="P203"/>
  <c r="X203" s="1"/>
  <c r="Q35" i="34"/>
  <c r="AI35" s="1"/>
  <c r="O32" i="23" s="1"/>
  <c r="R35" i="34"/>
  <c r="S35"/>
  <c r="AB35" s="1"/>
  <c r="H32" i="23" s="1"/>
  <c r="O35" i="34"/>
  <c r="W35" s="1"/>
  <c r="C32" i="23" s="1"/>
  <c r="P35" i="34"/>
  <c r="W197" s="1"/>
  <c r="C194" i="23" s="1"/>
  <c r="C205" i="35"/>
  <c r="H205" s="1"/>
  <c r="B205"/>
  <c r="G205" s="1"/>
  <c r="D205"/>
  <c r="I205" s="1"/>
  <c r="I502" s="1"/>
  <c r="E205"/>
  <c r="J205" s="1"/>
  <c r="A206"/>
  <c r="H198" i="34"/>
  <c r="J36"/>
  <c r="K500" i="35"/>
  <c r="V203"/>
  <c r="V500" s="1"/>
  <c r="AL35" i="34"/>
  <c r="I199" l="1"/>
  <c r="L37"/>
  <c r="U197"/>
  <c r="A194" i="23" s="1"/>
  <c r="A32"/>
  <c r="J198" i="34"/>
  <c r="U36"/>
  <c r="X500" i="35"/>
  <c r="AJ203"/>
  <c r="G199" i="34"/>
  <c r="Y37"/>
  <c r="E34" i="23" s="1"/>
  <c r="K37" i="34"/>
  <c r="A207" i="35"/>
  <c r="D206"/>
  <c r="I206" s="1"/>
  <c r="I503" s="1"/>
  <c r="C206"/>
  <c r="H206" s="1"/>
  <c r="E206"/>
  <c r="J206" s="1"/>
  <c r="B206"/>
  <c r="G206" s="1"/>
  <c r="H502"/>
  <c r="L205"/>
  <c r="Z205"/>
  <c r="H199" i="34"/>
  <c r="J37"/>
  <c r="G502" i="35"/>
  <c r="K205"/>
  <c r="O205"/>
  <c r="K501"/>
  <c r="V204"/>
  <c r="V501" s="1"/>
  <c r="T204"/>
  <c r="AC204" s="1"/>
  <c r="P204"/>
  <c r="X204" s="1"/>
  <c r="S204"/>
  <c r="R204"/>
  <c r="Q204"/>
  <c r="Q36" i="34"/>
  <c r="AI36" s="1"/>
  <c r="O33" i="23" s="1"/>
  <c r="P36" i="34"/>
  <c r="W198" s="1"/>
  <c r="C195" i="23" s="1"/>
  <c r="R36" i="34"/>
  <c r="S36"/>
  <c r="AB36" s="1"/>
  <c r="H33" i="23" s="1"/>
  <c r="O36" i="34"/>
  <c r="W36" s="1"/>
  <c r="C33" i="23" s="1"/>
  <c r="J502" i="35"/>
  <c r="M205"/>
  <c r="F199" i="34"/>
  <c r="N37"/>
  <c r="A39"/>
  <c r="D38"/>
  <c r="H38" s="1"/>
  <c r="E38"/>
  <c r="I38" s="1"/>
  <c r="B38"/>
  <c r="F38" s="1"/>
  <c r="C38"/>
  <c r="G38" s="1"/>
  <c r="AL36"/>
  <c r="X501" i="35" l="1"/>
  <c r="AJ204"/>
  <c r="H200" i="34"/>
  <c r="J38"/>
  <c r="H503" i="35"/>
  <c r="L206"/>
  <c r="Z206"/>
  <c r="U198" i="34"/>
  <c r="A195" i="23" s="1"/>
  <c r="A33"/>
  <c r="K502" i="35"/>
  <c r="V205"/>
  <c r="V502" s="1"/>
  <c r="J503"/>
  <c r="M206"/>
  <c r="G200" i="34"/>
  <c r="Y38"/>
  <c r="E35" i="23" s="1"/>
  <c r="K38" i="34"/>
  <c r="A40"/>
  <c r="D39"/>
  <c r="H39" s="1"/>
  <c r="E39"/>
  <c r="I39" s="1"/>
  <c r="C39"/>
  <c r="G39" s="1"/>
  <c r="B39"/>
  <c r="F39" s="1"/>
  <c r="J199"/>
  <c r="U37"/>
  <c r="I200"/>
  <c r="L38"/>
  <c r="F200"/>
  <c r="N38"/>
  <c r="Q37"/>
  <c r="AI37" s="1"/>
  <c r="O34" i="23" s="1"/>
  <c r="R37" i="34"/>
  <c r="O37"/>
  <c r="W37" s="1"/>
  <c r="C34" i="23" s="1"/>
  <c r="S37" i="34"/>
  <c r="AB37" s="1"/>
  <c r="H34" i="23" s="1"/>
  <c r="P37" i="34"/>
  <c r="W199" s="1"/>
  <c r="C196" i="23" s="1"/>
  <c r="Q205" i="35"/>
  <c r="T205"/>
  <c r="AC205" s="1"/>
  <c r="P205"/>
  <c r="X205" s="1"/>
  <c r="S205"/>
  <c r="R205"/>
  <c r="G503"/>
  <c r="O206"/>
  <c r="K206"/>
  <c r="E207"/>
  <c r="J207" s="1"/>
  <c r="A208"/>
  <c r="D207"/>
  <c r="I207" s="1"/>
  <c r="I504" s="1"/>
  <c r="C207"/>
  <c r="H207" s="1"/>
  <c r="B207"/>
  <c r="G207" s="1"/>
  <c r="AL37" i="34"/>
  <c r="B208" i="35" l="1"/>
  <c r="G208" s="1"/>
  <c r="E208"/>
  <c r="J208" s="1"/>
  <c r="D208"/>
  <c r="I208" s="1"/>
  <c r="I505" s="1"/>
  <c r="A209"/>
  <c r="C208"/>
  <c r="H208" s="1"/>
  <c r="H201" i="34"/>
  <c r="J39"/>
  <c r="R206" i="35"/>
  <c r="Q206"/>
  <c r="T206"/>
  <c r="AC206" s="1"/>
  <c r="P206"/>
  <c r="X206" s="1"/>
  <c r="S206"/>
  <c r="I201" i="34"/>
  <c r="L39"/>
  <c r="G504" i="35"/>
  <c r="O207"/>
  <c r="K207"/>
  <c r="J504"/>
  <c r="M207"/>
  <c r="F201" i="34"/>
  <c r="N39"/>
  <c r="A41"/>
  <c r="D40"/>
  <c r="H40" s="1"/>
  <c r="E40"/>
  <c r="I40" s="1"/>
  <c r="B40"/>
  <c r="F40" s="1"/>
  <c r="C40"/>
  <c r="G40" s="1"/>
  <c r="Q38"/>
  <c r="AI38" s="1"/>
  <c r="O35" i="23" s="1"/>
  <c r="R38" i="34"/>
  <c r="S38"/>
  <c r="AB38" s="1"/>
  <c r="H35" i="23" s="1"/>
  <c r="P38" i="34"/>
  <c r="W200" s="1"/>
  <c r="C197" i="23" s="1"/>
  <c r="O38" i="34"/>
  <c r="W38" s="1"/>
  <c r="C35" i="23" s="1"/>
  <c r="U199" i="34"/>
  <c r="A196" i="23" s="1"/>
  <c r="A34"/>
  <c r="H504" i="35"/>
  <c r="Z207"/>
  <c r="L207"/>
  <c r="K503"/>
  <c r="V206"/>
  <c r="V503" s="1"/>
  <c r="X502"/>
  <c r="AJ205"/>
  <c r="G201" i="34"/>
  <c r="Y39"/>
  <c r="E36" i="23" s="1"/>
  <c r="K39" i="34"/>
  <c r="J200"/>
  <c r="U38"/>
  <c r="AL38"/>
  <c r="F202" l="1"/>
  <c r="N40"/>
  <c r="Q39"/>
  <c r="AI39" s="1"/>
  <c r="O36" i="23" s="1"/>
  <c r="R39" i="34"/>
  <c r="O39"/>
  <c r="W39" s="1"/>
  <c r="C36" i="23" s="1"/>
  <c r="P39" i="34"/>
  <c r="W201" s="1"/>
  <c r="C198" i="23" s="1"/>
  <c r="S39" i="34"/>
  <c r="AB39" s="1"/>
  <c r="H36" i="23" s="1"/>
  <c r="K504" i="35"/>
  <c r="V207"/>
  <c r="V504" s="1"/>
  <c r="G505"/>
  <c r="K208"/>
  <c r="O208"/>
  <c r="H202" i="34"/>
  <c r="J40"/>
  <c r="J201"/>
  <c r="U39"/>
  <c r="U200"/>
  <c r="A197" i="23" s="1"/>
  <c r="A35"/>
  <c r="Z208" i="35"/>
  <c r="H505"/>
  <c r="L208"/>
  <c r="G202" i="34"/>
  <c r="Y40"/>
  <c r="E37" i="23" s="1"/>
  <c r="K40" i="34"/>
  <c r="A42"/>
  <c r="D41"/>
  <c r="H41" s="1"/>
  <c r="B41"/>
  <c r="F41" s="1"/>
  <c r="C41"/>
  <c r="G41" s="1"/>
  <c r="E41"/>
  <c r="I41" s="1"/>
  <c r="J505" i="35"/>
  <c r="M208"/>
  <c r="I202" i="34"/>
  <c r="L40"/>
  <c r="S207" i="35"/>
  <c r="R207"/>
  <c r="P207"/>
  <c r="X207" s="1"/>
  <c r="Q207"/>
  <c r="T207"/>
  <c r="AC207" s="1"/>
  <c r="X503"/>
  <c r="AJ206"/>
  <c r="C209"/>
  <c r="H209" s="1"/>
  <c r="B209"/>
  <c r="G209" s="1"/>
  <c r="A210"/>
  <c r="E209"/>
  <c r="J209" s="1"/>
  <c r="D209"/>
  <c r="I209" s="1"/>
  <c r="I506" s="1"/>
  <c r="AL39" i="34"/>
  <c r="H203" l="1"/>
  <c r="J41"/>
  <c r="K505" i="35"/>
  <c r="V208"/>
  <c r="V505" s="1"/>
  <c r="H506"/>
  <c r="L209"/>
  <c r="Z209"/>
  <c r="I203" i="34"/>
  <c r="L41"/>
  <c r="A43"/>
  <c r="D42"/>
  <c r="H42" s="1"/>
  <c r="E42"/>
  <c r="I42" s="1"/>
  <c r="C42"/>
  <c r="G42" s="1"/>
  <c r="B42"/>
  <c r="F42" s="1"/>
  <c r="G506" i="35"/>
  <c r="K209"/>
  <c r="O209"/>
  <c r="X504"/>
  <c r="AJ207"/>
  <c r="J202" i="34"/>
  <c r="U40"/>
  <c r="Q40"/>
  <c r="AI40" s="1"/>
  <c r="O37" i="23" s="1"/>
  <c r="R40" i="34"/>
  <c r="S40"/>
  <c r="AB40" s="1"/>
  <c r="H37" i="23" s="1"/>
  <c r="O40" i="34"/>
  <c r="W40" s="1"/>
  <c r="C37" i="23" s="1"/>
  <c r="P40" i="34"/>
  <c r="W202" s="1"/>
  <c r="C199" i="23" s="1"/>
  <c r="A211" i="35"/>
  <c r="D210"/>
  <c r="I210" s="1"/>
  <c r="I507" s="1"/>
  <c r="C210"/>
  <c r="H210" s="1"/>
  <c r="B210"/>
  <c r="G210" s="1"/>
  <c r="E210"/>
  <c r="J210" s="1"/>
  <c r="F203" i="34"/>
  <c r="N41"/>
  <c r="J506" i="35"/>
  <c r="M209"/>
  <c r="G203" i="34"/>
  <c r="K41"/>
  <c r="Y41"/>
  <c r="E38" i="23" s="1"/>
  <c r="U201" i="34"/>
  <c r="A198" i="23" s="1"/>
  <c r="A36"/>
  <c r="T208" i="35"/>
  <c r="AC208" s="1"/>
  <c r="P208"/>
  <c r="X208" s="1"/>
  <c r="S208"/>
  <c r="Q208"/>
  <c r="R208"/>
  <c r="AL40" i="34"/>
  <c r="F204" l="1"/>
  <c r="N42"/>
  <c r="J203"/>
  <c r="U41"/>
  <c r="J507" i="35"/>
  <c r="M210"/>
  <c r="E211"/>
  <c r="J211" s="1"/>
  <c r="A212"/>
  <c r="D211"/>
  <c r="I211" s="1"/>
  <c r="I508" s="1"/>
  <c r="B211"/>
  <c r="G211" s="1"/>
  <c r="C211"/>
  <c r="H211" s="1"/>
  <c r="Q41" i="34"/>
  <c r="AI41" s="1"/>
  <c r="O38" i="23" s="1"/>
  <c r="S41" i="34"/>
  <c r="AB41" s="1"/>
  <c r="H38" i="23" s="1"/>
  <c r="P41" i="34"/>
  <c r="W203" s="1"/>
  <c r="C200" i="23" s="1"/>
  <c r="R41" i="34"/>
  <c r="O41"/>
  <c r="W41" s="1"/>
  <c r="C38" i="23" s="1"/>
  <c r="H507" i="35"/>
  <c r="L210"/>
  <c r="Z210"/>
  <c r="U202" i="34"/>
  <c r="A199" i="23" s="1"/>
  <c r="A37"/>
  <c r="Q209" i="35"/>
  <c r="T209"/>
  <c r="AC209" s="1"/>
  <c r="P209"/>
  <c r="X209" s="1"/>
  <c r="R209"/>
  <c r="S209"/>
  <c r="G204" i="34"/>
  <c r="K42"/>
  <c r="Y42"/>
  <c r="E39" i="23" s="1"/>
  <c r="G507" i="35"/>
  <c r="K210"/>
  <c r="O210"/>
  <c r="A44" i="34"/>
  <c r="D43"/>
  <c r="H43" s="1"/>
  <c r="E43"/>
  <c r="I43" s="1"/>
  <c r="B43"/>
  <c r="F43" s="1"/>
  <c r="C43"/>
  <c r="G43" s="1"/>
  <c r="X505" i="35"/>
  <c r="AJ208"/>
  <c r="H204" i="34"/>
  <c r="J42"/>
  <c r="K506" i="35"/>
  <c r="V209"/>
  <c r="V506" s="1"/>
  <c r="I204" i="34"/>
  <c r="L42"/>
  <c r="AL41"/>
  <c r="H205" l="1"/>
  <c r="J43"/>
  <c r="X506" i="35"/>
  <c r="AJ209"/>
  <c r="G508"/>
  <c r="O211"/>
  <c r="K211"/>
  <c r="Q42" i="34"/>
  <c r="AI42" s="1"/>
  <c r="O39" i="23" s="1"/>
  <c r="S42" i="34"/>
  <c r="AB42" s="1"/>
  <c r="H39" i="23" s="1"/>
  <c r="O42" i="34"/>
  <c r="W42" s="1"/>
  <c r="C39" i="23" s="1"/>
  <c r="R42" i="34"/>
  <c r="P42"/>
  <c r="W204" s="1"/>
  <c r="C201" i="23" s="1"/>
  <c r="J508" i="35"/>
  <c r="M211"/>
  <c r="J204" i="34"/>
  <c r="U42"/>
  <c r="G205"/>
  <c r="Y43"/>
  <c r="E40" i="23" s="1"/>
  <c r="K43" i="34"/>
  <c r="A45"/>
  <c r="E44"/>
  <c r="I44" s="1"/>
  <c r="C44"/>
  <c r="G44" s="1"/>
  <c r="D44"/>
  <c r="H44" s="1"/>
  <c r="B44"/>
  <c r="F44" s="1"/>
  <c r="I205"/>
  <c r="L43"/>
  <c r="K507" i="35"/>
  <c r="V210"/>
  <c r="V507" s="1"/>
  <c r="H508"/>
  <c r="Z211"/>
  <c r="L211"/>
  <c r="F205" i="34"/>
  <c r="N43"/>
  <c r="R210" i="35"/>
  <c r="Q210"/>
  <c r="S210"/>
  <c r="P210"/>
  <c r="X210" s="1"/>
  <c r="T210"/>
  <c r="AC210" s="1"/>
  <c r="B212"/>
  <c r="G212" s="1"/>
  <c r="E212"/>
  <c r="J212" s="1"/>
  <c r="C212"/>
  <c r="H212" s="1"/>
  <c r="A213"/>
  <c r="D212"/>
  <c r="I212" s="1"/>
  <c r="I509" s="1"/>
  <c r="U203" i="34"/>
  <c r="A200" i="23" s="1"/>
  <c r="A38"/>
  <c r="AL42" i="34"/>
  <c r="C213" i="35" l="1"/>
  <c r="H213" s="1"/>
  <c r="B213"/>
  <c r="G213" s="1"/>
  <c r="D213"/>
  <c r="I213" s="1"/>
  <c r="I510" s="1"/>
  <c r="E213"/>
  <c r="J213" s="1"/>
  <c r="A214"/>
  <c r="S211"/>
  <c r="R211"/>
  <c r="T211"/>
  <c r="AC211" s="1"/>
  <c r="Q211"/>
  <c r="P211"/>
  <c r="X211" s="1"/>
  <c r="H509"/>
  <c r="Z212"/>
  <c r="L212"/>
  <c r="Q43" i="34"/>
  <c r="AI43" s="1"/>
  <c r="O40" i="23" s="1"/>
  <c r="P43" i="34"/>
  <c r="W205" s="1"/>
  <c r="C202" i="23" s="1"/>
  <c r="R43" i="34"/>
  <c r="S43"/>
  <c r="AB43" s="1"/>
  <c r="H40" i="23" s="1"/>
  <c r="O43" i="34"/>
  <c r="W43" s="1"/>
  <c r="C40" i="23" s="1"/>
  <c r="I206" i="34"/>
  <c r="L44"/>
  <c r="G206"/>
  <c r="Y44"/>
  <c r="E41" i="23" s="1"/>
  <c r="K44" i="34"/>
  <c r="J205"/>
  <c r="U43"/>
  <c r="G509" i="35"/>
  <c r="K212"/>
  <c r="O212"/>
  <c r="H206" i="34"/>
  <c r="J44"/>
  <c r="K508" i="35"/>
  <c r="V211"/>
  <c r="V508" s="1"/>
  <c r="J509"/>
  <c r="M212"/>
  <c r="X507"/>
  <c r="AJ210"/>
  <c r="F206" i="34"/>
  <c r="N44"/>
  <c r="A46"/>
  <c r="C45"/>
  <c r="G45" s="1"/>
  <c r="D45"/>
  <c r="H45" s="1"/>
  <c r="E45"/>
  <c r="I45" s="1"/>
  <c r="B45"/>
  <c r="F45" s="1"/>
  <c r="U204"/>
  <c r="A201" i="23" s="1"/>
  <c r="A39"/>
  <c r="AL43" i="34"/>
  <c r="I207" l="1"/>
  <c r="L45"/>
  <c r="P44"/>
  <c r="W206" s="1"/>
  <c r="C203" i="23" s="1"/>
  <c r="Q44" i="34"/>
  <c r="AI44" s="1"/>
  <c r="O41" i="23" s="1"/>
  <c r="R44" i="34"/>
  <c r="S44"/>
  <c r="AB44" s="1"/>
  <c r="H41" i="23" s="1"/>
  <c r="O44" i="34"/>
  <c r="W44" s="1"/>
  <c r="C41" i="23" s="1"/>
  <c r="G510" i="35"/>
  <c r="K213"/>
  <c r="O213"/>
  <c r="K509"/>
  <c r="V212"/>
  <c r="V509" s="1"/>
  <c r="H207" i="34"/>
  <c r="J45"/>
  <c r="U205"/>
  <c r="A202" i="23" s="1"/>
  <c r="A40"/>
  <c r="A215" i="35"/>
  <c r="D214"/>
  <c r="I214" s="1"/>
  <c r="I511" s="1"/>
  <c r="C214"/>
  <c r="H214" s="1"/>
  <c r="E214"/>
  <c r="J214" s="1"/>
  <c r="B214"/>
  <c r="G214" s="1"/>
  <c r="H510"/>
  <c r="L213"/>
  <c r="Z213"/>
  <c r="J206" i="34"/>
  <c r="U44"/>
  <c r="X508" i="35"/>
  <c r="AJ211"/>
  <c r="F207" i="34"/>
  <c r="N45"/>
  <c r="A47"/>
  <c r="D46"/>
  <c r="H46" s="1"/>
  <c r="E46"/>
  <c r="I46" s="1"/>
  <c r="C46"/>
  <c r="G46" s="1"/>
  <c r="B46"/>
  <c r="F46" s="1"/>
  <c r="G207"/>
  <c r="Y45"/>
  <c r="E42" i="23" s="1"/>
  <c r="K45" i="34"/>
  <c r="T212" i="35"/>
  <c r="AC212" s="1"/>
  <c r="P212"/>
  <c r="X212" s="1"/>
  <c r="S212"/>
  <c r="R212"/>
  <c r="Q212"/>
  <c r="J510"/>
  <c r="M213"/>
  <c r="AL44" i="34"/>
  <c r="X509" i="35" l="1"/>
  <c r="AJ212"/>
  <c r="I208" i="34"/>
  <c r="L46"/>
  <c r="E215" i="35"/>
  <c r="J215" s="1"/>
  <c r="A216"/>
  <c r="D215"/>
  <c r="I215" s="1"/>
  <c r="I512" s="1"/>
  <c r="C215"/>
  <c r="H215" s="1"/>
  <c r="B215"/>
  <c r="G215" s="1"/>
  <c r="G208" i="34"/>
  <c r="Y46"/>
  <c r="E43" i="23" s="1"/>
  <c r="K46" i="34"/>
  <c r="U206"/>
  <c r="A203" i="23" s="1"/>
  <c r="A41"/>
  <c r="Q213" i="35"/>
  <c r="T213"/>
  <c r="AC213" s="1"/>
  <c r="P213"/>
  <c r="X213" s="1"/>
  <c r="S213"/>
  <c r="R213"/>
  <c r="F208" i="34"/>
  <c r="N46"/>
  <c r="A48"/>
  <c r="D47"/>
  <c r="H47" s="1"/>
  <c r="E47"/>
  <c r="I47" s="1"/>
  <c r="B47"/>
  <c r="F47" s="1"/>
  <c r="C47"/>
  <c r="G47" s="1"/>
  <c r="H511" i="35"/>
  <c r="L214"/>
  <c r="Z214"/>
  <c r="G511"/>
  <c r="O214"/>
  <c r="K214"/>
  <c r="K510"/>
  <c r="V213"/>
  <c r="V510" s="1"/>
  <c r="R45" i="34"/>
  <c r="S45"/>
  <c r="AB45" s="1"/>
  <c r="H42" i="23" s="1"/>
  <c r="O45" i="34"/>
  <c r="W45" s="1"/>
  <c r="C42" i="23" s="1"/>
  <c r="P45" i="34"/>
  <c r="W207" s="1"/>
  <c r="C204" i="23" s="1"/>
  <c r="Q45" i="34"/>
  <c r="AI45" s="1"/>
  <c r="O42" i="23" s="1"/>
  <c r="J207" i="34"/>
  <c r="U45"/>
  <c r="H208"/>
  <c r="J46"/>
  <c r="J511" i="35"/>
  <c r="M214"/>
  <c r="AL45" i="34"/>
  <c r="U207" l="1"/>
  <c r="A204" i="23" s="1"/>
  <c r="A42"/>
  <c r="G512" i="35"/>
  <c r="O215"/>
  <c r="K215"/>
  <c r="X510"/>
  <c r="AJ213"/>
  <c r="B216"/>
  <c r="G216" s="1"/>
  <c r="E216"/>
  <c r="J216" s="1"/>
  <c r="A217"/>
  <c r="D216"/>
  <c r="I216" s="1"/>
  <c r="I513" s="1"/>
  <c r="C216"/>
  <c r="H216" s="1"/>
  <c r="R214"/>
  <c r="Q214"/>
  <c r="T214"/>
  <c r="AC214" s="1"/>
  <c r="P214"/>
  <c r="X214" s="1"/>
  <c r="S214"/>
  <c r="H209" i="34"/>
  <c r="J47"/>
  <c r="F209"/>
  <c r="N47"/>
  <c r="Q46"/>
  <c r="AI46" s="1"/>
  <c r="O43" i="23" s="1"/>
  <c r="R46" i="34"/>
  <c r="O46"/>
  <c r="W46" s="1"/>
  <c r="C43" i="23" s="1"/>
  <c r="P46" i="34"/>
  <c r="W208" s="1"/>
  <c r="C205" i="23" s="1"/>
  <c r="S46" i="34"/>
  <c r="AB46" s="1"/>
  <c r="H43" i="23" s="1"/>
  <c r="J512" i="35"/>
  <c r="M215"/>
  <c r="G209" i="34"/>
  <c r="Y47"/>
  <c r="E44" i="23" s="1"/>
  <c r="K47" i="34"/>
  <c r="A49"/>
  <c r="E48"/>
  <c r="I48" s="1"/>
  <c r="C48"/>
  <c r="G48" s="1"/>
  <c r="D48"/>
  <c r="H48" s="1"/>
  <c r="B48"/>
  <c r="F48" s="1"/>
  <c r="J208"/>
  <c r="U46"/>
  <c r="K511" i="35"/>
  <c r="V214"/>
  <c r="V511" s="1"/>
  <c r="I209" i="34"/>
  <c r="L47"/>
  <c r="H512" i="35"/>
  <c r="Z215"/>
  <c r="L215"/>
  <c r="AL46" i="34"/>
  <c r="I210" l="1"/>
  <c r="L48"/>
  <c r="Q47"/>
  <c r="AI47" s="1"/>
  <c r="O44" i="23" s="1"/>
  <c r="R47" i="34"/>
  <c r="S47"/>
  <c r="AB47" s="1"/>
  <c r="H44" i="23" s="1"/>
  <c r="O47" i="34"/>
  <c r="W47" s="1"/>
  <c r="C44" i="23" s="1"/>
  <c r="P47" i="34"/>
  <c r="W209" s="1"/>
  <c r="C206" i="23" s="1"/>
  <c r="K512" i="35"/>
  <c r="V215"/>
  <c r="V512" s="1"/>
  <c r="U208" i="34"/>
  <c r="A205" i="23" s="1"/>
  <c r="A43"/>
  <c r="B217" i="35"/>
  <c r="G217" s="1"/>
  <c r="C217"/>
  <c r="H217" s="1"/>
  <c r="A218"/>
  <c r="E217"/>
  <c r="J217" s="1"/>
  <c r="D217"/>
  <c r="I217" s="1"/>
  <c r="I514" s="1"/>
  <c r="H210" i="34"/>
  <c r="J48"/>
  <c r="J209"/>
  <c r="U47"/>
  <c r="X511" i="35"/>
  <c r="AJ214"/>
  <c r="J513"/>
  <c r="M216"/>
  <c r="G210" i="34"/>
  <c r="K48"/>
  <c r="Y48"/>
  <c r="E45" i="23" s="1"/>
  <c r="F210" i="34"/>
  <c r="N48"/>
  <c r="A50"/>
  <c r="D49"/>
  <c r="H49" s="1"/>
  <c r="E49"/>
  <c r="I49" s="1"/>
  <c r="B49"/>
  <c r="F49" s="1"/>
  <c r="C49"/>
  <c r="G49" s="1"/>
  <c r="Z216" i="35"/>
  <c r="H513"/>
  <c r="L216"/>
  <c r="G513"/>
  <c r="O216"/>
  <c r="K216"/>
  <c r="S215"/>
  <c r="R215"/>
  <c r="P215"/>
  <c r="X215" s="1"/>
  <c r="Q215"/>
  <c r="T215"/>
  <c r="AC215" s="1"/>
  <c r="AL47" i="34"/>
  <c r="C218" i="35" l="1"/>
  <c r="H218" s="1"/>
  <c r="A219"/>
  <c r="D218"/>
  <c r="I218" s="1"/>
  <c r="I515" s="1"/>
  <c r="E218"/>
  <c r="J218" s="1"/>
  <c r="B218"/>
  <c r="G218" s="1"/>
  <c r="S216"/>
  <c r="T216"/>
  <c r="AC216" s="1"/>
  <c r="P216"/>
  <c r="X216" s="1"/>
  <c r="Q216"/>
  <c r="R216"/>
  <c r="H211" i="34"/>
  <c r="J49"/>
  <c r="J514" i="35"/>
  <c r="M217"/>
  <c r="X512"/>
  <c r="AJ215"/>
  <c r="F211" i="34"/>
  <c r="N49"/>
  <c r="Q48"/>
  <c r="AI48" s="1"/>
  <c r="O45" i="23" s="1"/>
  <c r="O48" i="34"/>
  <c r="W48" s="1"/>
  <c r="C45" i="23" s="1"/>
  <c r="P48" i="34"/>
  <c r="W210" s="1"/>
  <c r="C207" i="23" s="1"/>
  <c r="R48" i="34"/>
  <c r="S48"/>
  <c r="AB48" s="1"/>
  <c r="H45" i="23" s="1"/>
  <c r="H514" i="35"/>
  <c r="L217"/>
  <c r="Z217"/>
  <c r="G211" i="34"/>
  <c r="Y49"/>
  <c r="E46" i="23" s="1"/>
  <c r="K49" i="34"/>
  <c r="A51"/>
  <c r="E50"/>
  <c r="I50" s="1"/>
  <c r="B50"/>
  <c r="F50" s="1"/>
  <c r="C50"/>
  <c r="G50" s="1"/>
  <c r="D50"/>
  <c r="H50" s="1"/>
  <c r="J210"/>
  <c r="U48"/>
  <c r="K513" i="35"/>
  <c r="V216"/>
  <c r="V513" s="1"/>
  <c r="I211" i="34"/>
  <c r="L49"/>
  <c r="U209"/>
  <c r="A206" i="23" s="1"/>
  <c r="A44"/>
  <c r="G514" i="35"/>
  <c r="K217"/>
  <c r="O217"/>
  <c r="AL48" i="34"/>
  <c r="Q49" l="1"/>
  <c r="AI49" s="1"/>
  <c r="O46" i="23" s="1"/>
  <c r="R49" i="34"/>
  <c r="S49"/>
  <c r="AB49" s="1"/>
  <c r="H46" i="23" s="1"/>
  <c r="O49" i="34"/>
  <c r="W49" s="1"/>
  <c r="C46" i="23" s="1"/>
  <c r="P49" i="34"/>
  <c r="W211" s="1"/>
  <c r="C208" i="23" s="1"/>
  <c r="X513" i="35"/>
  <c r="AJ216"/>
  <c r="I212" i="34"/>
  <c r="L50"/>
  <c r="T217" i="35"/>
  <c r="AC217" s="1"/>
  <c r="P217"/>
  <c r="X217" s="1"/>
  <c r="Q217"/>
  <c r="R217"/>
  <c r="S217"/>
  <c r="G212" i="34"/>
  <c r="Y50"/>
  <c r="E47" i="23" s="1"/>
  <c r="K50" i="34"/>
  <c r="G515" i="35"/>
  <c r="K218"/>
  <c r="O218"/>
  <c r="H515"/>
  <c r="L218"/>
  <c r="Z218"/>
  <c r="H212" i="34"/>
  <c r="J50"/>
  <c r="A52"/>
  <c r="D51"/>
  <c r="H51" s="1"/>
  <c r="E51"/>
  <c r="I51" s="1"/>
  <c r="B51"/>
  <c r="F51" s="1"/>
  <c r="C51"/>
  <c r="G51" s="1"/>
  <c r="A220" i="35"/>
  <c r="D219"/>
  <c r="I219" s="1"/>
  <c r="I516" s="1"/>
  <c r="E219"/>
  <c r="J219" s="1"/>
  <c r="B219"/>
  <c r="G219" s="1"/>
  <c r="C219"/>
  <c r="H219" s="1"/>
  <c r="K514"/>
  <c r="V217"/>
  <c r="V514" s="1"/>
  <c r="U210" i="34"/>
  <c r="A207" i="23" s="1"/>
  <c r="A45"/>
  <c r="F212" i="34"/>
  <c r="N50"/>
  <c r="J211"/>
  <c r="U49"/>
  <c r="J515" i="35"/>
  <c r="M218"/>
  <c r="AL49" i="34"/>
  <c r="J516" i="35" l="1"/>
  <c r="M219"/>
  <c r="G516"/>
  <c r="O219"/>
  <c r="K219"/>
  <c r="G213" i="34"/>
  <c r="K51"/>
  <c r="Y51"/>
  <c r="E48" i="23" s="1"/>
  <c r="A53" i="34"/>
  <c r="D52"/>
  <c r="H52" s="1"/>
  <c r="C52"/>
  <c r="G52" s="1"/>
  <c r="E52"/>
  <c r="I52" s="1"/>
  <c r="B52"/>
  <c r="F52" s="1"/>
  <c r="X514" i="35"/>
  <c r="AJ217"/>
  <c r="U211" i="34"/>
  <c r="A208" i="23" s="1"/>
  <c r="A46"/>
  <c r="H516" i="35"/>
  <c r="Z219"/>
  <c r="L219"/>
  <c r="E220"/>
  <c r="J220" s="1"/>
  <c r="B220"/>
  <c r="G220" s="1"/>
  <c r="C220"/>
  <c r="H220" s="1"/>
  <c r="A221"/>
  <c r="D220"/>
  <c r="I220" s="1"/>
  <c r="I517" s="1"/>
  <c r="H213" i="34"/>
  <c r="J51"/>
  <c r="K515" i="35"/>
  <c r="V218"/>
  <c r="V515" s="1"/>
  <c r="Q50" i="34"/>
  <c r="AI50" s="1"/>
  <c r="O47" i="23" s="1"/>
  <c r="R50" i="34"/>
  <c r="O50"/>
  <c r="W50" s="1"/>
  <c r="C47" i="23" s="1"/>
  <c r="P50" i="34"/>
  <c r="W212" s="1"/>
  <c r="C209" i="23" s="1"/>
  <c r="S50" i="34"/>
  <c r="AB50" s="1"/>
  <c r="H47" i="23" s="1"/>
  <c r="F213" i="34"/>
  <c r="N51"/>
  <c r="J212"/>
  <c r="U50"/>
  <c r="I213"/>
  <c r="L51"/>
  <c r="Q218" i="35"/>
  <c r="R218"/>
  <c r="S218"/>
  <c r="P218"/>
  <c r="X218" s="1"/>
  <c r="T218"/>
  <c r="AC218" s="1"/>
  <c r="AL50" i="34"/>
  <c r="G517" i="35" l="1"/>
  <c r="O220"/>
  <c r="K220"/>
  <c r="X515"/>
  <c r="AJ218"/>
  <c r="Z220"/>
  <c r="H517"/>
  <c r="L220"/>
  <c r="J517"/>
  <c r="M220"/>
  <c r="F214" i="34"/>
  <c r="N52"/>
  <c r="A54"/>
  <c r="E53"/>
  <c r="I53" s="1"/>
  <c r="C53"/>
  <c r="G53" s="1"/>
  <c r="D53"/>
  <c r="H53" s="1"/>
  <c r="B53"/>
  <c r="F53" s="1"/>
  <c r="K516" i="35"/>
  <c r="V219"/>
  <c r="V516" s="1"/>
  <c r="U212" i="34"/>
  <c r="A209" i="23" s="1"/>
  <c r="A47"/>
  <c r="H214" i="34"/>
  <c r="J52"/>
  <c r="J213"/>
  <c r="U51"/>
  <c r="G214"/>
  <c r="K52"/>
  <c r="Y52"/>
  <c r="E49" i="23" s="1"/>
  <c r="Q51" i="34"/>
  <c r="AI51" s="1"/>
  <c r="O48" i="23" s="1"/>
  <c r="S51" i="34"/>
  <c r="AB51" s="1"/>
  <c r="H48" i="23" s="1"/>
  <c r="O51" i="34"/>
  <c r="W51" s="1"/>
  <c r="C48" i="23" s="1"/>
  <c r="P51" i="34"/>
  <c r="W213" s="1"/>
  <c r="C210" i="23" s="1"/>
  <c r="R51" i="34"/>
  <c r="B221" i="35"/>
  <c r="G221" s="1"/>
  <c r="C221"/>
  <c r="H221" s="1"/>
  <c r="D221"/>
  <c r="I221" s="1"/>
  <c r="I518" s="1"/>
  <c r="E221"/>
  <c r="J221" s="1"/>
  <c r="A222"/>
  <c r="I214" i="34"/>
  <c r="L52"/>
  <c r="R219" i="35"/>
  <c r="S219"/>
  <c r="T219"/>
  <c r="AC219" s="1"/>
  <c r="Q219"/>
  <c r="P219"/>
  <c r="X219" s="1"/>
  <c r="AL51" i="34"/>
  <c r="X516" i="35" l="1"/>
  <c r="AJ219"/>
  <c r="C222"/>
  <c r="H222" s="1"/>
  <c r="A223"/>
  <c r="D222"/>
  <c r="I222" s="1"/>
  <c r="I519" s="1"/>
  <c r="E222"/>
  <c r="J222" s="1"/>
  <c r="B222"/>
  <c r="G222" s="1"/>
  <c r="I215" i="34"/>
  <c r="L53"/>
  <c r="S220" i="35"/>
  <c r="T220"/>
  <c r="AC220" s="1"/>
  <c r="P220"/>
  <c r="X220" s="1"/>
  <c r="R220"/>
  <c r="Q220"/>
  <c r="J214" i="34"/>
  <c r="U52"/>
  <c r="J518" i="35"/>
  <c r="M221"/>
  <c r="U213" i="34"/>
  <c r="A210" i="23" s="1"/>
  <c r="A48"/>
  <c r="F215" i="34"/>
  <c r="N53"/>
  <c r="A55"/>
  <c r="D54"/>
  <c r="H54" s="1"/>
  <c r="B54"/>
  <c r="F54" s="1"/>
  <c r="C54"/>
  <c r="G54" s="1"/>
  <c r="E54"/>
  <c r="I54" s="1"/>
  <c r="G518" i="35"/>
  <c r="K221"/>
  <c r="O221"/>
  <c r="H518"/>
  <c r="L221"/>
  <c r="Z221"/>
  <c r="G215" i="34"/>
  <c r="Y53"/>
  <c r="E50" i="23" s="1"/>
  <c r="K53" i="34"/>
  <c r="K517" i="35"/>
  <c r="V220"/>
  <c r="V517" s="1"/>
  <c r="H215" i="34"/>
  <c r="J53"/>
  <c r="Q52"/>
  <c r="AI52" s="1"/>
  <c r="O49" i="23" s="1"/>
  <c r="S52" i="34"/>
  <c r="AB52" s="1"/>
  <c r="H49" i="23" s="1"/>
  <c r="R52" i="34"/>
  <c r="O52"/>
  <c r="W52" s="1"/>
  <c r="C49" i="23" s="1"/>
  <c r="P52" i="34"/>
  <c r="W214" s="1"/>
  <c r="C211" i="23" s="1"/>
  <c r="AL52" i="34"/>
  <c r="T221" i="35" l="1"/>
  <c r="AC221" s="1"/>
  <c r="P221"/>
  <c r="X221" s="1"/>
  <c r="Q221"/>
  <c r="S221"/>
  <c r="R221"/>
  <c r="Q53" i="34"/>
  <c r="AI53" s="1"/>
  <c r="O50" i="23" s="1"/>
  <c r="R53" i="34"/>
  <c r="P53"/>
  <c r="W215" s="1"/>
  <c r="C212" i="23" s="1"/>
  <c r="S53" i="34"/>
  <c r="AB53" s="1"/>
  <c r="H50" i="23" s="1"/>
  <c r="O53" i="34"/>
  <c r="W53" s="1"/>
  <c r="C50" i="23" s="1"/>
  <c r="X517" i="35"/>
  <c r="AJ220"/>
  <c r="I216" i="34"/>
  <c r="L54"/>
  <c r="A56"/>
  <c r="D55"/>
  <c r="H55" s="1"/>
  <c r="E55"/>
  <c r="I55" s="1"/>
  <c r="C55"/>
  <c r="G55" s="1"/>
  <c r="B55"/>
  <c r="F55" s="1"/>
  <c r="G519" i="35"/>
  <c r="O222"/>
  <c r="K222"/>
  <c r="K518"/>
  <c r="V221"/>
  <c r="V518" s="1"/>
  <c r="F216" i="34"/>
  <c r="N54"/>
  <c r="G216"/>
  <c r="K54"/>
  <c r="Y54"/>
  <c r="E51" i="23" s="1"/>
  <c r="J519" i="35"/>
  <c r="M222"/>
  <c r="H519"/>
  <c r="L222"/>
  <c r="Z222"/>
  <c r="J215" i="34"/>
  <c r="U53"/>
  <c r="H216"/>
  <c r="J54"/>
  <c r="U214"/>
  <c r="A211" i="23" s="1"/>
  <c r="A49"/>
  <c r="A224" i="35"/>
  <c r="D223"/>
  <c r="I223" s="1"/>
  <c r="I520" s="1"/>
  <c r="E223"/>
  <c r="J223" s="1"/>
  <c r="C223"/>
  <c r="H223" s="1"/>
  <c r="B223"/>
  <c r="G223" s="1"/>
  <c r="AL53" i="34"/>
  <c r="K519" i="35" l="1"/>
  <c r="V222"/>
  <c r="V519" s="1"/>
  <c r="F217" i="34"/>
  <c r="N55"/>
  <c r="A57"/>
  <c r="E56"/>
  <c r="I56" s="1"/>
  <c r="B56"/>
  <c r="F56" s="1"/>
  <c r="C56"/>
  <c r="G56" s="1"/>
  <c r="D56"/>
  <c r="H56" s="1"/>
  <c r="G520" i="35"/>
  <c r="O223"/>
  <c r="K223"/>
  <c r="E224"/>
  <c r="J224" s="1"/>
  <c r="B224"/>
  <c r="G224" s="1"/>
  <c r="D224"/>
  <c r="I224" s="1"/>
  <c r="I521" s="1"/>
  <c r="C224"/>
  <c r="H224" s="1"/>
  <c r="A225"/>
  <c r="Q222"/>
  <c r="R222"/>
  <c r="T222"/>
  <c r="AC222" s="1"/>
  <c r="P222"/>
  <c r="X222" s="1"/>
  <c r="S222"/>
  <c r="I217" i="34"/>
  <c r="L55"/>
  <c r="J216"/>
  <c r="U54"/>
  <c r="Q54"/>
  <c r="AI54" s="1"/>
  <c r="O51" i="23" s="1"/>
  <c r="S54" i="34"/>
  <c r="AB54" s="1"/>
  <c r="H51" i="23" s="1"/>
  <c r="R54" i="34"/>
  <c r="O54"/>
  <c r="W54" s="1"/>
  <c r="C51" i="23" s="1"/>
  <c r="P54" i="34"/>
  <c r="W216" s="1"/>
  <c r="C213" i="23" s="1"/>
  <c r="G217" i="34"/>
  <c r="Y55"/>
  <c r="E52" i="23" s="1"/>
  <c r="K55" i="34"/>
  <c r="J520" i="35"/>
  <c r="M223"/>
  <c r="H520"/>
  <c r="Z223"/>
  <c r="L223"/>
  <c r="U215" i="34"/>
  <c r="A212" i="23" s="1"/>
  <c r="A50"/>
  <c r="H217" i="34"/>
  <c r="J55"/>
  <c r="X518" i="35"/>
  <c r="AJ221"/>
  <c r="AL54" i="34"/>
  <c r="J521" i="35" l="1"/>
  <c r="M224"/>
  <c r="X519"/>
  <c r="AJ222"/>
  <c r="G521"/>
  <c r="O224"/>
  <c r="K224"/>
  <c r="J217" i="34"/>
  <c r="U55"/>
  <c r="R223" i="35"/>
  <c r="S223"/>
  <c r="P223"/>
  <c r="X223" s="1"/>
  <c r="T223"/>
  <c r="AC223" s="1"/>
  <c r="Q223"/>
  <c r="F218" i="34"/>
  <c r="N56"/>
  <c r="B225" i="35"/>
  <c r="G225" s="1"/>
  <c r="C225"/>
  <c r="H225" s="1"/>
  <c r="A226"/>
  <c r="E225"/>
  <c r="J225" s="1"/>
  <c r="D225"/>
  <c r="I225" s="1"/>
  <c r="I522" s="1"/>
  <c r="H218" i="34"/>
  <c r="J56"/>
  <c r="A58"/>
  <c r="D57"/>
  <c r="H57" s="1"/>
  <c r="E57"/>
  <c r="I57" s="1"/>
  <c r="C57"/>
  <c r="G57" s="1"/>
  <c r="B57"/>
  <c r="F57" s="1"/>
  <c r="U216"/>
  <c r="A213" i="23" s="1"/>
  <c r="A51"/>
  <c r="I218" i="34"/>
  <c r="L56"/>
  <c r="Z224" i="35"/>
  <c r="L224"/>
  <c r="H521"/>
  <c r="K520"/>
  <c r="V223"/>
  <c r="V520" s="1"/>
  <c r="G218" i="34"/>
  <c r="Y56"/>
  <c r="E53" i="23" s="1"/>
  <c r="K56" i="34"/>
  <c r="Q55"/>
  <c r="AI55" s="1"/>
  <c r="O52" i="23" s="1"/>
  <c r="R55" i="34"/>
  <c r="P55"/>
  <c r="W217" s="1"/>
  <c r="C214" i="23" s="1"/>
  <c r="S55" i="34"/>
  <c r="AB55" s="1"/>
  <c r="H52" i="23" s="1"/>
  <c r="O55" i="34"/>
  <c r="W55" s="1"/>
  <c r="C52" i="23" s="1"/>
  <c r="AL55" i="34"/>
  <c r="H522" i="35" l="1"/>
  <c r="L225"/>
  <c r="Z225"/>
  <c r="S224"/>
  <c r="T224"/>
  <c r="AC224" s="1"/>
  <c r="P224"/>
  <c r="X224" s="1"/>
  <c r="Q224"/>
  <c r="R224"/>
  <c r="G219" i="34"/>
  <c r="Y57"/>
  <c r="E54" i="23" s="1"/>
  <c r="K57" i="34"/>
  <c r="J218"/>
  <c r="U56"/>
  <c r="C226" i="35"/>
  <c r="H226" s="1"/>
  <c r="A227"/>
  <c r="D226"/>
  <c r="I226" s="1"/>
  <c r="I523" s="1"/>
  <c r="B226"/>
  <c r="G226" s="1"/>
  <c r="E226"/>
  <c r="J226" s="1"/>
  <c r="X520"/>
  <c r="AJ223"/>
  <c r="K521"/>
  <c r="V224"/>
  <c r="V521" s="1"/>
  <c r="H219" i="34"/>
  <c r="J57"/>
  <c r="G522" i="35"/>
  <c r="K225"/>
  <c r="O225"/>
  <c r="U217" i="34"/>
  <c r="A214" i="23" s="1"/>
  <c r="A52"/>
  <c r="I219" i="34"/>
  <c r="L57"/>
  <c r="F219"/>
  <c r="N57"/>
  <c r="A59"/>
  <c r="D58"/>
  <c r="H58" s="1"/>
  <c r="E58"/>
  <c r="I58" s="1"/>
  <c r="B58"/>
  <c r="F58" s="1"/>
  <c r="C58"/>
  <c r="G58" s="1"/>
  <c r="J522" i="35"/>
  <c r="M225"/>
  <c r="R56" i="34"/>
  <c r="S56"/>
  <c r="AB56" s="1"/>
  <c r="H53" i="23" s="1"/>
  <c r="O56" i="34"/>
  <c r="W56" s="1"/>
  <c r="C53" i="23" s="1"/>
  <c r="P56" i="34"/>
  <c r="W218" s="1"/>
  <c r="C215" i="23" s="1"/>
  <c r="Q56" i="34"/>
  <c r="AI56" s="1"/>
  <c r="O53" i="23" s="1"/>
  <c r="AL56" i="34"/>
  <c r="F220" l="1"/>
  <c r="N58"/>
  <c r="G523" i="35"/>
  <c r="O226"/>
  <c r="K226"/>
  <c r="U218" i="34"/>
  <c r="A215" i="23" s="1"/>
  <c r="A53"/>
  <c r="K522" i="35"/>
  <c r="V225"/>
  <c r="V522" s="1"/>
  <c r="J523"/>
  <c r="M226"/>
  <c r="H220" i="34"/>
  <c r="J58"/>
  <c r="T225" i="35"/>
  <c r="AC225" s="1"/>
  <c r="P225"/>
  <c r="X225" s="1"/>
  <c r="Q225"/>
  <c r="R225"/>
  <c r="S225"/>
  <c r="A228"/>
  <c r="D227"/>
  <c r="I227" s="1"/>
  <c r="I524" s="1"/>
  <c r="E227"/>
  <c r="J227" s="1"/>
  <c r="B227"/>
  <c r="G227" s="1"/>
  <c r="C227"/>
  <c r="H227" s="1"/>
  <c r="Q57" i="34"/>
  <c r="AI57" s="1"/>
  <c r="O54" i="23" s="1"/>
  <c r="R57" i="34"/>
  <c r="S57"/>
  <c r="AB57" s="1"/>
  <c r="H54" i="23" s="1"/>
  <c r="O57" i="34"/>
  <c r="W57" s="1"/>
  <c r="C54" i="23" s="1"/>
  <c r="P57" i="34"/>
  <c r="W219" s="1"/>
  <c r="C216" i="23" s="1"/>
  <c r="G220" i="34"/>
  <c r="Y58"/>
  <c r="E55" i="23" s="1"/>
  <c r="K58" i="34"/>
  <c r="A60"/>
  <c r="E59"/>
  <c r="I59" s="1"/>
  <c r="C59"/>
  <c r="G59" s="1"/>
  <c r="D59"/>
  <c r="H59" s="1"/>
  <c r="B59"/>
  <c r="F59" s="1"/>
  <c r="H523" i="35"/>
  <c r="L226"/>
  <c r="Z226"/>
  <c r="I220" i="34"/>
  <c r="L58"/>
  <c r="J219"/>
  <c r="U57"/>
  <c r="X521" i="35"/>
  <c r="AJ224"/>
  <c r="AL57" i="34"/>
  <c r="G524" i="35" l="1"/>
  <c r="O227"/>
  <c r="K227"/>
  <c r="H221" i="34"/>
  <c r="J59"/>
  <c r="H524" i="35"/>
  <c r="Z227"/>
  <c r="L227"/>
  <c r="E228"/>
  <c r="J228" s="1"/>
  <c r="B228"/>
  <c r="G228" s="1"/>
  <c r="C228"/>
  <c r="H228" s="1"/>
  <c r="A229"/>
  <c r="D228"/>
  <c r="I228" s="1"/>
  <c r="I525" s="1"/>
  <c r="I221" i="34"/>
  <c r="L59"/>
  <c r="J524" i="35"/>
  <c r="M227"/>
  <c r="J220" i="34"/>
  <c r="U58"/>
  <c r="K523" i="35"/>
  <c r="V226"/>
  <c r="V523" s="1"/>
  <c r="G221" i="34"/>
  <c r="Y59"/>
  <c r="E56" i="23" s="1"/>
  <c r="K59" i="34"/>
  <c r="X522" i="35"/>
  <c r="AJ225"/>
  <c r="Q58" i="34"/>
  <c r="AI58" s="1"/>
  <c r="O55" i="23" s="1"/>
  <c r="R58" i="34"/>
  <c r="S58"/>
  <c r="AB58" s="1"/>
  <c r="H55" i="23" s="1"/>
  <c r="O58" i="34"/>
  <c r="W58" s="1"/>
  <c r="C55" i="23" s="1"/>
  <c r="P58" i="34"/>
  <c r="W220" s="1"/>
  <c r="C217" i="23" s="1"/>
  <c r="U219" i="34"/>
  <c r="A216" i="23" s="1"/>
  <c r="A54"/>
  <c r="F221" i="34"/>
  <c r="N59"/>
  <c r="A61"/>
  <c r="D60"/>
  <c r="H60" s="1"/>
  <c r="C60"/>
  <c r="G60" s="1"/>
  <c r="E60"/>
  <c r="I60" s="1"/>
  <c r="B60"/>
  <c r="F60" s="1"/>
  <c r="Q226" i="35"/>
  <c r="R226"/>
  <c r="S226"/>
  <c r="P226"/>
  <c r="X226" s="1"/>
  <c r="T226"/>
  <c r="AC226" s="1"/>
  <c r="AL58" i="34"/>
  <c r="G525" i="35" l="1"/>
  <c r="O228"/>
  <c r="K228"/>
  <c r="R227"/>
  <c r="S227"/>
  <c r="T227"/>
  <c r="AC227" s="1"/>
  <c r="Q227"/>
  <c r="P227"/>
  <c r="X227" s="1"/>
  <c r="I222" i="34"/>
  <c r="L60"/>
  <c r="Q59"/>
  <c r="AI59" s="1"/>
  <c r="O56" i="23" s="1"/>
  <c r="P59" i="34"/>
  <c r="W221" s="1"/>
  <c r="C218" i="23" s="1"/>
  <c r="R59" i="34"/>
  <c r="S59"/>
  <c r="AB59" s="1"/>
  <c r="H56" i="23" s="1"/>
  <c r="O59" i="34"/>
  <c r="W59" s="1"/>
  <c r="C56" i="23" s="1"/>
  <c r="Z228" i="35"/>
  <c r="H525"/>
  <c r="L228"/>
  <c r="H222" i="34"/>
  <c r="J60"/>
  <c r="J525" i="35"/>
  <c r="M228"/>
  <c r="J221" i="34"/>
  <c r="U59"/>
  <c r="G222"/>
  <c r="K60"/>
  <c r="Y60"/>
  <c r="E57" i="23" s="1"/>
  <c r="X523" i="35"/>
  <c r="AJ226"/>
  <c r="U220" i="34"/>
  <c r="A217" i="23" s="1"/>
  <c r="A55"/>
  <c r="K524" i="35"/>
  <c r="V227"/>
  <c r="V524" s="1"/>
  <c r="F222" i="34"/>
  <c r="N60"/>
  <c r="A62"/>
  <c r="D61"/>
  <c r="H61" s="1"/>
  <c r="E61"/>
  <c r="I61" s="1"/>
  <c r="B61"/>
  <c r="F61" s="1"/>
  <c r="C61"/>
  <c r="G61" s="1"/>
  <c r="B229" i="35"/>
  <c r="G229" s="1"/>
  <c r="C229"/>
  <c r="H229" s="1"/>
  <c r="D229"/>
  <c r="I229" s="1"/>
  <c r="I526" s="1"/>
  <c r="A230"/>
  <c r="E229"/>
  <c r="J229" s="1"/>
  <c r="AL59" i="34"/>
  <c r="J526" i="35" l="1"/>
  <c r="M229"/>
  <c r="H223" i="34"/>
  <c r="J61"/>
  <c r="I223"/>
  <c r="L61"/>
  <c r="S228" i="35"/>
  <c r="T228"/>
  <c r="AC228" s="1"/>
  <c r="P228"/>
  <c r="X228" s="1"/>
  <c r="R228"/>
  <c r="Q228"/>
  <c r="F223" i="34"/>
  <c r="N61"/>
  <c r="Q60"/>
  <c r="AI60" s="1"/>
  <c r="O57" i="23" s="1"/>
  <c r="R60" i="34"/>
  <c r="S60"/>
  <c r="AB60" s="1"/>
  <c r="H57" i="23" s="1"/>
  <c r="O60" i="34"/>
  <c r="W60" s="1"/>
  <c r="C57" i="23" s="1"/>
  <c r="P60" i="34"/>
  <c r="W222" s="1"/>
  <c r="C219" i="23" s="1"/>
  <c r="K525" i="35"/>
  <c r="V228"/>
  <c r="V525" s="1"/>
  <c r="G526"/>
  <c r="K229"/>
  <c r="O229"/>
  <c r="X524"/>
  <c r="AJ227"/>
  <c r="H526"/>
  <c r="L229"/>
  <c r="Z229"/>
  <c r="C230"/>
  <c r="H230" s="1"/>
  <c r="A231"/>
  <c r="D230"/>
  <c r="I230" s="1"/>
  <c r="I527" s="1"/>
  <c r="E230"/>
  <c r="J230" s="1"/>
  <c r="B230"/>
  <c r="G230" s="1"/>
  <c r="G223" i="34"/>
  <c r="Y61"/>
  <c r="E58" i="23" s="1"/>
  <c r="K61" i="34"/>
  <c r="A63"/>
  <c r="D62"/>
  <c r="H62" s="1"/>
  <c r="E62"/>
  <c r="I62" s="1"/>
  <c r="C62"/>
  <c r="G62" s="1"/>
  <c r="B62"/>
  <c r="F62" s="1"/>
  <c r="U221"/>
  <c r="A218" i="23" s="1"/>
  <c r="A56"/>
  <c r="J222" i="34"/>
  <c r="U60"/>
  <c r="AL60"/>
  <c r="U222" l="1"/>
  <c r="A219" i="23" s="1"/>
  <c r="A57"/>
  <c r="A64" i="34"/>
  <c r="D63"/>
  <c r="H63" s="1"/>
  <c r="E63"/>
  <c r="I63" s="1"/>
  <c r="B63"/>
  <c r="F63" s="1"/>
  <c r="C63"/>
  <c r="G63" s="1"/>
  <c r="H224"/>
  <c r="J62"/>
  <c r="K526" i="35"/>
  <c r="V229"/>
  <c r="V526" s="1"/>
  <c r="I224" i="34"/>
  <c r="L62"/>
  <c r="T229" i="35"/>
  <c r="AC229" s="1"/>
  <c r="P229"/>
  <c r="X229" s="1"/>
  <c r="Q229"/>
  <c r="S229"/>
  <c r="R229"/>
  <c r="X525"/>
  <c r="AJ228"/>
  <c r="F224" i="34"/>
  <c r="N62"/>
  <c r="G527" i="35"/>
  <c r="O230"/>
  <c r="K230"/>
  <c r="H527"/>
  <c r="L230"/>
  <c r="Z230"/>
  <c r="Q61" i="34"/>
  <c r="AI61" s="1"/>
  <c r="O58" i="23" s="1"/>
  <c r="R61" i="34"/>
  <c r="S61"/>
  <c r="AB61" s="1"/>
  <c r="H58" i="23" s="1"/>
  <c r="O61" i="34"/>
  <c r="W61" s="1"/>
  <c r="C58" i="23" s="1"/>
  <c r="P61" i="34"/>
  <c r="W223" s="1"/>
  <c r="C220" i="23" s="1"/>
  <c r="A232" i="35"/>
  <c r="D231"/>
  <c r="I231" s="1"/>
  <c r="I528" s="1"/>
  <c r="E231"/>
  <c r="J231" s="1"/>
  <c r="C231"/>
  <c r="H231" s="1"/>
  <c r="B231"/>
  <c r="G231" s="1"/>
  <c r="G224" i="34"/>
  <c r="K62"/>
  <c r="Y62"/>
  <c r="E59" i="23" s="1"/>
  <c r="J527" i="35"/>
  <c r="M230"/>
  <c r="J223" i="34"/>
  <c r="U61"/>
  <c r="AL61"/>
  <c r="K527" i="35" l="1"/>
  <c r="V230"/>
  <c r="V527" s="1"/>
  <c r="J224" i="34"/>
  <c r="U62"/>
  <c r="I225"/>
  <c r="L63"/>
  <c r="G528" i="35"/>
  <c r="O231"/>
  <c r="K231"/>
  <c r="E232"/>
  <c r="J232" s="1"/>
  <c r="B232"/>
  <c r="G232" s="1"/>
  <c r="D232"/>
  <c r="I232" s="1"/>
  <c r="I529" s="1"/>
  <c r="A233"/>
  <c r="C232"/>
  <c r="H232" s="1"/>
  <c r="Q62" i="34"/>
  <c r="AI62" s="1"/>
  <c r="O59" i="23" s="1"/>
  <c r="R62" i="34"/>
  <c r="P62"/>
  <c r="W224" s="1"/>
  <c r="C221" i="23" s="1"/>
  <c r="S62" i="34"/>
  <c r="AB62" s="1"/>
  <c r="H59" i="23" s="1"/>
  <c r="O62" i="34"/>
  <c r="W62" s="1"/>
  <c r="C59" i="23" s="1"/>
  <c r="F225" i="34"/>
  <c r="N63"/>
  <c r="G225"/>
  <c r="Y63"/>
  <c r="E60" i="23" s="1"/>
  <c r="K63" i="34"/>
  <c r="A65"/>
  <c r="D64"/>
  <c r="H64" s="1"/>
  <c r="B64"/>
  <c r="F64" s="1"/>
  <c r="C64"/>
  <c r="G64" s="1"/>
  <c r="E64"/>
  <c r="I64" s="1"/>
  <c r="U223"/>
  <c r="A220" i="23" s="1"/>
  <c r="A58"/>
  <c r="H528" i="35"/>
  <c r="Z231"/>
  <c r="L231"/>
  <c r="X526"/>
  <c r="AJ229"/>
  <c r="J528"/>
  <c r="M231"/>
  <c r="Q230"/>
  <c r="R230"/>
  <c r="T230"/>
  <c r="AC230" s="1"/>
  <c r="S230"/>
  <c r="P230"/>
  <c r="X230" s="1"/>
  <c r="H225" i="34"/>
  <c r="J63"/>
  <c r="AL62"/>
  <c r="J225" l="1"/>
  <c r="U63"/>
  <c r="I226"/>
  <c r="L64"/>
  <c r="B233" i="35"/>
  <c r="G233" s="1"/>
  <c r="C233"/>
  <c r="H233" s="1"/>
  <c r="A234"/>
  <c r="E233"/>
  <c r="J233" s="1"/>
  <c r="D233"/>
  <c r="I233" s="1"/>
  <c r="I530" s="1"/>
  <c r="K528"/>
  <c r="V231"/>
  <c r="V528" s="1"/>
  <c r="F226" i="34"/>
  <c r="N64"/>
  <c r="G529" i="35"/>
  <c r="O232"/>
  <c r="K232"/>
  <c r="A66" i="34"/>
  <c r="B65"/>
  <c r="F65" s="1"/>
  <c r="C65"/>
  <c r="G65" s="1"/>
  <c r="D65"/>
  <c r="H65" s="1"/>
  <c r="E65"/>
  <c r="I65" s="1"/>
  <c r="Q63"/>
  <c r="AI63" s="1"/>
  <c r="O60" i="23" s="1"/>
  <c r="R63" i="34"/>
  <c r="S63"/>
  <c r="AB63" s="1"/>
  <c r="H60" i="23" s="1"/>
  <c r="O63" i="34"/>
  <c r="W63" s="1"/>
  <c r="C60" i="23" s="1"/>
  <c r="P63" i="34"/>
  <c r="W225" s="1"/>
  <c r="C222" i="23" s="1"/>
  <c r="X527" i="35"/>
  <c r="AJ230"/>
  <c r="H226" i="34"/>
  <c r="J64"/>
  <c r="Z232" i="35"/>
  <c r="H529"/>
  <c r="L232"/>
  <c r="J529"/>
  <c r="M232"/>
  <c r="G226" i="34"/>
  <c r="K64"/>
  <c r="Y64"/>
  <c r="E61" i="23" s="1"/>
  <c r="R231" i="35"/>
  <c r="S231"/>
  <c r="P231"/>
  <c r="X231" s="1"/>
  <c r="Q231"/>
  <c r="T231"/>
  <c r="AC231" s="1"/>
  <c r="U224" i="34"/>
  <c r="A221" i="23" s="1"/>
  <c r="A59"/>
  <c r="AL63" i="34"/>
  <c r="H530" i="35" l="1"/>
  <c r="L233"/>
  <c r="Z233"/>
  <c r="S232"/>
  <c r="T232"/>
  <c r="AC232" s="1"/>
  <c r="P232"/>
  <c r="X232" s="1"/>
  <c r="Q232"/>
  <c r="R232"/>
  <c r="I227" i="34"/>
  <c r="L65"/>
  <c r="A67"/>
  <c r="D66"/>
  <c r="H66" s="1"/>
  <c r="E66"/>
  <c r="I66" s="1"/>
  <c r="B66"/>
  <c r="F66" s="1"/>
  <c r="C66"/>
  <c r="G66" s="1"/>
  <c r="Q64"/>
  <c r="AI64" s="1"/>
  <c r="O61" i="23" s="1"/>
  <c r="S64" i="34"/>
  <c r="AB64" s="1"/>
  <c r="H61" i="23" s="1"/>
  <c r="P64" i="34"/>
  <c r="W226" s="1"/>
  <c r="C223" i="23" s="1"/>
  <c r="R64" i="34"/>
  <c r="O64"/>
  <c r="W64" s="1"/>
  <c r="C61" i="23" s="1"/>
  <c r="G530" i="35"/>
  <c r="K233"/>
  <c r="O233"/>
  <c r="J226" i="34"/>
  <c r="U64"/>
  <c r="F227"/>
  <c r="N65"/>
  <c r="U225"/>
  <c r="A222" i="23" s="1"/>
  <c r="A60"/>
  <c r="G227" i="34"/>
  <c r="Y65"/>
  <c r="E62" i="23" s="1"/>
  <c r="K65" i="34"/>
  <c r="C234" i="35"/>
  <c r="H234" s="1"/>
  <c r="A235"/>
  <c r="D234"/>
  <c r="I234" s="1"/>
  <c r="I531" s="1"/>
  <c r="E234"/>
  <c r="J234" s="1"/>
  <c r="B234"/>
  <c r="G234" s="1"/>
  <c r="X528"/>
  <c r="AJ231"/>
  <c r="H227" i="34"/>
  <c r="J65"/>
  <c r="K529" i="35"/>
  <c r="V232"/>
  <c r="V529" s="1"/>
  <c r="J530"/>
  <c r="M233"/>
  <c r="AL64" i="34"/>
  <c r="A236" i="35" l="1"/>
  <c r="D235"/>
  <c r="I235" s="1"/>
  <c r="I532" s="1"/>
  <c r="E235"/>
  <c r="J235" s="1"/>
  <c r="B235"/>
  <c r="G235" s="1"/>
  <c r="C235"/>
  <c r="H235" s="1"/>
  <c r="F228" i="34"/>
  <c r="N66"/>
  <c r="T233" i="35"/>
  <c r="AC233" s="1"/>
  <c r="P233"/>
  <c r="X233" s="1"/>
  <c r="Q233"/>
  <c r="R233"/>
  <c r="S233"/>
  <c r="G228" i="34"/>
  <c r="Y66"/>
  <c r="E63" i="23" s="1"/>
  <c r="K66" i="34"/>
  <c r="A68"/>
  <c r="E67"/>
  <c r="I67" s="1"/>
  <c r="B67"/>
  <c r="F67" s="1"/>
  <c r="C67"/>
  <c r="G67" s="1"/>
  <c r="D67"/>
  <c r="H67" s="1"/>
  <c r="J531" i="35"/>
  <c r="M234"/>
  <c r="J227" i="34"/>
  <c r="U65"/>
  <c r="G531" i="35"/>
  <c r="K234"/>
  <c r="O234"/>
  <c r="H531"/>
  <c r="L234"/>
  <c r="Z234"/>
  <c r="U226" i="34"/>
  <c r="A223" i="23" s="1"/>
  <c r="A61"/>
  <c r="I228" i="34"/>
  <c r="L66"/>
  <c r="K530" i="35"/>
  <c r="V233"/>
  <c r="V530" s="1"/>
  <c r="Q65" i="34"/>
  <c r="AI65" s="1"/>
  <c r="O62" i="23" s="1"/>
  <c r="P65" i="34"/>
  <c r="W227" s="1"/>
  <c r="C224" i="23" s="1"/>
  <c r="R65" i="34"/>
  <c r="S65"/>
  <c r="AB65" s="1"/>
  <c r="H62" i="23" s="1"/>
  <c r="O65" i="34"/>
  <c r="W65" s="1"/>
  <c r="C62" i="23" s="1"/>
  <c r="H228" i="34"/>
  <c r="J66"/>
  <c r="X529" i="35"/>
  <c r="AJ232"/>
  <c r="AL65" i="34"/>
  <c r="K531" i="35" l="1"/>
  <c r="V234"/>
  <c r="V531" s="1"/>
  <c r="Q234"/>
  <c r="R234"/>
  <c r="S234"/>
  <c r="P234"/>
  <c r="X234" s="1"/>
  <c r="T234"/>
  <c r="AC234" s="1"/>
  <c r="G229" i="34"/>
  <c r="Y67"/>
  <c r="E64" i="23" s="1"/>
  <c r="K67" i="34"/>
  <c r="J532" i="35"/>
  <c r="M235"/>
  <c r="I229" i="34"/>
  <c r="L67"/>
  <c r="H532" i="35"/>
  <c r="Z235"/>
  <c r="L235"/>
  <c r="E236"/>
  <c r="J236" s="1"/>
  <c r="B236"/>
  <c r="G236" s="1"/>
  <c r="C236"/>
  <c r="H236" s="1"/>
  <c r="A237"/>
  <c r="D236"/>
  <c r="I236" s="1"/>
  <c r="I533" s="1"/>
  <c r="F229" i="34"/>
  <c r="N67"/>
  <c r="J228"/>
  <c r="U66"/>
  <c r="Q66"/>
  <c r="AI66" s="1"/>
  <c r="O63" i="23" s="1"/>
  <c r="R66" i="34"/>
  <c r="S66"/>
  <c r="AB66" s="1"/>
  <c r="H63" i="23" s="1"/>
  <c r="O66" i="34"/>
  <c r="W66" s="1"/>
  <c r="C63" i="23" s="1"/>
  <c r="P66" i="34"/>
  <c r="W228" s="1"/>
  <c r="C225" i="23" s="1"/>
  <c r="U227" i="34"/>
  <c r="A224" i="23" s="1"/>
  <c r="A62"/>
  <c r="H229" i="34"/>
  <c r="J67"/>
  <c r="A69"/>
  <c r="D68"/>
  <c r="H68" s="1"/>
  <c r="E68"/>
  <c r="I68" s="1"/>
  <c r="C68"/>
  <c r="G68" s="1"/>
  <c r="B68"/>
  <c r="F68" s="1"/>
  <c r="X530" i="35"/>
  <c r="AJ233"/>
  <c r="G532"/>
  <c r="O235"/>
  <c r="K235"/>
  <c r="AL66" i="34"/>
  <c r="K532" i="35" l="1"/>
  <c r="V235"/>
  <c r="V532" s="1"/>
  <c r="H230" i="34"/>
  <c r="J68"/>
  <c r="B237" i="35"/>
  <c r="G237" s="1"/>
  <c r="C237"/>
  <c r="H237" s="1"/>
  <c r="D237"/>
  <c r="I237" s="1"/>
  <c r="I534" s="1"/>
  <c r="E237"/>
  <c r="J237" s="1"/>
  <c r="A238"/>
  <c r="I230" i="34"/>
  <c r="L68"/>
  <c r="G230"/>
  <c r="Y68"/>
  <c r="E65" i="23" s="1"/>
  <c r="K68" i="34"/>
  <c r="G533" i="35"/>
  <c r="O236"/>
  <c r="K236"/>
  <c r="X531"/>
  <c r="AJ234"/>
  <c r="U228" i="34"/>
  <c r="A225" i="23" s="1"/>
  <c r="A63"/>
  <c r="J533" i="35"/>
  <c r="M236"/>
  <c r="J229" i="34"/>
  <c r="U67"/>
  <c r="R235" i="35"/>
  <c r="S235"/>
  <c r="T235"/>
  <c r="AC235" s="1"/>
  <c r="Q235"/>
  <c r="P235"/>
  <c r="X235" s="1"/>
  <c r="F230" i="34"/>
  <c r="N68"/>
  <c r="A70"/>
  <c r="D69"/>
  <c r="H69" s="1"/>
  <c r="B69"/>
  <c r="F69" s="1"/>
  <c r="C69"/>
  <c r="G69" s="1"/>
  <c r="E69"/>
  <c r="I69" s="1"/>
  <c r="R67"/>
  <c r="S67"/>
  <c r="AB67" s="1"/>
  <c r="H64" i="23" s="1"/>
  <c r="P67" i="34"/>
  <c r="W229" s="1"/>
  <c r="C226" i="23" s="1"/>
  <c r="Q67" i="34"/>
  <c r="AI67" s="1"/>
  <c r="O64" i="23" s="1"/>
  <c r="O67" i="34"/>
  <c r="W67" s="1"/>
  <c r="C64" i="23" s="1"/>
  <c r="Z236" i="35"/>
  <c r="H533"/>
  <c r="L236"/>
  <c r="AL67" i="34"/>
  <c r="H231" l="1"/>
  <c r="J69"/>
  <c r="F231"/>
  <c r="N69"/>
  <c r="I231"/>
  <c r="L69"/>
  <c r="A71"/>
  <c r="D70"/>
  <c r="H70" s="1"/>
  <c r="E70"/>
  <c r="I70" s="1"/>
  <c r="C70"/>
  <c r="G70" s="1"/>
  <c r="B70"/>
  <c r="F70" s="1"/>
  <c r="U229"/>
  <c r="A226" i="23" s="1"/>
  <c r="A64"/>
  <c r="K533" i="35"/>
  <c r="V236"/>
  <c r="V533" s="1"/>
  <c r="C238"/>
  <c r="H238" s="1"/>
  <c r="A239"/>
  <c r="D238"/>
  <c r="I238" s="1"/>
  <c r="I535" s="1"/>
  <c r="E238"/>
  <c r="J238" s="1"/>
  <c r="B238"/>
  <c r="G238" s="1"/>
  <c r="G534"/>
  <c r="K237"/>
  <c r="O237"/>
  <c r="H534"/>
  <c r="L237"/>
  <c r="Z237"/>
  <c r="X532"/>
  <c r="AJ235"/>
  <c r="G231" i="34"/>
  <c r="K69"/>
  <c r="Y69"/>
  <c r="E66" i="23" s="1"/>
  <c r="Q68" i="34"/>
  <c r="AI68" s="1"/>
  <c r="O65" i="23" s="1"/>
  <c r="R68" i="34"/>
  <c r="P68"/>
  <c r="W230" s="1"/>
  <c r="C227" i="23" s="1"/>
  <c r="S68" i="34"/>
  <c r="AB68" s="1"/>
  <c r="H65" i="23" s="1"/>
  <c r="O68" i="34"/>
  <c r="W68" s="1"/>
  <c r="C65" i="23" s="1"/>
  <c r="S236" i="35"/>
  <c r="T236"/>
  <c r="AC236" s="1"/>
  <c r="P236"/>
  <c r="X236" s="1"/>
  <c r="R236"/>
  <c r="Q236"/>
  <c r="J534"/>
  <c r="M237"/>
  <c r="J230" i="34"/>
  <c r="U68"/>
  <c r="AL68"/>
  <c r="K534" i="35" l="1"/>
  <c r="V237"/>
  <c r="V534" s="1"/>
  <c r="J231" i="34"/>
  <c r="U69"/>
  <c r="T237" i="35"/>
  <c r="AC237" s="1"/>
  <c r="P237"/>
  <c r="X237" s="1"/>
  <c r="Q237"/>
  <c r="S237"/>
  <c r="R237"/>
  <c r="J535"/>
  <c r="M238"/>
  <c r="F232" i="34"/>
  <c r="N70"/>
  <c r="A72"/>
  <c r="D71"/>
  <c r="H71" s="1"/>
  <c r="E71"/>
  <c r="I71" s="1"/>
  <c r="B71"/>
  <c r="F71" s="1"/>
  <c r="C71"/>
  <c r="G71" s="1"/>
  <c r="U230"/>
  <c r="A227" i="23" s="1"/>
  <c r="A65"/>
  <c r="X533" i="35"/>
  <c r="AJ236"/>
  <c r="A240"/>
  <c r="D239"/>
  <c r="I239" s="1"/>
  <c r="I536" s="1"/>
  <c r="E239"/>
  <c r="J239" s="1"/>
  <c r="C239"/>
  <c r="H239" s="1"/>
  <c r="B239"/>
  <c r="G239" s="1"/>
  <c r="I232" i="34"/>
  <c r="L70"/>
  <c r="G232"/>
  <c r="Y70"/>
  <c r="E67" i="23" s="1"/>
  <c r="K70" i="34"/>
  <c r="G535" i="35"/>
  <c r="O238"/>
  <c r="K238"/>
  <c r="H535"/>
  <c r="L238"/>
  <c r="Z238"/>
  <c r="H232" i="34"/>
  <c r="J70"/>
  <c r="Q69"/>
  <c r="AI69" s="1"/>
  <c r="O66" i="23" s="1"/>
  <c r="S69" i="34"/>
  <c r="AB69" s="1"/>
  <c r="H66" i="23" s="1"/>
  <c r="O69" i="34"/>
  <c r="W69" s="1"/>
  <c r="C66" i="23" s="1"/>
  <c r="P69" i="34"/>
  <c r="W231" s="1"/>
  <c r="C228" i="23" s="1"/>
  <c r="R69" i="34"/>
  <c r="AL69"/>
  <c r="K535" i="35" l="1"/>
  <c r="V238"/>
  <c r="V535" s="1"/>
  <c r="H233" i="34"/>
  <c r="J71"/>
  <c r="J536" i="35"/>
  <c r="M239"/>
  <c r="F233" i="34"/>
  <c r="N71"/>
  <c r="Q70"/>
  <c r="AI70" s="1"/>
  <c r="O67" i="23" s="1"/>
  <c r="R70" i="34"/>
  <c r="O70"/>
  <c r="W70" s="1"/>
  <c r="C67" i="23" s="1"/>
  <c r="S70" i="34"/>
  <c r="AB70" s="1"/>
  <c r="H67" i="23" s="1"/>
  <c r="P70" i="34"/>
  <c r="W232" s="1"/>
  <c r="C229" i="23" s="1"/>
  <c r="Q238" i="35"/>
  <c r="R238"/>
  <c r="T238"/>
  <c r="AC238" s="1"/>
  <c r="P238"/>
  <c r="X238" s="1"/>
  <c r="S238"/>
  <c r="H536"/>
  <c r="Z239"/>
  <c r="L239"/>
  <c r="G233" i="34"/>
  <c r="Y71"/>
  <c r="E68" i="23" s="1"/>
  <c r="K71" i="34"/>
  <c r="A73"/>
  <c r="D72"/>
  <c r="H72" s="1"/>
  <c r="E72"/>
  <c r="I72" s="1"/>
  <c r="B72"/>
  <c r="F72" s="1"/>
  <c r="C72"/>
  <c r="G72" s="1"/>
  <c r="G536" i="35"/>
  <c r="O239"/>
  <c r="K239"/>
  <c r="E240"/>
  <c r="J240" s="1"/>
  <c r="B240"/>
  <c r="G240" s="1"/>
  <c r="D240"/>
  <c r="I240" s="1"/>
  <c r="I537" s="1"/>
  <c r="C240"/>
  <c r="H240" s="1"/>
  <c r="A241"/>
  <c r="J232" i="34"/>
  <c r="U70"/>
  <c r="I233"/>
  <c r="L71"/>
  <c r="X534" i="35"/>
  <c r="AJ237"/>
  <c r="U231" i="34"/>
  <c r="A228" i="23" s="1"/>
  <c r="A66"/>
  <c r="AL70" i="34"/>
  <c r="B241" i="35" l="1"/>
  <c r="G241" s="1"/>
  <c r="C241"/>
  <c r="H241" s="1"/>
  <c r="A242"/>
  <c r="E241"/>
  <c r="J241" s="1"/>
  <c r="D241"/>
  <c r="I241" s="1"/>
  <c r="I538" s="1"/>
  <c r="J537"/>
  <c r="M240"/>
  <c r="G234" i="34"/>
  <c r="Y72"/>
  <c r="E69" i="23" s="1"/>
  <c r="K72" i="34"/>
  <c r="A74"/>
  <c r="D73"/>
  <c r="H73" s="1"/>
  <c r="E73"/>
  <c r="I73" s="1"/>
  <c r="B73"/>
  <c r="F73" s="1"/>
  <c r="C73"/>
  <c r="G73" s="1"/>
  <c r="G537" i="35"/>
  <c r="O240"/>
  <c r="K240"/>
  <c r="X535"/>
  <c r="AJ238"/>
  <c r="U232" i="34"/>
  <c r="A229" i="23" s="1"/>
  <c r="A67"/>
  <c r="R239" i="35"/>
  <c r="S239"/>
  <c r="P239"/>
  <c r="X239" s="1"/>
  <c r="T239"/>
  <c r="AC239" s="1"/>
  <c r="Q239"/>
  <c r="I234" i="34"/>
  <c r="L72"/>
  <c r="H234"/>
  <c r="J72"/>
  <c r="Z240" i="35"/>
  <c r="H537"/>
  <c r="L240"/>
  <c r="K536"/>
  <c r="V239"/>
  <c r="V536" s="1"/>
  <c r="F234" i="34"/>
  <c r="N72"/>
  <c r="Q71"/>
  <c r="AI71" s="1"/>
  <c r="O68" i="23" s="1"/>
  <c r="R71" i="34"/>
  <c r="S71"/>
  <c r="AB71" s="1"/>
  <c r="H68" i="23" s="1"/>
  <c r="O71" i="34"/>
  <c r="W71" s="1"/>
  <c r="C68" i="23" s="1"/>
  <c r="P71" i="34"/>
  <c r="W233" s="1"/>
  <c r="C230" i="23" s="1"/>
  <c r="J233" i="34"/>
  <c r="U71"/>
  <c r="AL71"/>
  <c r="U233" l="1"/>
  <c r="A230" i="23" s="1"/>
  <c r="A68"/>
  <c r="I235" i="34"/>
  <c r="L73"/>
  <c r="Q72"/>
  <c r="AI72" s="1"/>
  <c r="O69" i="23" s="1"/>
  <c r="O72" i="34"/>
  <c r="W72" s="1"/>
  <c r="C69" i="23" s="1"/>
  <c r="P72" i="34"/>
  <c r="W234" s="1"/>
  <c r="C231" i="23" s="1"/>
  <c r="R72" i="34"/>
  <c r="S72"/>
  <c r="AB72" s="1"/>
  <c r="H69" i="23" s="1"/>
  <c r="K537" i="35"/>
  <c r="V240"/>
  <c r="V537" s="1"/>
  <c r="J234" i="34"/>
  <c r="U72"/>
  <c r="G235"/>
  <c r="K73"/>
  <c r="Y73"/>
  <c r="E70" i="23" s="1"/>
  <c r="A75" i="34"/>
  <c r="D74"/>
  <c r="H74" s="1"/>
  <c r="B74"/>
  <c r="F74" s="1"/>
  <c r="C74"/>
  <c r="G74" s="1"/>
  <c r="E74"/>
  <c r="I74" s="1"/>
  <c r="C242" i="35"/>
  <c r="H242" s="1"/>
  <c r="A243"/>
  <c r="D242"/>
  <c r="I242" s="1"/>
  <c r="I539" s="1"/>
  <c r="B242"/>
  <c r="G242" s="1"/>
  <c r="E242"/>
  <c r="J242" s="1"/>
  <c r="S240"/>
  <c r="T240"/>
  <c r="AC240" s="1"/>
  <c r="P240"/>
  <c r="X240" s="1"/>
  <c r="Q240"/>
  <c r="R240"/>
  <c r="G538"/>
  <c r="K241"/>
  <c r="O241"/>
  <c r="F235" i="34"/>
  <c r="N73"/>
  <c r="H538" i="35"/>
  <c r="L241"/>
  <c r="Z241"/>
  <c r="X536"/>
  <c r="AJ239"/>
  <c r="H235" i="34"/>
  <c r="J73"/>
  <c r="J538" i="35"/>
  <c r="M241"/>
  <c r="AL72" i="34"/>
  <c r="I236" l="1"/>
  <c r="L74"/>
  <c r="A76"/>
  <c r="D75"/>
  <c r="H75" s="1"/>
  <c r="E75"/>
  <c r="I75" s="1"/>
  <c r="C75"/>
  <c r="G75" s="1"/>
  <c r="B75"/>
  <c r="F75" s="1"/>
  <c r="U234"/>
  <c r="A231" i="23" s="1"/>
  <c r="A69"/>
  <c r="T241" i="35"/>
  <c r="AC241" s="1"/>
  <c r="P241"/>
  <c r="X241" s="1"/>
  <c r="Q241"/>
  <c r="R241"/>
  <c r="S241"/>
  <c r="J539"/>
  <c r="M242"/>
  <c r="H236" i="34"/>
  <c r="J74"/>
  <c r="J235"/>
  <c r="U73"/>
  <c r="X537" i="35"/>
  <c r="AJ240"/>
  <c r="A244"/>
  <c r="D243"/>
  <c r="I243" s="1"/>
  <c r="I540" s="1"/>
  <c r="E243"/>
  <c r="J243" s="1"/>
  <c r="B243"/>
  <c r="G243" s="1"/>
  <c r="C243"/>
  <c r="H243" s="1"/>
  <c r="F236" i="34"/>
  <c r="N74"/>
  <c r="K538" i="35"/>
  <c r="V241"/>
  <c r="V538" s="1"/>
  <c r="G539"/>
  <c r="O242"/>
  <c r="K242"/>
  <c r="H539"/>
  <c r="L242"/>
  <c r="Z242"/>
  <c r="Q73" i="34"/>
  <c r="AI73" s="1"/>
  <c r="O70" i="23" s="1"/>
  <c r="O73" i="34"/>
  <c r="W73" s="1"/>
  <c r="C70" i="23" s="1"/>
  <c r="P73" i="34"/>
  <c r="W235" s="1"/>
  <c r="C232" i="23" s="1"/>
  <c r="R73" i="34"/>
  <c r="S73"/>
  <c r="AB73" s="1"/>
  <c r="H70" i="23" s="1"/>
  <c r="G236" i="34"/>
  <c r="K74"/>
  <c r="Y74"/>
  <c r="E71" i="23" s="1"/>
  <c r="AL73" i="34"/>
  <c r="Q242" i="35" l="1"/>
  <c r="R242"/>
  <c r="S242"/>
  <c r="P242"/>
  <c r="X242" s="1"/>
  <c r="T242"/>
  <c r="AC242" s="1"/>
  <c r="Q74" i="34"/>
  <c r="AI74" s="1"/>
  <c r="O71" i="23" s="1"/>
  <c r="S74" i="34"/>
  <c r="AB74" s="1"/>
  <c r="H71" i="23" s="1"/>
  <c r="O74" i="34"/>
  <c r="W74" s="1"/>
  <c r="C71" i="23" s="1"/>
  <c r="P74" i="34"/>
  <c r="W236" s="1"/>
  <c r="C233" i="23" s="1"/>
  <c r="R74" i="34"/>
  <c r="J540" i="35"/>
  <c r="M243"/>
  <c r="I237" i="34"/>
  <c r="L75"/>
  <c r="K539" i="35"/>
  <c r="V242"/>
  <c r="V539" s="1"/>
  <c r="J236" i="34"/>
  <c r="U74"/>
  <c r="G237"/>
  <c r="K75"/>
  <c r="Y75"/>
  <c r="E72" i="23" s="1"/>
  <c r="H540" i="35"/>
  <c r="Z243"/>
  <c r="L243"/>
  <c r="E244"/>
  <c r="J244" s="1"/>
  <c r="B244"/>
  <c r="G244" s="1"/>
  <c r="C244"/>
  <c r="H244" s="1"/>
  <c r="A245"/>
  <c r="D244"/>
  <c r="I244" s="1"/>
  <c r="I541" s="1"/>
  <c r="F237" i="34"/>
  <c r="N75"/>
  <c r="A77"/>
  <c r="D76"/>
  <c r="H76" s="1"/>
  <c r="E76"/>
  <c r="I76" s="1"/>
  <c r="B76"/>
  <c r="F76" s="1"/>
  <c r="C76"/>
  <c r="G76" s="1"/>
  <c r="G540" i="35"/>
  <c r="O243"/>
  <c r="K243"/>
  <c r="X538"/>
  <c r="AJ241"/>
  <c r="U235" i="34"/>
  <c r="A232" i="23" s="1"/>
  <c r="A70"/>
  <c r="H237" i="34"/>
  <c r="J75"/>
  <c r="AL74"/>
  <c r="H238" l="1"/>
  <c r="J76"/>
  <c r="R243" i="35"/>
  <c r="S243"/>
  <c r="T243"/>
  <c r="AC243" s="1"/>
  <c r="Q243"/>
  <c r="P243"/>
  <c r="X243" s="1"/>
  <c r="G541"/>
  <c r="O244"/>
  <c r="K244"/>
  <c r="U236" i="34"/>
  <c r="A233" i="23" s="1"/>
  <c r="A71"/>
  <c r="K540" i="35"/>
  <c r="V243"/>
  <c r="V540" s="1"/>
  <c r="F238" i="34"/>
  <c r="N76"/>
  <c r="Q75"/>
  <c r="AI75" s="1"/>
  <c r="O72" i="23" s="1"/>
  <c r="R75" i="34"/>
  <c r="S75"/>
  <c r="AB75" s="1"/>
  <c r="H72" i="23" s="1"/>
  <c r="P75" i="34"/>
  <c r="W237" s="1"/>
  <c r="C234" i="23" s="1"/>
  <c r="O75" i="34"/>
  <c r="W75" s="1"/>
  <c r="C72" i="23" s="1"/>
  <c r="Z244" i="35"/>
  <c r="H541"/>
  <c r="L244"/>
  <c r="X539"/>
  <c r="AJ242"/>
  <c r="J237" i="34"/>
  <c r="U75"/>
  <c r="J541" i="35"/>
  <c r="M244"/>
  <c r="I238" i="34"/>
  <c r="L76"/>
  <c r="G238"/>
  <c r="Y76"/>
  <c r="E73" i="23" s="1"/>
  <c r="K76" i="34"/>
  <c r="A78"/>
  <c r="D77"/>
  <c r="H77" s="1"/>
  <c r="E77"/>
  <c r="I77" s="1"/>
  <c r="B77"/>
  <c r="F77" s="1"/>
  <c r="C77"/>
  <c r="G77" s="1"/>
  <c r="B245" i="35"/>
  <c r="G245" s="1"/>
  <c r="C245"/>
  <c r="H245" s="1"/>
  <c r="D245"/>
  <c r="I245" s="1"/>
  <c r="I542" s="1"/>
  <c r="A246"/>
  <c r="E245"/>
  <c r="J245" s="1"/>
  <c r="AL75" i="34"/>
  <c r="I239" l="1"/>
  <c r="L77"/>
  <c r="C246" i="35"/>
  <c r="H246" s="1"/>
  <c r="A247"/>
  <c r="D246"/>
  <c r="I246" s="1"/>
  <c r="I543" s="1"/>
  <c r="E246"/>
  <c r="J246" s="1"/>
  <c r="B246"/>
  <c r="G246" s="1"/>
  <c r="G239" i="34"/>
  <c r="Y77"/>
  <c r="E74" i="23" s="1"/>
  <c r="K77" i="34"/>
  <c r="A79"/>
  <c r="D78"/>
  <c r="H78" s="1"/>
  <c r="E78"/>
  <c r="I78" s="1"/>
  <c r="C78"/>
  <c r="G78" s="1"/>
  <c r="B78"/>
  <c r="F78" s="1"/>
  <c r="U237"/>
  <c r="A234" i="23" s="1"/>
  <c r="A72"/>
  <c r="Q76" i="34"/>
  <c r="AI76" s="1"/>
  <c r="O73" i="23" s="1"/>
  <c r="R76" i="34"/>
  <c r="P76"/>
  <c r="W238" s="1"/>
  <c r="C235" i="23" s="1"/>
  <c r="S76" i="34"/>
  <c r="AB76" s="1"/>
  <c r="H73" i="23" s="1"/>
  <c r="O76" i="34"/>
  <c r="W76" s="1"/>
  <c r="C73" i="23" s="1"/>
  <c r="X540" i="35"/>
  <c r="AJ243"/>
  <c r="J542"/>
  <c r="M245"/>
  <c r="G542"/>
  <c r="K245"/>
  <c r="O245"/>
  <c r="H239" i="34"/>
  <c r="J77"/>
  <c r="S244" i="35"/>
  <c r="T244"/>
  <c r="AC244" s="1"/>
  <c r="P244"/>
  <c r="X244" s="1"/>
  <c r="R244"/>
  <c r="Q244"/>
  <c r="H542"/>
  <c r="L245"/>
  <c r="Z245"/>
  <c r="K541"/>
  <c r="V244"/>
  <c r="V541" s="1"/>
  <c r="J238" i="34"/>
  <c r="U76"/>
  <c r="F239"/>
  <c r="N77"/>
  <c r="AL76"/>
  <c r="T245" i="35" l="1"/>
  <c r="AC245" s="1"/>
  <c r="P245"/>
  <c r="X245" s="1"/>
  <c r="Q245"/>
  <c r="S245"/>
  <c r="R245"/>
  <c r="J543"/>
  <c r="M246"/>
  <c r="U238" i="34"/>
  <c r="A235" i="23" s="1"/>
  <c r="A73"/>
  <c r="J239" i="34"/>
  <c r="U77"/>
  <c r="F240"/>
  <c r="N78"/>
  <c r="A80"/>
  <c r="D79"/>
  <c r="H79" s="1"/>
  <c r="E79"/>
  <c r="I79" s="1"/>
  <c r="B79"/>
  <c r="F79" s="1"/>
  <c r="C79"/>
  <c r="G79" s="1"/>
  <c r="G543" i="35"/>
  <c r="O246"/>
  <c r="K246"/>
  <c r="H543"/>
  <c r="L246"/>
  <c r="Z246"/>
  <c r="Q77" i="34"/>
  <c r="AI77" s="1"/>
  <c r="O74" i="23" s="1"/>
  <c r="R77" i="34"/>
  <c r="P77"/>
  <c r="W239" s="1"/>
  <c r="C236" i="23" s="1"/>
  <c r="S77" i="34"/>
  <c r="AB77" s="1"/>
  <c r="H74" i="23" s="1"/>
  <c r="O77" i="34"/>
  <c r="W77" s="1"/>
  <c r="C74" i="23" s="1"/>
  <c r="I240" i="34"/>
  <c r="L78"/>
  <c r="G240"/>
  <c r="K78"/>
  <c r="Y78"/>
  <c r="E75" i="23" s="1"/>
  <c r="X541" i="35"/>
  <c r="AJ244"/>
  <c r="K542"/>
  <c r="V245"/>
  <c r="V542" s="1"/>
  <c r="H240" i="34"/>
  <c r="J78"/>
  <c r="A248" i="35"/>
  <c r="D247"/>
  <c r="I247" s="1"/>
  <c r="I544" s="1"/>
  <c r="E247"/>
  <c r="J247" s="1"/>
  <c r="C247"/>
  <c r="H247" s="1"/>
  <c r="B247"/>
  <c r="G247" s="1"/>
  <c r="AL77" i="34"/>
  <c r="E248" i="35" l="1"/>
  <c r="J248" s="1"/>
  <c r="B248"/>
  <c r="G248" s="1"/>
  <c r="D248"/>
  <c r="I248" s="1"/>
  <c r="I545" s="1"/>
  <c r="A249"/>
  <c r="C248"/>
  <c r="H248" s="1"/>
  <c r="K543"/>
  <c r="V246"/>
  <c r="V543" s="1"/>
  <c r="Q78" i="34"/>
  <c r="AI78" s="1"/>
  <c r="O75" i="23" s="1"/>
  <c r="R78" i="34"/>
  <c r="P78"/>
  <c r="W240" s="1"/>
  <c r="C237" i="23" s="1"/>
  <c r="S78" i="34"/>
  <c r="AB78" s="1"/>
  <c r="H75" i="23" s="1"/>
  <c r="O78" i="34"/>
  <c r="W78" s="1"/>
  <c r="C75" i="23" s="1"/>
  <c r="J544" i="35"/>
  <c r="M247"/>
  <c r="H241" i="34"/>
  <c r="J79"/>
  <c r="U239"/>
  <c r="A236" i="23" s="1"/>
  <c r="A74"/>
  <c r="G544" i="35"/>
  <c r="O247"/>
  <c r="K247"/>
  <c r="F241" i="34"/>
  <c r="N79"/>
  <c r="G241"/>
  <c r="K79"/>
  <c r="Y79"/>
  <c r="E76" i="23" s="1"/>
  <c r="A81" i="34"/>
  <c r="D80"/>
  <c r="H80" s="1"/>
  <c r="C80"/>
  <c r="G80" s="1"/>
  <c r="E80"/>
  <c r="I80" s="1"/>
  <c r="B80"/>
  <c r="F80" s="1"/>
  <c r="H544" i="35"/>
  <c r="Z247"/>
  <c r="L247"/>
  <c r="J240" i="34"/>
  <c r="U78"/>
  <c r="Q246" i="35"/>
  <c r="R246"/>
  <c r="T246"/>
  <c r="AC246" s="1"/>
  <c r="S246"/>
  <c r="P246"/>
  <c r="X246" s="1"/>
  <c r="I241" i="34"/>
  <c r="L79"/>
  <c r="X542" i="35"/>
  <c r="AJ245"/>
  <c r="AL78" i="34"/>
  <c r="I242" l="1"/>
  <c r="L80"/>
  <c r="G545" i="35"/>
  <c r="O248"/>
  <c r="K248"/>
  <c r="F242" i="34"/>
  <c r="N80"/>
  <c r="A82"/>
  <c r="D81"/>
  <c r="H81" s="1"/>
  <c r="B81"/>
  <c r="F81" s="1"/>
  <c r="E81"/>
  <c r="I81" s="1"/>
  <c r="C81"/>
  <c r="G81" s="1"/>
  <c r="Q79"/>
  <c r="AI79" s="1"/>
  <c r="O76" i="23" s="1"/>
  <c r="R79" i="34"/>
  <c r="S79"/>
  <c r="AB79" s="1"/>
  <c r="H76" i="23" s="1"/>
  <c r="O79" i="34"/>
  <c r="W79" s="1"/>
  <c r="C76" i="23" s="1"/>
  <c r="P79" i="34"/>
  <c r="W241" s="1"/>
  <c r="C238" i="23" s="1"/>
  <c r="G242" i="34"/>
  <c r="K80"/>
  <c r="Y80"/>
  <c r="E77" i="23" s="1"/>
  <c r="K544" i="35"/>
  <c r="V247"/>
  <c r="V544" s="1"/>
  <c r="Z248"/>
  <c r="H545"/>
  <c r="L248"/>
  <c r="J545"/>
  <c r="M248"/>
  <c r="X543"/>
  <c r="AJ246"/>
  <c r="U240" i="34"/>
  <c r="A237" i="23" s="1"/>
  <c r="A75"/>
  <c r="H242" i="34"/>
  <c r="J80"/>
  <c r="R247" i="35"/>
  <c r="S247"/>
  <c r="P247"/>
  <c r="X247" s="1"/>
  <c r="Q247"/>
  <c r="T247"/>
  <c r="AC247" s="1"/>
  <c r="J241" i="34"/>
  <c r="U79"/>
  <c r="B249" i="35"/>
  <c r="G249" s="1"/>
  <c r="C249"/>
  <c r="H249" s="1"/>
  <c r="A250"/>
  <c r="E249"/>
  <c r="J249" s="1"/>
  <c r="D249"/>
  <c r="I249" s="1"/>
  <c r="I546" s="1"/>
  <c r="AL79" i="34"/>
  <c r="K545" i="35" l="1"/>
  <c r="V248"/>
  <c r="V545" s="1"/>
  <c r="H546"/>
  <c r="L249"/>
  <c r="Z249"/>
  <c r="F243" i="34"/>
  <c r="N81"/>
  <c r="C250" i="35"/>
  <c r="H250" s="1"/>
  <c r="A251"/>
  <c r="D250"/>
  <c r="I250" s="1"/>
  <c r="I547" s="1"/>
  <c r="E250"/>
  <c r="J250" s="1"/>
  <c r="B250"/>
  <c r="G250" s="1"/>
  <c r="X544"/>
  <c r="AJ247"/>
  <c r="I243" i="34"/>
  <c r="L81"/>
  <c r="S80"/>
  <c r="AB80" s="1"/>
  <c r="H77" i="23" s="1"/>
  <c r="P80" i="34"/>
  <c r="W242" s="1"/>
  <c r="C239" i="23" s="1"/>
  <c r="Q80" i="34"/>
  <c r="AI80" s="1"/>
  <c r="O77" i="23" s="1"/>
  <c r="R80" i="34"/>
  <c r="O80"/>
  <c r="W80" s="1"/>
  <c r="C77" i="23" s="1"/>
  <c r="G546" i="35"/>
  <c r="K249"/>
  <c r="O249"/>
  <c r="J242" i="34"/>
  <c r="U80"/>
  <c r="H243"/>
  <c r="J81"/>
  <c r="J546" i="35"/>
  <c r="M249"/>
  <c r="U241" i="34"/>
  <c r="A238" i="23" s="1"/>
  <c r="A76"/>
  <c r="G243" i="34"/>
  <c r="Y81"/>
  <c r="E78" i="23" s="1"/>
  <c r="K81" i="34"/>
  <c r="A83"/>
  <c r="D82"/>
  <c r="H82" s="1"/>
  <c r="E82"/>
  <c r="I82" s="1"/>
  <c r="B82"/>
  <c r="F82" s="1"/>
  <c r="C82"/>
  <c r="G82" s="1"/>
  <c r="S248" i="35"/>
  <c r="T248"/>
  <c r="AC248" s="1"/>
  <c r="P248"/>
  <c r="X248" s="1"/>
  <c r="Q248"/>
  <c r="R248"/>
  <c r="AL80" i="34"/>
  <c r="X545" i="35" l="1"/>
  <c r="AJ248"/>
  <c r="U242" i="34"/>
  <c r="A239" i="23" s="1"/>
  <c r="A77"/>
  <c r="F244" i="34"/>
  <c r="N82"/>
  <c r="K546" i="35"/>
  <c r="V249"/>
  <c r="V546" s="1"/>
  <c r="J547"/>
  <c r="M250"/>
  <c r="Q81" i="34"/>
  <c r="AI81" s="1"/>
  <c r="O78" i="23" s="1"/>
  <c r="S81" i="34"/>
  <c r="AB81" s="1"/>
  <c r="H78" i="23" s="1"/>
  <c r="O81" i="34"/>
  <c r="W81" s="1"/>
  <c r="C78" i="23" s="1"/>
  <c r="R81" i="34"/>
  <c r="P81"/>
  <c r="W243" s="1"/>
  <c r="C240" i="23" s="1"/>
  <c r="H244" i="34"/>
  <c r="J82"/>
  <c r="A252" i="35"/>
  <c r="D251"/>
  <c r="I251" s="1"/>
  <c r="I548" s="1"/>
  <c r="E251"/>
  <c r="J251" s="1"/>
  <c r="B251"/>
  <c r="G251" s="1"/>
  <c r="C251"/>
  <c r="H251" s="1"/>
  <c r="I244" i="34"/>
  <c r="L82"/>
  <c r="G244"/>
  <c r="Y82"/>
  <c r="E79" i="23" s="1"/>
  <c r="K82" i="34"/>
  <c r="A84"/>
  <c r="D83"/>
  <c r="H83" s="1"/>
  <c r="E83"/>
  <c r="I83" s="1"/>
  <c r="C83"/>
  <c r="G83" s="1"/>
  <c r="B83"/>
  <c r="F83" s="1"/>
  <c r="J243"/>
  <c r="U81"/>
  <c r="T249" i="35"/>
  <c r="AC249" s="1"/>
  <c r="P249"/>
  <c r="X249" s="1"/>
  <c r="Q249"/>
  <c r="R249"/>
  <c r="S249"/>
  <c r="G547"/>
  <c r="K250"/>
  <c r="O250"/>
  <c r="H547"/>
  <c r="L250"/>
  <c r="Z250"/>
  <c r="AL81" i="34"/>
  <c r="I245" l="1"/>
  <c r="L83"/>
  <c r="Q82"/>
  <c r="AI82" s="1"/>
  <c r="O79" i="23" s="1"/>
  <c r="R82" i="34"/>
  <c r="S82"/>
  <c r="AB82" s="1"/>
  <c r="H79" i="23" s="1"/>
  <c r="O82" i="34"/>
  <c r="W82" s="1"/>
  <c r="C79" i="23" s="1"/>
  <c r="P82" i="34"/>
  <c r="W244" s="1"/>
  <c r="C241" i="23" s="1"/>
  <c r="K547" i="35"/>
  <c r="V250"/>
  <c r="V547" s="1"/>
  <c r="H245" i="34"/>
  <c r="J83"/>
  <c r="G548" i="35"/>
  <c r="O251"/>
  <c r="K251"/>
  <c r="J244" i="34"/>
  <c r="U82"/>
  <c r="Q250" i="35"/>
  <c r="R250"/>
  <c r="S250"/>
  <c r="P250"/>
  <c r="X250" s="1"/>
  <c r="T250"/>
  <c r="AC250" s="1"/>
  <c r="U243" i="34"/>
  <c r="A240" i="23" s="1"/>
  <c r="A78"/>
  <c r="H548" i="35"/>
  <c r="Z251"/>
  <c r="L251"/>
  <c r="E252"/>
  <c r="J252" s="1"/>
  <c r="B252"/>
  <c r="G252" s="1"/>
  <c r="C252"/>
  <c r="H252" s="1"/>
  <c r="A253"/>
  <c r="D252"/>
  <c r="I252" s="1"/>
  <c r="I549" s="1"/>
  <c r="X546"/>
  <c r="AJ249"/>
  <c r="G245" i="34"/>
  <c r="Y83"/>
  <c r="E80" i="23" s="1"/>
  <c r="K83" i="34"/>
  <c r="F245"/>
  <c r="N83"/>
  <c r="A85"/>
  <c r="D84"/>
  <c r="H84" s="1"/>
  <c r="B84"/>
  <c r="F84" s="1"/>
  <c r="C84"/>
  <c r="G84" s="1"/>
  <c r="E84"/>
  <c r="I84" s="1"/>
  <c r="J548" i="35"/>
  <c r="M251"/>
  <c r="AL82" i="34"/>
  <c r="F246" l="1"/>
  <c r="N84"/>
  <c r="R251" i="35"/>
  <c r="S251"/>
  <c r="T251"/>
  <c r="AC251" s="1"/>
  <c r="Q251"/>
  <c r="P251"/>
  <c r="X251" s="1"/>
  <c r="G246" i="34"/>
  <c r="K84"/>
  <c r="Y84"/>
  <c r="E81" i="23" s="1"/>
  <c r="Q83" i="34"/>
  <c r="AI83" s="1"/>
  <c r="O80" i="23" s="1"/>
  <c r="P83" i="34"/>
  <c r="W245" s="1"/>
  <c r="C242" i="23" s="1"/>
  <c r="R83" i="34"/>
  <c r="S83"/>
  <c r="AB83" s="1"/>
  <c r="H80" i="23" s="1"/>
  <c r="O83" i="34"/>
  <c r="W83" s="1"/>
  <c r="C80" i="23" s="1"/>
  <c r="B253" i="35"/>
  <c r="G253" s="1"/>
  <c r="C253"/>
  <c r="H253" s="1"/>
  <c r="D253"/>
  <c r="I253" s="1"/>
  <c r="I550" s="1"/>
  <c r="E253"/>
  <c r="J253" s="1"/>
  <c r="A254"/>
  <c r="J549"/>
  <c r="M252"/>
  <c r="X547"/>
  <c r="AJ250"/>
  <c r="J245" i="34"/>
  <c r="U83"/>
  <c r="Z252" i="35"/>
  <c r="H549"/>
  <c r="L252"/>
  <c r="K548"/>
  <c r="V251"/>
  <c r="V548" s="1"/>
  <c r="I246" i="34"/>
  <c r="L84"/>
  <c r="A86"/>
  <c r="D85"/>
  <c r="H85" s="1"/>
  <c r="E85"/>
  <c r="I85" s="1"/>
  <c r="B85"/>
  <c r="F85" s="1"/>
  <c r="C85"/>
  <c r="G85" s="1"/>
  <c r="H246"/>
  <c r="J84"/>
  <c r="G549" i="35"/>
  <c r="O252"/>
  <c r="K252"/>
  <c r="U244" i="34"/>
  <c r="A241" i="23" s="1"/>
  <c r="A79"/>
  <c r="AL83" i="34"/>
  <c r="S252" i="35" l="1"/>
  <c r="T252"/>
  <c r="AC252" s="1"/>
  <c r="P252"/>
  <c r="X252" s="1"/>
  <c r="R252"/>
  <c r="Q252"/>
  <c r="Q84" i="34"/>
  <c r="AI84" s="1"/>
  <c r="O81" i="23" s="1"/>
  <c r="P84" i="34"/>
  <c r="W246" s="1"/>
  <c r="C243" i="23" s="1"/>
  <c r="R84" i="34"/>
  <c r="S84"/>
  <c r="AB84" s="1"/>
  <c r="H81" i="23" s="1"/>
  <c r="O84" i="34"/>
  <c r="W84" s="1"/>
  <c r="C81" i="23" s="1"/>
  <c r="H247" i="34"/>
  <c r="J85"/>
  <c r="F247"/>
  <c r="N85"/>
  <c r="H550" i="35"/>
  <c r="L253"/>
  <c r="Z253"/>
  <c r="G247" i="34"/>
  <c r="Y85"/>
  <c r="E82" i="23" s="1"/>
  <c r="K85" i="34"/>
  <c r="A87"/>
  <c r="C86"/>
  <c r="G86" s="1"/>
  <c r="D86"/>
  <c r="H86" s="1"/>
  <c r="E86"/>
  <c r="I86" s="1"/>
  <c r="B86"/>
  <c r="F86" s="1"/>
  <c r="U245"/>
  <c r="A242" i="23" s="1"/>
  <c r="A80"/>
  <c r="K549" i="35"/>
  <c r="V252"/>
  <c r="V549" s="1"/>
  <c r="J550"/>
  <c r="M253"/>
  <c r="J246" i="34"/>
  <c r="U84"/>
  <c r="I247"/>
  <c r="L85"/>
  <c r="C254" i="35"/>
  <c r="H254" s="1"/>
  <c r="A255"/>
  <c r="D254"/>
  <c r="I254" s="1"/>
  <c r="I551" s="1"/>
  <c r="E254"/>
  <c r="J254" s="1"/>
  <c r="B254"/>
  <c r="G254" s="1"/>
  <c r="G550"/>
  <c r="K253"/>
  <c r="O253"/>
  <c r="X548"/>
  <c r="AJ251"/>
  <c r="AL84" i="34"/>
  <c r="A256" i="35" l="1"/>
  <c r="D255"/>
  <c r="I255" s="1"/>
  <c r="I552" s="1"/>
  <c r="E255"/>
  <c r="J255" s="1"/>
  <c r="C255"/>
  <c r="H255" s="1"/>
  <c r="B255"/>
  <c r="G255" s="1"/>
  <c r="F248" i="34"/>
  <c r="N86"/>
  <c r="K550" i="35"/>
  <c r="V253"/>
  <c r="V550" s="1"/>
  <c r="T253"/>
  <c r="AC253" s="1"/>
  <c r="P253"/>
  <c r="X253" s="1"/>
  <c r="Q253"/>
  <c r="S253"/>
  <c r="R253"/>
  <c r="J551"/>
  <c r="M254"/>
  <c r="H248" i="34"/>
  <c r="J86"/>
  <c r="U246"/>
  <c r="A243" i="23" s="1"/>
  <c r="A81"/>
  <c r="A88" i="34"/>
  <c r="D87"/>
  <c r="H87" s="1"/>
  <c r="E87"/>
  <c r="I87" s="1"/>
  <c r="C87"/>
  <c r="G87" s="1"/>
  <c r="B87"/>
  <c r="F87" s="1"/>
  <c r="X549" i="35"/>
  <c r="AJ252"/>
  <c r="G248" i="34"/>
  <c r="K86"/>
  <c r="Y86"/>
  <c r="E83" i="23" s="1"/>
  <c r="Q85" i="34"/>
  <c r="AI85" s="1"/>
  <c r="O82" i="23" s="1"/>
  <c r="R85" i="34"/>
  <c r="S85"/>
  <c r="AB85" s="1"/>
  <c r="H82" i="23" s="1"/>
  <c r="O85" i="34"/>
  <c r="W85" s="1"/>
  <c r="C82" i="23" s="1"/>
  <c r="P85" i="34"/>
  <c r="W247" s="1"/>
  <c r="C244" i="23" s="1"/>
  <c r="G551" i="35"/>
  <c r="O254"/>
  <c r="K254"/>
  <c r="H551"/>
  <c r="L254"/>
  <c r="Z254"/>
  <c r="I248" i="34"/>
  <c r="L86"/>
  <c r="J247"/>
  <c r="U85"/>
  <c r="AL85"/>
  <c r="U247" l="1"/>
  <c r="A244" i="23" s="1"/>
  <c r="A82"/>
  <c r="Q254" i="35"/>
  <c r="R254"/>
  <c r="T254"/>
  <c r="AC254" s="1"/>
  <c r="P254"/>
  <c r="X254" s="1"/>
  <c r="S254"/>
  <c r="X550"/>
  <c r="AJ253"/>
  <c r="E256"/>
  <c r="J256" s="1"/>
  <c r="B256"/>
  <c r="G256" s="1"/>
  <c r="D256"/>
  <c r="I256" s="1"/>
  <c r="I553" s="1"/>
  <c r="C256"/>
  <c r="H256" s="1"/>
  <c r="A257"/>
  <c r="H249" i="34"/>
  <c r="J87"/>
  <c r="I249"/>
  <c r="L87"/>
  <c r="Q86"/>
  <c r="AI86" s="1"/>
  <c r="O83" i="23" s="1"/>
  <c r="P86" i="34"/>
  <c r="W248" s="1"/>
  <c r="C245" i="23" s="1"/>
  <c r="R86" i="34"/>
  <c r="S86"/>
  <c r="AB86" s="1"/>
  <c r="H83" i="23" s="1"/>
  <c r="O86" i="34"/>
  <c r="W86" s="1"/>
  <c r="C83" i="23" s="1"/>
  <c r="J552" i="35"/>
  <c r="M255"/>
  <c r="F249" i="34"/>
  <c r="N87"/>
  <c r="A89"/>
  <c r="D88"/>
  <c r="H88" s="1"/>
  <c r="E88"/>
  <c r="I88" s="1"/>
  <c r="B88"/>
  <c r="F88" s="1"/>
  <c r="C88"/>
  <c r="G88" s="1"/>
  <c r="G552" i="35"/>
  <c r="O255"/>
  <c r="K255"/>
  <c r="K551"/>
  <c r="V254"/>
  <c r="V551" s="1"/>
  <c r="J248" i="34"/>
  <c r="U86"/>
  <c r="G249"/>
  <c r="Y87"/>
  <c r="E84" i="23" s="1"/>
  <c r="K87" i="34"/>
  <c r="H552" i="35"/>
  <c r="Z255"/>
  <c r="L255"/>
  <c r="AL86" i="34"/>
  <c r="Z256" i="35" l="1"/>
  <c r="L256"/>
  <c r="H553"/>
  <c r="I250" i="34"/>
  <c r="L88"/>
  <c r="U248"/>
  <c r="A245" i="23" s="1"/>
  <c r="A83"/>
  <c r="F250" i="34"/>
  <c r="N88"/>
  <c r="Q87"/>
  <c r="AI87" s="1"/>
  <c r="O84" i="23" s="1"/>
  <c r="R87" i="34"/>
  <c r="P87"/>
  <c r="W249" s="1"/>
  <c r="C246" i="23" s="1"/>
  <c r="S87" i="34"/>
  <c r="AB87" s="1"/>
  <c r="H84" i="23" s="1"/>
  <c r="O87" i="34"/>
  <c r="W87" s="1"/>
  <c r="C84" i="23" s="1"/>
  <c r="G553" i="35"/>
  <c r="O256"/>
  <c r="K256"/>
  <c r="X551"/>
  <c r="AJ254"/>
  <c r="H250" i="34"/>
  <c r="J88"/>
  <c r="R255" i="35"/>
  <c r="S255"/>
  <c r="P255"/>
  <c r="X255" s="1"/>
  <c r="T255"/>
  <c r="AC255" s="1"/>
  <c r="Q255"/>
  <c r="B257"/>
  <c r="G257" s="1"/>
  <c r="C257"/>
  <c r="H257" s="1"/>
  <c r="A258"/>
  <c r="E257"/>
  <c r="J257" s="1"/>
  <c r="D257"/>
  <c r="I257" s="1"/>
  <c r="I554" s="1"/>
  <c r="J553"/>
  <c r="M256"/>
  <c r="K552"/>
  <c r="V255"/>
  <c r="V552" s="1"/>
  <c r="G250" i="34"/>
  <c r="Y88"/>
  <c r="E85" i="23" s="1"/>
  <c r="K88" i="34"/>
  <c r="A90"/>
  <c r="D89"/>
  <c r="H89" s="1"/>
  <c r="E89"/>
  <c r="I89" s="1"/>
  <c r="C89"/>
  <c r="G89" s="1"/>
  <c r="B89"/>
  <c r="F89" s="1"/>
  <c r="J249"/>
  <c r="U87"/>
  <c r="AL87"/>
  <c r="Q88" l="1"/>
  <c r="AI88" s="1"/>
  <c r="O85" i="23" s="1"/>
  <c r="R88" i="34"/>
  <c r="P88"/>
  <c r="W250" s="1"/>
  <c r="C247" i="23" s="1"/>
  <c r="S88" i="34"/>
  <c r="AB88" s="1"/>
  <c r="H85" i="23" s="1"/>
  <c r="O88" i="34"/>
  <c r="W88" s="1"/>
  <c r="C85" i="23" s="1"/>
  <c r="J554" i="35"/>
  <c r="M257"/>
  <c r="F251" i="34"/>
  <c r="N89"/>
  <c r="A91"/>
  <c r="E90"/>
  <c r="I90" s="1"/>
  <c r="C90"/>
  <c r="G90" s="1"/>
  <c r="D90"/>
  <c r="H90" s="1"/>
  <c r="B90"/>
  <c r="F90" s="1"/>
  <c r="G554" i="35"/>
  <c r="K257"/>
  <c r="O257"/>
  <c r="X552"/>
  <c r="AJ255"/>
  <c r="U249" i="34"/>
  <c r="A246" i="23" s="1"/>
  <c r="A84"/>
  <c r="I251" i="34"/>
  <c r="L89"/>
  <c r="C258" i="35"/>
  <c r="H258" s="1"/>
  <c r="A259"/>
  <c r="D258"/>
  <c r="I258" s="1"/>
  <c r="I555" s="1"/>
  <c r="B258"/>
  <c r="G258" s="1"/>
  <c r="E258"/>
  <c r="J258" s="1"/>
  <c r="J250" i="34"/>
  <c r="U88"/>
  <c r="K553" i="35"/>
  <c r="V256"/>
  <c r="V553" s="1"/>
  <c r="G251" i="34"/>
  <c r="K89"/>
  <c r="Y89"/>
  <c r="E86" i="23" s="1"/>
  <c r="H251" i="34"/>
  <c r="J89"/>
  <c r="H554" i="35"/>
  <c r="L257"/>
  <c r="Z257"/>
  <c r="S256"/>
  <c r="T256"/>
  <c r="AC256" s="1"/>
  <c r="P256"/>
  <c r="X256" s="1"/>
  <c r="Q256"/>
  <c r="R256"/>
  <c r="AL88" i="34"/>
  <c r="U250" l="1"/>
  <c r="A247" i="23" s="1"/>
  <c r="A85"/>
  <c r="F252" i="34"/>
  <c r="N90"/>
  <c r="A92"/>
  <c r="D91"/>
  <c r="H91" s="1"/>
  <c r="C91"/>
  <c r="G91" s="1"/>
  <c r="E91"/>
  <c r="I91" s="1"/>
  <c r="B91"/>
  <c r="F91" s="1"/>
  <c r="G555" i="35"/>
  <c r="O258"/>
  <c r="K258"/>
  <c r="X553"/>
  <c r="AJ256"/>
  <c r="J251" i="34"/>
  <c r="U89"/>
  <c r="A260" i="35"/>
  <c r="D259"/>
  <c r="I259" s="1"/>
  <c r="I556" s="1"/>
  <c r="E259"/>
  <c r="J259" s="1"/>
  <c r="B259"/>
  <c r="G259" s="1"/>
  <c r="C259"/>
  <c r="H259" s="1"/>
  <c r="T257"/>
  <c r="AC257" s="1"/>
  <c r="P257"/>
  <c r="X257" s="1"/>
  <c r="Q257"/>
  <c r="R257"/>
  <c r="S257"/>
  <c r="H252" i="34"/>
  <c r="J90"/>
  <c r="Q89"/>
  <c r="AI89" s="1"/>
  <c r="O86" i="23" s="1"/>
  <c r="R89" i="34"/>
  <c r="P89"/>
  <c r="W251" s="1"/>
  <c r="C248" i="23" s="1"/>
  <c r="S89" i="34"/>
  <c r="AB89" s="1"/>
  <c r="H86" i="23" s="1"/>
  <c r="O89" i="34"/>
  <c r="W89" s="1"/>
  <c r="C86" i="23" s="1"/>
  <c r="I252" i="34"/>
  <c r="L90"/>
  <c r="J555" i="35"/>
  <c r="M258"/>
  <c r="H555"/>
  <c r="L258"/>
  <c r="Z258"/>
  <c r="K554"/>
  <c r="V257"/>
  <c r="V554" s="1"/>
  <c r="G252" i="34"/>
  <c r="Y90"/>
  <c r="E87" i="23" s="1"/>
  <c r="K90" i="34"/>
  <c r="AL89"/>
  <c r="H253" l="1"/>
  <c r="J91"/>
  <c r="G253"/>
  <c r="K91"/>
  <c r="Y91"/>
  <c r="E88" i="23" s="1"/>
  <c r="H556" i="35"/>
  <c r="Z259"/>
  <c r="L259"/>
  <c r="E260"/>
  <c r="J260" s="1"/>
  <c r="B260"/>
  <c r="G260" s="1"/>
  <c r="A261"/>
  <c r="C260"/>
  <c r="H260" s="1"/>
  <c r="D260"/>
  <c r="I260" s="1"/>
  <c r="I557" s="1"/>
  <c r="F253" i="34"/>
  <c r="N91"/>
  <c r="A93"/>
  <c r="D92"/>
  <c r="H92" s="1"/>
  <c r="C92"/>
  <c r="G92" s="1"/>
  <c r="E92"/>
  <c r="I92" s="1"/>
  <c r="B92"/>
  <c r="F92" s="1"/>
  <c r="X554" i="35"/>
  <c r="AJ257"/>
  <c r="J556"/>
  <c r="M259"/>
  <c r="Q258"/>
  <c r="R258"/>
  <c r="S258"/>
  <c r="P258"/>
  <c r="X258" s="1"/>
  <c r="T258"/>
  <c r="AC258" s="1"/>
  <c r="J252" i="34"/>
  <c r="U90"/>
  <c r="G556" i="35"/>
  <c r="O259"/>
  <c r="K259"/>
  <c r="U251" i="34"/>
  <c r="A248" i="23" s="1"/>
  <c r="A86"/>
  <c r="K555" i="35"/>
  <c r="V258"/>
  <c r="V555" s="1"/>
  <c r="I253" i="34"/>
  <c r="L91"/>
  <c r="Q90"/>
  <c r="AI90" s="1"/>
  <c r="O87" i="23" s="1"/>
  <c r="R90" i="34"/>
  <c r="O90"/>
  <c r="W90" s="1"/>
  <c r="C87" i="23" s="1"/>
  <c r="P90" i="34"/>
  <c r="W252" s="1"/>
  <c r="C249" i="23" s="1"/>
  <c r="S90" i="34"/>
  <c r="AB90" s="1"/>
  <c r="H87" i="23" s="1"/>
  <c r="AL90" i="34"/>
  <c r="K556" i="35" l="1"/>
  <c r="V259"/>
  <c r="V556" s="1"/>
  <c r="G557"/>
  <c r="O260"/>
  <c r="K260"/>
  <c r="X555"/>
  <c r="AJ258"/>
  <c r="R259"/>
  <c r="S259"/>
  <c r="T259"/>
  <c r="AC259" s="1"/>
  <c r="Q259"/>
  <c r="P259"/>
  <c r="X259" s="1"/>
  <c r="H254" i="34"/>
  <c r="J92"/>
  <c r="J557" i="35"/>
  <c r="M260"/>
  <c r="G254" i="34"/>
  <c r="K92"/>
  <c r="Y92"/>
  <c r="E89" i="23" s="1"/>
  <c r="J253" i="34"/>
  <c r="U91"/>
  <c r="U252"/>
  <c r="A249" i="23" s="1"/>
  <c r="A87"/>
  <c r="I254" i="34"/>
  <c r="L92"/>
  <c r="Q91"/>
  <c r="AI91" s="1"/>
  <c r="O88" i="23" s="1"/>
  <c r="O91" i="34"/>
  <c r="W91" s="1"/>
  <c r="C88" i="23" s="1"/>
  <c r="R91" i="34"/>
  <c r="S91"/>
  <c r="AB91" s="1"/>
  <c r="H88" i="23" s="1"/>
  <c r="P91" i="34"/>
  <c r="W253" s="1"/>
  <c r="C250" i="23" s="1"/>
  <c r="A262" i="35"/>
  <c r="D261"/>
  <c r="I261" s="1"/>
  <c r="I558" s="1"/>
  <c r="C261"/>
  <c r="H261" s="1"/>
  <c r="E261"/>
  <c r="J261" s="1"/>
  <c r="B261"/>
  <c r="G261" s="1"/>
  <c r="F254" i="34"/>
  <c r="N92"/>
  <c r="A94"/>
  <c r="D93"/>
  <c r="H93" s="1"/>
  <c r="B93"/>
  <c r="F93" s="1"/>
  <c r="C93"/>
  <c r="G93" s="1"/>
  <c r="E93"/>
  <c r="I93" s="1"/>
  <c r="H557" i="35"/>
  <c r="Z260"/>
  <c r="L260"/>
  <c r="AL91" i="34"/>
  <c r="A95" l="1"/>
  <c r="D94"/>
  <c r="H94" s="1"/>
  <c r="B94"/>
  <c r="F94" s="1"/>
  <c r="C94"/>
  <c r="G94" s="1"/>
  <c r="E94"/>
  <c r="I94" s="1"/>
  <c r="J558" i="35"/>
  <c r="M261"/>
  <c r="J254" i="34"/>
  <c r="U92"/>
  <c r="G558" i="35"/>
  <c r="O261"/>
  <c r="K261"/>
  <c r="E262"/>
  <c r="J262" s="1"/>
  <c r="A263"/>
  <c r="D262"/>
  <c r="I262" s="1"/>
  <c r="I559" s="1"/>
  <c r="C262"/>
  <c r="H262" s="1"/>
  <c r="B262"/>
  <c r="G262" s="1"/>
  <c r="G255" i="34"/>
  <c r="K93"/>
  <c r="Y93"/>
  <c r="E90" i="23" s="1"/>
  <c r="Q92" i="34"/>
  <c r="AI92" s="1"/>
  <c r="O89" i="23" s="1"/>
  <c r="P92" i="34"/>
  <c r="W254" s="1"/>
  <c r="C251" i="23" s="1"/>
  <c r="R92" i="34"/>
  <c r="S92"/>
  <c r="AB92" s="1"/>
  <c r="H89" i="23" s="1"/>
  <c r="O92" i="34"/>
  <c r="W92" s="1"/>
  <c r="C89" i="23" s="1"/>
  <c r="H558" i="35"/>
  <c r="L261"/>
  <c r="Z261"/>
  <c r="U253" i="34"/>
  <c r="A250" i="23" s="1"/>
  <c r="A88"/>
  <c r="X556" i="35"/>
  <c r="AJ259"/>
  <c r="K557"/>
  <c r="V260"/>
  <c r="V557" s="1"/>
  <c r="I255" i="34"/>
  <c r="L93"/>
  <c r="H255"/>
  <c r="J93"/>
  <c r="F255"/>
  <c r="N93"/>
  <c r="T260" i="35"/>
  <c r="AC260" s="1"/>
  <c r="P260"/>
  <c r="X260" s="1"/>
  <c r="Q260"/>
  <c r="S260"/>
  <c r="R260"/>
  <c r="AL92" i="34"/>
  <c r="J255" l="1"/>
  <c r="U93"/>
  <c r="B263" i="35"/>
  <c r="G263" s="1"/>
  <c r="E263"/>
  <c r="J263" s="1"/>
  <c r="A264"/>
  <c r="C263"/>
  <c r="H263" s="1"/>
  <c r="D263"/>
  <c r="I263" s="1"/>
  <c r="I560" s="1"/>
  <c r="H256" i="34"/>
  <c r="J94"/>
  <c r="G559" i="35"/>
  <c r="O262"/>
  <c r="K262"/>
  <c r="J559"/>
  <c r="M262"/>
  <c r="U254" i="34"/>
  <c r="A251" i="23" s="1"/>
  <c r="A89"/>
  <c r="I256" i="34"/>
  <c r="L94"/>
  <c r="A96"/>
  <c r="D95"/>
  <c r="H95" s="1"/>
  <c r="E95"/>
  <c r="I95" s="1"/>
  <c r="C95"/>
  <c r="G95" s="1"/>
  <c r="B95"/>
  <c r="F95" s="1"/>
  <c r="R261" i="35"/>
  <c r="Q261"/>
  <c r="P261"/>
  <c r="X261" s="1"/>
  <c r="S261"/>
  <c r="T261"/>
  <c r="AC261" s="1"/>
  <c r="F256" i="34"/>
  <c r="N94"/>
  <c r="X557" i="35"/>
  <c r="AJ260"/>
  <c r="Q93" i="34"/>
  <c r="AI93" s="1"/>
  <c r="O90" i="23" s="1"/>
  <c r="S93" i="34"/>
  <c r="AB93" s="1"/>
  <c r="H90" i="23" s="1"/>
  <c r="P93" i="34"/>
  <c r="W255" s="1"/>
  <c r="C252" i="23" s="1"/>
  <c r="R93" i="34"/>
  <c r="O93"/>
  <c r="W93" s="1"/>
  <c r="C90" i="23" s="1"/>
  <c r="H559" i="35"/>
  <c r="Z262"/>
  <c r="L262"/>
  <c r="K558"/>
  <c r="V261"/>
  <c r="V558" s="1"/>
  <c r="G256" i="34"/>
  <c r="Y94"/>
  <c r="E91" i="23" s="1"/>
  <c r="K94" i="34"/>
  <c r="AL93"/>
  <c r="Q94" l="1"/>
  <c r="AI94" s="1"/>
  <c r="O91" i="23" s="1"/>
  <c r="S94" i="34"/>
  <c r="AB94" s="1"/>
  <c r="H91" i="23" s="1"/>
  <c r="O94" i="34"/>
  <c r="W94" s="1"/>
  <c r="C91" i="23" s="1"/>
  <c r="P94" i="34"/>
  <c r="W256" s="1"/>
  <c r="C253" i="23" s="1"/>
  <c r="R94" i="34"/>
  <c r="X558" i="35"/>
  <c r="AJ261"/>
  <c r="G560"/>
  <c r="K263"/>
  <c r="O263"/>
  <c r="I257" i="34"/>
  <c r="L95"/>
  <c r="J256"/>
  <c r="U94"/>
  <c r="C264" i="35"/>
  <c r="H264" s="1"/>
  <c r="B264"/>
  <c r="G264" s="1"/>
  <c r="A265"/>
  <c r="E264"/>
  <c r="J264" s="1"/>
  <c r="D264"/>
  <c r="I264" s="1"/>
  <c r="I561" s="1"/>
  <c r="G257" i="34"/>
  <c r="Y95"/>
  <c r="E92" i="23" s="1"/>
  <c r="K95" i="34"/>
  <c r="H560" i="35"/>
  <c r="Z263"/>
  <c r="L263"/>
  <c r="U255" i="34"/>
  <c r="A252" i="23" s="1"/>
  <c r="A90"/>
  <c r="F257" i="34"/>
  <c r="N95"/>
  <c r="A97"/>
  <c r="D96"/>
  <c r="H96" s="1"/>
  <c r="B96"/>
  <c r="F96" s="1"/>
  <c r="C96"/>
  <c r="G96" s="1"/>
  <c r="E96"/>
  <c r="I96" s="1"/>
  <c r="S262" i="35"/>
  <c r="R262"/>
  <c r="P262"/>
  <c r="X262" s="1"/>
  <c r="Q262"/>
  <c r="T262"/>
  <c r="AC262" s="1"/>
  <c r="H257" i="34"/>
  <c r="J95"/>
  <c r="K559" i="35"/>
  <c r="V262"/>
  <c r="V559" s="1"/>
  <c r="J560"/>
  <c r="M263"/>
  <c r="AL94" i="34"/>
  <c r="Q95" l="1"/>
  <c r="AI95" s="1"/>
  <c r="O92" i="23" s="1"/>
  <c r="R95" i="34"/>
  <c r="P95"/>
  <c r="W257" s="1"/>
  <c r="C254" i="23" s="1"/>
  <c r="S95" i="34"/>
  <c r="AB95" s="1"/>
  <c r="H92" i="23" s="1"/>
  <c r="O95" i="34"/>
  <c r="W95" s="1"/>
  <c r="C92" i="23" s="1"/>
  <c r="A266" i="35"/>
  <c r="D265"/>
  <c r="I265" s="1"/>
  <c r="I562" s="1"/>
  <c r="C265"/>
  <c r="H265" s="1"/>
  <c r="B265"/>
  <c r="G265" s="1"/>
  <c r="E265"/>
  <c r="J265" s="1"/>
  <c r="J561"/>
  <c r="M264"/>
  <c r="X559"/>
  <c r="AJ262"/>
  <c r="H258" i="34"/>
  <c r="J96"/>
  <c r="L264" i="35"/>
  <c r="H561"/>
  <c r="Z264"/>
  <c r="J257" i="34"/>
  <c r="U95"/>
  <c r="G258"/>
  <c r="Y96"/>
  <c r="E93" i="23" s="1"/>
  <c r="K96" i="34"/>
  <c r="K560" i="35"/>
  <c r="V263"/>
  <c r="V560" s="1"/>
  <c r="I258" i="34"/>
  <c r="L96"/>
  <c r="A98"/>
  <c r="D97"/>
  <c r="H97" s="1"/>
  <c r="B97"/>
  <c r="F97" s="1"/>
  <c r="C97"/>
  <c r="G97" s="1"/>
  <c r="E97"/>
  <c r="I97" s="1"/>
  <c r="U256"/>
  <c r="A253" i="23" s="1"/>
  <c r="A91"/>
  <c r="T263" i="35"/>
  <c r="AC263" s="1"/>
  <c r="P263"/>
  <c r="X263" s="1"/>
  <c r="S263"/>
  <c r="Q263"/>
  <c r="R263"/>
  <c r="F258" i="34"/>
  <c r="N96"/>
  <c r="G561" i="35"/>
  <c r="K264"/>
  <c r="O264"/>
  <c r="AL95" i="34"/>
  <c r="G562" i="35" l="1"/>
  <c r="K265"/>
  <c r="O265"/>
  <c r="X560"/>
  <c r="AJ263"/>
  <c r="H259" i="34"/>
  <c r="J97"/>
  <c r="J562" i="35"/>
  <c r="M265"/>
  <c r="E266"/>
  <c r="J266" s="1"/>
  <c r="A267"/>
  <c r="D266"/>
  <c r="I266" s="1"/>
  <c r="I563" s="1"/>
  <c r="B266"/>
  <c r="G266" s="1"/>
  <c r="C266"/>
  <c r="H266" s="1"/>
  <c r="F259" i="34"/>
  <c r="N97"/>
  <c r="Q264" i="35"/>
  <c r="T264"/>
  <c r="AC264" s="1"/>
  <c r="P264"/>
  <c r="X264" s="1"/>
  <c r="R264"/>
  <c r="S264"/>
  <c r="I259" i="34"/>
  <c r="L97"/>
  <c r="A99"/>
  <c r="D98"/>
  <c r="H98" s="1"/>
  <c r="E98"/>
  <c r="I98" s="1"/>
  <c r="B98"/>
  <c r="F98" s="1"/>
  <c r="C98"/>
  <c r="G98" s="1"/>
  <c r="U257"/>
  <c r="A254" i="23" s="1"/>
  <c r="A92"/>
  <c r="Q96" i="34"/>
  <c r="AI96" s="1"/>
  <c r="O93" i="23" s="1"/>
  <c r="S96" i="34"/>
  <c r="AB96" s="1"/>
  <c r="H93" i="23" s="1"/>
  <c r="O96" i="34"/>
  <c r="W96" s="1"/>
  <c r="C93" i="23" s="1"/>
  <c r="P96" i="34"/>
  <c r="W258" s="1"/>
  <c r="C255" i="23" s="1"/>
  <c r="R96" i="34"/>
  <c r="K561" i="35"/>
  <c r="V264"/>
  <c r="V561" s="1"/>
  <c r="G259" i="34"/>
  <c r="Y97"/>
  <c r="E94" i="23" s="1"/>
  <c r="K97" i="34"/>
  <c r="J258"/>
  <c r="U96"/>
  <c r="H562" i="35"/>
  <c r="L265"/>
  <c r="Z265"/>
  <c r="AL96" i="34"/>
  <c r="U258" l="1"/>
  <c r="A255" i="23" s="1"/>
  <c r="A93"/>
  <c r="I260" i="34"/>
  <c r="L98"/>
  <c r="H563" i="35"/>
  <c r="Z266"/>
  <c r="L266"/>
  <c r="K562"/>
  <c r="V265"/>
  <c r="V562" s="1"/>
  <c r="F260" i="34"/>
  <c r="N98"/>
  <c r="B267" i="35"/>
  <c r="G267" s="1"/>
  <c r="E267"/>
  <c r="J267" s="1"/>
  <c r="C267"/>
  <c r="H267" s="1"/>
  <c r="D267"/>
  <c r="I267" s="1"/>
  <c r="I564" s="1"/>
  <c r="A268"/>
  <c r="H260" i="34"/>
  <c r="J98"/>
  <c r="X561" i="35"/>
  <c r="AJ264"/>
  <c r="G563"/>
  <c r="O266"/>
  <c r="K266"/>
  <c r="J563"/>
  <c r="M266"/>
  <c r="J259" i="34"/>
  <c r="U97"/>
  <c r="R265" i="35"/>
  <c r="Q265"/>
  <c r="S265"/>
  <c r="T265"/>
  <c r="AC265" s="1"/>
  <c r="P265"/>
  <c r="X265" s="1"/>
  <c r="G260" i="34"/>
  <c r="Y98"/>
  <c r="E95" i="23" s="1"/>
  <c r="K98" i="34"/>
  <c r="A100"/>
  <c r="D99"/>
  <c r="H99" s="1"/>
  <c r="B99"/>
  <c r="F99" s="1"/>
  <c r="C99"/>
  <c r="G99" s="1"/>
  <c r="E99"/>
  <c r="I99" s="1"/>
  <c r="Q97"/>
  <c r="AI97" s="1"/>
  <c r="O94" i="23" s="1"/>
  <c r="R97" i="34"/>
  <c r="S97"/>
  <c r="AB97" s="1"/>
  <c r="H94" i="23" s="1"/>
  <c r="O97" i="34"/>
  <c r="W97" s="1"/>
  <c r="C94" i="23" s="1"/>
  <c r="P97" i="34"/>
  <c r="W259" s="1"/>
  <c r="C256" i="23" s="1"/>
  <c r="AL97" i="34"/>
  <c r="F261" l="1"/>
  <c r="N99"/>
  <c r="S266" i="35"/>
  <c r="R266"/>
  <c r="T266"/>
  <c r="AC266" s="1"/>
  <c r="P266"/>
  <c r="X266" s="1"/>
  <c r="Q266"/>
  <c r="H564"/>
  <c r="Z267"/>
  <c r="L267"/>
  <c r="G261" i="34"/>
  <c r="K99"/>
  <c r="Y99"/>
  <c r="E96" i="23" s="1"/>
  <c r="U259" i="34"/>
  <c r="A256" i="23" s="1"/>
  <c r="A94"/>
  <c r="H261" i="34"/>
  <c r="J99"/>
  <c r="J564" i="35"/>
  <c r="M267"/>
  <c r="X562"/>
  <c r="AJ265"/>
  <c r="J260" i="34"/>
  <c r="U98"/>
  <c r="K563" i="35"/>
  <c r="V266"/>
  <c r="V563" s="1"/>
  <c r="Q98" i="34"/>
  <c r="AI98" s="1"/>
  <c r="O95" i="23" s="1"/>
  <c r="R98" i="34"/>
  <c r="S98"/>
  <c r="AB98" s="1"/>
  <c r="H95" i="23" s="1"/>
  <c r="O98" i="34"/>
  <c r="W98" s="1"/>
  <c r="C95" i="23" s="1"/>
  <c r="P98" i="34"/>
  <c r="W260" s="1"/>
  <c r="C257" i="23" s="1"/>
  <c r="I261" i="34"/>
  <c r="L99"/>
  <c r="A101"/>
  <c r="D100"/>
  <c r="H100" s="1"/>
  <c r="C100"/>
  <c r="G100" s="1"/>
  <c r="E100"/>
  <c r="I100" s="1"/>
  <c r="B100"/>
  <c r="F100" s="1"/>
  <c r="C268" i="35"/>
  <c r="H268" s="1"/>
  <c r="B268"/>
  <c r="G268" s="1"/>
  <c r="D268"/>
  <c r="I268" s="1"/>
  <c r="I565" s="1"/>
  <c r="E268"/>
  <c r="J268" s="1"/>
  <c r="A269"/>
  <c r="G564"/>
  <c r="K267"/>
  <c r="O267"/>
  <c r="AL98" i="34"/>
  <c r="L268" i="35" l="1"/>
  <c r="H565"/>
  <c r="Z268"/>
  <c r="H262" i="34"/>
  <c r="J100"/>
  <c r="Q99"/>
  <c r="AI99" s="1"/>
  <c r="O96" i="23" s="1"/>
  <c r="P99" i="34"/>
  <c r="W261" s="1"/>
  <c r="C258" i="23" s="1"/>
  <c r="R99" i="34"/>
  <c r="S99"/>
  <c r="AB99" s="1"/>
  <c r="H96" i="23" s="1"/>
  <c r="O99" i="34"/>
  <c r="W99" s="1"/>
  <c r="C96" i="23" s="1"/>
  <c r="G262" i="34"/>
  <c r="Y100"/>
  <c r="E97" i="23" s="1"/>
  <c r="K100" i="34"/>
  <c r="X563" i="35"/>
  <c r="AJ266"/>
  <c r="T267"/>
  <c r="AC267" s="1"/>
  <c r="P267"/>
  <c r="X267" s="1"/>
  <c r="S267"/>
  <c r="R267"/>
  <c r="Q267"/>
  <c r="J565"/>
  <c r="M268"/>
  <c r="F262" i="34"/>
  <c r="N100"/>
  <c r="A102"/>
  <c r="D101"/>
  <c r="H101" s="1"/>
  <c r="B101"/>
  <c r="F101" s="1"/>
  <c r="C101"/>
  <c r="G101" s="1"/>
  <c r="E101"/>
  <c r="I101" s="1"/>
  <c r="J261"/>
  <c r="U99"/>
  <c r="A270" i="35"/>
  <c r="D269"/>
  <c r="I269" s="1"/>
  <c r="I566" s="1"/>
  <c r="C269"/>
  <c r="H269" s="1"/>
  <c r="E269"/>
  <c r="J269" s="1"/>
  <c r="B269"/>
  <c r="G269" s="1"/>
  <c r="G565"/>
  <c r="K268"/>
  <c r="O268"/>
  <c r="U260" i="34"/>
  <c r="A257" i="23" s="1"/>
  <c r="A95"/>
  <c r="K564" i="35"/>
  <c r="V267"/>
  <c r="V564" s="1"/>
  <c r="I262" i="34"/>
  <c r="L100"/>
  <c r="AL99"/>
  <c r="I263" l="1"/>
  <c r="L101"/>
  <c r="A103"/>
  <c r="D102"/>
  <c r="H102" s="1"/>
  <c r="B102"/>
  <c r="F102" s="1"/>
  <c r="E102"/>
  <c r="I102" s="1"/>
  <c r="C102"/>
  <c r="G102" s="1"/>
  <c r="J262"/>
  <c r="U100"/>
  <c r="K565" i="35"/>
  <c r="V268"/>
  <c r="V565" s="1"/>
  <c r="H566"/>
  <c r="L269"/>
  <c r="Z269"/>
  <c r="H263" i="34"/>
  <c r="J101"/>
  <c r="X564" i="35"/>
  <c r="AJ267"/>
  <c r="Q268"/>
  <c r="T268"/>
  <c r="AC268" s="1"/>
  <c r="P268"/>
  <c r="X268" s="1"/>
  <c r="R268"/>
  <c r="S268"/>
  <c r="J566"/>
  <c r="M269"/>
  <c r="U261" i="34"/>
  <c r="A258" i="23" s="1"/>
  <c r="A96"/>
  <c r="F263" i="34"/>
  <c r="N101"/>
  <c r="G566" i="35"/>
  <c r="O269"/>
  <c r="K269"/>
  <c r="E270"/>
  <c r="J270" s="1"/>
  <c r="A271"/>
  <c r="D270"/>
  <c r="I270" s="1"/>
  <c r="I567" s="1"/>
  <c r="B270"/>
  <c r="G270" s="1"/>
  <c r="C270"/>
  <c r="H270" s="1"/>
  <c r="G263" i="34"/>
  <c r="K101"/>
  <c r="Y101"/>
  <c r="E98" i="23" s="1"/>
  <c r="Q100" i="34"/>
  <c r="AI100" s="1"/>
  <c r="O97" i="23" s="1"/>
  <c r="O100" i="34"/>
  <c r="W100" s="1"/>
  <c r="C97" i="23" s="1"/>
  <c r="P100" i="34"/>
  <c r="W262" s="1"/>
  <c r="C259" i="23" s="1"/>
  <c r="R100" i="34"/>
  <c r="S100"/>
  <c r="AB100" s="1"/>
  <c r="H97" i="23" s="1"/>
  <c r="AL100" i="34"/>
  <c r="G567" i="35" l="1"/>
  <c r="O270"/>
  <c r="K270"/>
  <c r="K566"/>
  <c r="V269"/>
  <c r="V566" s="1"/>
  <c r="J263" i="34"/>
  <c r="U101"/>
  <c r="H264"/>
  <c r="J102"/>
  <c r="H567" i="35"/>
  <c r="Z270"/>
  <c r="L270"/>
  <c r="J567"/>
  <c r="M270"/>
  <c r="Q101" i="34"/>
  <c r="AI101" s="1"/>
  <c r="O98" i="23" s="1"/>
  <c r="O101" i="34"/>
  <c r="W101" s="1"/>
  <c r="C98" i="23" s="1"/>
  <c r="P101" i="34"/>
  <c r="W263" s="1"/>
  <c r="C260" i="23" s="1"/>
  <c r="R101" i="34"/>
  <c r="S101"/>
  <c r="AB101" s="1"/>
  <c r="H98" i="23" s="1"/>
  <c r="U262" i="34"/>
  <c r="A259" i="23" s="1"/>
  <c r="A97"/>
  <c r="F264" i="34"/>
  <c r="N102"/>
  <c r="B271" i="35"/>
  <c r="G271" s="1"/>
  <c r="E271"/>
  <c r="J271" s="1"/>
  <c r="A272"/>
  <c r="D271"/>
  <c r="I271" s="1"/>
  <c r="I568" s="1"/>
  <c r="C271"/>
  <c r="H271" s="1"/>
  <c r="I264" i="34"/>
  <c r="L102"/>
  <c r="R269" i="35"/>
  <c r="Q269"/>
  <c r="P269"/>
  <c r="X269" s="1"/>
  <c r="T269"/>
  <c r="AC269" s="1"/>
  <c r="S269"/>
  <c r="X565"/>
  <c r="AJ268"/>
  <c r="G264" i="34"/>
  <c r="Y102"/>
  <c r="E99" i="23" s="1"/>
  <c r="K102" i="34"/>
  <c r="A104"/>
  <c r="D103"/>
  <c r="H103" s="1"/>
  <c r="E103"/>
  <c r="I103" s="1"/>
  <c r="B103"/>
  <c r="F103" s="1"/>
  <c r="C103"/>
  <c r="G103" s="1"/>
  <c r="AL101"/>
  <c r="G265" l="1"/>
  <c r="K103"/>
  <c r="Y103"/>
  <c r="E100" i="23" s="1"/>
  <c r="A105" i="34"/>
  <c r="D104"/>
  <c r="H104" s="1"/>
  <c r="B104"/>
  <c r="F104" s="1"/>
  <c r="E104"/>
  <c r="I104" s="1"/>
  <c r="C104"/>
  <c r="G104" s="1"/>
  <c r="J568" i="35"/>
  <c r="M271"/>
  <c r="X566"/>
  <c r="AJ269"/>
  <c r="Q102" i="34"/>
  <c r="AI102" s="1"/>
  <c r="O99" i="23" s="1"/>
  <c r="S102" i="34"/>
  <c r="AB102" s="1"/>
  <c r="H99" i="23" s="1"/>
  <c r="O102" i="34"/>
  <c r="W102" s="1"/>
  <c r="C99" i="23" s="1"/>
  <c r="R102" i="34"/>
  <c r="P102"/>
  <c r="W264" s="1"/>
  <c r="C261" i="23" s="1"/>
  <c r="U263" i="34"/>
  <c r="A260" i="23" s="1"/>
  <c r="A98"/>
  <c r="K567" i="35"/>
  <c r="V270"/>
  <c r="V567" s="1"/>
  <c r="J264" i="34"/>
  <c r="U102"/>
  <c r="H265"/>
  <c r="J103"/>
  <c r="C272" i="35"/>
  <c r="H272" s="1"/>
  <c r="B272"/>
  <c r="G272" s="1"/>
  <c r="A273"/>
  <c r="D272"/>
  <c r="I272" s="1"/>
  <c r="I569" s="1"/>
  <c r="E272"/>
  <c r="J272" s="1"/>
  <c r="S270"/>
  <c r="R270"/>
  <c r="P270"/>
  <c r="X270" s="1"/>
  <c r="Q270"/>
  <c r="T270"/>
  <c r="AC270" s="1"/>
  <c r="I265" i="34"/>
  <c r="L103"/>
  <c r="F265"/>
  <c r="N103"/>
  <c r="H568" i="35"/>
  <c r="Z271"/>
  <c r="L271"/>
  <c r="G568"/>
  <c r="K271"/>
  <c r="O271"/>
  <c r="AL102" i="34"/>
  <c r="J569" i="35" l="1"/>
  <c r="M272"/>
  <c r="G569"/>
  <c r="K272"/>
  <c r="O272"/>
  <c r="T271"/>
  <c r="AC271" s="1"/>
  <c r="P271"/>
  <c r="X271" s="1"/>
  <c r="S271"/>
  <c r="Q271"/>
  <c r="R271"/>
  <c r="J265" i="34"/>
  <c r="U103"/>
  <c r="H266"/>
  <c r="J104"/>
  <c r="L272" i="35"/>
  <c r="H569"/>
  <c r="Z272"/>
  <c r="F266" i="34"/>
  <c r="N104"/>
  <c r="Q103"/>
  <c r="AI103" s="1"/>
  <c r="O100" i="23" s="1"/>
  <c r="P103" i="34"/>
  <c r="W265" s="1"/>
  <c r="C262" i="23" s="1"/>
  <c r="R103" i="34"/>
  <c r="S103"/>
  <c r="AB103" s="1"/>
  <c r="H100" i="23" s="1"/>
  <c r="O103" i="34"/>
  <c r="W103" s="1"/>
  <c r="C100" i="23" s="1"/>
  <c r="X567" i="35"/>
  <c r="AJ270"/>
  <c r="U264" i="34"/>
  <c r="A261" i="23" s="1"/>
  <c r="A99"/>
  <c r="I266" i="34"/>
  <c r="L104"/>
  <c r="K568" i="35"/>
  <c r="V271"/>
  <c r="V568" s="1"/>
  <c r="A274"/>
  <c r="D273"/>
  <c r="I273" s="1"/>
  <c r="I570" s="1"/>
  <c r="C273"/>
  <c r="H273" s="1"/>
  <c r="B273"/>
  <c r="G273" s="1"/>
  <c r="E273"/>
  <c r="J273" s="1"/>
  <c r="G266" i="34"/>
  <c r="Y104"/>
  <c r="E101" i="23" s="1"/>
  <c r="K104" i="34"/>
  <c r="A106"/>
  <c r="D105"/>
  <c r="H105" s="1"/>
  <c r="C105"/>
  <c r="G105" s="1"/>
  <c r="E105"/>
  <c r="I105" s="1"/>
  <c r="B105"/>
  <c r="F105" s="1"/>
  <c r="AL103"/>
  <c r="F267" l="1"/>
  <c r="N105"/>
  <c r="A107"/>
  <c r="D106"/>
  <c r="H106" s="1"/>
  <c r="E106"/>
  <c r="I106" s="1"/>
  <c r="B106"/>
  <c r="F106" s="1"/>
  <c r="C106"/>
  <c r="G106" s="1"/>
  <c r="G267"/>
  <c r="K105"/>
  <c r="Y105"/>
  <c r="E102" i="23" s="1"/>
  <c r="H570" i="35"/>
  <c r="L273"/>
  <c r="Z273"/>
  <c r="Q104" i="34"/>
  <c r="AI104" s="1"/>
  <c r="O101" i="23" s="1"/>
  <c r="S104" i="34"/>
  <c r="AB104" s="1"/>
  <c r="H101" i="23" s="1"/>
  <c r="R104" i="34"/>
  <c r="O104"/>
  <c r="W104" s="1"/>
  <c r="C101" i="23" s="1"/>
  <c r="P104" i="34"/>
  <c r="W266" s="1"/>
  <c r="C263" i="23" s="1"/>
  <c r="J570" i="35"/>
  <c r="M273"/>
  <c r="E274"/>
  <c r="J274" s="1"/>
  <c r="A275"/>
  <c r="D274"/>
  <c r="I274" s="1"/>
  <c r="I571" s="1"/>
  <c r="B274"/>
  <c r="G274" s="1"/>
  <c r="C274"/>
  <c r="H274" s="1"/>
  <c r="Q272"/>
  <c r="T272"/>
  <c r="AC272" s="1"/>
  <c r="P272"/>
  <c r="X272" s="1"/>
  <c r="R272"/>
  <c r="S272"/>
  <c r="H267" i="34"/>
  <c r="J105"/>
  <c r="J266"/>
  <c r="U104"/>
  <c r="I267"/>
  <c r="L105"/>
  <c r="G570" i="35"/>
  <c r="K273"/>
  <c r="O273"/>
  <c r="U265" i="34"/>
  <c r="A262" i="23" s="1"/>
  <c r="A100"/>
  <c r="X568" i="35"/>
  <c r="AJ271"/>
  <c r="K569"/>
  <c r="V272"/>
  <c r="V569" s="1"/>
  <c r="AL104" i="34"/>
  <c r="K570" i="35" l="1"/>
  <c r="V273"/>
  <c r="V570" s="1"/>
  <c r="X569"/>
  <c r="AJ272"/>
  <c r="B275"/>
  <c r="G275" s="1"/>
  <c r="E275"/>
  <c r="J275" s="1"/>
  <c r="C275"/>
  <c r="H275" s="1"/>
  <c r="D275"/>
  <c r="I275" s="1"/>
  <c r="I572" s="1"/>
  <c r="A276"/>
  <c r="A108" i="34"/>
  <c r="B107"/>
  <c r="F107" s="1"/>
  <c r="C107"/>
  <c r="G107" s="1"/>
  <c r="D107"/>
  <c r="H107" s="1"/>
  <c r="E107"/>
  <c r="I107" s="1"/>
  <c r="H571" i="35"/>
  <c r="Z274"/>
  <c r="L274"/>
  <c r="J571"/>
  <c r="M274"/>
  <c r="I268" i="34"/>
  <c r="L106"/>
  <c r="U266"/>
  <c r="A263" i="23" s="1"/>
  <c r="A101"/>
  <c r="F268" i="34"/>
  <c r="N106"/>
  <c r="Q105"/>
  <c r="AI105" s="1"/>
  <c r="O102" i="23" s="1"/>
  <c r="P105" i="34"/>
  <c r="W267" s="1"/>
  <c r="C264" i="23" s="1"/>
  <c r="R105" i="34"/>
  <c r="S105"/>
  <c r="AB105" s="1"/>
  <c r="H102" i="23" s="1"/>
  <c r="O105" i="34"/>
  <c r="W105" s="1"/>
  <c r="C102" i="23" s="1"/>
  <c r="R273" i="35"/>
  <c r="Q273"/>
  <c r="S273"/>
  <c r="T273"/>
  <c r="AC273" s="1"/>
  <c r="P273"/>
  <c r="X273" s="1"/>
  <c r="G268" i="34"/>
  <c r="Y106"/>
  <c r="E103" i="23" s="1"/>
  <c r="K106" i="34"/>
  <c r="J267"/>
  <c r="U105"/>
  <c r="G571" i="35"/>
  <c r="O274"/>
  <c r="K274"/>
  <c r="H268" i="34"/>
  <c r="J106"/>
  <c r="AL105"/>
  <c r="X570" i="35" l="1"/>
  <c r="AJ273"/>
  <c r="H269" i="34"/>
  <c r="J107"/>
  <c r="G572" i="35"/>
  <c r="K275"/>
  <c r="O275"/>
  <c r="S274"/>
  <c r="R274"/>
  <c r="T274"/>
  <c r="AC274" s="1"/>
  <c r="Q274"/>
  <c r="P274"/>
  <c r="X274" s="1"/>
  <c r="J572"/>
  <c r="M275"/>
  <c r="F269" i="34"/>
  <c r="N107"/>
  <c r="H572" i="35"/>
  <c r="Z275"/>
  <c r="L275"/>
  <c r="J268" i="34"/>
  <c r="U106"/>
  <c r="Q106"/>
  <c r="AI106" s="1"/>
  <c r="O103" i="23" s="1"/>
  <c r="S106" i="34"/>
  <c r="AB106" s="1"/>
  <c r="H103" i="23" s="1"/>
  <c r="O106" i="34"/>
  <c r="W106" s="1"/>
  <c r="C103" i="23" s="1"/>
  <c r="P106" i="34"/>
  <c r="W268" s="1"/>
  <c r="C265" i="23" s="1"/>
  <c r="R106" i="34"/>
  <c r="C276" i="35"/>
  <c r="H276" s="1"/>
  <c r="B276"/>
  <c r="G276" s="1"/>
  <c r="D276"/>
  <c r="I276" s="1"/>
  <c r="I573" s="1"/>
  <c r="E276"/>
  <c r="J276" s="1"/>
  <c r="A277"/>
  <c r="I269" i="34"/>
  <c r="L107"/>
  <c r="A109"/>
  <c r="D108"/>
  <c r="H108" s="1"/>
  <c r="E108"/>
  <c r="I108" s="1"/>
  <c r="B108"/>
  <c r="F108" s="1"/>
  <c r="C108"/>
  <c r="G108" s="1"/>
  <c r="K571" i="35"/>
  <c r="V274"/>
  <c r="V571" s="1"/>
  <c r="U267" i="34"/>
  <c r="A264" i="23" s="1"/>
  <c r="A102"/>
  <c r="G269" i="34"/>
  <c r="K107"/>
  <c r="Y107"/>
  <c r="E104" i="23" s="1"/>
  <c r="AL106" i="34"/>
  <c r="J573" i="35" l="1"/>
  <c r="M276"/>
  <c r="A278"/>
  <c r="D277"/>
  <c r="I277" s="1"/>
  <c r="I574" s="1"/>
  <c r="C277"/>
  <c r="H277" s="1"/>
  <c r="E277"/>
  <c r="J277" s="1"/>
  <c r="B277"/>
  <c r="G277" s="1"/>
  <c r="T275"/>
  <c r="AC275" s="1"/>
  <c r="P275"/>
  <c r="X275" s="1"/>
  <c r="S275"/>
  <c r="Q275"/>
  <c r="R275"/>
  <c r="G573"/>
  <c r="K276"/>
  <c r="O276"/>
  <c r="F270" i="34"/>
  <c r="N108"/>
  <c r="U268"/>
  <c r="A265" i="23" s="1"/>
  <c r="A103"/>
  <c r="G270" i="34"/>
  <c r="Y108"/>
  <c r="E105" i="23" s="1"/>
  <c r="K108" i="34"/>
  <c r="A110"/>
  <c r="D109"/>
  <c r="H109" s="1"/>
  <c r="E109"/>
  <c r="I109" s="1"/>
  <c r="B109"/>
  <c r="F109" s="1"/>
  <c r="C109"/>
  <c r="G109" s="1"/>
  <c r="K572" i="35"/>
  <c r="V275"/>
  <c r="V572" s="1"/>
  <c r="H270" i="34"/>
  <c r="J108"/>
  <c r="L276" i="35"/>
  <c r="H573"/>
  <c r="Z276"/>
  <c r="I270" i="34"/>
  <c r="L108"/>
  <c r="S107"/>
  <c r="AB107" s="1"/>
  <c r="H104" i="23" s="1"/>
  <c r="P107" i="34"/>
  <c r="W269" s="1"/>
  <c r="C266" i="23" s="1"/>
  <c r="Q107" i="34"/>
  <c r="AI107" s="1"/>
  <c r="O104" i="23" s="1"/>
  <c r="R107" i="34"/>
  <c r="O107"/>
  <c r="W107" s="1"/>
  <c r="C104" i="23" s="1"/>
  <c r="X571" i="35"/>
  <c r="AJ274"/>
  <c r="J269" i="34"/>
  <c r="U107"/>
  <c r="AL107"/>
  <c r="X572" i="35" l="1"/>
  <c r="AJ275"/>
  <c r="J574"/>
  <c r="M277"/>
  <c r="J270" i="34"/>
  <c r="U108"/>
  <c r="G271"/>
  <c r="Y109"/>
  <c r="E106" i="23" s="1"/>
  <c r="K109" i="34"/>
  <c r="A111"/>
  <c r="D110"/>
  <c r="H110" s="1"/>
  <c r="B110"/>
  <c r="F110" s="1"/>
  <c r="C110"/>
  <c r="G110" s="1"/>
  <c r="E110"/>
  <c r="I110" s="1"/>
  <c r="Q276" i="35"/>
  <c r="T276"/>
  <c r="AC276" s="1"/>
  <c r="P276"/>
  <c r="X276" s="1"/>
  <c r="S276"/>
  <c r="R276"/>
  <c r="G574"/>
  <c r="O277"/>
  <c r="K277"/>
  <c r="E278"/>
  <c r="J278" s="1"/>
  <c r="A279"/>
  <c r="D278"/>
  <c r="I278" s="1"/>
  <c r="I575" s="1"/>
  <c r="C278"/>
  <c r="H278" s="1"/>
  <c r="B278"/>
  <c r="G278" s="1"/>
  <c r="U269" i="34"/>
  <c r="A266" i="23" s="1"/>
  <c r="A104"/>
  <c r="I271" i="34"/>
  <c r="L109"/>
  <c r="Q108"/>
  <c r="AI108" s="1"/>
  <c r="O105" i="23" s="1"/>
  <c r="R108" i="34"/>
  <c r="S108"/>
  <c r="AB108" s="1"/>
  <c r="H105" i="23" s="1"/>
  <c r="O108" i="34"/>
  <c r="W108" s="1"/>
  <c r="C105" i="23" s="1"/>
  <c r="P108" i="34"/>
  <c r="W270" s="1"/>
  <c r="C267" i="23" s="1"/>
  <c r="H574" i="35"/>
  <c r="L277"/>
  <c r="Z277"/>
  <c r="F271" i="34"/>
  <c r="N109"/>
  <c r="K573" i="35"/>
  <c r="V276"/>
  <c r="V573" s="1"/>
  <c r="H271" i="34"/>
  <c r="J109"/>
  <c r="AL108"/>
  <c r="X573" i="35" l="1"/>
  <c r="AJ276"/>
  <c r="A112" i="34"/>
  <c r="D111"/>
  <c r="H111" s="1"/>
  <c r="E111"/>
  <c r="I111" s="1"/>
  <c r="C111"/>
  <c r="G111" s="1"/>
  <c r="B111"/>
  <c r="F111" s="1"/>
  <c r="G575" i="35"/>
  <c r="O278"/>
  <c r="K278"/>
  <c r="J271" i="34"/>
  <c r="U109"/>
  <c r="Q109"/>
  <c r="AI109" s="1"/>
  <c r="O106" i="23" s="1"/>
  <c r="R109" i="34"/>
  <c r="O109"/>
  <c r="W109" s="1"/>
  <c r="C106" i="23" s="1"/>
  <c r="P109" i="34"/>
  <c r="W271" s="1"/>
  <c r="C268" i="23" s="1"/>
  <c r="S109" i="34"/>
  <c r="AB109" s="1"/>
  <c r="H106" i="23" s="1"/>
  <c r="R277" i="35"/>
  <c r="Q277"/>
  <c r="P277"/>
  <c r="X277" s="1"/>
  <c r="S277"/>
  <c r="T277"/>
  <c r="AC277" s="1"/>
  <c r="G272" i="34"/>
  <c r="Y110"/>
  <c r="E107" i="23" s="1"/>
  <c r="K110" i="34"/>
  <c r="H575" i="35"/>
  <c r="Z278"/>
  <c r="L278"/>
  <c r="K574"/>
  <c r="V277"/>
  <c r="V574" s="1"/>
  <c r="I272" i="34"/>
  <c r="L110"/>
  <c r="U270"/>
  <c r="A267" i="23" s="1"/>
  <c r="A105"/>
  <c r="J575" i="35"/>
  <c r="M278"/>
  <c r="H272" i="34"/>
  <c r="J110"/>
  <c r="B279" i="35"/>
  <c r="G279" s="1"/>
  <c r="E279"/>
  <c r="J279" s="1"/>
  <c r="A280"/>
  <c r="C279"/>
  <c r="H279" s="1"/>
  <c r="D279"/>
  <c r="I279" s="1"/>
  <c r="I576" s="1"/>
  <c r="F272" i="34"/>
  <c r="N110"/>
  <c r="AL109"/>
  <c r="X574" i="35" l="1"/>
  <c r="AJ277"/>
  <c r="I273" i="34"/>
  <c r="L111"/>
  <c r="J272"/>
  <c r="U110"/>
  <c r="K575" i="35"/>
  <c r="V278"/>
  <c r="V575" s="1"/>
  <c r="G576"/>
  <c r="K279"/>
  <c r="O279"/>
  <c r="F273" i="34"/>
  <c r="N111"/>
  <c r="A113"/>
  <c r="D112"/>
  <c r="H112" s="1"/>
  <c r="B112"/>
  <c r="F112" s="1"/>
  <c r="C112"/>
  <c r="G112" s="1"/>
  <c r="E112"/>
  <c r="I112" s="1"/>
  <c r="Q110"/>
  <c r="AI110" s="1"/>
  <c r="O107" i="23" s="1"/>
  <c r="S110" i="34"/>
  <c r="AB110" s="1"/>
  <c r="H107" i="23" s="1"/>
  <c r="P110" i="34"/>
  <c r="W272" s="1"/>
  <c r="C269" i="23" s="1"/>
  <c r="R110" i="34"/>
  <c r="O110"/>
  <c r="W110" s="1"/>
  <c r="C107" i="23" s="1"/>
  <c r="C280" i="35"/>
  <c r="H280" s="1"/>
  <c r="B280"/>
  <c r="G280" s="1"/>
  <c r="A281"/>
  <c r="E280"/>
  <c r="J280" s="1"/>
  <c r="D280"/>
  <c r="I280" s="1"/>
  <c r="I577" s="1"/>
  <c r="S278"/>
  <c r="R278"/>
  <c r="P278"/>
  <c r="X278" s="1"/>
  <c r="Q278"/>
  <c r="T278"/>
  <c r="AC278" s="1"/>
  <c r="H576"/>
  <c r="Z279"/>
  <c r="L279"/>
  <c r="G273" i="34"/>
  <c r="Y111"/>
  <c r="E108" i="23" s="1"/>
  <c r="K111" i="34"/>
  <c r="J576" i="35"/>
  <c r="M279"/>
  <c r="U271" i="34"/>
  <c r="A268" i="23" s="1"/>
  <c r="A106"/>
  <c r="H273" i="34"/>
  <c r="J111"/>
  <c r="AL110"/>
  <c r="A282" i="35" l="1"/>
  <c r="D281"/>
  <c r="I281" s="1"/>
  <c r="I578" s="1"/>
  <c r="C281"/>
  <c r="H281" s="1"/>
  <c r="B281"/>
  <c r="G281" s="1"/>
  <c r="E281"/>
  <c r="J281" s="1"/>
  <c r="I274" i="34"/>
  <c r="L112"/>
  <c r="A114"/>
  <c r="D113"/>
  <c r="H113" s="1"/>
  <c r="E113"/>
  <c r="I113" s="1"/>
  <c r="B113"/>
  <c r="F113" s="1"/>
  <c r="C113"/>
  <c r="G113" s="1"/>
  <c r="K576" i="35"/>
  <c r="V279"/>
  <c r="V576" s="1"/>
  <c r="U272" i="34"/>
  <c r="A269" i="23" s="1"/>
  <c r="A107"/>
  <c r="J577" i="35"/>
  <c r="M280"/>
  <c r="J273" i="34"/>
  <c r="U111"/>
  <c r="X575" i="35"/>
  <c r="AJ278"/>
  <c r="G577"/>
  <c r="K280"/>
  <c r="O280"/>
  <c r="G274" i="34"/>
  <c r="K112"/>
  <c r="Y112"/>
  <c r="E109" i="23" s="1"/>
  <c r="Q111" i="34"/>
  <c r="AI111" s="1"/>
  <c r="O108" i="23" s="1"/>
  <c r="R111" i="34"/>
  <c r="S111"/>
  <c r="AB111" s="1"/>
  <c r="H108" i="23" s="1"/>
  <c r="O111" i="34"/>
  <c r="W111" s="1"/>
  <c r="C108" i="23" s="1"/>
  <c r="P111" i="34"/>
  <c r="W273" s="1"/>
  <c r="C270" i="23" s="1"/>
  <c r="H274" i="34"/>
  <c r="J112"/>
  <c r="T279" i="35"/>
  <c r="AC279" s="1"/>
  <c r="P279"/>
  <c r="X279" s="1"/>
  <c r="S279"/>
  <c r="Q279"/>
  <c r="R279"/>
  <c r="L280"/>
  <c r="H577"/>
  <c r="Z280"/>
  <c r="F274" i="34"/>
  <c r="N112"/>
  <c r="AL111"/>
  <c r="H578" i="35" l="1"/>
  <c r="L281"/>
  <c r="Z281"/>
  <c r="Q112" i="34"/>
  <c r="AI112" s="1"/>
  <c r="O109" i="23" s="1"/>
  <c r="R112" i="34"/>
  <c r="S112"/>
  <c r="AB112" s="1"/>
  <c r="H109" i="23" s="1"/>
  <c r="O112" i="34"/>
  <c r="W112" s="1"/>
  <c r="C109" i="23" s="1"/>
  <c r="P112" i="34"/>
  <c r="W274" s="1"/>
  <c r="C271" i="23" s="1"/>
  <c r="Q280" i="35"/>
  <c r="T280"/>
  <c r="AC280" s="1"/>
  <c r="P280"/>
  <c r="X280" s="1"/>
  <c r="R280"/>
  <c r="S280"/>
  <c r="H275" i="34"/>
  <c r="J113"/>
  <c r="J578" i="35"/>
  <c r="M281"/>
  <c r="E282"/>
  <c r="J282" s="1"/>
  <c r="A283"/>
  <c r="D282"/>
  <c r="I282" s="1"/>
  <c r="I579" s="1"/>
  <c r="B282"/>
  <c r="G282" s="1"/>
  <c r="C282"/>
  <c r="H282" s="1"/>
  <c r="X576"/>
  <c r="AJ279"/>
  <c r="I275" i="34"/>
  <c r="L113"/>
  <c r="J274"/>
  <c r="U112"/>
  <c r="F275"/>
  <c r="N113"/>
  <c r="K577" i="35"/>
  <c r="V280"/>
  <c r="V577" s="1"/>
  <c r="U273" i="34"/>
  <c r="A270" i="23" s="1"/>
  <c r="A108"/>
  <c r="G275" i="34"/>
  <c r="K113"/>
  <c r="Y113"/>
  <c r="E110" i="23" s="1"/>
  <c r="A115" i="34"/>
  <c r="D114"/>
  <c r="H114" s="1"/>
  <c r="E114"/>
  <c r="I114" s="1"/>
  <c r="B114"/>
  <c r="F114" s="1"/>
  <c r="C114"/>
  <c r="G114" s="1"/>
  <c r="G578" i="35"/>
  <c r="K281"/>
  <c r="O281"/>
  <c r="AL112" i="34"/>
  <c r="R281" i="35" l="1"/>
  <c r="Q281"/>
  <c r="S281"/>
  <c r="T281"/>
  <c r="AC281" s="1"/>
  <c r="P281"/>
  <c r="X281" s="1"/>
  <c r="F276" i="34"/>
  <c r="N114"/>
  <c r="G579" i="35"/>
  <c r="O282"/>
  <c r="K282"/>
  <c r="X577"/>
  <c r="AJ280"/>
  <c r="G276" i="34"/>
  <c r="Y114"/>
  <c r="E111" i="23" s="1"/>
  <c r="K114" i="34"/>
  <c r="A116"/>
  <c r="D115"/>
  <c r="H115" s="1"/>
  <c r="E115"/>
  <c r="I115" s="1"/>
  <c r="B115"/>
  <c r="F115" s="1"/>
  <c r="C115"/>
  <c r="G115" s="1"/>
  <c r="Q113"/>
  <c r="AI113" s="1"/>
  <c r="O110" i="23" s="1"/>
  <c r="O113" i="34"/>
  <c r="W113" s="1"/>
  <c r="C110" i="23" s="1"/>
  <c r="R113" i="34"/>
  <c r="S113"/>
  <c r="AB113" s="1"/>
  <c r="H110" i="23" s="1"/>
  <c r="P113" i="34"/>
  <c r="W275" s="1"/>
  <c r="C272" i="23" s="1"/>
  <c r="H579" i="35"/>
  <c r="Z282"/>
  <c r="L282"/>
  <c r="J579"/>
  <c r="M282"/>
  <c r="H276" i="34"/>
  <c r="J114"/>
  <c r="B283" i="35"/>
  <c r="G283" s="1"/>
  <c r="E283"/>
  <c r="J283" s="1"/>
  <c r="C283"/>
  <c r="H283" s="1"/>
  <c r="D283"/>
  <c r="I283" s="1"/>
  <c r="I580" s="1"/>
  <c r="A284"/>
  <c r="J275" i="34"/>
  <c r="U113"/>
  <c r="K578" i="35"/>
  <c r="V281"/>
  <c r="V578" s="1"/>
  <c r="I276" i="34"/>
  <c r="L114"/>
  <c r="U274"/>
  <c r="A271" i="23" s="1"/>
  <c r="A109"/>
  <c r="AL113" i="34"/>
  <c r="J580" i="35" l="1"/>
  <c r="M283"/>
  <c r="H580"/>
  <c r="Z283"/>
  <c r="L283"/>
  <c r="Q114" i="34"/>
  <c r="AI114" s="1"/>
  <c r="O111" i="23" s="1"/>
  <c r="R114" i="34"/>
  <c r="S114"/>
  <c r="AB114" s="1"/>
  <c r="H111" i="23" s="1"/>
  <c r="O114" i="34"/>
  <c r="W114" s="1"/>
  <c r="C111" i="23" s="1"/>
  <c r="P114" i="34"/>
  <c r="W276" s="1"/>
  <c r="C273" i="23" s="1"/>
  <c r="C284" i="35"/>
  <c r="H284" s="1"/>
  <c r="B284"/>
  <c r="G284" s="1"/>
  <c r="D284"/>
  <c r="I284" s="1"/>
  <c r="I581" s="1"/>
  <c r="E284"/>
  <c r="J284" s="1"/>
  <c r="A285"/>
  <c r="G580"/>
  <c r="K283"/>
  <c r="O283"/>
  <c r="H277" i="34"/>
  <c r="J115"/>
  <c r="S282" i="35"/>
  <c r="R282"/>
  <c r="T282"/>
  <c r="AC282" s="1"/>
  <c r="P282"/>
  <c r="X282" s="1"/>
  <c r="Q282"/>
  <c r="I277" i="34"/>
  <c r="L115"/>
  <c r="K579" i="35"/>
  <c r="V282"/>
  <c r="V579" s="1"/>
  <c r="U275" i="34"/>
  <c r="A272" i="23" s="1"/>
  <c r="A110"/>
  <c r="F277" i="34"/>
  <c r="N115"/>
  <c r="X578" i="35"/>
  <c r="AJ281"/>
  <c r="J276" i="34"/>
  <c r="U114"/>
  <c r="G277"/>
  <c r="Y115"/>
  <c r="E112" i="23" s="1"/>
  <c r="K115" i="34"/>
  <c r="A117"/>
  <c r="D116"/>
  <c r="H116" s="1"/>
  <c r="B116"/>
  <c r="F116" s="1"/>
  <c r="E116"/>
  <c r="I116" s="1"/>
  <c r="C116"/>
  <c r="G116" s="1"/>
  <c r="AL114"/>
  <c r="T283" i="35" l="1"/>
  <c r="AC283" s="1"/>
  <c r="P283"/>
  <c r="X283" s="1"/>
  <c r="S283"/>
  <c r="R283"/>
  <c r="Q283"/>
  <c r="G278" i="34"/>
  <c r="Y116"/>
  <c r="E113" i="23" s="1"/>
  <c r="K116" i="34"/>
  <c r="A118"/>
  <c r="E117"/>
  <c r="I117" s="1"/>
  <c r="B117"/>
  <c r="F117" s="1"/>
  <c r="C117"/>
  <c r="G117" s="1"/>
  <c r="D117"/>
  <c r="H117" s="1"/>
  <c r="U276"/>
  <c r="A273" i="23" s="1"/>
  <c r="A111"/>
  <c r="Q115" i="34"/>
  <c r="AI115" s="1"/>
  <c r="O112" i="23" s="1"/>
  <c r="R115" i="34"/>
  <c r="S115"/>
  <c r="AB115" s="1"/>
  <c r="H112" i="23" s="1"/>
  <c r="P115" i="34"/>
  <c r="W277" s="1"/>
  <c r="C274" i="23" s="1"/>
  <c r="O115" i="34"/>
  <c r="W115" s="1"/>
  <c r="C112" i="23" s="1"/>
  <c r="X579" i="35"/>
  <c r="AJ282"/>
  <c r="K580"/>
  <c r="V283"/>
  <c r="V580" s="1"/>
  <c r="H278" i="34"/>
  <c r="J116"/>
  <c r="J581" i="35"/>
  <c r="M284"/>
  <c r="F278" i="34"/>
  <c r="N116"/>
  <c r="A286" i="35"/>
  <c r="D285"/>
  <c r="I285" s="1"/>
  <c r="I582" s="1"/>
  <c r="C285"/>
  <c r="H285" s="1"/>
  <c r="E285"/>
  <c r="J285" s="1"/>
  <c r="B285"/>
  <c r="G285" s="1"/>
  <c r="L284"/>
  <c r="H581"/>
  <c r="Z284"/>
  <c r="I278" i="34"/>
  <c r="L116"/>
  <c r="J277"/>
  <c r="U115"/>
  <c r="G581" i="35"/>
  <c r="K284"/>
  <c r="O284"/>
  <c r="AL115" i="34"/>
  <c r="U277" l="1"/>
  <c r="A274" i="23" s="1"/>
  <c r="A112"/>
  <c r="J582" i="35"/>
  <c r="M285"/>
  <c r="J278" i="34"/>
  <c r="U116"/>
  <c r="I279"/>
  <c r="L117"/>
  <c r="G582" i="35"/>
  <c r="O285"/>
  <c r="K285"/>
  <c r="X580"/>
  <c r="AJ283"/>
  <c r="Q284"/>
  <c r="T284"/>
  <c r="AC284" s="1"/>
  <c r="P284"/>
  <c r="X284" s="1"/>
  <c r="R284"/>
  <c r="S284"/>
  <c r="H582"/>
  <c r="L285"/>
  <c r="Z285"/>
  <c r="H279" i="34"/>
  <c r="J117"/>
  <c r="A119"/>
  <c r="D118"/>
  <c r="H118" s="1"/>
  <c r="E118"/>
  <c r="I118" s="1"/>
  <c r="C118"/>
  <c r="G118" s="1"/>
  <c r="B118"/>
  <c r="F118" s="1"/>
  <c r="Q116"/>
  <c r="AI116" s="1"/>
  <c r="O113" i="23" s="1"/>
  <c r="O116" i="34"/>
  <c r="W116" s="1"/>
  <c r="C113" i="23" s="1"/>
  <c r="P116" i="34"/>
  <c r="W278" s="1"/>
  <c r="C275" i="23" s="1"/>
  <c r="R116" i="34"/>
  <c r="S116"/>
  <c r="AB116" s="1"/>
  <c r="H113" i="23" s="1"/>
  <c r="E286" i="35"/>
  <c r="J286" s="1"/>
  <c r="A287"/>
  <c r="D286"/>
  <c r="I286" s="1"/>
  <c r="I583" s="1"/>
  <c r="B286"/>
  <c r="G286" s="1"/>
  <c r="C286"/>
  <c r="H286" s="1"/>
  <c r="F279" i="34"/>
  <c r="N117"/>
  <c r="K581" i="35"/>
  <c r="V284"/>
  <c r="V581" s="1"/>
  <c r="G279" i="34"/>
  <c r="Y117"/>
  <c r="E114" i="23" s="1"/>
  <c r="K117" i="34"/>
  <c r="AL116"/>
  <c r="J583" i="35" l="1"/>
  <c r="M286"/>
  <c r="I280" i="34"/>
  <c r="L118"/>
  <c r="U278"/>
  <c r="A275" i="23" s="1"/>
  <c r="A113"/>
  <c r="B287" i="35"/>
  <c r="G287" s="1"/>
  <c r="E287"/>
  <c r="J287" s="1"/>
  <c r="A288"/>
  <c r="D287"/>
  <c r="I287" s="1"/>
  <c r="I584" s="1"/>
  <c r="C287"/>
  <c r="H287" s="1"/>
  <c r="G583"/>
  <c r="O286"/>
  <c r="K286"/>
  <c r="H280" i="34"/>
  <c r="J118"/>
  <c r="H583" i="35"/>
  <c r="Z286"/>
  <c r="L286"/>
  <c r="X581"/>
  <c r="AJ284"/>
  <c r="R285"/>
  <c r="Q285"/>
  <c r="P285"/>
  <c r="X285" s="1"/>
  <c r="T285"/>
  <c r="AC285" s="1"/>
  <c r="S285"/>
  <c r="G280" i="34"/>
  <c r="Y118"/>
  <c r="E115" i="23" s="1"/>
  <c r="K118" i="34"/>
  <c r="J279"/>
  <c r="U117"/>
  <c r="K582" i="35"/>
  <c r="V285"/>
  <c r="V582" s="1"/>
  <c r="Q117" i="34"/>
  <c r="AI117" s="1"/>
  <c r="O114" i="23" s="1"/>
  <c r="R117" i="34"/>
  <c r="S117"/>
  <c r="AB117" s="1"/>
  <c r="H114" i="23" s="1"/>
  <c r="P117" i="34"/>
  <c r="W279" s="1"/>
  <c r="C276" i="23" s="1"/>
  <c r="O117" i="34"/>
  <c r="W117" s="1"/>
  <c r="C114" i="23" s="1"/>
  <c r="F280" i="34"/>
  <c r="N118"/>
  <c r="A120"/>
  <c r="D119"/>
  <c r="H119" s="1"/>
  <c r="B119"/>
  <c r="F119" s="1"/>
  <c r="C119"/>
  <c r="G119" s="1"/>
  <c r="E119"/>
  <c r="I119" s="1"/>
  <c r="AL117"/>
  <c r="K583" i="35" l="1"/>
  <c r="V286"/>
  <c r="V583" s="1"/>
  <c r="H584"/>
  <c r="Z287"/>
  <c r="L287"/>
  <c r="I281" i="34"/>
  <c r="L119"/>
  <c r="A121"/>
  <c r="D120"/>
  <c r="H120" s="1"/>
  <c r="E120"/>
  <c r="I120" s="1"/>
  <c r="B120"/>
  <c r="F120" s="1"/>
  <c r="C120"/>
  <c r="G120" s="1"/>
  <c r="S286" i="35"/>
  <c r="R286"/>
  <c r="P286"/>
  <c r="X286" s="1"/>
  <c r="Q286"/>
  <c r="T286"/>
  <c r="AC286" s="1"/>
  <c r="C288"/>
  <c r="H288" s="1"/>
  <c r="B288"/>
  <c r="G288" s="1"/>
  <c r="A289"/>
  <c r="D288"/>
  <c r="I288" s="1"/>
  <c r="I585" s="1"/>
  <c r="E288"/>
  <c r="J288" s="1"/>
  <c r="H281" i="34"/>
  <c r="J119"/>
  <c r="X582" i="35"/>
  <c r="AJ285"/>
  <c r="F281" i="34"/>
  <c r="N119"/>
  <c r="U279"/>
  <c r="A276" i="23" s="1"/>
  <c r="A114"/>
  <c r="G584" i="35"/>
  <c r="K287"/>
  <c r="O287"/>
  <c r="G281" i="34"/>
  <c r="Y119"/>
  <c r="E116" i="23" s="1"/>
  <c r="K119" i="34"/>
  <c r="Q118"/>
  <c r="AI118" s="1"/>
  <c r="O115" i="23" s="1"/>
  <c r="R118" i="34"/>
  <c r="O118"/>
  <c r="W118" s="1"/>
  <c r="C115" i="23" s="1"/>
  <c r="P118" i="34"/>
  <c r="W280" s="1"/>
  <c r="C277" i="23" s="1"/>
  <c r="S118" i="34"/>
  <c r="AB118" s="1"/>
  <c r="H115" i="23" s="1"/>
  <c r="J280" i="34"/>
  <c r="U118"/>
  <c r="J584" i="35"/>
  <c r="M287"/>
  <c r="AL118" i="34"/>
  <c r="U280" l="1"/>
  <c r="A277" i="23" s="1"/>
  <c r="A115"/>
  <c r="G585" i="35"/>
  <c r="K288"/>
  <c r="O288"/>
  <c r="T287"/>
  <c r="AC287" s="1"/>
  <c r="P287"/>
  <c r="X287" s="1"/>
  <c r="S287"/>
  <c r="Q287"/>
  <c r="R287"/>
  <c r="X583"/>
  <c r="AJ286"/>
  <c r="H282" i="34"/>
  <c r="J120"/>
  <c r="J585" i="35"/>
  <c r="M288"/>
  <c r="L288"/>
  <c r="Z288"/>
  <c r="H585"/>
  <c r="I282" i="34"/>
  <c r="L120"/>
  <c r="F282"/>
  <c r="N120"/>
  <c r="K584" i="35"/>
  <c r="V287"/>
  <c r="V584" s="1"/>
  <c r="Q119" i="34"/>
  <c r="AI119" s="1"/>
  <c r="O116" i="23" s="1"/>
  <c r="R119" i="34"/>
  <c r="S119"/>
  <c r="AB119" s="1"/>
  <c r="H116" i="23" s="1"/>
  <c r="O119" i="34"/>
  <c r="W119" s="1"/>
  <c r="C116" i="23" s="1"/>
  <c r="P119" i="34"/>
  <c r="W281" s="1"/>
  <c r="C278" i="23" s="1"/>
  <c r="J281" i="34"/>
  <c r="U119"/>
  <c r="A290" i="35"/>
  <c r="D289"/>
  <c r="I289" s="1"/>
  <c r="I586" s="1"/>
  <c r="C289"/>
  <c r="H289" s="1"/>
  <c r="B289"/>
  <c r="G289" s="1"/>
  <c r="E289"/>
  <c r="J289" s="1"/>
  <c r="G282" i="34"/>
  <c r="Y120"/>
  <c r="E117" i="23" s="1"/>
  <c r="K120" i="34"/>
  <c r="A122"/>
  <c r="D121"/>
  <c r="H121" s="1"/>
  <c r="C121"/>
  <c r="G121" s="1"/>
  <c r="E121"/>
  <c r="I121" s="1"/>
  <c r="B121"/>
  <c r="F121" s="1"/>
  <c r="AL119"/>
  <c r="J282" l="1"/>
  <c r="U120"/>
  <c r="G283"/>
  <c r="K121"/>
  <c r="Y121"/>
  <c r="E118" i="23" s="1"/>
  <c r="H586" i="35"/>
  <c r="L289"/>
  <c r="Z289"/>
  <c r="Q120" i="34"/>
  <c r="AI120" s="1"/>
  <c r="O117" i="23" s="1"/>
  <c r="R120" i="34"/>
  <c r="S120"/>
  <c r="AB120" s="1"/>
  <c r="H117" i="23" s="1"/>
  <c r="O120" i="34"/>
  <c r="W120" s="1"/>
  <c r="C117" i="23" s="1"/>
  <c r="P120" i="34"/>
  <c r="W282" s="1"/>
  <c r="C279" i="23" s="1"/>
  <c r="F283" i="34"/>
  <c r="N121"/>
  <c r="A123"/>
  <c r="E122"/>
  <c r="I122" s="1"/>
  <c r="B122"/>
  <c r="F122" s="1"/>
  <c r="C122"/>
  <c r="G122" s="1"/>
  <c r="D122"/>
  <c r="H122" s="1"/>
  <c r="J586" i="35"/>
  <c r="M289"/>
  <c r="E290"/>
  <c r="J290" s="1"/>
  <c r="A291"/>
  <c r="D290"/>
  <c r="I290" s="1"/>
  <c r="I587" s="1"/>
  <c r="B290"/>
  <c r="G290" s="1"/>
  <c r="C290"/>
  <c r="H290" s="1"/>
  <c r="Q288"/>
  <c r="T288"/>
  <c r="AC288" s="1"/>
  <c r="P288"/>
  <c r="X288" s="1"/>
  <c r="R288"/>
  <c r="S288"/>
  <c r="H283" i="34"/>
  <c r="J121"/>
  <c r="I283"/>
  <c r="L121"/>
  <c r="G586" i="35"/>
  <c r="K289"/>
  <c r="O289"/>
  <c r="U281" i="34"/>
  <c r="A278" i="23" s="1"/>
  <c r="A116"/>
  <c r="X584" i="35"/>
  <c r="AJ287"/>
  <c r="K585"/>
  <c r="V288"/>
  <c r="V585" s="1"/>
  <c r="AL120" i="34"/>
  <c r="K586" i="35" l="1"/>
  <c r="V289"/>
  <c r="V586" s="1"/>
  <c r="J283" i="34"/>
  <c r="U121"/>
  <c r="G587" i="35"/>
  <c r="O290"/>
  <c r="K290"/>
  <c r="J587"/>
  <c r="M290"/>
  <c r="I284" i="34"/>
  <c r="L122"/>
  <c r="F284"/>
  <c r="N122"/>
  <c r="U282"/>
  <c r="A279" i="23" s="1"/>
  <c r="A117"/>
  <c r="R289" i="35"/>
  <c r="Q289"/>
  <c r="S289"/>
  <c r="T289"/>
  <c r="AC289" s="1"/>
  <c r="P289"/>
  <c r="X289" s="1"/>
  <c r="H587"/>
  <c r="Z290"/>
  <c r="L290"/>
  <c r="G284" i="34"/>
  <c r="Y122"/>
  <c r="E119" i="23" s="1"/>
  <c r="K122" i="34"/>
  <c r="Q121"/>
  <c r="AI121" s="1"/>
  <c r="O118" i="23" s="1"/>
  <c r="P121" i="34"/>
  <c r="W283" s="1"/>
  <c r="C280" i="23" s="1"/>
  <c r="R121" i="34"/>
  <c r="S121"/>
  <c r="AB121" s="1"/>
  <c r="H118" i="23" s="1"/>
  <c r="O121" i="34"/>
  <c r="W121" s="1"/>
  <c r="C118" i="23" s="1"/>
  <c r="X585" i="35"/>
  <c r="AJ288"/>
  <c r="B291"/>
  <c r="G291" s="1"/>
  <c r="E291"/>
  <c r="J291" s="1"/>
  <c r="C291"/>
  <c r="H291" s="1"/>
  <c r="D291"/>
  <c r="I291" s="1"/>
  <c r="I588" s="1"/>
  <c r="A292"/>
  <c r="H284" i="34"/>
  <c r="J122"/>
  <c r="A124"/>
  <c r="D123"/>
  <c r="H123" s="1"/>
  <c r="E123"/>
  <c r="I123" s="1"/>
  <c r="B123"/>
  <c r="F123" s="1"/>
  <c r="C123"/>
  <c r="G123" s="1"/>
  <c r="AL121"/>
  <c r="A125" l="1"/>
  <c r="D124"/>
  <c r="H124" s="1"/>
  <c r="E124"/>
  <c r="I124" s="1"/>
  <c r="B124"/>
  <c r="F124" s="1"/>
  <c r="C124"/>
  <c r="G124" s="1"/>
  <c r="H285"/>
  <c r="J123"/>
  <c r="C292" i="35"/>
  <c r="H292" s="1"/>
  <c r="B292"/>
  <c r="G292" s="1"/>
  <c r="D292"/>
  <c r="I292" s="1"/>
  <c r="I589" s="1"/>
  <c r="E292"/>
  <c r="J292" s="1"/>
  <c r="A293"/>
  <c r="S290"/>
  <c r="R290"/>
  <c r="T290"/>
  <c r="AC290" s="1"/>
  <c r="Q290"/>
  <c r="P290"/>
  <c r="X290" s="1"/>
  <c r="I285" i="34"/>
  <c r="L123"/>
  <c r="J588" i="35"/>
  <c r="M291"/>
  <c r="K587"/>
  <c r="V290"/>
  <c r="V587" s="1"/>
  <c r="G285" i="34"/>
  <c r="K123"/>
  <c r="Y123"/>
  <c r="E120" i="23" s="1"/>
  <c r="Q122" i="34"/>
  <c r="AI122" s="1"/>
  <c r="O119" i="23" s="1"/>
  <c r="R122" i="34"/>
  <c r="S122"/>
  <c r="AB122" s="1"/>
  <c r="H119" i="23" s="1"/>
  <c r="O122" i="34"/>
  <c r="W122" s="1"/>
  <c r="C119" i="23" s="1"/>
  <c r="P122" i="34"/>
  <c r="W284" s="1"/>
  <c r="C281" i="23" s="1"/>
  <c r="G588" i="35"/>
  <c r="K291"/>
  <c r="O291"/>
  <c r="X586"/>
  <c r="AJ289"/>
  <c r="F285" i="34"/>
  <c r="N123"/>
  <c r="J284"/>
  <c r="U122"/>
  <c r="H588" i="35"/>
  <c r="Z291"/>
  <c r="L291"/>
  <c r="U283" i="34"/>
  <c r="A280" i="23" s="1"/>
  <c r="A118"/>
  <c r="AL122" i="34"/>
  <c r="K588" i="35" l="1"/>
  <c r="V291"/>
  <c r="V588" s="1"/>
  <c r="G589"/>
  <c r="K292"/>
  <c r="O292"/>
  <c r="Q123" i="34"/>
  <c r="AI123" s="1"/>
  <c r="O120" i="23" s="1"/>
  <c r="R123" i="34"/>
  <c r="S123"/>
  <c r="AB123" s="1"/>
  <c r="H120" i="23" s="1"/>
  <c r="O123" i="34"/>
  <c r="W123" s="1"/>
  <c r="C120" i="23" s="1"/>
  <c r="P123" i="34"/>
  <c r="W285" s="1"/>
  <c r="C282" i="23" s="1"/>
  <c r="J589" i="35"/>
  <c r="M292"/>
  <c r="J285" i="34"/>
  <c r="U123"/>
  <c r="I286"/>
  <c r="L124"/>
  <c r="X587" i="35"/>
  <c r="AJ290"/>
  <c r="G286" i="34"/>
  <c r="Y124"/>
  <c r="E121" i="23" s="1"/>
  <c r="K124" i="34"/>
  <c r="A126"/>
  <c r="D125"/>
  <c r="H125" s="1"/>
  <c r="E125"/>
  <c r="I125" s="1"/>
  <c r="C125"/>
  <c r="G125" s="1"/>
  <c r="B125"/>
  <c r="F125" s="1"/>
  <c r="T291" i="35"/>
  <c r="AC291" s="1"/>
  <c r="P291"/>
  <c r="X291" s="1"/>
  <c r="S291"/>
  <c r="Q291"/>
  <c r="R291"/>
  <c r="H286" i="34"/>
  <c r="J124"/>
  <c r="U284"/>
  <c r="A281" i="23" s="1"/>
  <c r="A119"/>
  <c r="A294" i="35"/>
  <c r="D293"/>
  <c r="I293" s="1"/>
  <c r="I590" s="1"/>
  <c r="C293"/>
  <c r="H293" s="1"/>
  <c r="E293"/>
  <c r="J293" s="1"/>
  <c r="B293"/>
  <c r="G293" s="1"/>
  <c r="L292"/>
  <c r="H589"/>
  <c r="Z292"/>
  <c r="F286" i="34"/>
  <c r="N124"/>
  <c r="AL123"/>
  <c r="Q124" l="1"/>
  <c r="AI124" s="1"/>
  <c r="O121" i="23" s="1"/>
  <c r="R124" i="34"/>
  <c r="O124"/>
  <c r="W124" s="1"/>
  <c r="C121" i="23" s="1"/>
  <c r="P124" i="34"/>
  <c r="W286" s="1"/>
  <c r="C283" i="23" s="1"/>
  <c r="S124" i="34"/>
  <c r="AB124" s="1"/>
  <c r="H121" i="23" s="1"/>
  <c r="J286" i="34"/>
  <c r="U124"/>
  <c r="G287"/>
  <c r="Y125"/>
  <c r="E122" i="23" s="1"/>
  <c r="K125" i="34"/>
  <c r="Q292" i="35"/>
  <c r="T292"/>
  <c r="AC292" s="1"/>
  <c r="P292"/>
  <c r="X292" s="1"/>
  <c r="S292"/>
  <c r="R292"/>
  <c r="H590"/>
  <c r="L293"/>
  <c r="Z293"/>
  <c r="F287" i="34"/>
  <c r="N125"/>
  <c r="A127"/>
  <c r="D126"/>
  <c r="H126" s="1"/>
  <c r="E126"/>
  <c r="I126" s="1"/>
  <c r="C126"/>
  <c r="G126" s="1"/>
  <c r="B126"/>
  <c r="F126" s="1"/>
  <c r="U285"/>
  <c r="A282" i="23" s="1"/>
  <c r="A120"/>
  <c r="J590" i="35"/>
  <c r="M293"/>
  <c r="H287" i="34"/>
  <c r="J125"/>
  <c r="X588" i="35"/>
  <c r="AJ291"/>
  <c r="G590"/>
  <c r="O293"/>
  <c r="K293"/>
  <c r="E294"/>
  <c r="J294" s="1"/>
  <c r="A295"/>
  <c r="D294"/>
  <c r="I294" s="1"/>
  <c r="I591" s="1"/>
  <c r="C294"/>
  <c r="H294" s="1"/>
  <c r="B294"/>
  <c r="G294" s="1"/>
  <c r="I287" i="34"/>
  <c r="L125"/>
  <c r="K589" i="35"/>
  <c r="V292"/>
  <c r="V589" s="1"/>
  <c r="AL124" i="34"/>
  <c r="X589" i="35" l="1"/>
  <c r="AJ292"/>
  <c r="R293"/>
  <c r="Q293"/>
  <c r="P293"/>
  <c r="X293" s="1"/>
  <c r="S293"/>
  <c r="T293"/>
  <c r="AC293" s="1"/>
  <c r="G591"/>
  <c r="O294"/>
  <c r="K294"/>
  <c r="J591"/>
  <c r="M294"/>
  <c r="F288" i="34"/>
  <c r="N126"/>
  <c r="A128"/>
  <c r="D127"/>
  <c r="H127" s="1"/>
  <c r="B127"/>
  <c r="F127" s="1"/>
  <c r="C127"/>
  <c r="G127" s="1"/>
  <c r="E127"/>
  <c r="I127" s="1"/>
  <c r="B295" i="35"/>
  <c r="G295" s="1"/>
  <c r="E295"/>
  <c r="J295" s="1"/>
  <c r="A296"/>
  <c r="C295"/>
  <c r="H295" s="1"/>
  <c r="D295"/>
  <c r="I295" s="1"/>
  <c r="I592" s="1"/>
  <c r="H288" i="34"/>
  <c r="J126"/>
  <c r="J287"/>
  <c r="U125"/>
  <c r="I288"/>
  <c r="L126"/>
  <c r="U286"/>
  <c r="A283" i="23" s="1"/>
  <c r="A121"/>
  <c r="H591" i="35"/>
  <c r="Z294"/>
  <c r="L294"/>
  <c r="K590"/>
  <c r="V293"/>
  <c r="V590" s="1"/>
  <c r="G288" i="34"/>
  <c r="Y126"/>
  <c r="E123" i="23" s="1"/>
  <c r="K126" i="34"/>
  <c r="Q125"/>
  <c r="AI125" s="1"/>
  <c r="O122" i="23" s="1"/>
  <c r="R125" i="34"/>
  <c r="S125"/>
  <c r="AB125" s="1"/>
  <c r="H122" i="23" s="1"/>
  <c r="P125" i="34"/>
  <c r="W287" s="1"/>
  <c r="C284" i="23" s="1"/>
  <c r="O125" i="34"/>
  <c r="W125" s="1"/>
  <c r="C122" i="23" s="1"/>
  <c r="AL125" i="34"/>
  <c r="C296" i="35" l="1"/>
  <c r="H296" s="1"/>
  <c r="B296"/>
  <c r="G296" s="1"/>
  <c r="A297"/>
  <c r="E296"/>
  <c r="J296" s="1"/>
  <c r="D296"/>
  <c r="I296" s="1"/>
  <c r="I593" s="1"/>
  <c r="X590"/>
  <c r="AJ293"/>
  <c r="H592"/>
  <c r="Z295"/>
  <c r="L295"/>
  <c r="J592"/>
  <c r="M295"/>
  <c r="F289" i="34"/>
  <c r="N127"/>
  <c r="S294" i="35"/>
  <c r="R294"/>
  <c r="P294"/>
  <c r="X294" s="1"/>
  <c r="Q294"/>
  <c r="T294"/>
  <c r="AC294" s="1"/>
  <c r="J288" i="34"/>
  <c r="U126"/>
  <c r="G289"/>
  <c r="Y127"/>
  <c r="E124" i="23" s="1"/>
  <c r="K127" i="34"/>
  <c r="Q126"/>
  <c r="AI126" s="1"/>
  <c r="O123" i="23" s="1"/>
  <c r="R126" i="34"/>
  <c r="P126"/>
  <c r="W288" s="1"/>
  <c r="C285" i="23" s="1"/>
  <c r="S126" i="34"/>
  <c r="AB126" s="1"/>
  <c r="H123" i="23" s="1"/>
  <c r="O126" i="34"/>
  <c r="W126" s="1"/>
  <c r="C123" i="23" s="1"/>
  <c r="K591" i="35"/>
  <c r="V294"/>
  <c r="V591" s="1"/>
  <c r="I289" i="34"/>
  <c r="L127"/>
  <c r="A129"/>
  <c r="D128"/>
  <c r="H128" s="1"/>
  <c r="B128"/>
  <c r="F128" s="1"/>
  <c r="E128"/>
  <c r="I128" s="1"/>
  <c r="C128"/>
  <c r="G128" s="1"/>
  <c r="U287"/>
  <c r="A284" i="23" s="1"/>
  <c r="A122"/>
  <c r="G592" i="35"/>
  <c r="K295"/>
  <c r="O295"/>
  <c r="H289" i="34"/>
  <c r="J127"/>
  <c r="AL126"/>
  <c r="Q127" l="1"/>
  <c r="AI127" s="1"/>
  <c r="O124" i="23" s="1"/>
  <c r="R127" i="34"/>
  <c r="S127"/>
  <c r="AB127" s="1"/>
  <c r="H124" i="23" s="1"/>
  <c r="O127" i="34"/>
  <c r="W127" s="1"/>
  <c r="C124" i="23" s="1"/>
  <c r="P127" i="34"/>
  <c r="W289" s="1"/>
  <c r="C286" i="23" s="1"/>
  <c r="G593" i="35"/>
  <c r="K296"/>
  <c r="O296"/>
  <c r="H290" i="34"/>
  <c r="J128"/>
  <c r="J289"/>
  <c r="U127"/>
  <c r="I290"/>
  <c r="L128"/>
  <c r="U288"/>
  <c r="A285" i="23" s="1"/>
  <c r="A123"/>
  <c r="L296" i="35"/>
  <c r="H593"/>
  <c r="Z296"/>
  <c r="K592"/>
  <c r="V295"/>
  <c r="V592" s="1"/>
  <c r="G290" i="34"/>
  <c r="Y128"/>
  <c r="E125" i="23" s="1"/>
  <c r="K128" i="34"/>
  <c r="A130"/>
  <c r="D129"/>
  <c r="H129" s="1"/>
  <c r="E129"/>
  <c r="I129" s="1"/>
  <c r="C129"/>
  <c r="G129" s="1"/>
  <c r="B129"/>
  <c r="F129" s="1"/>
  <c r="T295" i="35"/>
  <c r="AC295" s="1"/>
  <c r="P295"/>
  <c r="X295" s="1"/>
  <c r="S295"/>
  <c r="Q295"/>
  <c r="R295"/>
  <c r="X591"/>
  <c r="AJ294"/>
  <c r="A298"/>
  <c r="D297"/>
  <c r="I297" s="1"/>
  <c r="I594" s="1"/>
  <c r="C297"/>
  <c r="H297" s="1"/>
  <c r="B297"/>
  <c r="G297" s="1"/>
  <c r="E297"/>
  <c r="J297" s="1"/>
  <c r="F290" i="34"/>
  <c r="N128"/>
  <c r="J593" i="35"/>
  <c r="M296"/>
  <c r="AL127" i="34"/>
  <c r="H291" l="1"/>
  <c r="J129"/>
  <c r="K593" i="35"/>
  <c r="V296"/>
  <c r="V593" s="1"/>
  <c r="J594"/>
  <c r="M297"/>
  <c r="E298"/>
  <c r="J298" s="1"/>
  <c r="A299"/>
  <c r="D298"/>
  <c r="I298" s="1"/>
  <c r="I595" s="1"/>
  <c r="B298"/>
  <c r="G298" s="1"/>
  <c r="C298"/>
  <c r="H298" s="1"/>
  <c r="F291" i="34"/>
  <c r="N129"/>
  <c r="A131"/>
  <c r="D130"/>
  <c r="H130" s="1"/>
  <c r="E130"/>
  <c r="I130" s="1"/>
  <c r="B130"/>
  <c r="F130" s="1"/>
  <c r="C130"/>
  <c r="G130" s="1"/>
  <c r="J290"/>
  <c r="U128"/>
  <c r="Q128"/>
  <c r="AI128" s="1"/>
  <c r="O125" i="23" s="1"/>
  <c r="S128" i="34"/>
  <c r="AB128" s="1"/>
  <c r="H125" i="23" s="1"/>
  <c r="O128" i="34"/>
  <c r="W128" s="1"/>
  <c r="C125" i="23" s="1"/>
  <c r="P128" i="34"/>
  <c r="W290" s="1"/>
  <c r="C287" i="23" s="1"/>
  <c r="R128" i="34"/>
  <c r="H594" i="35"/>
  <c r="L297"/>
  <c r="Z297"/>
  <c r="I291" i="34"/>
  <c r="L129"/>
  <c r="G594" i="35"/>
  <c r="K297"/>
  <c r="O297"/>
  <c r="X592"/>
  <c r="AJ295"/>
  <c r="G291" i="34"/>
  <c r="Y129"/>
  <c r="E126" i="23" s="1"/>
  <c r="K129" i="34"/>
  <c r="U289"/>
  <c r="A286" i="23" s="1"/>
  <c r="A124"/>
  <c r="Q296" i="35"/>
  <c r="T296"/>
  <c r="AC296" s="1"/>
  <c r="P296"/>
  <c r="X296" s="1"/>
  <c r="R296"/>
  <c r="S296"/>
  <c r="AL128" i="34"/>
  <c r="G292" l="1"/>
  <c r="K130"/>
  <c r="Y130"/>
  <c r="E127" i="23" s="1"/>
  <c r="A132" i="34"/>
  <c r="D131"/>
  <c r="H131" s="1"/>
  <c r="B131"/>
  <c r="F131" s="1"/>
  <c r="E131"/>
  <c r="I131" s="1"/>
  <c r="C131"/>
  <c r="G131" s="1"/>
  <c r="G595" i="35"/>
  <c r="O298"/>
  <c r="K298"/>
  <c r="J291" i="34"/>
  <c r="U129"/>
  <c r="X593" i="35"/>
  <c r="AJ296"/>
  <c r="R297"/>
  <c r="Q297"/>
  <c r="S297"/>
  <c r="T297"/>
  <c r="AC297" s="1"/>
  <c r="P297"/>
  <c r="X297" s="1"/>
  <c r="F292" i="34"/>
  <c r="N130"/>
  <c r="Q129"/>
  <c r="AI129" s="1"/>
  <c r="O126" i="23" s="1"/>
  <c r="R129" i="34"/>
  <c r="S129"/>
  <c r="AB129" s="1"/>
  <c r="H126" i="23" s="1"/>
  <c r="P129" i="34"/>
  <c r="W291" s="1"/>
  <c r="C288" i="23" s="1"/>
  <c r="O129" i="34"/>
  <c r="W129" s="1"/>
  <c r="C126" i="23" s="1"/>
  <c r="H292" i="34"/>
  <c r="J130"/>
  <c r="H595" i="35"/>
  <c r="Z298"/>
  <c r="L298"/>
  <c r="J595"/>
  <c r="M298"/>
  <c r="K594"/>
  <c r="V297"/>
  <c r="V594" s="1"/>
  <c r="U290" i="34"/>
  <c r="A287" i="23" s="1"/>
  <c r="A125"/>
  <c r="I292" i="34"/>
  <c r="L130"/>
  <c r="B299" i="35"/>
  <c r="G299" s="1"/>
  <c r="E299"/>
  <c r="J299" s="1"/>
  <c r="C299"/>
  <c r="H299" s="1"/>
  <c r="D299"/>
  <c r="I299" s="1"/>
  <c r="I596" s="1"/>
  <c r="A300"/>
  <c r="AL129" i="34"/>
  <c r="J596" i="35" l="1"/>
  <c r="M299"/>
  <c r="Q130" i="34"/>
  <c r="AI130" s="1"/>
  <c r="O127" i="23" s="1"/>
  <c r="R130" i="34"/>
  <c r="P130"/>
  <c r="W292" s="1"/>
  <c r="C289" i="23" s="1"/>
  <c r="S130" i="34"/>
  <c r="AB130" s="1"/>
  <c r="H127" i="23" s="1"/>
  <c r="O130" i="34"/>
  <c r="W130" s="1"/>
  <c r="C127" i="23" s="1"/>
  <c r="F293" i="34"/>
  <c r="N131"/>
  <c r="H596" i="35"/>
  <c r="Z299"/>
  <c r="L299"/>
  <c r="K595"/>
  <c r="V298"/>
  <c r="V595" s="1"/>
  <c r="C300"/>
  <c r="H300" s="1"/>
  <c r="B300"/>
  <c r="G300" s="1"/>
  <c r="D300"/>
  <c r="I300" s="1"/>
  <c r="I597" s="1"/>
  <c r="E300"/>
  <c r="J300" s="1"/>
  <c r="A301"/>
  <c r="G596"/>
  <c r="K299"/>
  <c r="O299"/>
  <c r="J292" i="34"/>
  <c r="U130"/>
  <c r="U291"/>
  <c r="A288" i="23" s="1"/>
  <c r="A126"/>
  <c r="H293" i="34"/>
  <c r="J131"/>
  <c r="X594" i="35"/>
  <c r="AJ297"/>
  <c r="S298"/>
  <c r="R298"/>
  <c r="T298"/>
  <c r="AC298" s="1"/>
  <c r="P298"/>
  <c r="X298" s="1"/>
  <c r="Q298"/>
  <c r="I293" i="34"/>
  <c r="L131"/>
  <c r="G293"/>
  <c r="K131"/>
  <c r="Y131"/>
  <c r="E128" i="23" s="1"/>
  <c r="A133" i="34"/>
  <c r="D132"/>
  <c r="H132" s="1"/>
  <c r="E132"/>
  <c r="I132" s="1"/>
  <c r="B132"/>
  <c r="F132" s="1"/>
  <c r="C132"/>
  <c r="G132" s="1"/>
  <c r="AL130"/>
  <c r="X595" i="35" l="1"/>
  <c r="AJ298"/>
  <c r="A302"/>
  <c r="D301"/>
  <c r="I301" s="1"/>
  <c r="I598" s="1"/>
  <c r="C301"/>
  <c r="H301" s="1"/>
  <c r="E301"/>
  <c r="J301" s="1"/>
  <c r="B301"/>
  <c r="G301" s="1"/>
  <c r="G294" i="34"/>
  <c r="K132"/>
  <c r="Y132"/>
  <c r="E129" i="23" s="1"/>
  <c r="A134" i="34"/>
  <c r="D133"/>
  <c r="H133" s="1"/>
  <c r="B133"/>
  <c r="F133" s="1"/>
  <c r="C133"/>
  <c r="G133" s="1"/>
  <c r="E133"/>
  <c r="I133" s="1"/>
  <c r="K596" i="35"/>
  <c r="V299"/>
  <c r="V596" s="1"/>
  <c r="Q131" i="34"/>
  <c r="AI131" s="1"/>
  <c r="O128" i="23" s="1"/>
  <c r="R131" i="34"/>
  <c r="O131"/>
  <c r="W131" s="1"/>
  <c r="C128" i="23" s="1"/>
  <c r="S131" i="34"/>
  <c r="AB131" s="1"/>
  <c r="H128" i="23" s="1"/>
  <c r="P131" i="34"/>
  <c r="W293" s="1"/>
  <c r="C290" i="23" s="1"/>
  <c r="H294" i="34"/>
  <c r="J132"/>
  <c r="T299" i="35"/>
  <c r="AC299" s="1"/>
  <c r="P299"/>
  <c r="X299" s="1"/>
  <c r="S299"/>
  <c r="R299"/>
  <c r="Q299"/>
  <c r="J597"/>
  <c r="M300"/>
  <c r="I294" i="34"/>
  <c r="L132"/>
  <c r="L300" i="35"/>
  <c r="H597"/>
  <c r="Z300"/>
  <c r="F294" i="34"/>
  <c r="N132"/>
  <c r="J293"/>
  <c r="U131"/>
  <c r="U292"/>
  <c r="A289" i="23" s="1"/>
  <c r="A127"/>
  <c r="G597" i="35"/>
  <c r="K300"/>
  <c r="O300"/>
  <c r="AL131" i="34"/>
  <c r="J598" i="35" l="1"/>
  <c r="M301"/>
  <c r="X596"/>
  <c r="AJ299"/>
  <c r="I295" i="34"/>
  <c r="L133"/>
  <c r="A135"/>
  <c r="D134"/>
  <c r="H134" s="1"/>
  <c r="B134"/>
  <c r="F134" s="1"/>
  <c r="C134"/>
  <c r="G134" s="1"/>
  <c r="E134"/>
  <c r="I134" s="1"/>
  <c r="G598" i="35"/>
  <c r="O301"/>
  <c r="K301"/>
  <c r="E302"/>
  <c r="J302" s="1"/>
  <c r="A303"/>
  <c r="D302"/>
  <c r="I302" s="1"/>
  <c r="I599" s="1"/>
  <c r="B302"/>
  <c r="G302" s="1"/>
  <c r="C302"/>
  <c r="H302" s="1"/>
  <c r="Q300"/>
  <c r="T300"/>
  <c r="AC300" s="1"/>
  <c r="P300"/>
  <c r="X300" s="1"/>
  <c r="R300"/>
  <c r="S300"/>
  <c r="F295" i="34"/>
  <c r="N133"/>
  <c r="H598" i="35"/>
  <c r="L301"/>
  <c r="Z301"/>
  <c r="Q132" i="34"/>
  <c r="AI132" s="1"/>
  <c r="O129" i="23" s="1"/>
  <c r="R132" i="34"/>
  <c r="S132"/>
  <c r="AB132" s="1"/>
  <c r="H129" i="23" s="1"/>
  <c r="O132" i="34"/>
  <c r="W132" s="1"/>
  <c r="C129" i="23" s="1"/>
  <c r="P132" i="34"/>
  <c r="W294" s="1"/>
  <c r="C291" i="23" s="1"/>
  <c r="G295" i="34"/>
  <c r="K133"/>
  <c r="Y133"/>
  <c r="E130" i="23" s="1"/>
  <c r="K597" i="35"/>
  <c r="V300"/>
  <c r="V597" s="1"/>
  <c r="U293" i="34"/>
  <c r="A290" i="23" s="1"/>
  <c r="A128"/>
  <c r="J294" i="34"/>
  <c r="U132"/>
  <c r="H295"/>
  <c r="J133"/>
  <c r="AL132"/>
  <c r="K598" i="35" l="1"/>
  <c r="V301"/>
  <c r="V598" s="1"/>
  <c r="G296" i="34"/>
  <c r="K134"/>
  <c r="Y134"/>
  <c r="E131" i="23" s="1"/>
  <c r="J599" i="35"/>
  <c r="M302"/>
  <c r="J295" i="34"/>
  <c r="U133"/>
  <c r="R301" i="35"/>
  <c r="Q301"/>
  <c r="P301"/>
  <c r="X301" s="1"/>
  <c r="T301"/>
  <c r="AC301" s="1"/>
  <c r="S301"/>
  <c r="F296" i="34"/>
  <c r="N134"/>
  <c r="Q133"/>
  <c r="AI133" s="1"/>
  <c r="O130" i="23" s="1"/>
  <c r="S133" i="34"/>
  <c r="AB133" s="1"/>
  <c r="H130" i="23" s="1"/>
  <c r="O133" i="34"/>
  <c r="W133" s="1"/>
  <c r="C130" i="23" s="1"/>
  <c r="P133" i="34"/>
  <c r="W295" s="1"/>
  <c r="C292" i="23" s="1"/>
  <c r="R133" i="34"/>
  <c r="G599" i="35"/>
  <c r="O302"/>
  <c r="K302"/>
  <c r="U294" i="34"/>
  <c r="A291" i="23" s="1"/>
  <c r="A129"/>
  <c r="H599" i="35"/>
  <c r="Z302"/>
  <c r="L302"/>
  <c r="I296" i="34"/>
  <c r="L134"/>
  <c r="A136"/>
  <c r="D135"/>
  <c r="H135" s="1"/>
  <c r="E135"/>
  <c r="I135" s="1"/>
  <c r="C135"/>
  <c r="G135" s="1"/>
  <c r="B135"/>
  <c r="F135" s="1"/>
  <c r="X597" i="35"/>
  <c r="AJ300"/>
  <c r="B303"/>
  <c r="G303" s="1"/>
  <c r="E303"/>
  <c r="J303" s="1"/>
  <c r="A304"/>
  <c r="D303"/>
  <c r="I303" s="1"/>
  <c r="I600" s="1"/>
  <c r="C303"/>
  <c r="H303" s="1"/>
  <c r="H296" i="34"/>
  <c r="J134"/>
  <c r="AL133"/>
  <c r="I297" l="1"/>
  <c r="L135"/>
  <c r="G600" i="35"/>
  <c r="K303"/>
  <c r="O303"/>
  <c r="S302"/>
  <c r="R302"/>
  <c r="P302"/>
  <c r="X302" s="1"/>
  <c r="Q302"/>
  <c r="T302"/>
  <c r="AC302" s="1"/>
  <c r="J296" i="34"/>
  <c r="U134"/>
  <c r="C304" i="35"/>
  <c r="H304" s="1"/>
  <c r="B304"/>
  <c r="G304" s="1"/>
  <c r="A305"/>
  <c r="D304"/>
  <c r="I304" s="1"/>
  <c r="I601" s="1"/>
  <c r="E304"/>
  <c r="J304" s="1"/>
  <c r="H297" i="34"/>
  <c r="J135"/>
  <c r="U295"/>
  <c r="A292" i="23" s="1"/>
  <c r="A130"/>
  <c r="X598" i="35"/>
  <c r="AJ301"/>
  <c r="H600"/>
  <c r="Z303"/>
  <c r="L303"/>
  <c r="G297" i="34"/>
  <c r="Y135"/>
  <c r="E132" i="23" s="1"/>
  <c r="K135" i="34"/>
  <c r="J600" i="35"/>
  <c r="M303"/>
  <c r="F297" i="34"/>
  <c r="N135"/>
  <c r="A137"/>
  <c r="D136"/>
  <c r="H136" s="1"/>
  <c r="E136"/>
  <c r="I136" s="1"/>
  <c r="B136"/>
  <c r="F136" s="1"/>
  <c r="C136"/>
  <c r="G136" s="1"/>
  <c r="K599" i="35"/>
  <c r="V302"/>
  <c r="V599" s="1"/>
  <c r="Q134" i="34"/>
  <c r="AI134" s="1"/>
  <c r="O131" i="23" s="1"/>
  <c r="S134" i="34"/>
  <c r="AB134" s="1"/>
  <c r="H131" i="23" s="1"/>
  <c r="R134" i="34"/>
  <c r="O134"/>
  <c r="W134" s="1"/>
  <c r="C131" i="23" s="1"/>
  <c r="P134" i="34"/>
  <c r="W296" s="1"/>
  <c r="C293" i="23" s="1"/>
  <c r="AL134" i="34"/>
  <c r="J601" i="35" l="1"/>
  <c r="M304"/>
  <c r="L304"/>
  <c r="H601"/>
  <c r="Z304"/>
  <c r="H298" i="34"/>
  <c r="J136"/>
  <c r="J297"/>
  <c r="U135"/>
  <c r="A306" i="35"/>
  <c r="D305"/>
  <c r="I305" s="1"/>
  <c r="I602" s="1"/>
  <c r="C305"/>
  <c r="H305" s="1"/>
  <c r="B305"/>
  <c r="G305" s="1"/>
  <c r="E305"/>
  <c r="J305" s="1"/>
  <c r="F298" i="34"/>
  <c r="N136"/>
  <c r="Q135"/>
  <c r="AI135" s="1"/>
  <c r="O132" i="23" s="1"/>
  <c r="R135" i="34"/>
  <c r="P135"/>
  <c r="W297" s="1"/>
  <c r="C294" i="23" s="1"/>
  <c r="S135" i="34"/>
  <c r="AB135" s="1"/>
  <c r="H132" i="23" s="1"/>
  <c r="O135" i="34"/>
  <c r="W135" s="1"/>
  <c r="C132" i="23" s="1"/>
  <c r="T303" i="35"/>
  <c r="AC303" s="1"/>
  <c r="P303"/>
  <c r="X303" s="1"/>
  <c r="S303"/>
  <c r="Q303"/>
  <c r="R303"/>
  <c r="G298" i="34"/>
  <c r="Y136"/>
  <c r="E133" i="23" s="1"/>
  <c r="K136" i="34"/>
  <c r="A138"/>
  <c r="D137"/>
  <c r="H137" s="1"/>
  <c r="B137"/>
  <c r="F137" s="1"/>
  <c r="E137"/>
  <c r="I137" s="1"/>
  <c r="C137"/>
  <c r="G137" s="1"/>
  <c r="G601" i="35"/>
  <c r="K304"/>
  <c r="O304"/>
  <c r="X599"/>
  <c r="AJ302"/>
  <c r="I298" i="34"/>
  <c r="L136"/>
  <c r="U296"/>
  <c r="A293" i="23" s="1"/>
  <c r="A131"/>
  <c r="K600" i="35"/>
  <c r="V303"/>
  <c r="V600" s="1"/>
  <c r="AL135" i="34"/>
  <c r="Q304" i="35" l="1"/>
  <c r="T304"/>
  <c r="AC304" s="1"/>
  <c r="P304"/>
  <c r="X304" s="1"/>
  <c r="R304"/>
  <c r="S304"/>
  <c r="I299" i="34"/>
  <c r="L137"/>
  <c r="G602" i="35"/>
  <c r="K305"/>
  <c r="O305"/>
  <c r="U297" i="34"/>
  <c r="A294" i="23" s="1"/>
  <c r="A132"/>
  <c r="E306" i="35"/>
  <c r="J306" s="1"/>
  <c r="A307"/>
  <c r="D306"/>
  <c r="I306" s="1"/>
  <c r="I603" s="1"/>
  <c r="B306"/>
  <c r="G306" s="1"/>
  <c r="C306"/>
  <c r="H306" s="1"/>
  <c r="H299" i="34"/>
  <c r="J137"/>
  <c r="J298"/>
  <c r="U136"/>
  <c r="G299"/>
  <c r="Y137"/>
  <c r="E134" i="23" s="1"/>
  <c r="K137" i="34"/>
  <c r="A139"/>
  <c r="D138"/>
  <c r="H138" s="1"/>
  <c r="E138"/>
  <c r="I138" s="1"/>
  <c r="B138"/>
  <c r="F138" s="1"/>
  <c r="C138"/>
  <c r="G138" s="1"/>
  <c r="J602" i="35"/>
  <c r="M305"/>
  <c r="K601"/>
  <c r="V304"/>
  <c r="V601" s="1"/>
  <c r="F299" i="34"/>
  <c r="N137"/>
  <c r="X600" i="35"/>
  <c r="AJ303"/>
  <c r="Q136" i="34"/>
  <c r="AI136" s="1"/>
  <c r="O133" i="23" s="1"/>
  <c r="S136" i="34"/>
  <c r="AB136" s="1"/>
  <c r="H133" i="23" s="1"/>
  <c r="P136" i="34"/>
  <c r="W298" s="1"/>
  <c r="C295" i="23" s="1"/>
  <c r="R136" i="34"/>
  <c r="O136"/>
  <c r="W136" s="1"/>
  <c r="C133" i="23" s="1"/>
  <c r="H602" i="35"/>
  <c r="L305"/>
  <c r="Z305"/>
  <c r="AL136" i="34"/>
  <c r="A140" l="1"/>
  <c r="D139"/>
  <c r="H139" s="1"/>
  <c r="B139"/>
  <c r="F139" s="1"/>
  <c r="C139"/>
  <c r="G139" s="1"/>
  <c r="E139"/>
  <c r="I139" s="1"/>
  <c r="U298"/>
  <c r="A295" i="23" s="1"/>
  <c r="A133"/>
  <c r="J603" i="35"/>
  <c r="M306"/>
  <c r="X601"/>
  <c r="AJ304"/>
  <c r="Q137" i="34"/>
  <c r="AI137" s="1"/>
  <c r="O134" i="23" s="1"/>
  <c r="S137" i="34"/>
  <c r="AB137" s="1"/>
  <c r="H134" i="23" s="1"/>
  <c r="O137" i="34"/>
  <c r="W137" s="1"/>
  <c r="C134" i="23" s="1"/>
  <c r="R137" i="34"/>
  <c r="P137"/>
  <c r="W299" s="1"/>
  <c r="C296" i="23" s="1"/>
  <c r="I300" i="34"/>
  <c r="L138"/>
  <c r="J299"/>
  <c r="U137"/>
  <c r="G300"/>
  <c r="Y138"/>
  <c r="E135" i="23" s="1"/>
  <c r="K138" i="34"/>
  <c r="H603" i="35"/>
  <c r="Z306"/>
  <c r="L306"/>
  <c r="K602"/>
  <c r="V305"/>
  <c r="V602" s="1"/>
  <c r="H300" i="34"/>
  <c r="J138"/>
  <c r="B307" i="35"/>
  <c r="G307" s="1"/>
  <c r="E307"/>
  <c r="J307" s="1"/>
  <c r="C307"/>
  <c r="H307" s="1"/>
  <c r="D307"/>
  <c r="I307" s="1"/>
  <c r="I604" s="1"/>
  <c r="A308"/>
  <c r="R305"/>
  <c r="Q305"/>
  <c r="S305"/>
  <c r="T305"/>
  <c r="AC305" s="1"/>
  <c r="P305"/>
  <c r="X305" s="1"/>
  <c r="F300" i="34"/>
  <c r="N138"/>
  <c r="G603" i="35"/>
  <c r="O306"/>
  <c r="K306"/>
  <c r="AL137" i="34"/>
  <c r="Q138" l="1"/>
  <c r="AI138" s="1"/>
  <c r="O135" i="23" s="1"/>
  <c r="O138" i="34"/>
  <c r="W138" s="1"/>
  <c r="C135" i="23" s="1"/>
  <c r="P138" i="34"/>
  <c r="W300" s="1"/>
  <c r="C297" i="23" s="1"/>
  <c r="R138" i="34"/>
  <c r="S138"/>
  <c r="AB138" s="1"/>
  <c r="H135" i="23" s="1"/>
  <c r="C308" i="35"/>
  <c r="H308" s="1"/>
  <c r="B308"/>
  <c r="G308" s="1"/>
  <c r="D308"/>
  <c r="I308" s="1"/>
  <c r="I605" s="1"/>
  <c r="E308"/>
  <c r="J308" s="1"/>
  <c r="A309"/>
  <c r="F301" i="34"/>
  <c r="N139"/>
  <c r="S306" i="35"/>
  <c r="R306"/>
  <c r="T306"/>
  <c r="AC306" s="1"/>
  <c r="Q306"/>
  <c r="P306"/>
  <c r="X306" s="1"/>
  <c r="K603"/>
  <c r="V306"/>
  <c r="V603" s="1"/>
  <c r="H604"/>
  <c r="Z307"/>
  <c r="L307"/>
  <c r="I301" i="34"/>
  <c r="L139"/>
  <c r="A141"/>
  <c r="C140"/>
  <c r="G140" s="1"/>
  <c r="D140"/>
  <c r="H140" s="1"/>
  <c r="E140"/>
  <c r="I140" s="1"/>
  <c r="B140"/>
  <c r="F140" s="1"/>
  <c r="X602" i="35"/>
  <c r="AJ305"/>
  <c r="J300" i="34"/>
  <c r="U138"/>
  <c r="H301"/>
  <c r="J139"/>
  <c r="G604" i="35"/>
  <c r="K307"/>
  <c r="O307"/>
  <c r="J604"/>
  <c r="M307"/>
  <c r="U299" i="34"/>
  <c r="A296" i="23" s="1"/>
  <c r="A134"/>
  <c r="G301" i="34"/>
  <c r="K139"/>
  <c r="Y139"/>
  <c r="E136" i="23" s="1"/>
  <c r="AL138" i="34"/>
  <c r="G302" l="1"/>
  <c r="Y140"/>
  <c r="E137" i="23" s="1"/>
  <c r="K140" i="34"/>
  <c r="H302"/>
  <c r="J140"/>
  <c r="K604" i="35"/>
  <c r="V307"/>
  <c r="V604" s="1"/>
  <c r="U300" i="34"/>
  <c r="A297" i="23" s="1"/>
  <c r="A135"/>
  <c r="F302" i="34"/>
  <c r="N140"/>
  <c r="A142"/>
  <c r="D141"/>
  <c r="H141" s="1"/>
  <c r="E141"/>
  <c r="I141" s="1"/>
  <c r="C141"/>
  <c r="G141" s="1"/>
  <c r="B141"/>
  <c r="F141" s="1"/>
  <c r="X603" i="35"/>
  <c r="AJ306"/>
  <c r="J605"/>
  <c r="M308"/>
  <c r="T307"/>
  <c r="AC307" s="1"/>
  <c r="P307"/>
  <c r="X307" s="1"/>
  <c r="S307"/>
  <c r="Q307"/>
  <c r="R307"/>
  <c r="A310"/>
  <c r="D309"/>
  <c r="I309" s="1"/>
  <c r="I606" s="1"/>
  <c r="C309"/>
  <c r="H309" s="1"/>
  <c r="E309"/>
  <c r="J309" s="1"/>
  <c r="B309"/>
  <c r="G309" s="1"/>
  <c r="L308"/>
  <c r="H605"/>
  <c r="Z308"/>
  <c r="J301" i="34"/>
  <c r="U139"/>
  <c r="G605" i="35"/>
  <c r="K308"/>
  <c r="O308"/>
  <c r="I302" i="34"/>
  <c r="L140"/>
  <c r="Q139"/>
  <c r="AI139" s="1"/>
  <c r="O136" i="23" s="1"/>
  <c r="S139" i="34"/>
  <c r="AB139" s="1"/>
  <c r="H136" i="23" s="1"/>
  <c r="O139" i="34"/>
  <c r="W139" s="1"/>
  <c r="C136" i="23" s="1"/>
  <c r="P139" i="34"/>
  <c r="W301" s="1"/>
  <c r="C298" i="23" s="1"/>
  <c r="R139" i="34"/>
  <c r="AL139"/>
  <c r="H606" i="35" l="1"/>
  <c r="L309"/>
  <c r="Z309"/>
  <c r="K605"/>
  <c r="V308"/>
  <c r="V605" s="1"/>
  <c r="J606"/>
  <c r="M309"/>
  <c r="H303" i="34"/>
  <c r="J141"/>
  <c r="J302"/>
  <c r="U140"/>
  <c r="Q308" i="35"/>
  <c r="T308"/>
  <c r="AC308" s="1"/>
  <c r="P308"/>
  <c r="X308" s="1"/>
  <c r="S308"/>
  <c r="R308"/>
  <c r="G606"/>
  <c r="O309"/>
  <c r="K309"/>
  <c r="E310"/>
  <c r="J310" s="1"/>
  <c r="A311"/>
  <c r="D310"/>
  <c r="I310" s="1"/>
  <c r="I607" s="1"/>
  <c r="C310"/>
  <c r="H310" s="1"/>
  <c r="B310"/>
  <c r="G310" s="1"/>
  <c r="I303" i="34"/>
  <c r="L141"/>
  <c r="U301"/>
  <c r="A298" i="23" s="1"/>
  <c r="A136"/>
  <c r="X604" i="35"/>
  <c r="AJ307"/>
  <c r="G303" i="34"/>
  <c r="Y141"/>
  <c r="E138" i="23" s="1"/>
  <c r="K141" i="34"/>
  <c r="R140"/>
  <c r="P140"/>
  <c r="W302" s="1"/>
  <c r="C299" i="23" s="1"/>
  <c r="Q140" i="34"/>
  <c r="AI140" s="1"/>
  <c r="O137" i="23" s="1"/>
  <c r="S140" i="34"/>
  <c r="AB140" s="1"/>
  <c r="H137" i="23" s="1"/>
  <c r="O140" i="34"/>
  <c r="W140" s="1"/>
  <c r="C137" i="23" s="1"/>
  <c r="F303" i="34"/>
  <c r="N141"/>
  <c r="A143"/>
  <c r="D142"/>
  <c r="H142" s="1"/>
  <c r="E142"/>
  <c r="I142" s="1"/>
  <c r="B142"/>
  <c r="F142" s="1"/>
  <c r="C142"/>
  <c r="G142" s="1"/>
  <c r="AL140"/>
  <c r="F304" l="1"/>
  <c r="N142"/>
  <c r="Q141"/>
  <c r="AI141" s="1"/>
  <c r="O138" i="23" s="1"/>
  <c r="R141" i="34"/>
  <c r="S141"/>
  <c r="AB141" s="1"/>
  <c r="H138" i="23" s="1"/>
  <c r="O141" i="34"/>
  <c r="W141" s="1"/>
  <c r="C138" i="23" s="1"/>
  <c r="P141" i="34"/>
  <c r="W303" s="1"/>
  <c r="C300" i="23" s="1"/>
  <c r="G607" i="35"/>
  <c r="O310"/>
  <c r="K310"/>
  <c r="J607"/>
  <c r="M310"/>
  <c r="G304" i="34"/>
  <c r="Y142"/>
  <c r="E139" i="23" s="1"/>
  <c r="K142" i="34"/>
  <c r="A144"/>
  <c r="D143"/>
  <c r="H143" s="1"/>
  <c r="E143"/>
  <c r="I143" s="1"/>
  <c r="B143"/>
  <c r="F143" s="1"/>
  <c r="C143"/>
  <c r="G143" s="1"/>
  <c r="B311" i="35"/>
  <c r="G311" s="1"/>
  <c r="E311"/>
  <c r="J311" s="1"/>
  <c r="A312"/>
  <c r="C311"/>
  <c r="H311" s="1"/>
  <c r="D311"/>
  <c r="I311" s="1"/>
  <c r="I608" s="1"/>
  <c r="J303" i="34"/>
  <c r="U141"/>
  <c r="H304"/>
  <c r="J142"/>
  <c r="R309" i="35"/>
  <c r="Q309"/>
  <c r="P309"/>
  <c r="X309" s="1"/>
  <c r="S309"/>
  <c r="T309"/>
  <c r="AC309" s="1"/>
  <c r="I304" i="34"/>
  <c r="L142"/>
  <c r="H607" i="35"/>
  <c r="Z310"/>
  <c r="L310"/>
  <c r="K606"/>
  <c r="V309"/>
  <c r="V606" s="1"/>
  <c r="X605"/>
  <c r="AJ308"/>
  <c r="U302" i="34"/>
  <c r="A299" i="23" s="1"/>
  <c r="A137"/>
  <c r="AL141" i="34"/>
  <c r="H608" i="35" l="1"/>
  <c r="Z311"/>
  <c r="L311"/>
  <c r="G305" i="34"/>
  <c r="Y143"/>
  <c r="E140" i="23" s="1"/>
  <c r="K143" i="34"/>
  <c r="A145"/>
  <c r="D144"/>
  <c r="H144" s="1"/>
  <c r="C144"/>
  <c r="G144" s="1"/>
  <c r="E144"/>
  <c r="I144" s="1"/>
  <c r="B144"/>
  <c r="F144" s="1"/>
  <c r="X606" i="35"/>
  <c r="AJ309"/>
  <c r="J304" i="34"/>
  <c r="U142"/>
  <c r="G608" i="35"/>
  <c r="K311"/>
  <c r="O311"/>
  <c r="H305" i="34"/>
  <c r="J143"/>
  <c r="S310" i="35"/>
  <c r="R310"/>
  <c r="P310"/>
  <c r="X310" s="1"/>
  <c r="Q310"/>
  <c r="T310"/>
  <c r="AC310" s="1"/>
  <c r="J608"/>
  <c r="M311"/>
  <c r="I305" i="34"/>
  <c r="L143"/>
  <c r="K607" i="35"/>
  <c r="V310"/>
  <c r="V607" s="1"/>
  <c r="Q142" i="34"/>
  <c r="AI142" s="1"/>
  <c r="O139" i="23" s="1"/>
  <c r="R142" i="34"/>
  <c r="S142"/>
  <c r="AB142" s="1"/>
  <c r="H139" i="23" s="1"/>
  <c r="O142" i="34"/>
  <c r="W142" s="1"/>
  <c r="C139" i="23" s="1"/>
  <c r="P142" i="34"/>
  <c r="W304" s="1"/>
  <c r="C301" i="23" s="1"/>
  <c r="U303" i="34"/>
  <c r="A300" i="23" s="1"/>
  <c r="A138"/>
  <c r="C312" i="35"/>
  <c r="H312" s="1"/>
  <c r="B312"/>
  <c r="G312" s="1"/>
  <c r="A313"/>
  <c r="E312"/>
  <c r="J312" s="1"/>
  <c r="D312"/>
  <c r="I312" s="1"/>
  <c r="I609" s="1"/>
  <c r="F305" i="34"/>
  <c r="N143"/>
  <c r="AL142"/>
  <c r="G609" i="35" l="1"/>
  <c r="K312"/>
  <c r="O312"/>
  <c r="J305" i="34"/>
  <c r="U143"/>
  <c r="H306"/>
  <c r="J144"/>
  <c r="Q143"/>
  <c r="AI143" s="1"/>
  <c r="O140" i="23" s="1"/>
  <c r="R143" i="34"/>
  <c r="O143"/>
  <c r="W143" s="1"/>
  <c r="C140" i="23" s="1"/>
  <c r="P143" i="34"/>
  <c r="W305" s="1"/>
  <c r="C302" i="23" s="1"/>
  <c r="S143" i="34"/>
  <c r="AB143" s="1"/>
  <c r="H140" i="23" s="1"/>
  <c r="A314" i="35"/>
  <c r="D313"/>
  <c r="I313" s="1"/>
  <c r="I610" s="1"/>
  <c r="C313"/>
  <c r="H313" s="1"/>
  <c r="B313"/>
  <c r="G313" s="1"/>
  <c r="E313"/>
  <c r="J313" s="1"/>
  <c r="X607"/>
  <c r="AJ310"/>
  <c r="K608"/>
  <c r="V311"/>
  <c r="V608" s="1"/>
  <c r="G306" i="34"/>
  <c r="Y144"/>
  <c r="E141" i="23" s="1"/>
  <c r="K144" i="34"/>
  <c r="J609" i="35"/>
  <c r="M312"/>
  <c r="T311"/>
  <c r="AC311" s="1"/>
  <c r="P311"/>
  <c r="X311" s="1"/>
  <c r="S311"/>
  <c r="Q311"/>
  <c r="R311"/>
  <c r="I306" i="34"/>
  <c r="L144"/>
  <c r="L312" i="35"/>
  <c r="H609"/>
  <c r="Z312"/>
  <c r="U304" i="34"/>
  <c r="A301" i="23" s="1"/>
  <c r="A139"/>
  <c r="F306" i="34"/>
  <c r="N144"/>
  <c r="A146"/>
  <c r="D145"/>
  <c r="H145" s="1"/>
  <c r="E145"/>
  <c r="I145" s="1"/>
  <c r="B145"/>
  <c r="F145" s="1"/>
  <c r="C145"/>
  <c r="G145" s="1"/>
  <c r="AL143"/>
  <c r="F307" l="1"/>
  <c r="N145"/>
  <c r="Q144"/>
  <c r="AI144" s="1"/>
  <c r="O141" i="23" s="1"/>
  <c r="P144" i="34"/>
  <c r="W306" s="1"/>
  <c r="C303" i="23" s="1"/>
  <c r="R144" i="34"/>
  <c r="S144"/>
  <c r="AB144" s="1"/>
  <c r="H141" i="23" s="1"/>
  <c r="O144" i="34"/>
  <c r="W144" s="1"/>
  <c r="C141" i="23" s="1"/>
  <c r="G610" i="35"/>
  <c r="K313"/>
  <c r="O313"/>
  <c r="G307" i="34"/>
  <c r="Y145"/>
  <c r="E142" i="23" s="1"/>
  <c r="K145" i="34"/>
  <c r="A147"/>
  <c r="E146"/>
  <c r="I146" s="1"/>
  <c r="B146"/>
  <c r="F146" s="1"/>
  <c r="C146"/>
  <c r="G146" s="1"/>
  <c r="D146"/>
  <c r="H146" s="1"/>
  <c r="X608" i="35"/>
  <c r="AJ311"/>
  <c r="J610"/>
  <c r="M313"/>
  <c r="E314"/>
  <c r="J314" s="1"/>
  <c r="A315"/>
  <c r="D314"/>
  <c r="I314" s="1"/>
  <c r="I611" s="1"/>
  <c r="B314"/>
  <c r="G314" s="1"/>
  <c r="C314"/>
  <c r="H314" s="1"/>
  <c r="U305" i="34"/>
  <c r="A302" i="23" s="1"/>
  <c r="A140"/>
  <c r="H307" i="34"/>
  <c r="J145"/>
  <c r="K609" i="35"/>
  <c r="V312"/>
  <c r="V609" s="1"/>
  <c r="I307" i="34"/>
  <c r="L145"/>
  <c r="H610" i="35"/>
  <c r="L313"/>
  <c r="Z313"/>
  <c r="J306" i="34"/>
  <c r="U144"/>
  <c r="Q312" i="35"/>
  <c r="T312"/>
  <c r="AC312" s="1"/>
  <c r="P312"/>
  <c r="X312" s="1"/>
  <c r="R312"/>
  <c r="S312"/>
  <c r="AL144" i="34"/>
  <c r="U306" l="1"/>
  <c r="A303" i="23" s="1"/>
  <c r="A141"/>
  <c r="B315" i="35"/>
  <c r="G315" s="1"/>
  <c r="E315"/>
  <c r="J315" s="1"/>
  <c r="C315"/>
  <c r="H315" s="1"/>
  <c r="D315"/>
  <c r="I315" s="1"/>
  <c r="I612" s="1"/>
  <c r="F308" i="34"/>
  <c r="N146"/>
  <c r="X609" i="35"/>
  <c r="AJ312"/>
  <c r="G308" i="34"/>
  <c r="Y146"/>
  <c r="E143" i="23" s="1"/>
  <c r="K146" i="34"/>
  <c r="K610" i="35"/>
  <c r="V313"/>
  <c r="V610" s="1"/>
  <c r="G611"/>
  <c r="O314"/>
  <c r="K314"/>
  <c r="H308" i="34"/>
  <c r="J146"/>
  <c r="A148"/>
  <c r="E147"/>
  <c r="I147" s="1"/>
  <c r="B147"/>
  <c r="F147" s="1"/>
  <c r="C147"/>
  <c r="G147" s="1"/>
  <c r="D147"/>
  <c r="H147" s="1"/>
  <c r="R313" i="35"/>
  <c r="Q313"/>
  <c r="S313"/>
  <c r="T313"/>
  <c r="AC313" s="1"/>
  <c r="P313"/>
  <c r="X313" s="1"/>
  <c r="Q145" i="34"/>
  <c r="AI145" s="1"/>
  <c r="O142" i="23" s="1"/>
  <c r="O145" i="34"/>
  <c r="W145" s="1"/>
  <c r="C142" i="23" s="1"/>
  <c r="R145" i="34"/>
  <c r="S145"/>
  <c r="AB145" s="1"/>
  <c r="H142" i="23" s="1"/>
  <c r="P145" i="34"/>
  <c r="W307" s="1"/>
  <c r="C304" i="23" s="1"/>
  <c r="J307" i="34"/>
  <c r="U145"/>
  <c r="H611" i="35"/>
  <c r="Z314"/>
  <c r="L314"/>
  <c r="J611"/>
  <c r="M314"/>
  <c r="I308" i="34"/>
  <c r="L146"/>
  <c r="AL145"/>
  <c r="X610" i="35" l="1"/>
  <c r="AJ313"/>
  <c r="G309" i="34"/>
  <c r="Y147"/>
  <c r="E144" i="23" s="1"/>
  <c r="K147" i="34"/>
  <c r="J308"/>
  <c r="U146"/>
  <c r="R146"/>
  <c r="S146"/>
  <c r="AB146" s="1"/>
  <c r="H143" i="23" s="1"/>
  <c r="O146" i="34"/>
  <c r="W146" s="1"/>
  <c r="C143" i="23" s="1"/>
  <c r="P146" i="34"/>
  <c r="W308" s="1"/>
  <c r="C305" i="23" s="1"/>
  <c r="Q146" i="34"/>
  <c r="AI146" s="1"/>
  <c r="O143" i="23" s="1"/>
  <c r="J612" i="35"/>
  <c r="M315"/>
  <c r="U307" i="34"/>
  <c r="A304" i="23" s="1"/>
  <c r="A142"/>
  <c r="H309" i="34"/>
  <c r="J147"/>
  <c r="A149"/>
  <c r="D148"/>
  <c r="H148" s="1"/>
  <c r="C148"/>
  <c r="G148" s="1"/>
  <c r="E148"/>
  <c r="I148" s="1"/>
  <c r="B148"/>
  <c r="F148" s="1"/>
  <c r="S314" i="35"/>
  <c r="R314"/>
  <c r="T314"/>
  <c r="AC314" s="1"/>
  <c r="P314"/>
  <c r="X314" s="1"/>
  <c r="Q314"/>
  <c r="H612"/>
  <c r="Z315"/>
  <c r="L315"/>
  <c r="I309" i="34"/>
  <c r="L147"/>
  <c r="K611" i="35"/>
  <c r="V314"/>
  <c r="V611" s="1"/>
  <c r="F309" i="34"/>
  <c r="N147"/>
  <c r="G612" i="35"/>
  <c r="K315"/>
  <c r="O315"/>
  <c r="AL146" i="34"/>
  <c r="T315" i="35" l="1"/>
  <c r="AC315" s="1"/>
  <c r="P315"/>
  <c r="X315" s="1"/>
  <c r="S315"/>
  <c r="R315"/>
  <c r="Q315"/>
  <c r="X611"/>
  <c r="AJ314"/>
  <c r="H310" i="34"/>
  <c r="J148"/>
  <c r="R147"/>
  <c r="S147"/>
  <c r="AB147" s="1"/>
  <c r="H144" i="23" s="1"/>
  <c r="O147" i="34"/>
  <c r="W147" s="1"/>
  <c r="C144" i="23" s="1"/>
  <c r="P147" i="34"/>
  <c r="W309" s="1"/>
  <c r="C306" i="23" s="1"/>
  <c r="Q147" i="34"/>
  <c r="AI147" s="1"/>
  <c r="O144" i="23" s="1"/>
  <c r="G310" i="34"/>
  <c r="K148"/>
  <c r="Y148"/>
  <c r="E145" i="23" s="1"/>
  <c r="I310" i="34"/>
  <c r="L148"/>
  <c r="J309"/>
  <c r="U147"/>
  <c r="K612" i="35"/>
  <c r="V315"/>
  <c r="V612" s="1"/>
  <c r="F310" i="34"/>
  <c r="N148"/>
  <c r="A150"/>
  <c r="D149"/>
  <c r="H149" s="1"/>
  <c r="C149"/>
  <c r="G149" s="1"/>
  <c r="E149"/>
  <c r="I149" s="1"/>
  <c r="B149"/>
  <c r="F149" s="1"/>
  <c r="U308"/>
  <c r="A305" i="23" s="1"/>
  <c r="A143"/>
  <c r="AL147" i="34"/>
  <c r="G311" l="1"/>
  <c r="K149"/>
  <c r="Y149"/>
  <c r="E146" i="23" s="1"/>
  <c r="I311" i="34"/>
  <c r="L149"/>
  <c r="Q148"/>
  <c r="AI148" s="1"/>
  <c r="O145" i="23" s="1"/>
  <c r="S148" i="34"/>
  <c r="AB148" s="1"/>
  <c r="H145" i="23" s="1"/>
  <c r="O148" i="34"/>
  <c r="W148" s="1"/>
  <c r="C145" i="23" s="1"/>
  <c r="P148" i="34"/>
  <c r="W310" s="1"/>
  <c r="C307" i="23" s="1"/>
  <c r="R148" i="34"/>
  <c r="U309"/>
  <c r="A306" i="23" s="1"/>
  <c r="A144"/>
  <c r="J310" i="34"/>
  <c r="U148"/>
  <c r="F311"/>
  <c r="N149"/>
  <c r="A151"/>
  <c r="D150"/>
  <c r="H150" s="1"/>
  <c r="B150"/>
  <c r="F150" s="1"/>
  <c r="C150"/>
  <c r="G150" s="1"/>
  <c r="E150"/>
  <c r="I150" s="1"/>
  <c r="H311"/>
  <c r="J149"/>
  <c r="X612" i="35"/>
  <c r="AJ315"/>
  <c r="AL148" i="34"/>
  <c r="G312" l="1"/>
  <c r="K150"/>
  <c r="Y150"/>
  <c r="E147" i="23" s="1"/>
  <c r="Q149" i="34"/>
  <c r="AI149" s="1"/>
  <c r="O146" i="23" s="1"/>
  <c r="S149" i="34"/>
  <c r="AB149" s="1"/>
  <c r="H146" i="23" s="1"/>
  <c r="O149" i="34"/>
  <c r="W149" s="1"/>
  <c r="C146" i="23" s="1"/>
  <c r="P149" i="34"/>
  <c r="W311" s="1"/>
  <c r="C308" i="23" s="1"/>
  <c r="R149" i="34"/>
  <c r="I312"/>
  <c r="L150"/>
  <c r="A152"/>
  <c r="D151"/>
  <c r="H151" s="1"/>
  <c r="C151"/>
  <c r="G151" s="1"/>
  <c r="E151"/>
  <c r="I151" s="1"/>
  <c r="B151"/>
  <c r="F151" s="1"/>
  <c r="H312"/>
  <c r="J150"/>
  <c r="U310"/>
  <c r="A307" i="23" s="1"/>
  <c r="A145"/>
  <c r="J311" i="34"/>
  <c r="U149"/>
  <c r="F312"/>
  <c r="N150"/>
  <c r="AL149"/>
  <c r="U311" l="1"/>
  <c r="A308" i="23" s="1"/>
  <c r="A146"/>
  <c r="J312" i="34"/>
  <c r="U150"/>
  <c r="G313"/>
  <c r="Y151"/>
  <c r="E148" i="23" s="1"/>
  <c r="K151" i="34"/>
  <c r="I313"/>
  <c r="L151"/>
  <c r="Q150"/>
  <c r="AI150" s="1"/>
  <c r="O147" i="23" s="1"/>
  <c r="S150" i="34"/>
  <c r="AB150" s="1"/>
  <c r="H147" i="23" s="1"/>
  <c r="O150" i="34"/>
  <c r="W150" s="1"/>
  <c r="C147" i="23" s="1"/>
  <c r="P150" i="34"/>
  <c r="W312" s="1"/>
  <c r="C309" i="23" s="1"/>
  <c r="R150" i="34"/>
  <c r="F313"/>
  <c r="N151"/>
  <c r="A153"/>
  <c r="D152"/>
  <c r="H152" s="1"/>
  <c r="C152"/>
  <c r="G152" s="1"/>
  <c r="E152"/>
  <c r="I152" s="1"/>
  <c r="B152"/>
  <c r="F152" s="1"/>
  <c r="H313"/>
  <c r="J151"/>
  <c r="AL150"/>
  <c r="F314" l="1"/>
  <c r="N152"/>
  <c r="A154"/>
  <c r="D153"/>
  <c r="H153" s="1"/>
  <c r="E153"/>
  <c r="I153" s="1"/>
  <c r="B153"/>
  <c r="F153" s="1"/>
  <c r="C153"/>
  <c r="G153" s="1"/>
  <c r="H314"/>
  <c r="J152"/>
  <c r="J313"/>
  <c r="U151"/>
  <c r="G314"/>
  <c r="K152"/>
  <c r="Y152"/>
  <c r="E149" i="23" s="1"/>
  <c r="I314" i="34"/>
  <c r="L152"/>
  <c r="Q151"/>
  <c r="AI151" s="1"/>
  <c r="O148" i="23" s="1"/>
  <c r="R151" i="34"/>
  <c r="P151"/>
  <c r="W313" s="1"/>
  <c r="C310" i="23" s="1"/>
  <c r="S151" i="34"/>
  <c r="AB151" s="1"/>
  <c r="H148" i="23" s="1"/>
  <c r="O151" i="34"/>
  <c r="W151" s="1"/>
  <c r="C148" i="23" s="1"/>
  <c r="U312" i="34"/>
  <c r="A309" i="23" s="1"/>
  <c r="A147"/>
  <c r="AL151" i="34"/>
  <c r="H315" l="1"/>
  <c r="J153"/>
  <c r="J314"/>
  <c r="U152"/>
  <c r="I315"/>
  <c r="L153"/>
  <c r="F315"/>
  <c r="N153"/>
  <c r="Q152"/>
  <c r="AI152" s="1"/>
  <c r="O149" i="23" s="1"/>
  <c r="P152" i="34"/>
  <c r="W314" s="1"/>
  <c r="C311" i="23" s="1"/>
  <c r="R152" i="34"/>
  <c r="S152"/>
  <c r="AB152" s="1"/>
  <c r="H149" i="23" s="1"/>
  <c r="O152" i="34"/>
  <c r="W152" s="1"/>
  <c r="C149" i="23" s="1"/>
  <c r="U313" i="34"/>
  <c r="A310" i="23" s="1"/>
  <c r="A148"/>
  <c r="G315" i="34"/>
  <c r="Y153"/>
  <c r="E150" i="23" s="1"/>
  <c r="K153" i="34"/>
  <c r="A155"/>
  <c r="D154"/>
  <c r="H154" s="1"/>
  <c r="C154"/>
  <c r="G154" s="1"/>
  <c r="E154"/>
  <c r="I154" s="1"/>
  <c r="B154"/>
  <c r="F154" s="1"/>
  <c r="AL152"/>
  <c r="F316" l="1"/>
  <c r="N154"/>
  <c r="A156"/>
  <c r="D155"/>
  <c r="H155" s="1"/>
  <c r="C155"/>
  <c r="G155" s="1"/>
  <c r="E155"/>
  <c r="I155" s="1"/>
  <c r="B155"/>
  <c r="F155" s="1"/>
  <c r="G316"/>
  <c r="Y154"/>
  <c r="E151" i="23" s="1"/>
  <c r="K154" i="34"/>
  <c r="I316"/>
  <c r="L154"/>
  <c r="J315"/>
  <c r="U153"/>
  <c r="H316"/>
  <c r="J154"/>
  <c r="Q153"/>
  <c r="AI153" s="1"/>
  <c r="O150" i="23" s="1"/>
  <c r="R153" i="34"/>
  <c r="S153"/>
  <c r="AB153" s="1"/>
  <c r="H150" i="23" s="1"/>
  <c r="O153" i="34"/>
  <c r="W153" s="1"/>
  <c r="C150" i="23" s="1"/>
  <c r="P153" i="34"/>
  <c r="W315" s="1"/>
  <c r="C312" i="23" s="1"/>
  <c r="U314" i="34"/>
  <c r="A311" i="23" s="1"/>
  <c r="A149"/>
  <c r="AL153" i="34"/>
  <c r="U315" l="1"/>
  <c r="A312" i="23" s="1"/>
  <c r="A150"/>
  <c r="G317" i="34"/>
  <c r="K155"/>
  <c r="Y155"/>
  <c r="E152" i="23" s="1"/>
  <c r="I317" i="34"/>
  <c r="L155"/>
  <c r="Q154"/>
  <c r="AI154" s="1"/>
  <c r="O151" i="23" s="1"/>
  <c r="R154" i="34"/>
  <c r="O154"/>
  <c r="W154" s="1"/>
  <c r="C151" i="23" s="1"/>
  <c r="P154" i="34"/>
  <c r="W316" s="1"/>
  <c r="C313" i="23" s="1"/>
  <c r="S154" i="34"/>
  <c r="AB154" s="1"/>
  <c r="H151" i="23" s="1"/>
  <c r="F317" i="34"/>
  <c r="N155"/>
  <c r="A157"/>
  <c r="D156"/>
  <c r="H156" s="1"/>
  <c r="E156"/>
  <c r="I156" s="1"/>
  <c r="B156"/>
  <c r="F156" s="1"/>
  <c r="C156"/>
  <c r="G156" s="1"/>
  <c r="J316"/>
  <c r="U154"/>
  <c r="H317"/>
  <c r="J155"/>
  <c r="AL154"/>
  <c r="F318" l="1"/>
  <c r="N156"/>
  <c r="Q155"/>
  <c r="AI155" s="1"/>
  <c r="O152" i="23" s="1"/>
  <c r="P155" i="34"/>
  <c r="W317" s="1"/>
  <c r="C314" i="23" s="1"/>
  <c r="R155" i="34"/>
  <c r="S155"/>
  <c r="AB155" s="1"/>
  <c r="H152" i="23" s="1"/>
  <c r="O155" i="34"/>
  <c r="W155" s="1"/>
  <c r="C152" i="23" s="1"/>
  <c r="U316" i="34"/>
  <c r="A313" i="23" s="1"/>
  <c r="A151"/>
  <c r="I318" i="34"/>
  <c r="L156"/>
  <c r="J317"/>
  <c r="U155"/>
  <c r="G318"/>
  <c r="Y156"/>
  <c r="E153" i="23" s="1"/>
  <c r="K156" i="34"/>
  <c r="A158"/>
  <c r="D157"/>
  <c r="H157" s="1"/>
  <c r="B157"/>
  <c r="F157" s="1"/>
  <c r="C157"/>
  <c r="G157" s="1"/>
  <c r="E157"/>
  <c r="I157" s="1"/>
  <c r="H318"/>
  <c r="J156"/>
  <c r="AL155"/>
  <c r="J318" l="1"/>
  <c r="U156"/>
  <c r="I319"/>
  <c r="L157"/>
  <c r="A159"/>
  <c r="D158"/>
  <c r="H158" s="1"/>
  <c r="E158"/>
  <c r="I158" s="1"/>
  <c r="B158"/>
  <c r="F158" s="1"/>
  <c r="C158"/>
  <c r="G158" s="1"/>
  <c r="U317"/>
  <c r="A314" i="23" s="1"/>
  <c r="A152"/>
  <c r="H319" i="34"/>
  <c r="J157"/>
  <c r="Q156"/>
  <c r="AI156" s="1"/>
  <c r="O153" i="23" s="1"/>
  <c r="S156" i="34"/>
  <c r="AB156" s="1"/>
  <c r="H153" i="23" s="1"/>
  <c r="O156" i="34"/>
  <c r="W156" s="1"/>
  <c r="C153" i="23" s="1"/>
  <c r="P156" i="34"/>
  <c r="W318" s="1"/>
  <c r="C315" i="23" s="1"/>
  <c r="R156" i="34"/>
  <c r="F319"/>
  <c r="N157"/>
  <c r="G319"/>
  <c r="Y157"/>
  <c r="E154" i="23" s="1"/>
  <c r="K157" i="34"/>
  <c r="AL156"/>
  <c r="G320" l="1"/>
  <c r="Y158"/>
  <c r="E155" i="23" s="1"/>
  <c r="K158" i="34"/>
  <c r="H320"/>
  <c r="J158"/>
  <c r="I320"/>
  <c r="L158"/>
  <c r="J319"/>
  <c r="U157"/>
  <c r="A160"/>
  <c r="D159"/>
  <c r="H159" s="1"/>
  <c r="E159"/>
  <c r="I159" s="1"/>
  <c r="C159"/>
  <c r="G159" s="1"/>
  <c r="B159"/>
  <c r="F159" s="1"/>
  <c r="U318"/>
  <c r="A315" i="23" s="1"/>
  <c r="A153"/>
  <c r="Q157" i="34"/>
  <c r="AI157" s="1"/>
  <c r="O154" i="23" s="1"/>
  <c r="R157" i="34"/>
  <c r="S157"/>
  <c r="AB157" s="1"/>
  <c r="H154" i="23" s="1"/>
  <c r="O157" i="34"/>
  <c r="W157" s="1"/>
  <c r="C154" i="23" s="1"/>
  <c r="P157" i="34"/>
  <c r="W319" s="1"/>
  <c r="C316" i="23" s="1"/>
  <c r="F320" i="34"/>
  <c r="N158"/>
  <c r="AL157"/>
  <c r="J320" l="1"/>
  <c r="U158"/>
  <c r="F321"/>
  <c r="N159"/>
  <c r="A161"/>
  <c r="D160"/>
  <c r="H160" s="1"/>
  <c r="E160"/>
  <c r="I160" s="1"/>
  <c r="B160"/>
  <c r="F160" s="1"/>
  <c r="C160"/>
  <c r="G160" s="1"/>
  <c r="H321"/>
  <c r="J159"/>
  <c r="G321"/>
  <c r="Y159"/>
  <c r="E156" i="23" s="1"/>
  <c r="K159" i="34"/>
  <c r="U319"/>
  <c r="A316" i="23" s="1"/>
  <c r="A154"/>
  <c r="Q158" i="34"/>
  <c r="AI158" s="1"/>
  <c r="O155" i="23" s="1"/>
  <c r="R158" i="34"/>
  <c r="S158"/>
  <c r="AB158" s="1"/>
  <c r="H155" i="23" s="1"/>
  <c r="O158" i="34"/>
  <c r="W158" s="1"/>
  <c r="C155" i="23" s="1"/>
  <c r="P158" i="34"/>
  <c r="W320" s="1"/>
  <c r="C317" i="23" s="1"/>
  <c r="I321" i="34"/>
  <c r="L159"/>
  <c r="AL158"/>
  <c r="G322" l="1"/>
  <c r="Y160"/>
  <c r="E157" i="23" s="1"/>
  <c r="K160" i="34"/>
  <c r="H322"/>
  <c r="J160"/>
  <c r="J321"/>
  <c r="U159"/>
  <c r="I322"/>
  <c r="L160"/>
  <c r="A162"/>
  <c r="D161"/>
  <c r="H161" s="1"/>
  <c r="B161"/>
  <c r="F161" s="1"/>
  <c r="C161"/>
  <c r="G161" s="1"/>
  <c r="E161"/>
  <c r="I161" s="1"/>
  <c r="U320"/>
  <c r="A317" i="23" s="1"/>
  <c r="A155"/>
  <c r="F322" i="34"/>
  <c r="N160"/>
  <c r="Q159"/>
  <c r="AI159" s="1"/>
  <c r="O156" i="23" s="1"/>
  <c r="R159" i="34"/>
  <c r="O159"/>
  <c r="W159" s="1"/>
  <c r="C156" i="23" s="1"/>
  <c r="S159" i="34"/>
  <c r="AB159" s="1"/>
  <c r="H156" i="23" s="1"/>
  <c r="P159" i="34"/>
  <c r="W321" s="1"/>
  <c r="C318" i="23" s="1"/>
  <c r="AL159" i="34"/>
  <c r="Q160" l="1"/>
  <c r="AI160" s="1"/>
  <c r="O157" i="23" s="1"/>
  <c r="R160" i="34"/>
  <c r="S160"/>
  <c r="AB160" s="1"/>
  <c r="H157" i="23" s="1"/>
  <c r="O160" i="34"/>
  <c r="W160" s="1"/>
  <c r="C157" i="23" s="1"/>
  <c r="P160" i="34"/>
  <c r="W322" s="1"/>
  <c r="C319" i="23" s="1"/>
  <c r="H323" i="34"/>
  <c r="J161"/>
  <c r="U321"/>
  <c r="A318" i="23" s="1"/>
  <c r="A156"/>
  <c r="G323" i="34"/>
  <c r="K161"/>
  <c r="Y161"/>
  <c r="E158" i="23" s="1"/>
  <c r="J322" i="34"/>
  <c r="U160"/>
  <c r="I323"/>
  <c r="L161"/>
  <c r="A163"/>
  <c r="D162"/>
  <c r="H162" s="1"/>
  <c r="E162"/>
  <c r="I162" s="1"/>
  <c r="B162"/>
  <c r="F162" s="1"/>
  <c r="C162"/>
  <c r="G162" s="1"/>
  <c r="F323"/>
  <c r="N161"/>
  <c r="AL160"/>
  <c r="H324" l="1"/>
  <c r="J162"/>
  <c r="U322"/>
  <c r="A319" i="23" s="1"/>
  <c r="A157"/>
  <c r="Q161" i="34"/>
  <c r="AI161" s="1"/>
  <c r="O158" i="23" s="1"/>
  <c r="O161" i="34"/>
  <c r="W161" s="1"/>
  <c r="C158" i="23" s="1"/>
  <c r="R161" i="34"/>
  <c r="S161"/>
  <c r="AB161" s="1"/>
  <c r="H158" i="23" s="1"/>
  <c r="P161" i="34"/>
  <c r="W323" s="1"/>
  <c r="C320" i="23" s="1"/>
  <c r="J323" i="34"/>
  <c r="U161"/>
  <c r="G324"/>
  <c r="Y162"/>
  <c r="E159" i="23" s="1"/>
  <c r="K162" i="34"/>
  <c r="A164"/>
  <c r="D163"/>
  <c r="H163" s="1"/>
  <c r="B163"/>
  <c r="F163" s="1"/>
  <c r="C163"/>
  <c r="G163" s="1"/>
  <c r="E163"/>
  <c r="I163" s="1"/>
  <c r="I324"/>
  <c r="L162"/>
  <c r="F324"/>
  <c r="N162"/>
  <c r="AL161"/>
  <c r="J324" l="1"/>
  <c r="U162"/>
  <c r="I325"/>
  <c r="L163"/>
  <c r="U323"/>
  <c r="A320" i="23" s="1"/>
  <c r="A158"/>
  <c r="F325" i="34"/>
  <c r="N163"/>
  <c r="G325"/>
  <c r="Y163"/>
  <c r="E160" i="23" s="1"/>
  <c r="K163" i="34"/>
  <c r="Q162"/>
  <c r="AI162" s="1"/>
  <c r="O159" i="23" s="1"/>
  <c r="R162" i="34"/>
  <c r="O162"/>
  <c r="W162" s="1"/>
  <c r="C159" i="23" s="1"/>
  <c r="P162" i="34"/>
  <c r="W324" s="1"/>
  <c r="C321" i="23" s="1"/>
  <c r="S162" i="34"/>
  <c r="AB162" s="1"/>
  <c r="H159" i="23" s="1"/>
  <c r="A165" i="34"/>
  <c r="D164"/>
  <c r="H164" s="1"/>
  <c r="B164"/>
  <c r="F164" s="1"/>
  <c r="C164"/>
  <c r="G164" s="1"/>
  <c r="E164"/>
  <c r="I164" s="1"/>
  <c r="H325"/>
  <c r="J163"/>
  <c r="AL162"/>
  <c r="I326" l="1"/>
  <c r="L164"/>
  <c r="A166"/>
  <c r="D165"/>
  <c r="H165" s="1"/>
  <c r="E165"/>
  <c r="I165" s="1"/>
  <c r="C165"/>
  <c r="G165" s="1"/>
  <c r="B165"/>
  <c r="F165" s="1"/>
  <c r="H326"/>
  <c r="J164"/>
  <c r="U324"/>
  <c r="A321" i="23" s="1"/>
  <c r="A159"/>
  <c r="J325" i="34"/>
  <c r="U163"/>
  <c r="F326"/>
  <c r="N164"/>
  <c r="G326"/>
  <c r="Y164"/>
  <c r="E161" i="23" s="1"/>
  <c r="K164" i="34"/>
  <c r="Q163"/>
  <c r="AI163" s="1"/>
  <c r="O160" i="23" s="1"/>
  <c r="O163" i="34"/>
  <c r="W163" s="1"/>
  <c r="C160" i="23" s="1"/>
  <c r="P163" i="34"/>
  <c r="W325" s="1"/>
  <c r="C322" i="23" s="1"/>
  <c r="R163" i="34"/>
  <c r="S163"/>
  <c r="AB163" s="1"/>
  <c r="H160" i="23" s="1"/>
  <c r="AL163" i="34"/>
  <c r="U325" l="1"/>
  <c r="A322" i="23" s="1"/>
  <c r="A160"/>
  <c r="I327" i="34"/>
  <c r="L165"/>
  <c r="Q164"/>
  <c r="AI164" s="1"/>
  <c r="O161" i="23" s="1"/>
  <c r="R164" i="34"/>
  <c r="S164"/>
  <c r="AB164" s="1"/>
  <c r="H161" i="23" s="1"/>
  <c r="O164" i="34"/>
  <c r="W164" s="1"/>
  <c r="C161" i="23" s="1"/>
  <c r="P164" i="34"/>
  <c r="W326" s="1"/>
  <c r="C323" i="23" s="1"/>
  <c r="F327" i="34"/>
  <c r="N165"/>
  <c r="A167"/>
  <c r="D166"/>
  <c r="H166" s="1"/>
  <c r="B166"/>
  <c r="F166" s="1"/>
  <c r="C166"/>
  <c r="G166" s="1"/>
  <c r="E166"/>
  <c r="I166" s="1"/>
  <c r="J326"/>
  <c r="U164"/>
  <c r="G327"/>
  <c r="Y165"/>
  <c r="E162" i="23" s="1"/>
  <c r="K165" i="34"/>
  <c r="H327"/>
  <c r="J165"/>
  <c r="AL164"/>
  <c r="J327" l="1"/>
  <c r="U165"/>
  <c r="H328"/>
  <c r="J166"/>
  <c r="U326"/>
  <c r="A323" i="23" s="1"/>
  <c r="A161"/>
  <c r="F328" i="34"/>
  <c r="N166"/>
  <c r="G328"/>
  <c r="K166"/>
  <c r="Y166"/>
  <c r="E163" i="23" s="1"/>
  <c r="Q165" i="34"/>
  <c r="AI165" s="1"/>
  <c r="O162" i="23" s="1"/>
  <c r="R165" i="34"/>
  <c r="O165"/>
  <c r="W165" s="1"/>
  <c r="C162" i="23" s="1"/>
  <c r="P165" i="34"/>
  <c r="W327" s="1"/>
  <c r="C324" i="23" s="1"/>
  <c r="S165" i="34"/>
  <c r="AB165" s="1"/>
  <c r="H162" i="23" s="1"/>
  <c r="I328" i="34"/>
  <c r="L166"/>
  <c r="A168"/>
  <c r="D167"/>
  <c r="H167" s="1"/>
  <c r="E167"/>
  <c r="I167" s="1"/>
  <c r="B167"/>
  <c r="F167" s="1"/>
  <c r="C167"/>
  <c r="G167" s="1"/>
  <c r="AL165"/>
  <c r="U327" l="1"/>
  <c r="A324" i="23" s="1"/>
  <c r="A162"/>
  <c r="G329" i="34"/>
  <c r="Y167"/>
  <c r="E164" i="23" s="1"/>
  <c r="K167" i="34"/>
  <c r="A169"/>
  <c r="D168"/>
  <c r="H168" s="1"/>
  <c r="E168"/>
  <c r="I168" s="1"/>
  <c r="B168"/>
  <c r="F168" s="1"/>
  <c r="C168"/>
  <c r="G168" s="1"/>
  <c r="I329"/>
  <c r="L167"/>
  <c r="F329"/>
  <c r="N167"/>
  <c r="H329"/>
  <c r="J167"/>
  <c r="Q166"/>
  <c r="AI166" s="1"/>
  <c r="O163" i="23" s="1"/>
  <c r="S166" i="34"/>
  <c r="AB166" s="1"/>
  <c r="H163" i="23" s="1"/>
  <c r="O166" i="34"/>
  <c r="W166" s="1"/>
  <c r="C163" i="23" s="1"/>
  <c r="P166" i="34"/>
  <c r="W328" s="1"/>
  <c r="C325" i="23" s="1"/>
  <c r="R166" i="34"/>
  <c r="J328"/>
  <c r="U166"/>
  <c r="AL166"/>
  <c r="Q167" l="1"/>
  <c r="AI167" s="1"/>
  <c r="O164" i="23" s="1"/>
  <c r="O167" i="34"/>
  <c r="W167" s="1"/>
  <c r="C164" i="23" s="1"/>
  <c r="R167" i="34"/>
  <c r="S167"/>
  <c r="AB167" s="1"/>
  <c r="H164" i="23" s="1"/>
  <c r="P167" i="34"/>
  <c r="W329" s="1"/>
  <c r="C326" i="23" s="1"/>
  <c r="F330" i="34"/>
  <c r="N168"/>
  <c r="G330"/>
  <c r="Y168"/>
  <c r="E165" i="23" s="1"/>
  <c r="K168" i="34"/>
  <c r="A170"/>
  <c r="D169"/>
  <c r="H169" s="1"/>
  <c r="B169"/>
  <c r="F169" s="1"/>
  <c r="E169"/>
  <c r="I169" s="1"/>
  <c r="C169"/>
  <c r="G169" s="1"/>
  <c r="U328"/>
  <c r="A325" i="23" s="1"/>
  <c r="A163"/>
  <c r="H330" i="34"/>
  <c r="J168"/>
  <c r="J329"/>
  <c r="U167"/>
  <c r="I330"/>
  <c r="L168"/>
  <c r="AL167"/>
  <c r="I331" l="1"/>
  <c r="L169"/>
  <c r="G331"/>
  <c r="Y169"/>
  <c r="E166" i="23" s="1"/>
  <c r="K169" i="34"/>
  <c r="A171"/>
  <c r="D170"/>
  <c r="H170" s="1"/>
  <c r="B170"/>
  <c r="F170" s="1"/>
  <c r="E170"/>
  <c r="I170" s="1"/>
  <c r="C170"/>
  <c r="G170" s="1"/>
  <c r="U329"/>
  <c r="A326" i="23" s="1"/>
  <c r="A164"/>
  <c r="F331" i="34"/>
  <c r="N169"/>
  <c r="J330"/>
  <c r="U168"/>
  <c r="Q168"/>
  <c r="AI168" s="1"/>
  <c r="O165" i="23" s="1"/>
  <c r="S168" i="34"/>
  <c r="AB168" s="1"/>
  <c r="H165" i="23" s="1"/>
  <c r="O168" i="34"/>
  <c r="W168" s="1"/>
  <c r="C165" i="23" s="1"/>
  <c r="P168" i="34"/>
  <c r="W330" s="1"/>
  <c r="C327" i="23" s="1"/>
  <c r="R168" i="34"/>
  <c r="H331"/>
  <c r="J169"/>
  <c r="AL168"/>
  <c r="I332" l="1"/>
  <c r="L170"/>
  <c r="Q169"/>
  <c r="AI169" s="1"/>
  <c r="O166" i="23" s="1"/>
  <c r="S169" i="34"/>
  <c r="AB169" s="1"/>
  <c r="H166" i="23" s="1"/>
  <c r="O169" i="34"/>
  <c r="W169" s="1"/>
  <c r="C166" i="23" s="1"/>
  <c r="P169" i="34"/>
  <c r="W331" s="1"/>
  <c r="C328" i="23" s="1"/>
  <c r="R169" i="34"/>
  <c r="G332"/>
  <c r="Y170"/>
  <c r="E167" i="23" s="1"/>
  <c r="K170" i="34"/>
  <c r="A172"/>
  <c r="D171"/>
  <c r="H171" s="1"/>
  <c r="E171"/>
  <c r="I171" s="1"/>
  <c r="C171"/>
  <c r="G171" s="1"/>
  <c r="B171"/>
  <c r="F171" s="1"/>
  <c r="J331"/>
  <c r="U169"/>
  <c r="H332"/>
  <c r="J170"/>
  <c r="U330"/>
  <c r="A327" i="23" s="1"/>
  <c r="A165"/>
  <c r="F332" i="34"/>
  <c r="N170"/>
  <c r="AL169"/>
  <c r="Q170" l="1"/>
  <c r="AI170" s="1"/>
  <c r="O167" i="23" s="1"/>
  <c r="S170" i="34"/>
  <c r="AB170" s="1"/>
  <c r="H167" i="23" s="1"/>
  <c r="O170" i="34"/>
  <c r="W170" s="1"/>
  <c r="C167" i="23" s="1"/>
  <c r="R170" i="34"/>
  <c r="P170"/>
  <c r="W332" s="1"/>
  <c r="C329" i="23" s="1"/>
  <c r="F333" i="34"/>
  <c r="N171"/>
  <c r="D172"/>
  <c r="H172" s="1"/>
  <c r="E172"/>
  <c r="I172" s="1"/>
  <c r="B172"/>
  <c r="F172" s="1"/>
  <c r="C172"/>
  <c r="G172" s="1"/>
  <c r="U331"/>
  <c r="A328" i="23" s="1"/>
  <c r="A166"/>
  <c r="I333" i="34"/>
  <c r="L171"/>
  <c r="G333"/>
  <c r="K171"/>
  <c r="Y171"/>
  <c r="E168" i="23" s="1"/>
  <c r="J332" i="34"/>
  <c r="U170"/>
  <c r="H333"/>
  <c r="J171"/>
  <c r="AL170"/>
  <c r="J333" l="1"/>
  <c r="U171"/>
  <c r="F334"/>
  <c r="N172"/>
  <c r="G334"/>
  <c r="Y172"/>
  <c r="E169" i="23" s="1"/>
  <c r="K172" i="34"/>
  <c r="I334"/>
  <c r="L172"/>
  <c r="Q171"/>
  <c r="AI171" s="1"/>
  <c r="O168" i="23" s="1"/>
  <c r="R171" i="34"/>
  <c r="S171"/>
  <c r="AB171" s="1"/>
  <c r="H168" i="23" s="1"/>
  <c r="O171" i="34"/>
  <c r="W171" s="1"/>
  <c r="C168" i="23" s="1"/>
  <c r="P171" i="34"/>
  <c r="W333" s="1"/>
  <c r="C330" i="23" s="1"/>
  <c r="U332" i="34"/>
  <c r="A329" i="23" s="1"/>
  <c r="A167"/>
  <c r="H334" i="34"/>
  <c r="J172"/>
  <c r="AL171"/>
  <c r="J334" l="1"/>
  <c r="U172"/>
  <c r="U333"/>
  <c r="A330" i="23" s="1"/>
  <c r="A168"/>
  <c r="Q172" i="34"/>
  <c r="AI172" s="1"/>
  <c r="O169" i="23" s="1"/>
  <c r="R172" i="34"/>
  <c r="S172"/>
  <c r="AB172" s="1"/>
  <c r="H169" i="23" s="1"/>
  <c r="O172" i="34"/>
  <c r="W172" s="1"/>
  <c r="C169" i="23" s="1"/>
  <c r="P172" i="34"/>
  <c r="W334" s="1"/>
  <c r="C331" i="23" s="1"/>
  <c r="AL172" i="34"/>
  <c r="U334" l="1"/>
  <c r="A331" i="23" s="1"/>
  <c r="A169"/>
  <c r="C4" i="22" l="1"/>
  <c r="A4" s="1"/>
  <c r="C5"/>
  <c r="A5" s="1"/>
  <c r="C6"/>
  <c r="A6" s="1"/>
  <c r="C7"/>
  <c r="A7" s="1"/>
  <c r="C8"/>
  <c r="A8" s="1"/>
  <c r="C9"/>
  <c r="A9" s="1"/>
  <c r="C10"/>
  <c r="A10" s="1"/>
  <c r="C11"/>
  <c r="A11" s="1"/>
  <c r="C12"/>
  <c r="A12" s="1"/>
  <c r="C13"/>
  <c r="A13" s="1"/>
  <c r="C14"/>
  <c r="A14" s="1"/>
  <c r="C15"/>
  <c r="A15" s="1"/>
  <c r="C16"/>
  <c r="A16" s="1"/>
  <c r="C17"/>
  <c r="A17" s="1"/>
  <c r="C18"/>
  <c r="A18" s="1"/>
  <c r="C19"/>
  <c r="A19" s="1"/>
  <c r="C20"/>
  <c r="A20" s="1"/>
  <c r="C3"/>
  <c r="A3" s="1"/>
  <c r="AD2" l="1"/>
  <c r="AC2"/>
  <c r="AB2"/>
  <c r="AA2"/>
  <c r="Z2"/>
  <c r="Y2"/>
  <c r="X2"/>
  <c r="W2"/>
  <c r="V2"/>
  <c r="U2"/>
  <c r="T2"/>
  <c r="S2"/>
  <c r="R2"/>
  <c r="Q2"/>
  <c r="P2"/>
  <c r="O2"/>
  <c r="N2"/>
  <c r="M2"/>
  <c r="L2"/>
  <c r="K2"/>
  <c r="B2" i="20" l="1"/>
  <c r="Y122" i="19" l="1"/>
  <c r="Y121"/>
  <c r="D121"/>
  <c r="C74"/>
  <c r="C58"/>
  <c r="C53"/>
  <c r="C52"/>
  <c r="C51"/>
  <c r="C50"/>
  <c r="C49"/>
  <c r="C48"/>
  <c r="C47"/>
  <c r="C46"/>
  <c r="C71" s="1"/>
  <c r="C45"/>
  <c r="C44"/>
  <c r="C43"/>
  <c r="C42"/>
  <c r="C41"/>
  <c r="C40"/>
  <c r="C39"/>
  <c r="C38"/>
  <c r="C37"/>
  <c r="C36"/>
  <c r="C35"/>
  <c r="G10"/>
  <c r="H10" s="1"/>
  <c r="I10" s="1"/>
  <c r="J10" s="1"/>
  <c r="K10" s="1"/>
  <c r="L10" s="1"/>
  <c r="M10" s="1"/>
  <c r="N10" s="1"/>
  <c r="O10" s="1"/>
  <c r="P10" s="1"/>
  <c r="Q10" s="1"/>
  <c r="R10" s="1"/>
  <c r="S10" s="1"/>
  <c r="T10" s="1"/>
  <c r="U10" s="1"/>
  <c r="V10" s="1"/>
  <c r="W10" s="1"/>
  <c r="X10" s="1"/>
  <c r="F10"/>
  <c r="E11"/>
  <c r="E35" s="1"/>
  <c r="D35" l="1"/>
  <c r="C68"/>
  <c r="D68" s="1"/>
  <c r="J10" i="22" s="1"/>
  <c r="C72" i="19"/>
  <c r="D72" s="1"/>
  <c r="J14" i="22" s="1"/>
  <c r="C63" i="19"/>
  <c r="C61"/>
  <c r="D61" s="1"/>
  <c r="J3" i="22" s="1"/>
  <c r="C65" i="19"/>
  <c r="C69"/>
  <c r="C73"/>
  <c r="C77"/>
  <c r="D77" s="1"/>
  <c r="J19" i="22" s="1"/>
  <c r="C70" i="19"/>
  <c r="C78"/>
  <c r="D78" s="1"/>
  <c r="J20" i="22" s="1"/>
  <c r="C66" i="19"/>
  <c r="D66" s="1"/>
  <c r="J8" i="22" s="1"/>
  <c r="D74" i="19"/>
  <c r="J16" i="22" s="1"/>
  <c r="C76" i="19"/>
  <c r="D76" s="1"/>
  <c r="J18" i="22" s="1"/>
  <c r="C64" i="19"/>
  <c r="E122"/>
  <c r="F11"/>
  <c r="F35" s="1"/>
  <c r="E85"/>
  <c r="D69"/>
  <c r="J11" i="22" s="1"/>
  <c r="D63" i="19"/>
  <c r="J5" i="22" s="1"/>
  <c r="D70" i="19"/>
  <c r="J12" i="22" s="1"/>
  <c r="C75" i="19"/>
  <c r="D75" s="1"/>
  <c r="J17" i="22" s="1"/>
  <c r="C62" i="19"/>
  <c r="C67"/>
  <c r="D71"/>
  <c r="J13" i="22" s="1"/>
  <c r="D67" i="19"/>
  <c r="J9" i="22" s="1"/>
  <c r="D64" i="19"/>
  <c r="J6" i="22" s="1"/>
  <c r="D65" i="19"/>
  <c r="J7" i="22" s="1"/>
  <c r="D62" i="19"/>
  <c r="J4" i="22" s="1"/>
  <c r="E60" i="19"/>
  <c r="D73"/>
  <c r="J15" i="22" s="1"/>
  <c r="E12" i="19"/>
  <c r="E34"/>
  <c r="E59"/>
  <c r="E84" s="1"/>
  <c r="E121" s="1"/>
  <c r="AG18" i="22" l="1"/>
  <c r="AK18"/>
  <c r="AO18"/>
  <c r="AS18"/>
  <c r="AW18"/>
  <c r="BA18"/>
  <c r="AI18"/>
  <c r="AN18"/>
  <c r="AT18"/>
  <c r="AY18"/>
  <c r="BD18"/>
  <c r="AH18"/>
  <c r="AM18"/>
  <c r="AR18"/>
  <c r="AX18"/>
  <c r="BC18"/>
  <c r="F18"/>
  <c r="AF18"/>
  <c r="AQ18"/>
  <c r="BB18"/>
  <c r="AP18"/>
  <c r="AU18"/>
  <c r="AL18"/>
  <c r="AV18"/>
  <c r="AJ18"/>
  <c r="AZ18"/>
  <c r="AG10"/>
  <c r="AK10"/>
  <c r="AO10"/>
  <c r="AS10"/>
  <c r="AW10"/>
  <c r="BA10"/>
  <c r="AF10"/>
  <c r="AL10"/>
  <c r="AQ10"/>
  <c r="AV10"/>
  <c r="BB10"/>
  <c r="AJ10"/>
  <c r="AP10"/>
  <c r="AU10"/>
  <c r="AZ10"/>
  <c r="AN10"/>
  <c r="AY10"/>
  <c r="AM10"/>
  <c r="AX10"/>
  <c r="AI10"/>
  <c r="AT10"/>
  <c r="BD10"/>
  <c r="AH10"/>
  <c r="AR10"/>
  <c r="BC10"/>
  <c r="F10"/>
  <c r="AF19"/>
  <c r="AJ19"/>
  <c r="AN19"/>
  <c r="AR19"/>
  <c r="AV19"/>
  <c r="AZ19"/>
  <c r="BD19"/>
  <c r="AK19"/>
  <c r="AP19"/>
  <c r="AU19"/>
  <c r="BA19"/>
  <c r="F19"/>
  <c r="AI19"/>
  <c r="AO19"/>
  <c r="AT19"/>
  <c r="AY19"/>
  <c r="AM19"/>
  <c r="AX19"/>
  <c r="AG19"/>
  <c r="AQ19"/>
  <c r="BB19"/>
  <c r="AH19"/>
  <c r="AS19"/>
  <c r="BC19"/>
  <c r="AL19"/>
  <c r="AW19"/>
  <c r="AH17"/>
  <c r="AL17"/>
  <c r="AP17"/>
  <c r="AT17"/>
  <c r="AX17"/>
  <c r="BB17"/>
  <c r="F17"/>
  <c r="AG17"/>
  <c r="AM17"/>
  <c r="AR17"/>
  <c r="AW17"/>
  <c r="BC17"/>
  <c r="AF17"/>
  <c r="AK17"/>
  <c r="AQ17"/>
  <c r="AV17"/>
  <c r="BA17"/>
  <c r="AJ17"/>
  <c r="AU17"/>
  <c r="AI17"/>
  <c r="AS17"/>
  <c r="BD17"/>
  <c r="AO17"/>
  <c r="AZ17"/>
  <c r="AN17"/>
  <c r="AY17"/>
  <c r="AF11"/>
  <c r="AJ11"/>
  <c r="AN11"/>
  <c r="AR11"/>
  <c r="AV11"/>
  <c r="AZ11"/>
  <c r="BD11"/>
  <c r="AH11"/>
  <c r="AM11"/>
  <c r="AS11"/>
  <c r="AX11"/>
  <c r="BC11"/>
  <c r="AG11"/>
  <c r="AL11"/>
  <c r="AQ11"/>
  <c r="AW11"/>
  <c r="BB11"/>
  <c r="AK11"/>
  <c r="AU11"/>
  <c r="F11"/>
  <c r="AI11"/>
  <c r="AT11"/>
  <c r="AP11"/>
  <c r="BA11"/>
  <c r="AO11"/>
  <c r="AY11"/>
  <c r="AH13"/>
  <c r="AL13"/>
  <c r="AP13"/>
  <c r="AT13"/>
  <c r="AX13"/>
  <c r="BB13"/>
  <c r="F13"/>
  <c r="AF13"/>
  <c r="AK13"/>
  <c r="AQ13"/>
  <c r="AV13"/>
  <c r="BA13"/>
  <c r="AJ13"/>
  <c r="AO13"/>
  <c r="AU13"/>
  <c r="AZ13"/>
  <c r="AN13"/>
  <c r="AY13"/>
  <c r="AM13"/>
  <c r="BC13"/>
  <c r="AI13"/>
  <c r="AS13"/>
  <c r="BD13"/>
  <c r="AG13"/>
  <c r="AR13"/>
  <c r="AW13"/>
  <c r="AH5"/>
  <c r="AL5"/>
  <c r="AP5"/>
  <c r="AT5"/>
  <c r="AX5"/>
  <c r="BB5"/>
  <c r="F5"/>
  <c r="AI5"/>
  <c r="AN5"/>
  <c r="AS5"/>
  <c r="AY5"/>
  <c r="BD5"/>
  <c r="AG5"/>
  <c r="AM5"/>
  <c r="AR5"/>
  <c r="AW5"/>
  <c r="BC5"/>
  <c r="AF5"/>
  <c r="AQ5"/>
  <c r="BA5"/>
  <c r="AJ5"/>
  <c r="AO5"/>
  <c r="AU5"/>
  <c r="AZ5"/>
  <c r="AK5"/>
  <c r="AV5"/>
  <c r="AI8"/>
  <c r="AM8"/>
  <c r="AQ8"/>
  <c r="AU8"/>
  <c r="AY8"/>
  <c r="BC8"/>
  <c r="AH8"/>
  <c r="AN8"/>
  <c r="AS8"/>
  <c r="AX8"/>
  <c r="BD8"/>
  <c r="F8"/>
  <c r="AG8"/>
  <c r="AL8"/>
  <c r="AR8"/>
  <c r="AW8"/>
  <c r="BB8"/>
  <c r="AK8"/>
  <c r="AV8"/>
  <c r="AJ8"/>
  <c r="AT8"/>
  <c r="AF8"/>
  <c r="AP8"/>
  <c r="BA8"/>
  <c r="AO8"/>
  <c r="AZ8"/>
  <c r="AF7"/>
  <c r="AJ7"/>
  <c r="AN7"/>
  <c r="AR7"/>
  <c r="AV7"/>
  <c r="AZ7"/>
  <c r="BD7"/>
  <c r="AG7"/>
  <c r="AL7"/>
  <c r="AQ7"/>
  <c r="AW7"/>
  <c r="BB7"/>
  <c r="AK7"/>
  <c r="AP7"/>
  <c r="AU7"/>
  <c r="BA7"/>
  <c r="F7"/>
  <c r="AI7"/>
  <c r="AO7"/>
  <c r="AY7"/>
  <c r="AM7"/>
  <c r="AX7"/>
  <c r="AT7"/>
  <c r="AH7"/>
  <c r="AS7"/>
  <c r="BC7"/>
  <c r="AH9"/>
  <c r="AL9"/>
  <c r="AP9"/>
  <c r="AT9"/>
  <c r="AX9"/>
  <c r="BB9"/>
  <c r="F9"/>
  <c r="AJ9"/>
  <c r="AO9"/>
  <c r="AU9"/>
  <c r="AZ9"/>
  <c r="AI9"/>
  <c r="AN9"/>
  <c r="AS9"/>
  <c r="AY9"/>
  <c r="BD9"/>
  <c r="AG9"/>
  <c r="AR9"/>
  <c r="BC9"/>
  <c r="AF9"/>
  <c r="AQ9"/>
  <c r="BA9"/>
  <c r="AM9"/>
  <c r="AW9"/>
  <c r="AK9"/>
  <c r="AV9"/>
  <c r="AI12"/>
  <c r="AM12"/>
  <c r="AQ12"/>
  <c r="AU12"/>
  <c r="AY12"/>
  <c r="BC12"/>
  <c r="AJ12"/>
  <c r="AO12"/>
  <c r="AT12"/>
  <c r="AZ12"/>
  <c r="AH12"/>
  <c r="AN12"/>
  <c r="AS12"/>
  <c r="AX12"/>
  <c r="BD12"/>
  <c r="F12"/>
  <c r="AG12"/>
  <c r="AR12"/>
  <c r="BB12"/>
  <c r="AF12"/>
  <c r="AP12"/>
  <c r="BA12"/>
  <c r="AL12"/>
  <c r="AW12"/>
  <c r="AK12"/>
  <c r="AV12"/>
  <c r="AI16"/>
  <c r="AM16"/>
  <c r="AQ16"/>
  <c r="AU16"/>
  <c r="AY16"/>
  <c r="BC16"/>
  <c r="AF16"/>
  <c r="AK16"/>
  <c r="AP16"/>
  <c r="AV16"/>
  <c r="BA16"/>
  <c r="AJ16"/>
  <c r="AO16"/>
  <c r="AT16"/>
  <c r="AZ16"/>
  <c r="AN16"/>
  <c r="AX16"/>
  <c r="AL16"/>
  <c r="AW16"/>
  <c r="AH16"/>
  <c r="AS16"/>
  <c r="BD16"/>
  <c r="F16"/>
  <c r="AG16"/>
  <c r="AR16"/>
  <c r="BB16"/>
  <c r="AI3"/>
  <c r="AM3"/>
  <c r="AQ3"/>
  <c r="AU3"/>
  <c r="AY3"/>
  <c r="BC3"/>
  <c r="F3"/>
  <c r="AJ3"/>
  <c r="AO3"/>
  <c r="AT3"/>
  <c r="AZ3"/>
  <c r="AF3"/>
  <c r="AH3"/>
  <c r="AN3"/>
  <c r="AS3"/>
  <c r="AX3"/>
  <c r="BD3"/>
  <c r="AG3"/>
  <c r="AR3"/>
  <c r="BB3"/>
  <c r="AK3"/>
  <c r="AV3"/>
  <c r="AL3"/>
  <c r="AW3"/>
  <c r="AP3"/>
  <c r="BA3"/>
  <c r="AF15"/>
  <c r="AJ15"/>
  <c r="AN15"/>
  <c r="AR15"/>
  <c r="AV15"/>
  <c r="AZ15"/>
  <c r="BD15"/>
  <c r="AI15"/>
  <c r="AO15"/>
  <c r="AT15"/>
  <c r="AY15"/>
  <c r="AH15"/>
  <c r="AM15"/>
  <c r="AS15"/>
  <c r="AX15"/>
  <c r="BC15"/>
  <c r="AG15"/>
  <c r="AQ15"/>
  <c r="BB15"/>
  <c r="AP15"/>
  <c r="BA15"/>
  <c r="F15"/>
  <c r="AL15"/>
  <c r="AW15"/>
  <c r="AK15"/>
  <c r="AU15"/>
  <c r="AI4"/>
  <c r="AM4"/>
  <c r="AQ4"/>
  <c r="AU4"/>
  <c r="AY4"/>
  <c r="BC4"/>
  <c r="AH4"/>
  <c r="AL4"/>
  <c r="AP4"/>
  <c r="AT4"/>
  <c r="AX4"/>
  <c r="BB4"/>
  <c r="AK4"/>
  <c r="AS4"/>
  <c r="BA4"/>
  <c r="AJ4"/>
  <c r="AR4"/>
  <c r="AZ4"/>
  <c r="AG4"/>
  <c r="AF4"/>
  <c r="AV4"/>
  <c r="BD4"/>
  <c r="F4"/>
  <c r="AO4"/>
  <c r="AW4"/>
  <c r="AN4"/>
  <c r="AG6"/>
  <c r="AK6"/>
  <c r="AO6"/>
  <c r="AS6"/>
  <c r="AW6"/>
  <c r="BA6"/>
  <c r="AJ6"/>
  <c r="AP6"/>
  <c r="AU6"/>
  <c r="AZ6"/>
  <c r="AI6"/>
  <c r="AN6"/>
  <c r="AT6"/>
  <c r="AY6"/>
  <c r="BD6"/>
  <c r="AM6"/>
  <c r="AX6"/>
  <c r="AL6"/>
  <c r="AQ6"/>
  <c r="BB6"/>
  <c r="AH6"/>
  <c r="AR6"/>
  <c r="BC6"/>
  <c r="F6"/>
  <c r="AF6"/>
  <c r="AV6"/>
  <c r="AI20"/>
  <c r="AM20"/>
  <c r="AQ20"/>
  <c r="AU20"/>
  <c r="AY20"/>
  <c r="BC20"/>
  <c r="AG20"/>
  <c r="AL20"/>
  <c r="AR20"/>
  <c r="AW20"/>
  <c r="BB20"/>
  <c r="AK20"/>
  <c r="AP20"/>
  <c r="AV20"/>
  <c r="BA20"/>
  <c r="AJ20"/>
  <c r="AT20"/>
  <c r="AN20"/>
  <c r="AX20"/>
  <c r="AF20"/>
  <c r="AO20"/>
  <c r="AZ20"/>
  <c r="AH20"/>
  <c r="AS20"/>
  <c r="BD20"/>
  <c r="F20"/>
  <c r="AG14"/>
  <c r="AK14"/>
  <c r="AO14"/>
  <c r="AS14"/>
  <c r="AW14"/>
  <c r="BA14"/>
  <c r="AH14"/>
  <c r="AM14"/>
  <c r="AR14"/>
  <c r="AX14"/>
  <c r="BC14"/>
  <c r="F14"/>
  <c r="AF14"/>
  <c r="AL14"/>
  <c r="AQ14"/>
  <c r="AV14"/>
  <c r="BB14"/>
  <c r="AJ14"/>
  <c r="AU14"/>
  <c r="AN14"/>
  <c r="AY14"/>
  <c r="AP14"/>
  <c r="AZ14"/>
  <c r="AI14"/>
  <c r="AT14"/>
  <c r="BD14"/>
  <c r="F60" i="19"/>
  <c r="B78"/>
  <c r="H20" i="22" s="1"/>
  <c r="A78" i="19"/>
  <c r="A72"/>
  <c r="B72"/>
  <c r="H14" i="22" s="1"/>
  <c r="B66" i="19"/>
  <c r="H8" i="22" s="1"/>
  <c r="A66" i="19"/>
  <c r="A77"/>
  <c r="B77"/>
  <c r="H19" i="22" s="1"/>
  <c r="B61" i="19"/>
  <c r="H3" i="22" s="1"/>
  <c r="A61" i="19"/>
  <c r="A73"/>
  <c r="B73"/>
  <c r="H15" i="22" s="1"/>
  <c r="A65" i="19"/>
  <c r="B65"/>
  <c r="H7" i="22" s="1"/>
  <c r="B70" i="19"/>
  <c r="H12" i="22" s="1"/>
  <c r="A70" i="19"/>
  <c r="A69"/>
  <c r="B69"/>
  <c r="H11" i="22" s="1"/>
  <c r="B62" i="19"/>
  <c r="H4" i="22" s="1"/>
  <c r="A62" i="19"/>
  <c r="A76"/>
  <c r="B76"/>
  <c r="H18" i="22" s="1"/>
  <c r="B75" i="19"/>
  <c r="H17" i="22" s="1"/>
  <c r="A75" i="19"/>
  <c r="B63"/>
  <c r="H5" i="22" s="1"/>
  <c r="A63" i="19"/>
  <c r="A68"/>
  <c r="B68"/>
  <c r="H10" i="22" s="1"/>
  <c r="B67" i="19"/>
  <c r="H9" i="22" s="1"/>
  <c r="A67" i="19"/>
  <c r="A64"/>
  <c r="B64"/>
  <c r="H6" i="22" s="1"/>
  <c r="B71" i="19"/>
  <c r="H13" i="22" s="1"/>
  <c r="A71" i="19"/>
  <c r="B74"/>
  <c r="H16" i="22" s="1"/>
  <c r="A74" i="19"/>
  <c r="F34"/>
  <c r="F122"/>
  <c r="F59"/>
  <c r="F84" s="1"/>
  <c r="F121" s="1"/>
  <c r="F12"/>
  <c r="G11"/>
  <c r="G35" s="1"/>
  <c r="F85"/>
  <c r="G10" i="22" l="1"/>
  <c r="G17"/>
  <c r="G4"/>
  <c r="G12"/>
  <c r="G6"/>
  <c r="G18"/>
  <c r="G11"/>
  <c r="G7"/>
  <c r="G16"/>
  <c r="G13"/>
  <c r="G9"/>
  <c r="G5"/>
  <c r="G3"/>
  <c r="G8"/>
  <c r="G20"/>
  <c r="G15"/>
  <c r="G19"/>
  <c r="G14"/>
  <c r="G12" i="19"/>
  <c r="G60"/>
  <c r="G59"/>
  <c r="G84" s="1"/>
  <c r="G121" s="1"/>
  <c r="G122"/>
  <c r="G85"/>
  <c r="H11"/>
  <c r="H35" s="1"/>
  <c r="G34"/>
  <c r="H60" l="1"/>
  <c r="H85"/>
  <c r="I11"/>
  <c r="I35" s="1"/>
  <c r="H122"/>
  <c r="H12"/>
  <c r="H34"/>
  <c r="H59"/>
  <c r="H84" s="1"/>
  <c r="H121" s="1"/>
  <c r="I34" l="1"/>
  <c r="I60"/>
  <c r="I85"/>
  <c r="J11"/>
  <c r="J35" s="1"/>
  <c r="I122"/>
  <c r="I12"/>
  <c r="I59"/>
  <c r="I84" s="1"/>
  <c r="I121" s="1"/>
  <c r="J60" l="1"/>
  <c r="J12"/>
  <c r="J122"/>
  <c r="J34"/>
  <c r="J85"/>
  <c r="J59"/>
  <c r="J84" s="1"/>
  <c r="J121" s="1"/>
  <c r="K11"/>
  <c r="K35" s="1"/>
  <c r="K60" l="1"/>
  <c r="K34"/>
  <c r="K59"/>
  <c r="K84" s="1"/>
  <c r="K121" s="1"/>
  <c r="K12"/>
  <c r="K85"/>
  <c r="K122"/>
  <c r="L11"/>
  <c r="L35" s="1"/>
  <c r="L122" l="1"/>
  <c r="M11"/>
  <c r="M35" s="1"/>
  <c r="L59"/>
  <c r="L84" s="1"/>
  <c r="L121" s="1"/>
  <c r="L34"/>
  <c r="L60"/>
  <c r="L12"/>
  <c r="L85"/>
  <c r="M85" l="1"/>
  <c r="N11"/>
  <c r="N35" s="1"/>
  <c r="M122"/>
  <c r="M60"/>
  <c r="M12"/>
  <c r="M34"/>
  <c r="M59"/>
  <c r="M84" s="1"/>
  <c r="M121" s="1"/>
  <c r="N59" l="1"/>
  <c r="N84" s="1"/>
  <c r="N121" s="1"/>
  <c r="O11"/>
  <c r="O35" s="1"/>
  <c r="N60"/>
  <c r="N12"/>
  <c r="N85"/>
  <c r="N34"/>
  <c r="N122"/>
  <c r="O85" l="1"/>
  <c r="P11"/>
  <c r="P35" s="1"/>
  <c r="O60"/>
  <c r="O59"/>
  <c r="O84" s="1"/>
  <c r="O121" s="1"/>
  <c r="O12"/>
  <c r="O122"/>
  <c r="O34"/>
  <c r="P122" l="1"/>
  <c r="P34"/>
  <c r="P60"/>
  <c r="P59"/>
  <c r="P84" s="1"/>
  <c r="P121" s="1"/>
  <c r="Q11"/>
  <c r="Q35" s="1"/>
  <c r="P85"/>
  <c r="P12"/>
  <c r="Q34" l="1"/>
  <c r="Q85"/>
  <c r="Q60"/>
  <c r="R11"/>
  <c r="R35" s="1"/>
  <c r="Q122"/>
  <c r="Q59"/>
  <c r="Q84" s="1"/>
  <c r="Q121" s="1"/>
  <c r="Q12"/>
  <c r="R122" l="1"/>
  <c r="R34"/>
  <c r="R59"/>
  <c r="R84" s="1"/>
  <c r="R121" s="1"/>
  <c r="R85"/>
  <c r="R12"/>
  <c r="R60"/>
  <c r="S11"/>
  <c r="S35" s="1"/>
  <c r="S85" l="1"/>
  <c r="S12"/>
  <c r="S122"/>
  <c r="S34"/>
  <c r="S60"/>
  <c r="T11"/>
  <c r="T35" s="1"/>
  <c r="S59"/>
  <c r="S84" s="1"/>
  <c r="S121" s="1"/>
  <c r="T122" l="1"/>
  <c r="T34"/>
  <c r="T59"/>
  <c r="T84" s="1"/>
  <c r="T121" s="1"/>
  <c r="T60"/>
  <c r="U11"/>
  <c r="U35" s="1"/>
  <c r="T85"/>
  <c r="T12"/>
  <c r="U59" l="1"/>
  <c r="U84" s="1"/>
  <c r="U121" s="1"/>
  <c r="U12"/>
  <c r="U122"/>
  <c r="U60"/>
  <c r="U34"/>
  <c r="V11"/>
  <c r="V35" s="1"/>
  <c r="U85"/>
  <c r="V60" l="1"/>
  <c r="V12"/>
  <c r="V122"/>
  <c r="V34"/>
  <c r="V85"/>
  <c r="V59"/>
  <c r="V84" s="1"/>
  <c r="V121" s="1"/>
  <c r="W11"/>
  <c r="W35" s="1"/>
  <c r="X11" l="1"/>
  <c r="X35" s="1"/>
  <c r="W12"/>
  <c r="W60"/>
  <c r="W34"/>
  <c r="W59"/>
  <c r="W84" s="1"/>
  <c r="W121" s="1"/>
  <c r="W85"/>
  <c r="W122"/>
  <c r="X122" l="1"/>
  <c r="X12"/>
  <c r="X34"/>
  <c r="X85"/>
  <c r="X60"/>
  <c r="X59"/>
  <c r="X84" s="1"/>
  <c r="X121" s="1"/>
  <c r="H12" i="12" l="1"/>
  <c r="H13"/>
  <c r="H14"/>
  <c r="H15"/>
  <c r="H16"/>
  <c r="H17"/>
  <c r="H18"/>
  <c r="H19"/>
  <c r="H20"/>
  <c r="H21"/>
  <c r="H22"/>
  <c r="H23"/>
  <c r="H24"/>
  <c r="H25"/>
  <c r="H26"/>
  <c r="H27"/>
  <c r="H28"/>
  <c r="H29"/>
  <c r="H30"/>
  <c r="H31"/>
  <c r="H32"/>
  <c r="H33"/>
  <c r="H34"/>
  <c r="H35"/>
  <c r="H36"/>
  <c r="H37"/>
  <c r="H38"/>
  <c r="H39"/>
  <c r="H40"/>
  <c r="H41"/>
  <c r="H42"/>
  <c r="H43"/>
  <c r="H44"/>
  <c r="H45"/>
  <c r="H46"/>
  <c r="H11"/>
  <c r="B12"/>
  <c r="B13"/>
  <c r="B14"/>
  <c r="B15"/>
  <c r="B16"/>
  <c r="B17"/>
  <c r="B18"/>
  <c r="B19"/>
  <c r="B20"/>
  <c r="B21"/>
  <c r="B22"/>
  <c r="B23"/>
  <c r="B24"/>
  <c r="B25"/>
  <c r="B26"/>
  <c r="B27"/>
  <c r="B28"/>
  <c r="B29"/>
  <c r="B30"/>
  <c r="B31"/>
  <c r="B32"/>
  <c r="B33"/>
  <c r="B34"/>
  <c r="B35"/>
  <c r="B36"/>
  <c r="B37"/>
  <c r="B38"/>
  <c r="B39"/>
  <c r="B40"/>
  <c r="B41"/>
  <c r="B42"/>
  <c r="B43"/>
  <c r="B44"/>
  <c r="B45"/>
  <c r="B46"/>
  <c r="B11"/>
  <c r="D19" i="20" l="1"/>
  <c r="D8"/>
  <c r="D24"/>
  <c r="D16"/>
  <c r="D12"/>
  <c r="D25"/>
  <c r="D21"/>
  <c r="D17"/>
  <c r="D13"/>
  <c r="D9"/>
  <c r="D23"/>
  <c r="D15"/>
  <c r="D11"/>
  <c r="D20"/>
  <c r="D22"/>
  <c r="D18"/>
  <c r="D14"/>
  <c r="D10"/>
  <c r="Y122" i="6"/>
  <c r="Y121"/>
  <c r="C53"/>
  <c r="C52"/>
  <c r="C51"/>
  <c r="C50"/>
  <c r="C49"/>
  <c r="C48"/>
  <c r="C47"/>
  <c r="C46"/>
  <c r="C45"/>
  <c r="C70" s="1"/>
  <c r="C44"/>
  <c r="C43"/>
  <c r="C42"/>
  <c r="C41"/>
  <c r="C40"/>
  <c r="C39"/>
  <c r="C38"/>
  <c r="C37"/>
  <c r="C36"/>
  <c r="C35"/>
  <c r="M10"/>
  <c r="N10" s="1"/>
  <c r="O10" s="1"/>
  <c r="P10" s="1"/>
  <c r="Q10" s="1"/>
  <c r="R10" s="1"/>
  <c r="S10" s="1"/>
  <c r="T10" s="1"/>
  <c r="U10" s="1"/>
  <c r="V10" s="1"/>
  <c r="W10" s="1"/>
  <c r="X10" s="1"/>
  <c r="I10"/>
  <c r="J10" s="1"/>
  <c r="K10" s="1"/>
  <c r="L10" s="1"/>
  <c r="H10"/>
  <c r="G10"/>
  <c r="F10"/>
  <c r="E11"/>
  <c r="E35" s="1"/>
  <c r="C58"/>
  <c r="C73" l="1"/>
  <c r="D73" s="1"/>
  <c r="C64"/>
  <c r="D64" s="1"/>
  <c r="C72"/>
  <c r="D72" s="1"/>
  <c r="C62"/>
  <c r="C66"/>
  <c r="D66" s="1"/>
  <c r="C74"/>
  <c r="D74" s="1"/>
  <c r="C78"/>
  <c r="D78" s="1"/>
  <c r="C61"/>
  <c r="D61" s="1"/>
  <c r="C65"/>
  <c r="D65" s="1"/>
  <c r="C77"/>
  <c r="C68"/>
  <c r="D68" s="1"/>
  <c r="C76"/>
  <c r="D76" s="1"/>
  <c r="C63"/>
  <c r="D63" s="1"/>
  <c r="C67"/>
  <c r="D67" s="1"/>
  <c r="C71"/>
  <c r="D71" s="1"/>
  <c r="C75"/>
  <c r="C69"/>
  <c r="E12"/>
  <c r="D77"/>
  <c r="E122"/>
  <c r="E85"/>
  <c r="E59"/>
  <c r="E84" s="1"/>
  <c r="E121" s="1"/>
  <c r="E162" s="1"/>
  <c r="F11"/>
  <c r="F35" s="1"/>
  <c r="E60"/>
  <c r="D70"/>
  <c r="D75"/>
  <c r="D62"/>
  <c r="E34"/>
  <c r="D69"/>
  <c r="D121"/>
  <c r="A71" l="1"/>
  <c r="Y71" s="1"/>
  <c r="B71"/>
  <c r="A78"/>
  <c r="Y78" s="1"/>
  <c r="B78"/>
  <c r="B72"/>
  <c r="A72"/>
  <c r="Y72" s="1"/>
  <c r="A76"/>
  <c r="Y76" s="1"/>
  <c r="B76"/>
  <c r="A61"/>
  <c r="Y61" s="1"/>
  <c r="B61"/>
  <c r="B68"/>
  <c r="A68"/>
  <c r="Y68" s="1"/>
  <c r="A62"/>
  <c r="Y62" s="1"/>
  <c r="B62"/>
  <c r="B69"/>
  <c r="A69"/>
  <c r="A67"/>
  <c r="Y67" s="1"/>
  <c r="B67"/>
  <c r="B74"/>
  <c r="A74"/>
  <c r="B64"/>
  <c r="A64"/>
  <c r="Y64" s="1"/>
  <c r="A70"/>
  <c r="Y70" s="1"/>
  <c r="B70"/>
  <c r="B77"/>
  <c r="A77"/>
  <c r="Y77" s="1"/>
  <c r="A75"/>
  <c r="Y75" s="1"/>
  <c r="B75"/>
  <c r="A63"/>
  <c r="Y63" s="1"/>
  <c r="B63"/>
  <c r="B65"/>
  <c r="A65"/>
  <c r="A66"/>
  <c r="Y66" s="1"/>
  <c r="B66"/>
  <c r="B73"/>
  <c r="A73"/>
  <c r="Y73" s="1"/>
  <c r="Y74"/>
  <c r="F85"/>
  <c r="F122"/>
  <c r="F34"/>
  <c r="F12"/>
  <c r="G11"/>
  <c r="G35" s="1"/>
  <c r="F59"/>
  <c r="F84" s="1"/>
  <c r="F121" s="1"/>
  <c r="F162" s="1"/>
  <c r="F60"/>
  <c r="G85" l="1"/>
  <c r="G122"/>
  <c r="G34"/>
  <c r="H11"/>
  <c r="H35" s="1"/>
  <c r="G60"/>
  <c r="G59"/>
  <c r="G84" s="1"/>
  <c r="G121" s="1"/>
  <c r="G162" s="1"/>
  <c r="G12"/>
  <c r="Y65"/>
  <c r="Y69"/>
  <c r="Y80" l="1"/>
  <c r="H122"/>
  <c r="H60"/>
  <c r="H59"/>
  <c r="H84" s="1"/>
  <c r="H121" s="1"/>
  <c r="H162" s="1"/>
  <c r="H34"/>
  <c r="H85"/>
  <c r="H12"/>
  <c r="I11"/>
  <c r="I35" s="1"/>
  <c r="I122" l="1"/>
  <c r="I85"/>
  <c r="J11"/>
  <c r="J35" s="1"/>
  <c r="I60"/>
  <c r="I59"/>
  <c r="I84" s="1"/>
  <c r="I121" s="1"/>
  <c r="I162" s="1"/>
  <c r="I12"/>
  <c r="I34"/>
  <c r="J122" l="1"/>
  <c r="J85"/>
  <c r="J34"/>
  <c r="J12"/>
  <c r="K11"/>
  <c r="K35" s="1"/>
  <c r="J59"/>
  <c r="J84" s="1"/>
  <c r="J121" s="1"/>
  <c r="J162" s="1"/>
  <c r="J60"/>
  <c r="K122" l="1"/>
  <c r="K85"/>
  <c r="K34"/>
  <c r="K60"/>
  <c r="K59"/>
  <c r="K84" s="1"/>
  <c r="K121" s="1"/>
  <c r="K162" s="1"/>
  <c r="K12"/>
  <c r="L11"/>
  <c r="L35" s="1"/>
  <c r="L122" l="1"/>
  <c r="L85"/>
  <c r="L60"/>
  <c r="L59"/>
  <c r="L84" s="1"/>
  <c r="L121" s="1"/>
  <c r="L162" s="1"/>
  <c r="L12"/>
  <c r="L34"/>
  <c r="M11"/>
  <c r="M35" s="1"/>
  <c r="M122" l="1"/>
  <c r="M85"/>
  <c r="M60"/>
  <c r="M59"/>
  <c r="M84" s="1"/>
  <c r="M121" s="1"/>
  <c r="M162" s="1"/>
  <c r="N11"/>
  <c r="N35" s="1"/>
  <c r="M12"/>
  <c r="M34"/>
  <c r="N34" l="1"/>
  <c r="N12"/>
  <c r="O11"/>
  <c r="O35" s="1"/>
  <c r="N122"/>
  <c r="N85"/>
  <c r="N59"/>
  <c r="N84" s="1"/>
  <c r="N121" s="1"/>
  <c r="N162" s="1"/>
  <c r="N60"/>
  <c r="O122" l="1"/>
  <c r="O34"/>
  <c r="P11"/>
  <c r="P35" s="1"/>
  <c r="O60"/>
  <c r="O59"/>
  <c r="O84" s="1"/>
  <c r="O121" s="1"/>
  <c r="O162" s="1"/>
  <c r="O12"/>
  <c r="O85"/>
  <c r="P122" l="1"/>
  <c r="P85"/>
  <c r="P60"/>
  <c r="P59"/>
  <c r="P84" s="1"/>
  <c r="P121" s="1"/>
  <c r="P162" s="1"/>
  <c r="P34"/>
  <c r="P12"/>
  <c r="Q11"/>
  <c r="Q35" s="1"/>
  <c r="Q122" l="1"/>
  <c r="Q85"/>
  <c r="R11"/>
  <c r="R35" s="1"/>
  <c r="Q60"/>
  <c r="Q59"/>
  <c r="Q84" s="1"/>
  <c r="Q121" s="1"/>
  <c r="Q162" s="1"/>
  <c r="Q34"/>
  <c r="Q12"/>
  <c r="R122" l="1"/>
  <c r="R85"/>
  <c r="R34"/>
  <c r="R12"/>
  <c r="S11"/>
  <c r="S35" s="1"/>
  <c r="R60"/>
  <c r="R59"/>
  <c r="R84" s="1"/>
  <c r="R121" s="1"/>
  <c r="R162" s="1"/>
  <c r="S122" l="1"/>
  <c r="S34"/>
  <c r="S85"/>
  <c r="S60"/>
  <c r="S59"/>
  <c r="S84" s="1"/>
  <c r="S121" s="1"/>
  <c r="S162" s="1"/>
  <c r="S12"/>
  <c r="T11"/>
  <c r="T35" s="1"/>
  <c r="T122" l="1"/>
  <c r="T85"/>
  <c r="T60"/>
  <c r="T59"/>
  <c r="T84" s="1"/>
  <c r="T121" s="1"/>
  <c r="T162" s="1"/>
  <c r="T12"/>
  <c r="T34"/>
  <c r="U11"/>
  <c r="U35" s="1"/>
  <c r="U122" l="1"/>
  <c r="U85"/>
  <c r="U59"/>
  <c r="U84" s="1"/>
  <c r="U121" s="1"/>
  <c r="U162" s="1"/>
  <c r="V11"/>
  <c r="V35" s="1"/>
  <c r="U60"/>
  <c r="U34"/>
  <c r="U12"/>
  <c r="V85" l="1"/>
  <c r="V122"/>
  <c r="V34"/>
  <c r="V12"/>
  <c r="W11"/>
  <c r="W35" s="1"/>
  <c r="V59"/>
  <c r="V84" s="1"/>
  <c r="V121" s="1"/>
  <c r="V162" s="1"/>
  <c r="V60"/>
  <c r="W85" l="1"/>
  <c r="W34"/>
  <c r="X11"/>
  <c r="X35" s="1"/>
  <c r="W122"/>
  <c r="W60"/>
  <c r="W59"/>
  <c r="W84" s="1"/>
  <c r="W121" s="1"/>
  <c r="W162" s="1"/>
  <c r="W12"/>
  <c r="X122" l="1"/>
  <c r="X60"/>
  <c r="X59"/>
  <c r="X84" s="1"/>
  <c r="X121" s="1"/>
  <c r="X162" s="1"/>
  <c r="X34"/>
  <c r="X85"/>
  <c r="X12"/>
  <c r="Y90" l="1"/>
  <c r="Y113"/>
  <c r="Y111"/>
  <c r="Y114"/>
  <c r="Y89"/>
  <c r="Y101"/>
  <c r="Y97"/>
  <c r="Y86"/>
  <c r="Y123" s="1"/>
  <c r="Y95"/>
  <c r="Y117"/>
  <c r="Y96"/>
  <c r="Y112"/>
  <c r="Y108"/>
  <c r="Y105"/>
  <c r="Y102"/>
  <c r="Y99"/>
  <c r="Y115"/>
  <c r="Y106"/>
  <c r="Y116"/>
  <c r="Y92"/>
  <c r="Y93"/>
  <c r="Y100"/>
  <c r="Y98"/>
  <c r="Y135" s="1"/>
  <c r="Y110"/>
  <c r="Y104"/>
  <c r="Y94"/>
  <c r="Y107"/>
  <c r="Y109"/>
  <c r="Y91"/>
  <c r="Y128" s="1"/>
  <c r="Y103"/>
  <c r="Y88"/>
  <c r="Y87"/>
  <c r="Y124" s="1"/>
  <c r="Y143" l="1"/>
  <c r="Y140"/>
  <c r="Y149"/>
  <c r="Y141"/>
  <c r="Y145"/>
  <c r="Y132"/>
  <c r="Y126"/>
  <c r="Y130"/>
  <c r="Y152"/>
  <c r="Y125"/>
  <c r="Y144"/>
  <c r="Y139"/>
  <c r="Y151"/>
  <c r="Y154"/>
  <c r="Y119"/>
  <c r="Y127"/>
  <c r="Y131"/>
  <c r="Y137"/>
  <c r="Y142"/>
  <c r="Y138"/>
  <c r="Y150"/>
  <c r="Y153"/>
  <c r="Y133"/>
  <c r="Y134"/>
  <c r="Y148"/>
  <c r="Y146"/>
  <c r="Y147"/>
  <c r="Y129"/>
  <c r="Y136"/>
  <c r="Y157" l="1"/>
  <c r="C46" i="12" l="1"/>
  <c r="C45"/>
  <c r="C44"/>
  <c r="C43"/>
  <c r="C42"/>
  <c r="C41"/>
  <c r="C40"/>
  <c r="C39"/>
  <c r="C38"/>
  <c r="C37"/>
  <c r="C36"/>
  <c r="C35"/>
  <c r="C34"/>
  <c r="C33"/>
  <c r="C32"/>
  <c r="C31"/>
  <c r="C30"/>
  <c r="C29"/>
  <c r="C28"/>
  <c r="C27"/>
  <c r="C26"/>
  <c r="C25"/>
  <c r="C24"/>
  <c r="C23"/>
  <c r="C22"/>
  <c r="C21"/>
  <c r="C20"/>
  <c r="C19"/>
  <c r="C18"/>
  <c r="C17"/>
  <c r="C16"/>
  <c r="C15"/>
  <c r="C14"/>
  <c r="C13"/>
  <c r="C12"/>
  <c r="C11"/>
  <c r="A13" i="20" l="1"/>
  <c r="B13" s="1"/>
  <c r="A21"/>
  <c r="B21" s="1"/>
  <c r="A9"/>
  <c r="B9" s="1"/>
  <c r="A17"/>
  <c r="B17" s="1"/>
  <c r="A25"/>
  <c r="B25" s="1"/>
  <c r="A8"/>
  <c r="B8" s="1"/>
  <c r="A12"/>
  <c r="B12" s="1"/>
  <c r="A16"/>
  <c r="B16" s="1"/>
  <c r="A20"/>
  <c r="B20" s="1"/>
  <c r="A11"/>
  <c r="B11" s="1"/>
  <c r="A15"/>
  <c r="B15" s="1"/>
  <c r="A19"/>
  <c r="B19" s="1"/>
  <c r="A23"/>
  <c r="B23" s="1"/>
  <c r="A24"/>
  <c r="B24" s="1"/>
  <c r="A10"/>
  <c r="B10" s="1"/>
  <c r="A14"/>
  <c r="B14" s="1"/>
  <c r="A18"/>
  <c r="B18" s="1"/>
  <c r="A22"/>
  <c r="B22" s="1"/>
  <c r="D159" i="6" l="1"/>
  <c r="D159" i="19"/>
  <c r="F159" l="1"/>
  <c r="F159" i="6"/>
  <c r="E13" i="22"/>
  <c r="E18"/>
  <c r="E4"/>
  <c r="E14"/>
  <c r="E9"/>
  <c r="E15"/>
  <c r="E19"/>
  <c r="E8"/>
  <c r="E5"/>
  <c r="E12"/>
  <c r="E16"/>
  <c r="E10"/>
  <c r="E11"/>
  <c r="E3"/>
  <c r="E17"/>
  <c r="E6"/>
  <c r="E7"/>
  <c r="E20"/>
  <c r="E159" i="6"/>
  <c r="E159" i="19"/>
  <c r="G159" i="6" l="1"/>
  <c r="G159" i="19"/>
  <c r="H159" l="1"/>
  <c r="H159" i="6"/>
  <c r="I159" l="1"/>
  <c r="I159" i="19"/>
  <c r="J159" i="6" l="1"/>
  <c r="J159" i="19"/>
  <c r="K159" l="1"/>
  <c r="K159" i="6"/>
  <c r="L159" i="19" l="1"/>
  <c r="L159" i="6"/>
  <c r="M159" l="1"/>
  <c r="M159" i="19"/>
  <c r="N159" i="6" l="1"/>
  <c r="N159" i="19"/>
  <c r="O159" l="1"/>
  <c r="O159" i="6"/>
  <c r="P159" i="19" l="1"/>
  <c r="P159" i="6"/>
  <c r="Q159" i="19" l="1"/>
  <c r="Q159" i="6"/>
  <c r="R159" i="19" l="1"/>
  <c r="R159" i="6"/>
  <c r="S159" l="1"/>
  <c r="S159" i="19"/>
  <c r="T159" l="1"/>
  <c r="T159" i="6"/>
  <c r="U159" l="1"/>
  <c r="U159" i="19"/>
  <c r="V159" i="6" l="1"/>
  <c r="V159" i="19"/>
  <c r="W159" i="6" l="1"/>
  <c r="W159" i="19"/>
  <c r="X159" l="1"/>
  <c r="X159" i="6"/>
  <c r="K44" i="12" l="1"/>
  <c r="K40"/>
  <c r="K36"/>
  <c r="K32"/>
  <c r="K28"/>
  <c r="K24"/>
  <c r="K20"/>
  <c r="K16"/>
  <c r="K12"/>
  <c r="B51" i="6"/>
  <c r="B47"/>
  <c r="B43"/>
  <c r="B39"/>
  <c r="K42" i="12"/>
  <c r="K34"/>
  <c r="K26"/>
  <c r="K18"/>
  <c r="B49" i="6"/>
  <c r="B41"/>
  <c r="B37"/>
  <c r="K43" i="12"/>
  <c r="K39"/>
  <c r="K35"/>
  <c r="K31"/>
  <c r="K27"/>
  <c r="K23"/>
  <c r="K19"/>
  <c r="K15"/>
  <c r="K11"/>
  <c r="B50" i="6"/>
  <c r="B46"/>
  <c r="B42"/>
  <c r="B38"/>
  <c r="K45" i="12"/>
  <c r="K41"/>
  <c r="K37"/>
  <c r="K33"/>
  <c r="K29"/>
  <c r="K25"/>
  <c r="K21"/>
  <c r="K17"/>
  <c r="K13"/>
  <c r="B52" i="6"/>
  <c r="B48"/>
  <c r="B44"/>
  <c r="B40"/>
  <c r="B36"/>
  <c r="K46" i="12"/>
  <c r="K38"/>
  <c r="K30"/>
  <c r="K22"/>
  <c r="K14"/>
  <c r="B53" i="6"/>
  <c r="B45"/>
  <c r="D41" i="19"/>
  <c r="D43"/>
  <c r="D48"/>
  <c r="D50"/>
  <c r="D49"/>
  <c r="D53"/>
  <c r="D37"/>
  <c r="D39"/>
  <c r="D44"/>
  <c r="D45"/>
  <c r="D47"/>
  <c r="D52"/>
  <c r="D36"/>
  <c r="D38"/>
  <c r="D51"/>
  <c r="D40"/>
  <c r="D42"/>
  <c r="D46"/>
  <c r="E13" i="6" l="1"/>
  <c r="E163" s="1"/>
  <c r="L22" l="1"/>
  <c r="G27"/>
  <c r="S18"/>
  <c r="H27"/>
  <c r="G30"/>
  <c r="G14"/>
  <c r="J20"/>
  <c r="Q18"/>
  <c r="U17"/>
  <c r="I25"/>
  <c r="W15"/>
  <c r="F26"/>
  <c r="X29"/>
  <c r="K22"/>
  <c r="H15"/>
  <c r="O24"/>
  <c r="W18"/>
  <c r="M28"/>
  <c r="P23"/>
  <c r="J17"/>
  <c r="W17"/>
  <c r="G29"/>
  <c r="F22"/>
  <c r="W22"/>
  <c r="W30"/>
  <c r="N14"/>
  <c r="V27"/>
  <c r="J26"/>
  <c r="V21"/>
  <c r="X26"/>
  <c r="L13"/>
  <c r="X16"/>
  <c r="P20"/>
  <c r="R28"/>
  <c r="J23"/>
  <c r="N28"/>
  <c r="H26"/>
  <c r="O15"/>
  <c r="M15"/>
  <c r="H23"/>
  <c r="G22"/>
  <c r="V15"/>
  <c r="F17"/>
  <c r="F28"/>
  <c r="Q22"/>
  <c r="M20"/>
  <c r="S23"/>
  <c r="O16"/>
  <c r="Q23"/>
  <c r="W29"/>
  <c r="L14"/>
  <c r="N21"/>
  <c r="H29"/>
  <c r="N23"/>
  <c r="N29"/>
  <c r="M24"/>
  <c r="T27"/>
  <c r="K27"/>
  <c r="F23"/>
  <c r="M18"/>
  <c r="S20"/>
  <c r="P19"/>
  <c r="K19"/>
  <c r="V20"/>
  <c r="L15"/>
  <c r="P15"/>
  <c r="F21"/>
  <c r="I17"/>
  <c r="Q24"/>
  <c r="U23"/>
  <c r="V14"/>
  <c r="J13"/>
  <c r="R19"/>
  <c r="T26"/>
  <c r="J27"/>
  <c r="G24"/>
  <c r="P28"/>
  <c r="V18"/>
  <c r="X24"/>
  <c r="H24"/>
  <c r="U25"/>
  <c r="T29"/>
  <c r="R13"/>
  <c r="S30"/>
  <c r="N25"/>
  <c r="N13"/>
  <c r="U22"/>
  <c r="M22"/>
  <c r="K18"/>
  <c r="R15"/>
  <c r="O14"/>
  <c r="K20"/>
  <c r="J28"/>
  <c r="M19"/>
  <c r="H22"/>
  <c r="F18"/>
  <c r="Q14"/>
  <c r="F15"/>
  <c r="T21"/>
  <c r="Q19"/>
  <c r="J21"/>
  <c r="K21"/>
  <c r="N20"/>
  <c r="F29"/>
  <c r="S26"/>
  <c r="G19"/>
  <c r="F14"/>
  <c r="H19"/>
  <c r="J19"/>
  <c r="P26"/>
  <c r="J29"/>
  <c r="X25"/>
  <c r="J15"/>
  <c r="F13"/>
  <c r="F163" s="1"/>
  <c r="L27"/>
  <c r="G26"/>
  <c r="O30"/>
  <c r="Q25"/>
  <c r="V23"/>
  <c r="M16"/>
  <c r="U26"/>
  <c r="F24"/>
  <c r="V13"/>
  <c r="R16"/>
  <c r="S28"/>
  <c r="I14"/>
  <c r="Q29"/>
  <c r="W13"/>
  <c r="S25"/>
  <c r="K23"/>
  <c r="V29"/>
  <c r="X13"/>
  <c r="W20"/>
  <c r="I27"/>
  <c r="W25"/>
  <c r="R30"/>
  <c r="R20"/>
  <c r="I22"/>
  <c r="J22"/>
  <c r="V30"/>
  <c r="M14"/>
  <c r="M17"/>
  <c r="X30"/>
  <c r="H14"/>
  <c r="J25"/>
  <c r="T19"/>
  <c r="G16"/>
  <c r="F19"/>
  <c r="X20"/>
  <c r="H25"/>
  <c r="R26"/>
  <c r="Q27"/>
  <c r="T24"/>
  <c r="P18"/>
  <c r="V22"/>
  <c r="V17"/>
  <c r="X21"/>
  <c r="G17"/>
  <c r="T15"/>
  <c r="L23"/>
  <c r="P14"/>
  <c r="U14"/>
  <c r="O20"/>
  <c r="O29"/>
  <c r="P17"/>
  <c r="M13"/>
  <c r="G23"/>
  <c r="I23"/>
  <c r="J14"/>
  <c r="N30"/>
  <c r="K17"/>
  <c r="N19"/>
  <c r="H18"/>
  <c r="O28"/>
  <c r="T16"/>
  <c r="O13"/>
  <c r="K24"/>
  <c r="H28"/>
  <c r="U15"/>
  <c r="X15"/>
  <c r="G25"/>
  <c r="R22"/>
  <c r="V28"/>
  <c r="J18"/>
  <c r="S16"/>
  <c r="X17"/>
  <c r="T23"/>
  <c r="W28"/>
  <c r="P22"/>
  <c r="W21"/>
  <c r="I24"/>
  <c r="I16"/>
  <c r="Q28"/>
  <c r="W26"/>
  <c r="O17"/>
  <c r="P13"/>
  <c r="V24"/>
  <c r="L26"/>
  <c r="R25"/>
  <c r="Q13"/>
  <c r="I26"/>
  <c r="W14"/>
  <c r="O19"/>
  <c r="P25"/>
  <c r="V25"/>
  <c r="L21"/>
  <c r="T22"/>
  <c r="U20"/>
  <c r="S29"/>
  <c r="X28"/>
  <c r="H20"/>
  <c r="Q20"/>
  <c r="Q26"/>
  <c r="Q30"/>
  <c r="M21"/>
  <c r="P30"/>
  <c r="G13"/>
  <c r="T14"/>
  <c r="U30"/>
  <c r="X14"/>
  <c r="R24"/>
  <c r="X18"/>
  <c r="I20"/>
  <c r="F25"/>
  <c r="N27"/>
  <c r="I30"/>
  <c r="N18"/>
  <c r="S24"/>
  <c r="S21"/>
  <c r="J24"/>
  <c r="G28"/>
  <c r="R27"/>
  <c r="T17"/>
  <c r="G18"/>
  <c r="W23"/>
  <c r="K15"/>
  <c r="M27"/>
  <c r="V26"/>
  <c r="H17"/>
  <c r="R23"/>
  <c r="G21"/>
  <c r="X27"/>
  <c r="U21"/>
  <c r="R17"/>
  <c r="S22"/>
  <c r="I28"/>
  <c r="O27"/>
  <c r="O26"/>
  <c r="K26"/>
  <c r="U19"/>
  <c r="O21"/>
  <c r="O25"/>
  <c r="Q16"/>
  <c r="Q15"/>
  <c r="K25"/>
  <c r="L17"/>
  <c r="U18"/>
  <c r="Q21"/>
  <c r="I21"/>
  <c r="L25"/>
  <c r="M25"/>
  <c r="K29"/>
  <c r="I15"/>
  <c r="L29"/>
  <c r="J30"/>
  <c r="L20"/>
  <c r="K30"/>
  <c r="U27"/>
  <c r="U28"/>
  <c r="L16"/>
  <c r="Q17"/>
  <c r="L19"/>
  <c r="T25"/>
  <c r="O22"/>
  <c r="L18"/>
  <c r="O18"/>
  <c r="F20"/>
  <c r="M30"/>
  <c r="N15"/>
  <c r="T20"/>
  <c r="R21"/>
  <c r="N16"/>
  <c r="M26"/>
  <c r="V16"/>
  <c r="P29"/>
  <c r="P27"/>
  <c r="L28"/>
  <c r="T18"/>
  <c r="H21"/>
  <c r="W27"/>
  <c r="F27"/>
  <c r="S15"/>
  <c r="T30"/>
  <c r="R29"/>
  <c r="G15"/>
  <c r="L24"/>
  <c r="S14"/>
  <c r="N26"/>
  <c r="F16"/>
  <c r="U29"/>
  <c r="X23"/>
  <c r="I18"/>
  <c r="N17"/>
  <c r="L30"/>
  <c r="K28"/>
  <c r="K16"/>
  <c r="T13"/>
  <c r="P24"/>
  <c r="W16"/>
  <c r="K13"/>
  <c r="T28"/>
  <c r="H30"/>
  <c r="R14"/>
  <c r="X22"/>
  <c r="S17"/>
  <c r="R18"/>
  <c r="H16"/>
  <c r="U16"/>
  <c r="U24"/>
  <c r="I13"/>
  <c r="M29"/>
  <c r="J16"/>
  <c r="I19"/>
  <c r="F30"/>
  <c r="O23"/>
  <c r="W19"/>
  <c r="S19"/>
  <c r="K14"/>
  <c r="S13"/>
  <c r="G20"/>
  <c r="I29"/>
  <c r="N24"/>
  <c r="H13"/>
  <c r="N22"/>
  <c r="P16"/>
  <c r="U13"/>
  <c r="X19"/>
  <c r="M23"/>
  <c r="V19"/>
  <c r="S27"/>
  <c r="W24"/>
  <c r="P21"/>
  <c r="E23"/>
  <c r="E173" s="1"/>
  <c r="F173" s="1"/>
  <c r="G173" s="1"/>
  <c r="H173" s="1"/>
  <c r="I173" s="1"/>
  <c r="J173" s="1"/>
  <c r="E19"/>
  <c r="E169" s="1"/>
  <c r="F169" s="1"/>
  <c r="E28"/>
  <c r="E178" s="1"/>
  <c r="F178" s="1"/>
  <c r="E20"/>
  <c r="E170" s="1"/>
  <c r="E22"/>
  <c r="E172" s="1"/>
  <c r="F172" s="1"/>
  <c r="E30"/>
  <c r="E180" s="1"/>
  <c r="F180" s="1"/>
  <c r="E17"/>
  <c r="E167" s="1"/>
  <c r="E29"/>
  <c r="E179" s="1"/>
  <c r="E18"/>
  <c r="E168" s="1"/>
  <c r="F168" s="1"/>
  <c r="E25"/>
  <c r="E175" s="1"/>
  <c r="F175" s="1"/>
  <c r="E14"/>
  <c r="E164" s="1"/>
  <c r="E15"/>
  <c r="E165" s="1"/>
  <c r="F165" s="1"/>
  <c r="E24"/>
  <c r="E174" s="1"/>
  <c r="E27"/>
  <c r="E177" s="1"/>
  <c r="E16"/>
  <c r="E166" s="1"/>
  <c r="E21"/>
  <c r="E171" s="1"/>
  <c r="E26"/>
  <c r="E176" s="1"/>
  <c r="F176" s="1"/>
  <c r="G176" s="1"/>
  <c r="L14" i="19"/>
  <c r="W28"/>
  <c r="K18"/>
  <c r="S26"/>
  <c r="K24"/>
  <c r="X25"/>
  <c r="V13"/>
  <c r="S29"/>
  <c r="I14"/>
  <c r="F28"/>
  <c r="P17"/>
  <c r="T16"/>
  <c r="I25"/>
  <c r="R27"/>
  <c r="M27"/>
  <c r="V18"/>
  <c r="T29"/>
  <c r="S19"/>
  <c r="M25"/>
  <c r="R25"/>
  <c r="R28"/>
  <c r="I13"/>
  <c r="X21"/>
  <c r="Q17"/>
  <c r="M21"/>
  <c r="T13"/>
  <c r="V17"/>
  <c r="V30"/>
  <c r="T25"/>
  <c r="H25"/>
  <c r="Q26"/>
  <c r="F26"/>
  <c r="X16"/>
  <c r="W15"/>
  <c r="R15"/>
  <c r="F14"/>
  <c r="T26"/>
  <c r="S14"/>
  <c r="W29"/>
  <c r="J16"/>
  <c r="J29"/>
  <c r="V20"/>
  <c r="U21"/>
  <c r="W20"/>
  <c r="I30"/>
  <c r="N25"/>
  <c r="G19"/>
  <c r="Q18"/>
  <c r="P22"/>
  <c r="V19"/>
  <c r="S24"/>
  <c r="O14"/>
  <c r="T22"/>
  <c r="K19"/>
  <c r="N30"/>
  <c r="N13"/>
  <c r="J28"/>
  <c r="V29"/>
  <c r="K27"/>
  <c r="W17"/>
  <c r="X14"/>
  <c r="H26"/>
  <c r="R22"/>
  <c r="Q19"/>
  <c r="G30"/>
  <c r="L26"/>
  <c r="L25"/>
  <c r="U19"/>
  <c r="I19"/>
  <c r="F29"/>
  <c r="Q24"/>
  <c r="G20"/>
  <c r="L21"/>
  <c r="G15"/>
  <c r="H13"/>
  <c r="R23"/>
  <c r="O27"/>
  <c r="M16"/>
  <c r="J25"/>
  <c r="T14"/>
  <c r="P20"/>
  <c r="T18"/>
  <c r="N17"/>
  <c r="Q21"/>
  <c r="F15"/>
  <c r="I21"/>
  <c r="W22"/>
  <c r="L27"/>
  <c r="K28"/>
  <c r="U30"/>
  <c r="S28"/>
  <c r="I28"/>
  <c r="T17"/>
  <c r="P23"/>
  <c r="M29"/>
  <c r="W24"/>
  <c r="Q15"/>
  <c r="K25"/>
  <c r="V15"/>
  <c r="P18"/>
  <c r="R26"/>
  <c r="N24"/>
  <c r="J20"/>
  <c r="K20"/>
  <c r="X27"/>
  <c r="G21"/>
  <c r="Q22"/>
  <c r="U18"/>
  <c r="N22"/>
  <c r="L18"/>
  <c r="G22"/>
  <c r="N23"/>
  <c r="H18"/>
  <c r="S20"/>
  <c r="N21"/>
  <c r="U22"/>
  <c r="P28"/>
  <c r="T27"/>
  <c r="L16"/>
  <c r="K23"/>
  <c r="S21"/>
  <c r="P24"/>
  <c r="T24"/>
  <c r="H14"/>
  <c r="J27"/>
  <c r="X13"/>
  <c r="M17"/>
  <c r="T23"/>
  <c r="F25"/>
  <c r="J23"/>
  <c r="J26"/>
  <c r="O18"/>
  <c r="M22"/>
  <c r="U25"/>
  <c r="F23"/>
  <c r="M20"/>
  <c r="K29"/>
  <c r="Q16"/>
  <c r="V25"/>
  <c r="H29"/>
  <c r="L19"/>
  <c r="J30"/>
  <c r="S23"/>
  <c r="G16"/>
  <c r="X20"/>
  <c r="M14"/>
  <c r="L22"/>
  <c r="X29"/>
  <c r="F19"/>
  <c r="L24"/>
  <c r="G18"/>
  <c r="O16"/>
  <c r="O24"/>
  <c r="T28"/>
  <c r="L29"/>
  <c r="W30"/>
  <c r="T20"/>
  <c r="J21"/>
  <c r="R29"/>
  <c r="F20"/>
  <c r="L15"/>
  <c r="P16"/>
  <c r="I29"/>
  <c r="F13"/>
  <c r="K30"/>
  <c r="R13"/>
  <c r="N14"/>
  <c r="V16"/>
  <c r="S25"/>
  <c r="H21"/>
  <c r="K26"/>
  <c r="U26"/>
  <c r="O20"/>
  <c r="S16"/>
  <c r="F27"/>
  <c r="T30"/>
  <c r="J13"/>
  <c r="P13"/>
  <c r="F30"/>
  <c r="U27"/>
  <c r="R20"/>
  <c r="V21"/>
  <c r="J18"/>
  <c r="F16"/>
  <c r="K16"/>
  <c r="U15"/>
  <c r="G14"/>
  <c r="W26"/>
  <c r="X24"/>
  <c r="V26"/>
  <c r="V28"/>
  <c r="X18"/>
  <c r="F21"/>
  <c r="I23"/>
  <c r="N28"/>
  <c r="I24"/>
  <c r="I18"/>
  <c r="X28"/>
  <c r="R16"/>
  <c r="H28"/>
  <c r="G27"/>
  <c r="P14"/>
  <c r="K17"/>
  <c r="L30"/>
  <c r="K22"/>
  <c r="R17"/>
  <c r="J14"/>
  <c r="W18"/>
  <c r="J22"/>
  <c r="Q14"/>
  <c r="P26"/>
  <c r="P15"/>
  <c r="W27"/>
  <c r="R30"/>
  <c r="L17"/>
  <c r="J19"/>
  <c r="M23"/>
  <c r="Q13"/>
  <c r="P27"/>
  <c r="N18"/>
  <c r="V22"/>
  <c r="P19"/>
  <c r="U16"/>
  <c r="F22"/>
  <c r="S13"/>
  <c r="U24"/>
  <c r="O19"/>
  <c r="W16"/>
  <c r="I15"/>
  <c r="N27"/>
  <c r="K13"/>
  <c r="L20"/>
  <c r="W13"/>
  <c r="Q23"/>
  <c r="N19"/>
  <c r="W21"/>
  <c r="V14"/>
  <c r="M19"/>
  <c r="Q28"/>
  <c r="Q30"/>
  <c r="G23"/>
  <c r="H16"/>
  <c r="X26"/>
  <c r="Q25"/>
  <c r="N20"/>
  <c r="S17"/>
  <c r="O17"/>
  <c r="H24"/>
  <c r="M24"/>
  <c r="I16"/>
  <c r="L28"/>
  <c r="H30"/>
  <c r="R21"/>
  <c r="J15"/>
  <c r="U23"/>
  <c r="F18"/>
  <c r="R19"/>
  <c r="G24"/>
  <c r="I20"/>
  <c r="X15"/>
  <c r="N15"/>
  <c r="R24"/>
  <c r="O21"/>
  <c r="I26"/>
  <c r="G25"/>
  <c r="U13"/>
  <c r="W14"/>
  <c r="J17"/>
  <c r="L23"/>
  <c r="Q29"/>
  <c r="U28"/>
  <c r="F24"/>
  <c r="M18"/>
  <c r="R18"/>
  <c r="G26"/>
  <c r="M28"/>
  <c r="O29"/>
  <c r="O23"/>
  <c r="M15"/>
  <c r="U20"/>
  <c r="F17"/>
  <c r="M13"/>
  <c r="U14"/>
  <c r="N16"/>
  <c r="P21"/>
  <c r="H23"/>
  <c r="V24"/>
  <c r="U29"/>
  <c r="S27"/>
  <c r="P30"/>
  <c r="M26"/>
  <c r="N29"/>
  <c r="K15"/>
  <c r="H20"/>
  <c r="P25"/>
  <c r="X23"/>
  <c r="S15"/>
  <c r="H27"/>
  <c r="W19"/>
  <c r="I27"/>
  <c r="S30"/>
  <c r="X30"/>
  <c r="K14"/>
  <c r="U17"/>
  <c r="G29"/>
  <c r="H19"/>
  <c r="X19"/>
  <c r="T21"/>
  <c r="J24"/>
  <c r="X22"/>
  <c r="G28"/>
  <c r="V27"/>
  <c r="O26"/>
  <c r="S22"/>
  <c r="O28"/>
  <c r="H22"/>
  <c r="V23"/>
  <c r="I22"/>
  <c r="R14"/>
  <c r="I17"/>
  <c r="O22"/>
  <c r="G13"/>
  <c r="N26"/>
  <c r="Q27"/>
  <c r="O15"/>
  <c r="O30"/>
  <c r="M30"/>
  <c r="H15"/>
  <c r="H17"/>
  <c r="S18"/>
  <c r="P29"/>
  <c r="G17"/>
  <c r="T19"/>
  <c r="O25"/>
  <c r="X17"/>
  <c r="K21"/>
  <c r="L13"/>
  <c r="O13"/>
  <c r="Q20"/>
  <c r="W25"/>
  <c r="W23"/>
  <c r="T15"/>
  <c r="E17"/>
  <c r="E20"/>
  <c r="E22"/>
  <c r="E19"/>
  <c r="E27"/>
  <c r="E16"/>
  <c r="E30"/>
  <c r="E25"/>
  <c r="E24"/>
  <c r="E28"/>
  <c r="E15"/>
  <c r="E14"/>
  <c r="E23"/>
  <c r="E18"/>
  <c r="E21"/>
  <c r="E29"/>
  <c r="E26"/>
  <c r="E13"/>
  <c r="F166" i="6" l="1"/>
  <c r="G166" s="1"/>
  <c r="H166" s="1"/>
  <c r="I166" s="1"/>
  <c r="J166" s="1"/>
  <c r="K166" s="1"/>
  <c r="L166" s="1"/>
  <c r="M166" s="1"/>
  <c r="N166" s="1"/>
  <c r="O166" s="1"/>
  <c r="P166" s="1"/>
  <c r="Q166" s="1"/>
  <c r="R166" s="1"/>
  <c r="S166" s="1"/>
  <c r="T166" s="1"/>
  <c r="U166" s="1"/>
  <c r="V166" s="1"/>
  <c r="W166" s="1"/>
  <c r="X166" s="1"/>
  <c r="F164"/>
  <c r="G164" s="1"/>
  <c r="H164" s="1"/>
  <c r="I164" s="1"/>
  <c r="J164" s="1"/>
  <c r="K164" s="1"/>
  <c r="L164" s="1"/>
  <c r="M164" s="1"/>
  <c r="N164" s="1"/>
  <c r="O164" s="1"/>
  <c r="P164" s="1"/>
  <c r="Q164" s="1"/>
  <c r="R164" s="1"/>
  <c r="S164" s="1"/>
  <c r="T164" s="1"/>
  <c r="U164" s="1"/>
  <c r="V164" s="1"/>
  <c r="W164" s="1"/>
  <c r="X164" s="1"/>
  <c r="F167"/>
  <c r="G178"/>
  <c r="F171"/>
  <c r="G171" s="1"/>
  <c r="H171" s="1"/>
  <c r="I171" s="1"/>
  <c r="J171" s="1"/>
  <c r="K171" s="1"/>
  <c r="L171" s="1"/>
  <c r="M171" s="1"/>
  <c r="N171" s="1"/>
  <c r="O171" s="1"/>
  <c r="P171" s="1"/>
  <c r="Q171" s="1"/>
  <c r="R171" s="1"/>
  <c r="S171" s="1"/>
  <c r="T171" s="1"/>
  <c r="U171" s="1"/>
  <c r="V171" s="1"/>
  <c r="W171" s="1"/>
  <c r="X171" s="1"/>
  <c r="F179"/>
  <c r="G179" s="1"/>
  <c r="G167"/>
  <c r="H167" s="1"/>
  <c r="I167" s="1"/>
  <c r="J167" s="1"/>
  <c r="K167" s="1"/>
  <c r="L167" s="1"/>
  <c r="M167" s="1"/>
  <c r="N167" s="1"/>
  <c r="O167" s="1"/>
  <c r="P167" s="1"/>
  <c r="Q167" s="1"/>
  <c r="R167" s="1"/>
  <c r="S167" s="1"/>
  <c r="T167" s="1"/>
  <c r="U167" s="1"/>
  <c r="V167" s="1"/>
  <c r="W167" s="1"/>
  <c r="X167" s="1"/>
  <c r="H178"/>
  <c r="I178" s="1"/>
  <c r="J178" s="1"/>
  <c r="K178" s="1"/>
  <c r="L178" s="1"/>
  <c r="M178" s="1"/>
  <c r="N178" s="1"/>
  <c r="O178" s="1"/>
  <c r="P178" s="1"/>
  <c r="Q178" s="1"/>
  <c r="R178" s="1"/>
  <c r="S178" s="1"/>
  <c r="T178" s="1"/>
  <c r="U178" s="1"/>
  <c r="V178" s="1"/>
  <c r="W178" s="1"/>
  <c r="X178" s="1"/>
  <c r="G168"/>
  <c r="K173"/>
  <c r="L173" s="1"/>
  <c r="M173" s="1"/>
  <c r="N173" s="1"/>
  <c r="G169"/>
  <c r="H169" s="1"/>
  <c r="I169" s="1"/>
  <c r="F177"/>
  <c r="G177" s="1"/>
  <c r="H177" s="1"/>
  <c r="I177" s="1"/>
  <c r="J177" s="1"/>
  <c r="K177" s="1"/>
  <c r="L177" s="1"/>
  <c r="M177" s="1"/>
  <c r="N177" s="1"/>
  <c r="O177" s="1"/>
  <c r="P177" s="1"/>
  <c r="Q177" s="1"/>
  <c r="R177" s="1"/>
  <c r="S177" s="1"/>
  <c r="T177" s="1"/>
  <c r="U177" s="1"/>
  <c r="V177" s="1"/>
  <c r="W177" s="1"/>
  <c r="X177" s="1"/>
  <c r="G165"/>
  <c r="H165" s="1"/>
  <c r="I165" s="1"/>
  <c r="J165" s="1"/>
  <c r="K165" s="1"/>
  <c r="L165" s="1"/>
  <c r="M165" s="1"/>
  <c r="N165" s="1"/>
  <c r="O165" s="1"/>
  <c r="P165" s="1"/>
  <c r="Q165" s="1"/>
  <c r="R165" s="1"/>
  <c r="S165" s="1"/>
  <c r="T165" s="1"/>
  <c r="U165" s="1"/>
  <c r="V165" s="1"/>
  <c r="W165" s="1"/>
  <c r="X165" s="1"/>
  <c r="H179"/>
  <c r="I179" s="1"/>
  <c r="J179" s="1"/>
  <c r="K179" s="1"/>
  <c r="L179" s="1"/>
  <c r="M179" s="1"/>
  <c r="N179" s="1"/>
  <c r="O179" s="1"/>
  <c r="P179" s="1"/>
  <c r="Q179" s="1"/>
  <c r="R179" s="1"/>
  <c r="S179" s="1"/>
  <c r="T179" s="1"/>
  <c r="U179" s="1"/>
  <c r="V179" s="1"/>
  <c r="W179" s="1"/>
  <c r="X179" s="1"/>
  <c r="G163"/>
  <c r="H163" s="1"/>
  <c r="I163" s="1"/>
  <c r="J163" s="1"/>
  <c r="K163" s="1"/>
  <c r="L163" s="1"/>
  <c r="M163" s="1"/>
  <c r="N163" s="1"/>
  <c r="O163" s="1"/>
  <c r="P163" s="1"/>
  <c r="Q163" s="1"/>
  <c r="R163" s="1"/>
  <c r="S163" s="1"/>
  <c r="T163" s="1"/>
  <c r="U163" s="1"/>
  <c r="V163" s="1"/>
  <c r="W163" s="1"/>
  <c r="X163" s="1"/>
  <c r="H176"/>
  <c r="I176" s="1"/>
  <c r="J176" s="1"/>
  <c r="K176" s="1"/>
  <c r="L176" s="1"/>
  <c r="M176" s="1"/>
  <c r="N176" s="1"/>
  <c r="O176" s="1"/>
  <c r="P176" s="1"/>
  <c r="Q176" s="1"/>
  <c r="R176" s="1"/>
  <c r="S176" s="1"/>
  <c r="T176" s="1"/>
  <c r="U176" s="1"/>
  <c r="V176" s="1"/>
  <c r="W176" s="1"/>
  <c r="X176" s="1"/>
  <c r="G172"/>
  <c r="H172" s="1"/>
  <c r="I172" s="1"/>
  <c r="J172" s="1"/>
  <c r="K172" s="1"/>
  <c r="L172" s="1"/>
  <c r="M172" s="1"/>
  <c r="N172" s="1"/>
  <c r="O172" s="1"/>
  <c r="P172" s="1"/>
  <c r="Q172" s="1"/>
  <c r="R172" s="1"/>
  <c r="S172" s="1"/>
  <c r="T172" s="1"/>
  <c r="U172" s="1"/>
  <c r="V172" s="1"/>
  <c r="W172" s="1"/>
  <c r="X172" s="1"/>
  <c r="O173"/>
  <c r="P173" s="1"/>
  <c r="Q173" s="1"/>
  <c r="R173" s="1"/>
  <c r="S173" s="1"/>
  <c r="T173" s="1"/>
  <c r="U173" s="1"/>
  <c r="V173" s="1"/>
  <c r="W173" s="1"/>
  <c r="X173" s="1"/>
  <c r="G175"/>
  <c r="H175" s="1"/>
  <c r="I175" s="1"/>
  <c r="J175" s="1"/>
  <c r="K175" s="1"/>
  <c r="L175" s="1"/>
  <c r="M175" s="1"/>
  <c r="N175" s="1"/>
  <c r="O175" s="1"/>
  <c r="P175" s="1"/>
  <c r="Q175" s="1"/>
  <c r="R175" s="1"/>
  <c r="S175" s="1"/>
  <c r="T175" s="1"/>
  <c r="U175" s="1"/>
  <c r="V175" s="1"/>
  <c r="W175" s="1"/>
  <c r="X175" s="1"/>
  <c r="G180"/>
  <c r="H180" s="1"/>
  <c r="I180" s="1"/>
  <c r="J180" s="1"/>
  <c r="K180" s="1"/>
  <c r="L180" s="1"/>
  <c r="M180" s="1"/>
  <c r="N180" s="1"/>
  <c r="O180" s="1"/>
  <c r="P180" s="1"/>
  <c r="Q180" s="1"/>
  <c r="R180" s="1"/>
  <c r="S180" s="1"/>
  <c r="T180" s="1"/>
  <c r="U180" s="1"/>
  <c r="V180" s="1"/>
  <c r="W180" s="1"/>
  <c r="X180" s="1"/>
  <c r="F174"/>
  <c r="G174" s="1"/>
  <c r="H174" s="1"/>
  <c r="I174" s="1"/>
  <c r="J174" s="1"/>
  <c r="K174" s="1"/>
  <c r="L174" s="1"/>
  <c r="M174" s="1"/>
  <c r="N174" s="1"/>
  <c r="O174" s="1"/>
  <c r="P174" s="1"/>
  <c r="Q174" s="1"/>
  <c r="R174" s="1"/>
  <c r="S174" s="1"/>
  <c r="T174" s="1"/>
  <c r="U174" s="1"/>
  <c r="V174" s="1"/>
  <c r="W174" s="1"/>
  <c r="X174" s="1"/>
  <c r="F170"/>
  <c r="G170" s="1"/>
  <c r="H170" s="1"/>
  <c r="I170" s="1"/>
  <c r="J170" s="1"/>
  <c r="K170" s="1"/>
  <c r="L170" s="1"/>
  <c r="M170" s="1"/>
  <c r="N170" s="1"/>
  <c r="O170" s="1"/>
  <c r="P170" s="1"/>
  <c r="Q170" s="1"/>
  <c r="R170" s="1"/>
  <c r="S170" s="1"/>
  <c r="T170" s="1"/>
  <c r="U170" s="1"/>
  <c r="V170" s="1"/>
  <c r="W170" s="1"/>
  <c r="X170" s="1"/>
  <c r="H31"/>
  <c r="S31"/>
  <c r="G31"/>
  <c r="K31"/>
  <c r="M31"/>
  <c r="F31"/>
  <c r="N31"/>
  <c r="T31"/>
  <c r="V31"/>
  <c r="R31"/>
  <c r="L31"/>
  <c r="U31"/>
  <c r="I31"/>
  <c r="Q31"/>
  <c r="P31"/>
  <c r="O31"/>
  <c r="X31"/>
  <c r="W31"/>
  <c r="J31"/>
  <c r="E31"/>
  <c r="L31" i="19"/>
  <c r="U31"/>
  <c r="O31"/>
  <c r="G31"/>
  <c r="P31"/>
  <c r="X31"/>
  <c r="T31"/>
  <c r="K31"/>
  <c r="H31"/>
  <c r="V31"/>
  <c r="W31"/>
  <c r="S31"/>
  <c r="J31"/>
  <c r="M31"/>
  <c r="Q31"/>
  <c r="R31"/>
  <c r="I31"/>
  <c r="F31"/>
  <c r="N31"/>
  <c r="A49"/>
  <c r="F49" s="1"/>
  <c r="A46"/>
  <c r="F46" s="1"/>
  <c r="A47"/>
  <c r="A50"/>
  <c r="A40"/>
  <c r="A41"/>
  <c r="F41" s="1"/>
  <c r="A51"/>
  <c r="G51" s="1"/>
  <c r="A39"/>
  <c r="F39" s="1"/>
  <c r="A43"/>
  <c r="A44"/>
  <c r="E44" s="1"/>
  <c r="E69" s="1"/>
  <c r="K11" i="22" s="1"/>
  <c r="A38" i="19"/>
  <c r="G38" s="1"/>
  <c r="A53"/>
  <c r="E53" s="1"/>
  <c r="E78" s="1"/>
  <c r="K20" i="22" s="1"/>
  <c r="A45" i="19"/>
  <c r="G45" s="1"/>
  <c r="A52"/>
  <c r="E52" s="1"/>
  <c r="E77" s="1"/>
  <c r="K19" i="22" s="1"/>
  <c r="A37" i="19"/>
  <c r="F37" s="1"/>
  <c r="A48"/>
  <c r="E48" s="1"/>
  <c r="E73" s="1"/>
  <c r="K15" i="22" s="1"/>
  <c r="A42" i="19"/>
  <c r="G42" s="1"/>
  <c r="A36"/>
  <c r="F36" s="1"/>
  <c r="E31"/>
  <c r="G40" l="1"/>
  <c r="R38"/>
  <c r="J52"/>
  <c r="J77" s="1"/>
  <c r="P19" i="22" s="1"/>
  <c r="H41" i="19"/>
  <c r="H66" s="1"/>
  <c r="N8" i="22" s="1"/>
  <c r="G44" i="19"/>
  <c r="G69" s="1"/>
  <c r="M11" i="22" s="1"/>
  <c r="U52" i="19"/>
  <c r="U77" s="1"/>
  <c r="AA19" i="22" s="1"/>
  <c r="L50" i="19"/>
  <c r="L75" s="1"/>
  <c r="R17" i="22" s="1"/>
  <c r="P44" i="19"/>
  <c r="P69" s="1"/>
  <c r="V11" i="22" s="1"/>
  <c r="O46" i="19"/>
  <c r="O71" s="1"/>
  <c r="U13" i="22" s="1"/>
  <c r="M44" i="19"/>
  <c r="M69" s="1"/>
  <c r="S11" i="22" s="1"/>
  <c r="T40" i="19"/>
  <c r="T65" s="1"/>
  <c r="Z7" i="22" s="1"/>
  <c r="M46" i="19"/>
  <c r="M71" s="1"/>
  <c r="S13" i="22" s="1"/>
  <c r="Q52" i="19"/>
  <c r="Q77" s="1"/>
  <c r="W19" i="22" s="1"/>
  <c r="K46" i="19"/>
  <c r="J40"/>
  <c r="J65" s="1"/>
  <c r="P7" i="22" s="1"/>
  <c r="K44" i="19"/>
  <c r="K69" s="1"/>
  <c r="Q11" i="22" s="1"/>
  <c r="N44" i="19"/>
  <c r="N69" s="1"/>
  <c r="T11" i="22" s="1"/>
  <c r="V51" i="19"/>
  <c r="V76" s="1"/>
  <c r="AB18" i="22" s="1"/>
  <c r="K37" i="19"/>
  <c r="K62" s="1"/>
  <c r="Q4" i="22" s="1"/>
  <c r="T51" i="19"/>
  <c r="T76" s="1"/>
  <c r="Z18" i="22" s="1"/>
  <c r="H168" i="6"/>
  <c r="I168" s="1"/>
  <c r="J168" s="1"/>
  <c r="I42" i="19"/>
  <c r="I37"/>
  <c r="I62" s="1"/>
  <c r="O4" i="22" s="1"/>
  <c r="L44" i="19"/>
  <c r="L69" s="1"/>
  <c r="R11" i="22" s="1"/>
  <c r="R43" i="19"/>
  <c r="R68" s="1"/>
  <c r="X10" i="22" s="1"/>
  <c r="X51" i="19"/>
  <c r="X76" s="1"/>
  <c r="AD18" i="22" s="1"/>
  <c r="K43" i="19"/>
  <c r="K68" s="1"/>
  <c r="Q10" i="22" s="1"/>
  <c r="L43" i="19"/>
  <c r="I40"/>
  <c r="I65" s="1"/>
  <c r="O7" i="22" s="1"/>
  <c r="H43" i="19"/>
  <c r="H68" s="1"/>
  <c r="N10" i="22" s="1"/>
  <c r="V38" i="19"/>
  <c r="V63" s="1"/>
  <c r="AB5" i="22" s="1"/>
  <c r="N37" i="19"/>
  <c r="N62" s="1"/>
  <c r="T4" i="22" s="1"/>
  <c r="U51" i="19"/>
  <c r="U76" s="1"/>
  <c r="AA18" i="22" s="1"/>
  <c r="S37" i="19"/>
  <c r="J42"/>
  <c r="J67" s="1"/>
  <c r="P9" i="22" s="1"/>
  <c r="N45" i="19"/>
  <c r="N70" s="1"/>
  <c r="T12" i="22" s="1"/>
  <c r="M43" i="19"/>
  <c r="M68" s="1"/>
  <c r="S10" i="22" s="1"/>
  <c r="J49" i="19"/>
  <c r="J37"/>
  <c r="J62" s="1"/>
  <c r="P4" i="22" s="1"/>
  <c r="R37" i="19"/>
  <c r="R62" s="1"/>
  <c r="X4" i="22" s="1"/>
  <c r="Q37" i="19"/>
  <c r="Q62" s="1"/>
  <c r="W4" i="22" s="1"/>
  <c r="F45" i="19"/>
  <c r="F70" s="1"/>
  <c r="L12" i="22" s="1"/>
  <c r="J51" i="19"/>
  <c r="J76" s="1"/>
  <c r="P18" i="22" s="1"/>
  <c r="X43" i="19"/>
  <c r="X68" s="1"/>
  <c r="AD10" i="22" s="1"/>
  <c r="J46" i="19"/>
  <c r="J71" s="1"/>
  <c r="P13" i="22" s="1"/>
  <c r="G43" i="19"/>
  <c r="G68" s="1"/>
  <c r="M10" i="22" s="1"/>
  <c r="P38" i="19"/>
  <c r="P63" s="1"/>
  <c r="V5" i="22" s="1"/>
  <c r="U40" i="19"/>
  <c r="U65" s="1"/>
  <c r="AA7" i="22" s="1"/>
  <c r="H44" i="19"/>
  <c r="H69" s="1"/>
  <c r="N11" i="22" s="1"/>
  <c r="N40" i="19"/>
  <c r="N65" s="1"/>
  <c r="T7" i="22" s="1"/>
  <c r="G41" i="19"/>
  <c r="G66" s="1"/>
  <c r="M8" i="22" s="1"/>
  <c r="Q51" i="19"/>
  <c r="Q76" s="1"/>
  <c r="W18" i="22" s="1"/>
  <c r="X40" i="19"/>
  <c r="X65" s="1"/>
  <c r="AD7" i="22" s="1"/>
  <c r="J50" i="19"/>
  <c r="G50"/>
  <c r="G75" s="1"/>
  <c r="M17" i="22" s="1"/>
  <c r="V46" i="19"/>
  <c r="V71" s="1"/>
  <c r="AB13" i="22" s="1"/>
  <c r="X53" i="19"/>
  <c r="X78" s="1"/>
  <c r="AD20" i="22" s="1"/>
  <c r="J39" i="19"/>
  <c r="H47"/>
  <c r="H72" s="1"/>
  <c r="N14" i="22" s="1"/>
  <c r="S47" i="19"/>
  <c r="S72" s="1"/>
  <c r="Y14" i="22" s="1"/>
  <c r="J169" i="6"/>
  <c r="F52" i="19"/>
  <c r="F77" s="1"/>
  <c r="L19" i="22" s="1"/>
  <c r="I48" i="19"/>
  <c r="I73" s="1"/>
  <c r="O15" i="22" s="1"/>
  <c r="T48" i="19"/>
  <c r="T73" s="1"/>
  <c r="Z15" i="22" s="1"/>
  <c r="I53" i="19"/>
  <c r="I78" s="1"/>
  <c r="O20" i="22" s="1"/>
  <c r="X37" i="19"/>
  <c r="X62" s="1"/>
  <c r="AD4" i="22" s="1"/>
  <c r="O50" i="19"/>
  <c r="O75" s="1"/>
  <c r="U17" i="22" s="1"/>
  <c r="Q38" i="19"/>
  <c r="Q63" s="1"/>
  <c r="W5" i="22" s="1"/>
  <c r="M45" i="19"/>
  <c r="M70" s="1"/>
  <c r="S12" i="22" s="1"/>
  <c r="O47" i="19"/>
  <c r="O72" s="1"/>
  <c r="U14" i="22" s="1"/>
  <c r="S48" i="19"/>
  <c r="S73" s="1"/>
  <c r="Y15" i="22" s="1"/>
  <c r="K39" i="19"/>
  <c r="K64" s="1"/>
  <c r="Q6" i="22" s="1"/>
  <c r="K45" i="19"/>
  <c r="K70" s="1"/>
  <c r="Q12" i="22" s="1"/>
  <c r="V45" i="19"/>
  <c r="V37"/>
  <c r="V62" s="1"/>
  <c r="AB4" i="22" s="1"/>
  <c r="R44" i="19"/>
  <c r="R69" s="1"/>
  <c r="X11" i="22" s="1"/>
  <c r="L46" i="19"/>
  <c r="L71" s="1"/>
  <c r="R13" i="22" s="1"/>
  <c r="S50" i="19"/>
  <c r="G52"/>
  <c r="G77" s="1"/>
  <c r="M19" i="22" s="1"/>
  <c r="O45" i="19"/>
  <c r="O70" s="1"/>
  <c r="U12" i="22" s="1"/>
  <c r="L36" i="19"/>
  <c r="L61" s="1"/>
  <c r="T36"/>
  <c r="V52"/>
  <c r="V77" s="1"/>
  <c r="AB19" i="22" s="1"/>
  <c r="N47" i="19"/>
  <c r="N72" s="1"/>
  <c r="T14" i="22" s="1"/>
  <c r="Q39" i="19"/>
  <c r="Q64" s="1"/>
  <c r="W6" i="22" s="1"/>
  <c r="R36" i="19"/>
  <c r="R40"/>
  <c r="R65" s="1"/>
  <c r="X7" i="22" s="1"/>
  <c r="H39" i="19"/>
  <c r="H64" s="1"/>
  <c r="N6" i="22" s="1"/>
  <c r="S45" i="19"/>
  <c r="S70" s="1"/>
  <c r="Y12" i="22" s="1"/>
  <c r="S49" i="19"/>
  <c r="S74" s="1"/>
  <c r="Y16" i="22" s="1"/>
  <c r="R48" i="19"/>
  <c r="R73" s="1"/>
  <c r="X15" i="22" s="1"/>
  <c r="W43" i="19"/>
  <c r="W68" s="1"/>
  <c r="AC10" i="22" s="1"/>
  <c r="W40" i="19"/>
  <c r="W65" s="1"/>
  <c r="AC7" i="22" s="1"/>
  <c r="R46" i="19"/>
  <c r="R71" s="1"/>
  <c r="X13" i="22" s="1"/>
  <c r="I51" i="19"/>
  <c r="I76" s="1"/>
  <c r="O18" i="22" s="1"/>
  <c r="H37" i="19"/>
  <c r="H62" s="1"/>
  <c r="N4" i="22" s="1"/>
  <c r="H52" i="19"/>
  <c r="H77" s="1"/>
  <c r="N19" i="22" s="1"/>
  <c r="W53" i="19"/>
  <c r="W78" s="1"/>
  <c r="AC20" i="22" s="1"/>
  <c r="U50" i="19"/>
  <c r="U75" s="1"/>
  <c r="AA17" i="22" s="1"/>
  <c r="H51" i="19"/>
  <c r="H76" s="1"/>
  <c r="N18" i="22" s="1"/>
  <c r="W44" i="19"/>
  <c r="W69" s="1"/>
  <c r="AC11" i="22" s="1"/>
  <c r="H53" i="19"/>
  <c r="M51"/>
  <c r="M76" s="1"/>
  <c r="S18" i="22" s="1"/>
  <c r="N52" i="19"/>
  <c r="N77" s="1"/>
  <c r="T19" i="22" s="1"/>
  <c r="T44" i="19"/>
  <c r="Q50"/>
  <c r="Q75" s="1"/>
  <c r="W17" i="22" s="1"/>
  <c r="W48" i="19"/>
  <c r="W73" s="1"/>
  <c r="AC15" i="22" s="1"/>
  <c r="H49" i="19"/>
  <c r="H74" s="1"/>
  <c r="N16" i="22" s="1"/>
  <c r="P47" i="19"/>
  <c r="P72" s="1"/>
  <c r="V14" i="22" s="1"/>
  <c r="U38" i="19"/>
  <c r="U63" s="1"/>
  <c r="AA5" i="22" s="1"/>
  <c r="S40" i="19"/>
  <c r="S65" s="1"/>
  <c r="Y7" i="22" s="1"/>
  <c r="H42" i="19"/>
  <c r="H67" s="1"/>
  <c r="N9" i="22" s="1"/>
  <c r="V36" i="19"/>
  <c r="V61" s="1"/>
  <c r="X44"/>
  <c r="W52"/>
  <c r="W77" s="1"/>
  <c r="AC19" i="22" s="1"/>
  <c r="N53" i="19"/>
  <c r="N78" s="1"/>
  <c r="T20" i="22" s="1"/>
  <c r="Q47" i="19"/>
  <c r="Q72" s="1"/>
  <c r="W14" i="22" s="1"/>
  <c r="W45" i="19"/>
  <c r="W70" s="1"/>
  <c r="AC12" i="22" s="1"/>
  <c r="J43" i="19"/>
  <c r="J68" s="1"/>
  <c r="P10" i="22" s="1"/>
  <c r="L39" i="19"/>
  <c r="L64" s="1"/>
  <c r="R6" i="22" s="1"/>
  <c r="V48" i="19"/>
  <c r="V73" s="1"/>
  <c r="AB15" i="22" s="1"/>
  <c r="L52" i="19"/>
  <c r="K49"/>
  <c r="K74" s="1"/>
  <c r="Q16" i="22" s="1"/>
  <c r="N51" i="19"/>
  <c r="N76" s="1"/>
  <c r="T18" i="22" s="1"/>
  <c r="P49" i="19"/>
  <c r="P74" s="1"/>
  <c r="V16" i="22" s="1"/>
  <c r="X49" i="19"/>
  <c r="I43"/>
  <c r="I68" s="1"/>
  <c r="O10" i="22" s="1"/>
  <c r="G49" i="19"/>
  <c r="G74" s="1"/>
  <c r="M16" i="22" s="1"/>
  <c r="M49" i="19"/>
  <c r="M74" s="1"/>
  <c r="S16" i="22" s="1"/>
  <c r="N49" i="19"/>
  <c r="N74" s="1"/>
  <c r="T16" i="22" s="1"/>
  <c r="Q43" i="19"/>
  <c r="Q68" s="1"/>
  <c r="W10" i="22" s="1"/>
  <c r="N48" i="19"/>
  <c r="N73" s="1"/>
  <c r="T15" i="22" s="1"/>
  <c r="S39" i="19"/>
  <c r="M36"/>
  <c r="T38"/>
  <c r="T63" s="1"/>
  <c r="Z5" i="22" s="1"/>
  <c r="G48" i="19"/>
  <c r="G73" s="1"/>
  <c r="M15" i="22" s="1"/>
  <c r="K48" i="19"/>
  <c r="K73" s="1"/>
  <c r="Q15" i="22" s="1"/>
  <c r="Q46" i="19"/>
  <c r="Q71" s="1"/>
  <c r="W13" i="22" s="1"/>
  <c r="O36" i="19"/>
  <c r="O61" s="1"/>
  <c r="O39"/>
  <c r="O64" s="1"/>
  <c r="U6" i="22" s="1"/>
  <c r="I47" i="19"/>
  <c r="I72" s="1"/>
  <c r="O14" i="22" s="1"/>
  <c r="N50" i="19"/>
  <c r="U46"/>
  <c r="U71" s="1"/>
  <c r="AA13" i="22" s="1"/>
  <c r="V47" i="19"/>
  <c r="V72" s="1"/>
  <c r="AB14" i="22" s="1"/>
  <c r="U53" i="19"/>
  <c r="U78" s="1"/>
  <c r="AA20" i="22" s="1"/>
  <c r="U36" i="19"/>
  <c r="U61" s="1"/>
  <c r="F42"/>
  <c r="F67" s="1"/>
  <c r="L9" i="22" s="1"/>
  <c r="K47" i="19"/>
  <c r="K72" s="1"/>
  <c r="Q14" i="22" s="1"/>
  <c r="R51" i="19"/>
  <c r="R76" s="1"/>
  <c r="X18" i="22" s="1"/>
  <c r="T49" i="19"/>
  <c r="T74" s="1"/>
  <c r="Z16" i="22" s="1"/>
  <c r="T45" i="19"/>
  <c r="T70" s="1"/>
  <c r="Z12" i="22" s="1"/>
  <c r="K51" i="19"/>
  <c r="K76" s="1"/>
  <c r="Q18" i="22" s="1"/>
  <c r="X50" i="19"/>
  <c r="X75" s="1"/>
  <c r="AD17" i="22" s="1"/>
  <c r="S44" i="19"/>
  <c r="L38"/>
  <c r="L63" s="1"/>
  <c r="R5" i="22" s="1"/>
  <c r="J36" i="19"/>
  <c r="J61" s="1"/>
  <c r="W50"/>
  <c r="W75" s="1"/>
  <c r="AC17" i="22" s="1"/>
  <c r="I38" i="19"/>
  <c r="N43"/>
  <c r="N68" s="1"/>
  <c r="T10" i="22" s="1"/>
  <c r="N38" i="19"/>
  <c r="N63" s="1"/>
  <c r="T5" i="22" s="1"/>
  <c r="O52" i="19"/>
  <c r="O77" s="1"/>
  <c r="U19" i="22" s="1"/>
  <c r="S38" i="19"/>
  <c r="S63" s="1"/>
  <c r="Y5" i="22" s="1"/>
  <c r="O49" i="19"/>
  <c r="O74" s="1"/>
  <c r="U16" i="22" s="1"/>
  <c r="H40" i="19"/>
  <c r="H65" s="1"/>
  <c r="N7" i="22" s="1"/>
  <c r="W51" i="19"/>
  <c r="W76" s="1"/>
  <c r="AC18" i="22" s="1"/>
  <c r="V43" i="19"/>
  <c r="V68" s="1"/>
  <c r="AB10" i="22" s="1"/>
  <c r="I44" i="19"/>
  <c r="I69" s="1"/>
  <c r="O11" i="22" s="1"/>
  <c r="T50" i="19"/>
  <c r="T75" s="1"/>
  <c r="Z17" i="22" s="1"/>
  <c r="L47" i="19"/>
  <c r="L72" s="1"/>
  <c r="R14" i="22" s="1"/>
  <c r="V49" i="19"/>
  <c r="U47"/>
  <c r="U72" s="1"/>
  <c r="AA14" i="22" s="1"/>
  <c r="G47" i="19"/>
  <c r="G72" s="1"/>
  <c r="M14" i="22" s="1"/>
  <c r="H50" i="19"/>
  <c r="H75" s="1"/>
  <c r="N17" i="22" s="1"/>
  <c r="T39" i="19"/>
  <c r="T64" s="1"/>
  <c r="Z6" i="22" s="1"/>
  <c r="V53" i="19"/>
  <c r="V78" s="1"/>
  <c r="AB20" i="22" s="1"/>
  <c r="O37" i="19"/>
  <c r="O62" s="1"/>
  <c r="U4" i="22" s="1"/>
  <c r="Q44" i="19"/>
  <c r="Q69" s="1"/>
  <c r="W11" i="22" s="1"/>
  <c r="U45" i="19"/>
  <c r="U70" s="1"/>
  <c r="AA12" i="22" s="1"/>
  <c r="X52" i="19"/>
  <c r="X77" s="1"/>
  <c r="AD19" i="22" s="1"/>
  <c r="U49" i="19"/>
  <c r="U74" s="1"/>
  <c r="AA16" i="22" s="1"/>
  <c r="W39" i="19"/>
  <c r="W64" s="1"/>
  <c r="AC6" i="22" s="1"/>
  <c r="Q48" i="19"/>
  <c r="Q73" s="1"/>
  <c r="W15" i="22" s="1"/>
  <c r="I49" i="19"/>
  <c r="I74" s="1"/>
  <c r="O16" i="22" s="1"/>
  <c r="N39" i="19"/>
  <c r="N64" s="1"/>
  <c r="T6" i="22" s="1"/>
  <c r="I50" i="19"/>
  <c r="I75" s="1"/>
  <c r="O17" i="22" s="1"/>
  <c r="H45" i="19"/>
  <c r="H70" s="1"/>
  <c r="N12" i="22" s="1"/>
  <c r="W38" i="19"/>
  <c r="W63" s="1"/>
  <c r="AC5" i="22" s="1"/>
  <c r="P46" i="19"/>
  <c r="P71" s="1"/>
  <c r="V13" i="22" s="1"/>
  <c r="J44" i="19"/>
  <c r="J69" s="1"/>
  <c r="P11" i="22" s="1"/>
  <c r="R53" i="19"/>
  <c r="R78" s="1"/>
  <c r="X20" i="22" s="1"/>
  <c r="O48" i="19"/>
  <c r="O73" s="1"/>
  <c r="U15" i="22" s="1"/>
  <c r="M50" i="19"/>
  <c r="M75" s="1"/>
  <c r="S17" i="22" s="1"/>
  <c r="Q49" i="19"/>
  <c r="R45"/>
  <c r="R70" s="1"/>
  <c r="X12" i="22" s="1"/>
  <c r="J48" i="19"/>
  <c r="J73" s="1"/>
  <c r="P15" i="22" s="1"/>
  <c r="M52" i="19"/>
  <c r="M77" s="1"/>
  <c r="S19" i="22" s="1"/>
  <c r="M40" i="19"/>
  <c r="M65" s="1"/>
  <c r="S7" i="22" s="1"/>
  <c r="L45" i="19"/>
  <c r="I52"/>
  <c r="I77" s="1"/>
  <c r="O19" i="22" s="1"/>
  <c r="G37" i="19"/>
  <c r="G62" s="1"/>
  <c r="M4" i="22" s="1"/>
  <c r="K40" i="19"/>
  <c r="K65" s="1"/>
  <c r="Q7" i="22" s="1"/>
  <c r="P50" i="19"/>
  <c r="P75" s="1"/>
  <c r="V17" i="22" s="1"/>
  <c r="L51" i="19"/>
  <c r="L76" s="1"/>
  <c r="R18" i="22" s="1"/>
  <c r="W37" i="19"/>
  <c r="W62" s="1"/>
  <c r="AC4" i="22" s="1"/>
  <c r="U37" i="19"/>
  <c r="U62" s="1"/>
  <c r="AA4" i="22" s="1"/>
  <c r="O51" i="19"/>
  <c r="O76" s="1"/>
  <c r="U18" i="22" s="1"/>
  <c r="P52" i="19"/>
  <c r="P77" s="1"/>
  <c r="V19" i="22" s="1"/>
  <c r="M39" i="19"/>
  <c r="M64" s="1"/>
  <c r="S6" i="22" s="1"/>
  <c r="U48" i="19"/>
  <c r="U73" s="1"/>
  <c r="AA15" i="22" s="1"/>
  <c r="P37" i="19"/>
  <c r="P62" s="1"/>
  <c r="V4" i="22" s="1"/>
  <c r="J38" i="19"/>
  <c r="J63" s="1"/>
  <c r="P5" i="22" s="1"/>
  <c r="X45" i="19"/>
  <c r="X70" s="1"/>
  <c r="AD12" i="22" s="1"/>
  <c r="F50" i="19"/>
  <c r="F75" s="1"/>
  <c r="L17" i="22" s="1"/>
  <c r="K53" i="19"/>
  <c r="K78" s="1"/>
  <c r="Q20" i="22" s="1"/>
  <c r="W36" i="19"/>
  <c r="W61" s="1"/>
  <c r="M47"/>
  <c r="M72" s="1"/>
  <c r="S14" i="22" s="1"/>
  <c r="S53" i="19"/>
  <c r="S78" s="1"/>
  <c r="Y20" i="22" s="1"/>
  <c r="R50" i="19"/>
  <c r="R75" s="1"/>
  <c r="X17" i="22" s="1"/>
  <c r="P39" i="19"/>
  <c r="P64" s="1"/>
  <c r="V6" i="22" s="1"/>
  <c r="N36" i="19"/>
  <c r="N61" s="1"/>
  <c r="T53"/>
  <c r="T78" s="1"/>
  <c r="Z20" i="22" s="1"/>
  <c r="M48" i="19"/>
  <c r="M73" s="1"/>
  <c r="S15" i="22" s="1"/>
  <c r="L48" i="19"/>
  <c r="L73" s="1"/>
  <c r="R15" i="22" s="1"/>
  <c r="U39" i="19"/>
  <c r="U64" s="1"/>
  <c r="AA6" i="22" s="1"/>
  <c r="O53" i="19"/>
  <c r="O78" s="1"/>
  <c r="U20" i="22" s="1"/>
  <c r="L37" i="19"/>
  <c r="T52"/>
  <c r="T77" s="1"/>
  <c r="Z19" i="22" s="1"/>
  <c r="X39" i="19"/>
  <c r="X64" s="1"/>
  <c r="AD6" i="22" s="1"/>
  <c r="P45" i="19"/>
  <c r="P70" s="1"/>
  <c r="V12" i="22" s="1"/>
  <c r="G53" i="19"/>
  <c r="G78" s="1"/>
  <c r="M20" i="22" s="1"/>
  <c r="P43" i="19"/>
  <c r="P68" s="1"/>
  <c r="V10" i="22" s="1"/>
  <c r="R49" i="19"/>
  <c r="R74" s="1"/>
  <c r="X16" i="22" s="1"/>
  <c r="P51" i="19"/>
  <c r="P76" s="1"/>
  <c r="V18" i="22" s="1"/>
  <c r="K52" i="19"/>
  <c r="K77" s="1"/>
  <c r="Q19" i="22" s="1"/>
  <c r="T43" i="19"/>
  <c r="T68" s="1"/>
  <c r="Z10" i="22" s="1"/>
  <c r="O43" i="19"/>
  <c r="O68" s="1"/>
  <c r="U10" i="22" s="1"/>
  <c r="X47" i="19"/>
  <c r="X72" s="1"/>
  <c r="AD14" i="22" s="1"/>
  <c r="J45" i="19"/>
  <c r="J70" s="1"/>
  <c r="P12" i="22" s="1"/>
  <c r="S36" i="19"/>
  <c r="S61" s="1"/>
  <c r="G46"/>
  <c r="G71" s="1"/>
  <c r="M13" i="22" s="1"/>
  <c r="K38" i="19"/>
  <c r="K63" s="1"/>
  <c r="Q5" i="22" s="1"/>
  <c r="J47" i="19"/>
  <c r="J72" s="1"/>
  <c r="P14" i="22" s="1"/>
  <c r="O38" i="19"/>
  <c r="O63" s="1"/>
  <c r="U5" i="22" s="1"/>
  <c r="W46" i="19"/>
  <c r="W71" s="1"/>
  <c r="AC13" i="22" s="1"/>
  <c r="H48" i="19"/>
  <c r="H73" s="1"/>
  <c r="N15" i="22" s="1"/>
  <c r="S43" i="19"/>
  <c r="M37"/>
  <c r="M62" s="1"/>
  <c r="S4" i="22" s="1"/>
  <c r="P36" i="19"/>
  <c r="P61" s="1"/>
  <c r="Q36"/>
  <c r="Q61" s="1"/>
  <c r="I39"/>
  <c r="I64" s="1"/>
  <c r="O6" i="22" s="1"/>
  <c r="H46" i="19"/>
  <c r="H71" s="1"/>
  <c r="N13" i="22" s="1"/>
  <c r="G36" i="19"/>
  <c r="G61" s="1"/>
  <c r="S52"/>
  <c r="S77" s="1"/>
  <c r="Y19" i="22" s="1"/>
  <c r="Q40" i="19"/>
  <c r="Q65" s="1"/>
  <c r="W7" i="22" s="1"/>
  <c r="T37" i="19"/>
  <c r="T62" s="1"/>
  <c r="Z4" i="22" s="1"/>
  <c r="W47" i="19"/>
  <c r="W72" s="1"/>
  <c r="AC14" i="22" s="1"/>
  <c r="N46" i="19"/>
  <c r="N71" s="1"/>
  <c r="T13" i="22" s="1"/>
  <c r="T46" i="19"/>
  <c r="T71" s="1"/>
  <c r="Z13" i="22" s="1"/>
  <c r="G39" i="19"/>
  <c r="G64" s="1"/>
  <c r="M6" i="22" s="1"/>
  <c r="V39" i="19"/>
  <c r="V64" s="1"/>
  <c r="AB6" i="22" s="1"/>
  <c r="W49" i="19"/>
  <c r="W74" s="1"/>
  <c r="AC16" i="22" s="1"/>
  <c r="L53" i="19"/>
  <c r="L78" s="1"/>
  <c r="R20" i="22" s="1"/>
  <c r="Q53" i="19"/>
  <c r="Q78" s="1"/>
  <c r="W20" i="22" s="1"/>
  <c r="X38" i="19"/>
  <c r="X63" s="1"/>
  <c r="AD5" i="22" s="1"/>
  <c r="U43" i="19"/>
  <c r="U68" s="1"/>
  <c r="AA10" i="22" s="1"/>
  <c r="X46" i="19"/>
  <c r="V50"/>
  <c r="V75" s="1"/>
  <c r="AB17" i="22" s="1"/>
  <c r="H38" i="19"/>
  <c r="H63" s="1"/>
  <c r="N5" i="22" s="1"/>
  <c r="I36" i="19"/>
  <c r="I61" s="1"/>
  <c r="J53"/>
  <c r="J78" s="1"/>
  <c r="P20" i="22" s="1"/>
  <c r="I46" i="19"/>
  <c r="I71" s="1"/>
  <c r="O13" i="22" s="1"/>
  <c r="R47" i="19"/>
  <c r="R72" s="1"/>
  <c r="X14" i="22" s="1"/>
  <c r="I45" i="19"/>
  <c r="I70" s="1"/>
  <c r="O12" i="22" s="1"/>
  <c r="P40" i="19"/>
  <c r="P65" s="1"/>
  <c r="V7" i="22" s="1"/>
  <c r="V40" i="19"/>
  <c r="V65" s="1"/>
  <c r="AB7" i="22" s="1"/>
  <c r="U44" i="19"/>
  <c r="U69" s="1"/>
  <c r="AA11" i="22" s="1"/>
  <c r="K50" i="19"/>
  <c r="K75" s="1"/>
  <c r="Q17" i="22" s="1"/>
  <c r="H36" i="19"/>
  <c r="H61" s="1"/>
  <c r="S51"/>
  <c r="S76" s="1"/>
  <c r="Y18" i="22" s="1"/>
  <c r="Q45" i="19"/>
  <c r="Q70" s="1"/>
  <c r="W12" i="22" s="1"/>
  <c r="T47" i="19"/>
  <c r="T72" s="1"/>
  <c r="Z14" i="22" s="1"/>
  <c r="S46" i="19"/>
  <c r="S71" s="1"/>
  <c r="Y13" i="22" s="1"/>
  <c r="R52" i="19"/>
  <c r="R77" s="1"/>
  <c r="X19" i="22" s="1"/>
  <c r="R39" i="19"/>
  <c r="R64" s="1"/>
  <c r="X6" i="22" s="1"/>
  <c r="L40" i="19"/>
  <c r="L65" s="1"/>
  <c r="R7" i="22" s="1"/>
  <c r="K36" i="19"/>
  <c r="K61" s="1"/>
  <c r="O40"/>
  <c r="O65" s="1"/>
  <c r="U7" i="22" s="1"/>
  <c r="O44" i="19"/>
  <c r="O69" s="1"/>
  <c r="U11" i="22" s="1"/>
  <c r="M38" i="19"/>
  <c r="M63" s="1"/>
  <c r="S5" i="22" s="1"/>
  <c r="P48" i="19"/>
  <c r="P73" s="1"/>
  <c r="V15" i="22" s="1"/>
  <c r="M53" i="19"/>
  <c r="M78" s="1"/>
  <c r="S20" i="22" s="1"/>
  <c r="X48" i="19"/>
  <c r="X73" s="1"/>
  <c r="AD15" i="22" s="1"/>
  <c r="L49" i="19"/>
  <c r="L74" s="1"/>
  <c r="R16" i="22" s="1"/>
  <c r="X36" i="19"/>
  <c r="V44"/>
  <c r="V69" s="1"/>
  <c r="AB11" i="22" s="1"/>
  <c r="P53" i="19"/>
  <c r="P78" s="1"/>
  <c r="V20" i="22" s="1"/>
  <c r="F48" i="19"/>
  <c r="F73" s="1"/>
  <c r="L15" i="22" s="1"/>
  <c r="F51" i="19"/>
  <c r="F76" s="1"/>
  <c r="L18" i="22" s="1"/>
  <c r="F38" i="19"/>
  <c r="F63" s="1"/>
  <c r="L5" i="22" s="1"/>
  <c r="F40" i="19"/>
  <c r="F65" s="1"/>
  <c r="L7" i="22" s="1"/>
  <c r="F43" i="19"/>
  <c r="F68" s="1"/>
  <c r="L10" i="22" s="1"/>
  <c r="F47" i="19"/>
  <c r="F44"/>
  <c r="F69" s="1"/>
  <c r="L11" i="22" s="1"/>
  <c r="F53" i="19"/>
  <c r="F78" s="1"/>
  <c r="L20" i="22" s="1"/>
  <c r="N75" i="19"/>
  <c r="T17" i="22" s="1"/>
  <c r="L77" i="19"/>
  <c r="R19" i="22" s="1"/>
  <c r="S69" i="19"/>
  <c r="Y11" i="22" s="1"/>
  <c r="T69" i="19"/>
  <c r="Z11" i="22" s="1"/>
  <c r="R61" i="19"/>
  <c r="K71"/>
  <c r="Q13" i="22" s="1"/>
  <c r="X69" i="19"/>
  <c r="AD11" i="22" s="1"/>
  <c r="S75" i="19"/>
  <c r="Y17" i="22" s="1"/>
  <c r="X74" i="19"/>
  <c r="AD16" i="22" s="1"/>
  <c r="F72" i="19"/>
  <c r="L14" i="22" s="1"/>
  <c r="J75" i="19"/>
  <c r="P17" i="22" s="1"/>
  <c r="X71" i="19"/>
  <c r="AD13" i="22" s="1"/>
  <c r="R63" i="19"/>
  <c r="X5" i="22" s="1"/>
  <c r="J74" i="19"/>
  <c r="P16" i="22" s="1"/>
  <c r="S68" i="19"/>
  <c r="Y10" i="22" s="1"/>
  <c r="I67" i="19"/>
  <c r="O9" i="22" s="1"/>
  <c r="I63" i="19"/>
  <c r="O5" i="22" s="1"/>
  <c r="H78" i="19"/>
  <c r="N20" i="22" s="1"/>
  <c r="Q74" i="19"/>
  <c r="W16" i="22" s="1"/>
  <c r="G67" i="19"/>
  <c r="M9" i="22" s="1"/>
  <c r="L70" i="19"/>
  <c r="R12" i="22" s="1"/>
  <c r="T61" i="19"/>
  <c r="X61"/>
  <c r="S64"/>
  <c r="Y6" i="22" s="1"/>
  <c r="V70" i="19"/>
  <c r="AB12" i="22" s="1"/>
  <c r="G65" i="19"/>
  <c r="M7" i="22" s="1"/>
  <c r="L62" i="19"/>
  <c r="R4" i="22" s="1"/>
  <c r="J64" i="19"/>
  <c r="P6" i="22" s="1"/>
  <c r="G76" i="19"/>
  <c r="M18" i="22" s="1"/>
  <c r="S62" i="19"/>
  <c r="Y4" i="22" s="1"/>
  <c r="G63" i="19"/>
  <c r="M5" i="22" s="1"/>
  <c r="M61" i="19"/>
  <c r="A42" i="6"/>
  <c r="Y42" i="19"/>
  <c r="Y67" s="1"/>
  <c r="AE9" i="22" s="1"/>
  <c r="A37" i="6"/>
  <c r="Y37" i="19"/>
  <c r="Y62" s="1"/>
  <c r="AE4" i="22" s="1"/>
  <c r="F62" i="19"/>
  <c r="L4" i="22" s="1"/>
  <c r="A45" i="6"/>
  <c r="G70" i="19"/>
  <c r="M12" i="22" s="1"/>
  <c r="Y45" i="19"/>
  <c r="Y70" s="1"/>
  <c r="AE12" i="22" s="1"/>
  <c r="A38" i="6"/>
  <c r="Y38" i="19"/>
  <c r="Y63" s="1"/>
  <c r="AE5" i="22" s="1"/>
  <c r="A43" i="6"/>
  <c r="Y43" i="19"/>
  <c r="Y68" s="1"/>
  <c r="AE10" i="22" s="1"/>
  <c r="L68" i="19"/>
  <c r="R10" i="22" s="1"/>
  <c r="A51" i="6"/>
  <c r="Y51" i="19"/>
  <c r="Y76" s="1"/>
  <c r="AE18" i="22" s="1"/>
  <c r="A40" i="6"/>
  <c r="Y40" i="19"/>
  <c r="Y65" s="1"/>
  <c r="AE7" i="22" s="1"/>
  <c r="A47" i="6"/>
  <c r="Y47" i="19"/>
  <c r="Y72" s="1"/>
  <c r="AE14" i="22" s="1"/>
  <c r="A49" i="6"/>
  <c r="V74" i="19"/>
  <c r="AB16" i="22" s="1"/>
  <c r="F74" i="19"/>
  <c r="L16" i="22" s="1"/>
  <c r="Y49" i="19"/>
  <c r="Y74" s="1"/>
  <c r="AE16" i="22" s="1"/>
  <c r="E42" i="19"/>
  <c r="E67" s="1"/>
  <c r="K9" i="22" s="1"/>
  <c r="E37" i="19"/>
  <c r="E62" s="1"/>
  <c r="K4" i="22" s="1"/>
  <c r="E45" i="19"/>
  <c r="E70" s="1"/>
  <c r="K12" i="22" s="1"/>
  <c r="E38" i="19"/>
  <c r="E63" s="1"/>
  <c r="K5" i="22" s="1"/>
  <c r="E43" i="19"/>
  <c r="E68" s="1"/>
  <c r="K10" i="22" s="1"/>
  <c r="E51" i="19"/>
  <c r="E76" s="1"/>
  <c r="K18" i="22" s="1"/>
  <c r="E40" i="19"/>
  <c r="E65" s="1"/>
  <c r="K7" i="22" s="1"/>
  <c r="E47" i="19"/>
  <c r="E72" s="1"/>
  <c r="K14" i="22" s="1"/>
  <c r="E49" i="19"/>
  <c r="E74" s="1"/>
  <c r="K16" i="22" s="1"/>
  <c r="A48" i="6"/>
  <c r="Y48" i="19"/>
  <c r="Y73" s="1"/>
  <c r="AE15" i="22" s="1"/>
  <c r="A52" i="6"/>
  <c r="Y52" i="19"/>
  <c r="Y77" s="1"/>
  <c r="AE19" i="22" s="1"/>
  <c r="A53" i="6"/>
  <c r="Y53" i="19"/>
  <c r="Y78" s="1"/>
  <c r="AE20" i="22" s="1"/>
  <c r="A44" i="6"/>
  <c r="Y44" i="19"/>
  <c r="Y69" s="1"/>
  <c r="AE11" i="22" s="1"/>
  <c r="A39" i="6"/>
  <c r="Y39" i="19"/>
  <c r="Y64" s="1"/>
  <c r="AE6" i="22" s="1"/>
  <c r="F64" i="19"/>
  <c r="L6" i="22" s="1"/>
  <c r="A41" i="6"/>
  <c r="Y41" i="19"/>
  <c r="Y66" s="1"/>
  <c r="AE8" i="22" s="1"/>
  <c r="F66" i="19"/>
  <c r="L8" i="22" s="1"/>
  <c r="A50" i="6"/>
  <c r="Y50" i="19"/>
  <c r="Y75" s="1"/>
  <c r="AE17" i="22" s="1"/>
  <c r="A46" i="6"/>
  <c r="F71" i="19"/>
  <c r="L13" i="22" s="1"/>
  <c r="Y46" i="19"/>
  <c r="Y71" s="1"/>
  <c r="AE13" i="22" s="1"/>
  <c r="E39" i="19"/>
  <c r="E64" s="1"/>
  <c r="K6" i="22" s="1"/>
  <c r="E41" i="19"/>
  <c r="E66" s="1"/>
  <c r="K8" i="22" s="1"/>
  <c r="E50" i="19"/>
  <c r="E75" s="1"/>
  <c r="K17" i="22" s="1"/>
  <c r="E46" i="19"/>
  <c r="E71" s="1"/>
  <c r="K13" i="22" s="1"/>
  <c r="A36" i="6"/>
  <c r="Y36" i="19"/>
  <c r="Y61" s="1"/>
  <c r="F61"/>
  <c r="E36"/>
  <c r="E61" s="1"/>
  <c r="F80" l="1"/>
  <c r="G80"/>
  <c r="H80"/>
  <c r="E80"/>
  <c r="J41"/>
  <c r="J66" s="1"/>
  <c r="P8" i="22" s="1"/>
  <c r="K168" i="6"/>
  <c r="K41" i="19"/>
  <c r="K66" s="1"/>
  <c r="Q8" i="22" s="1"/>
  <c r="I41" i="19"/>
  <c r="I66" s="1"/>
  <c r="O8" i="22" s="1"/>
  <c r="K169" i="6"/>
  <c r="K42" i="19"/>
  <c r="K67" s="1"/>
  <c r="Q9" i="22" s="1"/>
  <c r="O50" i="6"/>
  <c r="O75" s="1"/>
  <c r="K50"/>
  <c r="K75" s="1"/>
  <c r="U50"/>
  <c r="U75" s="1"/>
  <c r="G50"/>
  <c r="G75" s="1"/>
  <c r="H50"/>
  <c r="H75" s="1"/>
  <c r="P50"/>
  <c r="P75" s="1"/>
  <c r="M50"/>
  <c r="M75" s="1"/>
  <c r="X50"/>
  <c r="X75" s="1"/>
  <c r="V50"/>
  <c r="V75" s="1"/>
  <c r="W50"/>
  <c r="W75" s="1"/>
  <c r="N50"/>
  <c r="N75" s="1"/>
  <c r="L50"/>
  <c r="L75" s="1"/>
  <c r="E50"/>
  <c r="E75" s="1"/>
  <c r="F50"/>
  <c r="F75" s="1"/>
  <c r="T50"/>
  <c r="T75" s="1"/>
  <c r="R50"/>
  <c r="R75" s="1"/>
  <c r="I50"/>
  <c r="I75" s="1"/>
  <c r="Q50"/>
  <c r="Q75" s="1"/>
  <c r="J50"/>
  <c r="J75" s="1"/>
  <c r="S50"/>
  <c r="S75" s="1"/>
  <c r="O53"/>
  <c r="O78" s="1"/>
  <c r="V53"/>
  <c r="V78" s="1"/>
  <c r="G53"/>
  <c r="G78" s="1"/>
  <c r="N53"/>
  <c r="N78" s="1"/>
  <c r="Q53"/>
  <c r="Q78" s="1"/>
  <c r="I53"/>
  <c r="I78" s="1"/>
  <c r="M53"/>
  <c r="M78" s="1"/>
  <c r="U53"/>
  <c r="U78" s="1"/>
  <c r="R53"/>
  <c r="R78" s="1"/>
  <c r="J53"/>
  <c r="J78" s="1"/>
  <c r="K53"/>
  <c r="K78" s="1"/>
  <c r="X53"/>
  <c r="X78" s="1"/>
  <c r="F53"/>
  <c r="F78" s="1"/>
  <c r="L53"/>
  <c r="L78" s="1"/>
  <c r="E53"/>
  <c r="E78" s="1"/>
  <c r="T53"/>
  <c r="T78" s="1"/>
  <c r="H53"/>
  <c r="H78" s="1"/>
  <c r="W53"/>
  <c r="W78" s="1"/>
  <c r="P53"/>
  <c r="P78" s="1"/>
  <c r="S53"/>
  <c r="S78" s="1"/>
  <c r="M49"/>
  <c r="M74" s="1"/>
  <c r="J49"/>
  <c r="J74" s="1"/>
  <c r="T49"/>
  <c r="T74" s="1"/>
  <c r="O49"/>
  <c r="O74" s="1"/>
  <c r="X49"/>
  <c r="X74" s="1"/>
  <c r="W49"/>
  <c r="W74" s="1"/>
  <c r="E49"/>
  <c r="E74" s="1"/>
  <c r="G49"/>
  <c r="G74" s="1"/>
  <c r="F49"/>
  <c r="F74" s="1"/>
  <c r="I49"/>
  <c r="I74" s="1"/>
  <c r="L49"/>
  <c r="L74" s="1"/>
  <c r="N49"/>
  <c r="N74" s="1"/>
  <c r="S49"/>
  <c r="S74" s="1"/>
  <c r="V49"/>
  <c r="V74" s="1"/>
  <c r="K49"/>
  <c r="K74" s="1"/>
  <c r="P49"/>
  <c r="P74" s="1"/>
  <c r="U49"/>
  <c r="U74" s="1"/>
  <c r="R49"/>
  <c r="R74" s="1"/>
  <c r="Q49"/>
  <c r="Q74" s="1"/>
  <c r="H49"/>
  <c r="H74" s="1"/>
  <c r="R43"/>
  <c r="R68" s="1"/>
  <c r="S43"/>
  <c r="S68" s="1"/>
  <c r="O43"/>
  <c r="O68" s="1"/>
  <c r="M43"/>
  <c r="M68" s="1"/>
  <c r="G43"/>
  <c r="G68" s="1"/>
  <c r="H43"/>
  <c r="H68" s="1"/>
  <c r="N43"/>
  <c r="N68" s="1"/>
  <c r="V43"/>
  <c r="V68" s="1"/>
  <c r="J43"/>
  <c r="J68" s="1"/>
  <c r="I43"/>
  <c r="I68" s="1"/>
  <c r="U43"/>
  <c r="U68" s="1"/>
  <c r="Q43"/>
  <c r="Q68" s="1"/>
  <c r="F43"/>
  <c r="F68" s="1"/>
  <c r="W43"/>
  <c r="W68" s="1"/>
  <c r="E43"/>
  <c r="E68" s="1"/>
  <c r="T43"/>
  <c r="T68" s="1"/>
  <c r="L43"/>
  <c r="L68" s="1"/>
  <c r="X43"/>
  <c r="X68" s="1"/>
  <c r="P43"/>
  <c r="P68" s="1"/>
  <c r="K43"/>
  <c r="K68" s="1"/>
  <c r="K42"/>
  <c r="K67" s="1"/>
  <c r="H42"/>
  <c r="H67" s="1"/>
  <c r="L42"/>
  <c r="L67" s="1"/>
  <c r="Q42"/>
  <c r="Q67" s="1"/>
  <c r="P42"/>
  <c r="P67" s="1"/>
  <c r="R42"/>
  <c r="R67" s="1"/>
  <c r="E42"/>
  <c r="E67" s="1"/>
  <c r="X42"/>
  <c r="X67" s="1"/>
  <c r="W42"/>
  <c r="W67" s="1"/>
  <c r="T42"/>
  <c r="T67" s="1"/>
  <c r="M42"/>
  <c r="M67" s="1"/>
  <c r="S42"/>
  <c r="S67" s="1"/>
  <c r="V42"/>
  <c r="V67" s="1"/>
  <c r="O42"/>
  <c r="O67" s="1"/>
  <c r="F42"/>
  <c r="F67" s="1"/>
  <c r="U42"/>
  <c r="U67" s="1"/>
  <c r="G42"/>
  <c r="G67" s="1"/>
  <c r="J42"/>
  <c r="J67" s="1"/>
  <c r="I42"/>
  <c r="I67" s="1"/>
  <c r="N42"/>
  <c r="N67" s="1"/>
  <c r="H51"/>
  <c r="H76" s="1"/>
  <c r="X51"/>
  <c r="X76" s="1"/>
  <c r="G51"/>
  <c r="G76" s="1"/>
  <c r="F51"/>
  <c r="F76" s="1"/>
  <c r="N51"/>
  <c r="N76" s="1"/>
  <c r="I51"/>
  <c r="I76" s="1"/>
  <c r="Q51"/>
  <c r="Q76" s="1"/>
  <c r="U51"/>
  <c r="U76" s="1"/>
  <c r="R51"/>
  <c r="R76" s="1"/>
  <c r="E51"/>
  <c r="E76" s="1"/>
  <c r="O51"/>
  <c r="O76" s="1"/>
  <c r="W51"/>
  <c r="W76" s="1"/>
  <c r="J51"/>
  <c r="J76" s="1"/>
  <c r="T51"/>
  <c r="T76" s="1"/>
  <c r="P51"/>
  <c r="P76" s="1"/>
  <c r="K51"/>
  <c r="K76" s="1"/>
  <c r="V51"/>
  <c r="V76" s="1"/>
  <c r="M51"/>
  <c r="M76" s="1"/>
  <c r="L51"/>
  <c r="L76" s="1"/>
  <c r="S51"/>
  <c r="S76" s="1"/>
  <c r="I37"/>
  <c r="I62" s="1"/>
  <c r="Q37"/>
  <c r="Q62" s="1"/>
  <c r="L37"/>
  <c r="L62" s="1"/>
  <c r="S37"/>
  <c r="S62" s="1"/>
  <c r="W37"/>
  <c r="W62" s="1"/>
  <c r="H37"/>
  <c r="H62" s="1"/>
  <c r="N37"/>
  <c r="N62" s="1"/>
  <c r="R37"/>
  <c r="R62" s="1"/>
  <c r="T37"/>
  <c r="T62" s="1"/>
  <c r="P37"/>
  <c r="P62" s="1"/>
  <c r="G37"/>
  <c r="G62" s="1"/>
  <c r="J37"/>
  <c r="J62" s="1"/>
  <c r="U37"/>
  <c r="U62" s="1"/>
  <c r="F37"/>
  <c r="F62" s="1"/>
  <c r="V37"/>
  <c r="V62" s="1"/>
  <c r="M37"/>
  <c r="M62" s="1"/>
  <c r="E37"/>
  <c r="E62" s="1"/>
  <c r="K37"/>
  <c r="K62" s="1"/>
  <c r="X37"/>
  <c r="X62" s="1"/>
  <c r="O37"/>
  <c r="O62" s="1"/>
  <c r="M39"/>
  <c r="M64" s="1"/>
  <c r="W39"/>
  <c r="W64" s="1"/>
  <c r="J39"/>
  <c r="J64" s="1"/>
  <c r="G39"/>
  <c r="G64" s="1"/>
  <c r="H39"/>
  <c r="H64" s="1"/>
  <c r="S39"/>
  <c r="S64" s="1"/>
  <c r="I39"/>
  <c r="I64" s="1"/>
  <c r="K39"/>
  <c r="K64" s="1"/>
  <c r="V39"/>
  <c r="V64" s="1"/>
  <c r="F39"/>
  <c r="F64" s="1"/>
  <c r="P39"/>
  <c r="P64" s="1"/>
  <c r="X39"/>
  <c r="X64" s="1"/>
  <c r="U39"/>
  <c r="U64" s="1"/>
  <c r="T39"/>
  <c r="T64" s="1"/>
  <c r="R39"/>
  <c r="R64" s="1"/>
  <c r="O39"/>
  <c r="O64" s="1"/>
  <c r="L39"/>
  <c r="L64" s="1"/>
  <c r="E39"/>
  <c r="E64" s="1"/>
  <c r="N39"/>
  <c r="N64" s="1"/>
  <c r="Q39"/>
  <c r="Q64" s="1"/>
  <c r="W48"/>
  <c r="W73" s="1"/>
  <c r="O48"/>
  <c r="O73" s="1"/>
  <c r="J48"/>
  <c r="J73" s="1"/>
  <c r="K48"/>
  <c r="K73" s="1"/>
  <c r="P48"/>
  <c r="P73" s="1"/>
  <c r="M48"/>
  <c r="M73" s="1"/>
  <c r="E48"/>
  <c r="E73" s="1"/>
  <c r="F48"/>
  <c r="F73" s="1"/>
  <c r="L48"/>
  <c r="L73" s="1"/>
  <c r="X48"/>
  <c r="X73" s="1"/>
  <c r="U48"/>
  <c r="U73" s="1"/>
  <c r="I48"/>
  <c r="I73" s="1"/>
  <c r="H48"/>
  <c r="H73" s="1"/>
  <c r="R48"/>
  <c r="R73" s="1"/>
  <c r="S48"/>
  <c r="S73" s="1"/>
  <c r="Q48"/>
  <c r="Q73" s="1"/>
  <c r="G48"/>
  <c r="G73" s="1"/>
  <c r="T48"/>
  <c r="T73" s="1"/>
  <c r="V48"/>
  <c r="V73" s="1"/>
  <c r="N48"/>
  <c r="N73" s="1"/>
  <c r="G40"/>
  <c r="G65" s="1"/>
  <c r="K40"/>
  <c r="K65" s="1"/>
  <c r="S40"/>
  <c r="S65" s="1"/>
  <c r="M40"/>
  <c r="M65" s="1"/>
  <c r="U40"/>
  <c r="U65" s="1"/>
  <c r="I40"/>
  <c r="I65" s="1"/>
  <c r="V40"/>
  <c r="V65" s="1"/>
  <c r="N40"/>
  <c r="N65" s="1"/>
  <c r="T40"/>
  <c r="T65" s="1"/>
  <c r="X40"/>
  <c r="X65" s="1"/>
  <c r="J40"/>
  <c r="J65" s="1"/>
  <c r="P40"/>
  <c r="P65" s="1"/>
  <c r="F40"/>
  <c r="F65" s="1"/>
  <c r="R40"/>
  <c r="R65" s="1"/>
  <c r="L40"/>
  <c r="L65" s="1"/>
  <c r="W40"/>
  <c r="W65" s="1"/>
  <c r="Q40"/>
  <c r="Q65" s="1"/>
  <c r="O40"/>
  <c r="O65" s="1"/>
  <c r="E40"/>
  <c r="E65" s="1"/>
  <c r="H40"/>
  <c r="H65" s="1"/>
  <c r="M45"/>
  <c r="M70" s="1"/>
  <c r="I45"/>
  <c r="I70" s="1"/>
  <c r="H45"/>
  <c r="H70" s="1"/>
  <c r="L45"/>
  <c r="L70" s="1"/>
  <c r="O45"/>
  <c r="O70" s="1"/>
  <c r="W45"/>
  <c r="W70" s="1"/>
  <c r="G45"/>
  <c r="G70" s="1"/>
  <c r="U45"/>
  <c r="U70" s="1"/>
  <c r="V45"/>
  <c r="V70" s="1"/>
  <c r="R45"/>
  <c r="R70" s="1"/>
  <c r="T45"/>
  <c r="T70" s="1"/>
  <c r="E45"/>
  <c r="E70" s="1"/>
  <c r="N45"/>
  <c r="N70" s="1"/>
  <c r="X45"/>
  <c r="X70" s="1"/>
  <c r="P45"/>
  <c r="P70" s="1"/>
  <c r="K45"/>
  <c r="K70" s="1"/>
  <c r="S45"/>
  <c r="S70" s="1"/>
  <c r="Q45"/>
  <c r="Q70" s="1"/>
  <c r="F45"/>
  <c r="F70" s="1"/>
  <c r="J45"/>
  <c r="J70" s="1"/>
  <c r="G46"/>
  <c r="G71" s="1"/>
  <c r="T46"/>
  <c r="T71" s="1"/>
  <c r="I46"/>
  <c r="I71" s="1"/>
  <c r="S46"/>
  <c r="S71" s="1"/>
  <c r="V46"/>
  <c r="V71" s="1"/>
  <c r="Q46"/>
  <c r="Q71" s="1"/>
  <c r="P46"/>
  <c r="P71" s="1"/>
  <c r="R46"/>
  <c r="R71" s="1"/>
  <c r="U46"/>
  <c r="U71" s="1"/>
  <c r="F46"/>
  <c r="F71" s="1"/>
  <c r="W46"/>
  <c r="W71" s="1"/>
  <c r="J46"/>
  <c r="J71" s="1"/>
  <c r="K46"/>
  <c r="K71" s="1"/>
  <c r="H46"/>
  <c r="H71" s="1"/>
  <c r="X46"/>
  <c r="X71" s="1"/>
  <c r="L46"/>
  <c r="L71" s="1"/>
  <c r="E46"/>
  <c r="E71" s="1"/>
  <c r="N46"/>
  <c r="N71" s="1"/>
  <c r="M46"/>
  <c r="M71" s="1"/>
  <c r="O46"/>
  <c r="O71" s="1"/>
  <c r="I44"/>
  <c r="I69" s="1"/>
  <c r="E44"/>
  <c r="E69" s="1"/>
  <c r="H44"/>
  <c r="H69" s="1"/>
  <c r="R44"/>
  <c r="R69" s="1"/>
  <c r="O44"/>
  <c r="O69" s="1"/>
  <c r="J44"/>
  <c r="J69" s="1"/>
  <c r="L44"/>
  <c r="L69" s="1"/>
  <c r="Q44"/>
  <c r="Q69" s="1"/>
  <c r="S44"/>
  <c r="S69" s="1"/>
  <c r="G44"/>
  <c r="G69" s="1"/>
  <c r="F44"/>
  <c r="F69" s="1"/>
  <c r="W44"/>
  <c r="W69" s="1"/>
  <c r="U44"/>
  <c r="U69" s="1"/>
  <c r="M44"/>
  <c r="M69" s="1"/>
  <c r="X44"/>
  <c r="X69" s="1"/>
  <c r="V44"/>
  <c r="V69" s="1"/>
  <c r="T44"/>
  <c r="T69" s="1"/>
  <c r="P44"/>
  <c r="P69" s="1"/>
  <c r="K44"/>
  <c r="K69" s="1"/>
  <c r="N44"/>
  <c r="N69" s="1"/>
  <c r="X41"/>
  <c r="X66" s="1"/>
  <c r="E41"/>
  <c r="E66" s="1"/>
  <c r="K41"/>
  <c r="K66" s="1"/>
  <c r="L41"/>
  <c r="L66" s="1"/>
  <c r="F41"/>
  <c r="F66" s="1"/>
  <c r="U41"/>
  <c r="U66" s="1"/>
  <c r="J41"/>
  <c r="J66" s="1"/>
  <c r="T41"/>
  <c r="T66" s="1"/>
  <c r="Q41"/>
  <c r="Q66" s="1"/>
  <c r="I41"/>
  <c r="I66" s="1"/>
  <c r="R41"/>
  <c r="R66" s="1"/>
  <c r="P41"/>
  <c r="P66" s="1"/>
  <c r="W41"/>
  <c r="W66" s="1"/>
  <c r="S41"/>
  <c r="S66" s="1"/>
  <c r="M41"/>
  <c r="M66" s="1"/>
  <c r="G41"/>
  <c r="G66" s="1"/>
  <c r="N41"/>
  <c r="N66" s="1"/>
  <c r="H41"/>
  <c r="H66" s="1"/>
  <c r="V41"/>
  <c r="V66" s="1"/>
  <c r="O41"/>
  <c r="O66" s="1"/>
  <c r="L52"/>
  <c r="L77" s="1"/>
  <c r="E52"/>
  <c r="E77" s="1"/>
  <c r="X52"/>
  <c r="X77" s="1"/>
  <c r="I52"/>
  <c r="I77" s="1"/>
  <c r="U52"/>
  <c r="U77" s="1"/>
  <c r="J52"/>
  <c r="J77" s="1"/>
  <c r="R52"/>
  <c r="R77" s="1"/>
  <c r="G52"/>
  <c r="G77" s="1"/>
  <c r="S52"/>
  <c r="S77" s="1"/>
  <c r="W52"/>
  <c r="W77" s="1"/>
  <c r="K52"/>
  <c r="K77" s="1"/>
  <c r="P52"/>
  <c r="P77" s="1"/>
  <c r="M52"/>
  <c r="M77" s="1"/>
  <c r="O52"/>
  <c r="O77" s="1"/>
  <c r="V52"/>
  <c r="V77" s="1"/>
  <c r="F52"/>
  <c r="F77" s="1"/>
  <c r="T52"/>
  <c r="T77" s="1"/>
  <c r="Q52"/>
  <c r="Q77" s="1"/>
  <c r="N52"/>
  <c r="N77" s="1"/>
  <c r="H52"/>
  <c r="H77" s="1"/>
  <c r="I47"/>
  <c r="I72" s="1"/>
  <c r="X47"/>
  <c r="X72" s="1"/>
  <c r="V47"/>
  <c r="V72" s="1"/>
  <c r="R47"/>
  <c r="R72" s="1"/>
  <c r="S47"/>
  <c r="S72" s="1"/>
  <c r="O47"/>
  <c r="O72" s="1"/>
  <c r="M47"/>
  <c r="M72" s="1"/>
  <c r="W47"/>
  <c r="W72" s="1"/>
  <c r="N47"/>
  <c r="N72" s="1"/>
  <c r="F47"/>
  <c r="F72" s="1"/>
  <c r="H47"/>
  <c r="H72" s="1"/>
  <c r="L47"/>
  <c r="L72" s="1"/>
  <c r="J47"/>
  <c r="J72" s="1"/>
  <c r="P47"/>
  <c r="P72" s="1"/>
  <c r="G47"/>
  <c r="G72" s="1"/>
  <c r="E47"/>
  <c r="E72" s="1"/>
  <c r="K47"/>
  <c r="K72" s="1"/>
  <c r="U47"/>
  <c r="U72" s="1"/>
  <c r="Q47"/>
  <c r="Q72" s="1"/>
  <c r="T47"/>
  <c r="T72" s="1"/>
  <c r="I38"/>
  <c r="I63" s="1"/>
  <c r="O38"/>
  <c r="O63" s="1"/>
  <c r="T38"/>
  <c r="T63" s="1"/>
  <c r="V38"/>
  <c r="V63" s="1"/>
  <c r="S38"/>
  <c r="S63" s="1"/>
  <c r="H38"/>
  <c r="H63" s="1"/>
  <c r="J38"/>
  <c r="J63" s="1"/>
  <c r="X38"/>
  <c r="X63" s="1"/>
  <c r="G38"/>
  <c r="G63" s="1"/>
  <c r="F38"/>
  <c r="F63" s="1"/>
  <c r="R38"/>
  <c r="R63" s="1"/>
  <c r="E38"/>
  <c r="E63" s="1"/>
  <c r="L38"/>
  <c r="L63" s="1"/>
  <c r="M38"/>
  <c r="M63" s="1"/>
  <c r="W38"/>
  <c r="W63" s="1"/>
  <c r="K38"/>
  <c r="K63" s="1"/>
  <c r="N38"/>
  <c r="N63" s="1"/>
  <c r="Q38"/>
  <c r="Q63" s="1"/>
  <c r="P38"/>
  <c r="P63" s="1"/>
  <c r="U38"/>
  <c r="U63" s="1"/>
  <c r="E94" i="19"/>
  <c r="E106"/>
  <c r="E108"/>
  <c r="E105"/>
  <c r="E95"/>
  <c r="E114"/>
  <c r="E91"/>
  <c r="E117"/>
  <c r="E104"/>
  <c r="E99"/>
  <c r="E93"/>
  <c r="E86"/>
  <c r="E123" s="1"/>
  <c r="E88"/>
  <c r="E110"/>
  <c r="E109"/>
  <c r="E107"/>
  <c r="K3" i="22"/>
  <c r="E101" i="19"/>
  <c r="E115"/>
  <c r="E89"/>
  <c r="E100"/>
  <c r="E113"/>
  <c r="E97"/>
  <c r="E103"/>
  <c r="E92"/>
  <c r="E90"/>
  <c r="E96"/>
  <c r="E87"/>
  <c r="E124" s="1"/>
  <c r="E98"/>
  <c r="E111"/>
  <c r="E148" s="1"/>
  <c r="E102"/>
  <c r="E112"/>
  <c r="E116"/>
  <c r="V99"/>
  <c r="V108"/>
  <c r="V96"/>
  <c r="V90"/>
  <c r="V88"/>
  <c r="V87"/>
  <c r="V100"/>
  <c r="V110"/>
  <c r="AB3" i="22"/>
  <c r="V114" i="19"/>
  <c r="V86"/>
  <c r="V123" s="1"/>
  <c r="V104"/>
  <c r="V95"/>
  <c r="V111"/>
  <c r="V91"/>
  <c r="V107"/>
  <c r="V97"/>
  <c r="V98"/>
  <c r="V103"/>
  <c r="V116"/>
  <c r="V92"/>
  <c r="V106"/>
  <c r="V115"/>
  <c r="V93"/>
  <c r="V109"/>
  <c r="V102"/>
  <c r="V117"/>
  <c r="V101"/>
  <c r="V94"/>
  <c r="V113"/>
  <c r="V112"/>
  <c r="V105"/>
  <c r="V142" s="1"/>
  <c r="V89"/>
  <c r="V126" s="1"/>
  <c r="G117"/>
  <c r="G100"/>
  <c r="G113"/>
  <c r="G95"/>
  <c r="G109"/>
  <c r="G107"/>
  <c r="G86"/>
  <c r="G123" s="1"/>
  <c r="G88"/>
  <c r="M3" i="22"/>
  <c r="G87" i="19"/>
  <c r="G94"/>
  <c r="G98"/>
  <c r="G101"/>
  <c r="G91"/>
  <c r="G96"/>
  <c r="G90"/>
  <c r="G102"/>
  <c r="G139" s="1"/>
  <c r="G115"/>
  <c r="G103"/>
  <c r="G97"/>
  <c r="G93"/>
  <c r="G106"/>
  <c r="G108"/>
  <c r="G104"/>
  <c r="G116"/>
  <c r="G114"/>
  <c r="G89"/>
  <c r="G111"/>
  <c r="G99"/>
  <c r="G105"/>
  <c r="G92"/>
  <c r="G112"/>
  <c r="G149" s="1"/>
  <c r="G110"/>
  <c r="G147" s="1"/>
  <c r="Z3" i="22"/>
  <c r="T96" i="19"/>
  <c r="T89"/>
  <c r="T103"/>
  <c r="T112"/>
  <c r="T88"/>
  <c r="T106"/>
  <c r="T93"/>
  <c r="T102"/>
  <c r="T115"/>
  <c r="T95"/>
  <c r="T111"/>
  <c r="T100"/>
  <c r="T97"/>
  <c r="T114"/>
  <c r="T91"/>
  <c r="T109"/>
  <c r="T117"/>
  <c r="T92"/>
  <c r="T113"/>
  <c r="T94"/>
  <c r="T104"/>
  <c r="T110"/>
  <c r="T99"/>
  <c r="T86"/>
  <c r="T123" s="1"/>
  <c r="T87"/>
  <c r="T107"/>
  <c r="T144" s="1"/>
  <c r="T108"/>
  <c r="T105"/>
  <c r="T98"/>
  <c r="T135" s="1"/>
  <c r="T116"/>
  <c r="T90"/>
  <c r="T101"/>
  <c r="T138" s="1"/>
  <c r="Y3" i="22"/>
  <c r="S117" i="19"/>
  <c r="S91"/>
  <c r="S89"/>
  <c r="S109"/>
  <c r="S98"/>
  <c r="S116"/>
  <c r="S110"/>
  <c r="S87"/>
  <c r="S99"/>
  <c r="S136" s="1"/>
  <c r="S86"/>
  <c r="S123" s="1"/>
  <c r="S92"/>
  <c r="S97"/>
  <c r="S103"/>
  <c r="S111"/>
  <c r="S94"/>
  <c r="S105"/>
  <c r="S108"/>
  <c r="S114"/>
  <c r="S101"/>
  <c r="S102"/>
  <c r="S95"/>
  <c r="S96"/>
  <c r="S104"/>
  <c r="S115"/>
  <c r="S90"/>
  <c r="S112"/>
  <c r="S149" s="1"/>
  <c r="S100"/>
  <c r="S88"/>
  <c r="S125" s="1"/>
  <c r="S93"/>
  <c r="S113"/>
  <c r="S150" s="1"/>
  <c r="S107"/>
  <c r="S106"/>
  <c r="S143" s="1"/>
  <c r="AE3" i="22"/>
  <c r="Y105" i="19"/>
  <c r="Y80"/>
  <c r="Y103"/>
  <c r="Y109"/>
  <c r="Y98"/>
  <c r="Y114"/>
  <c r="Y95"/>
  <c r="Y96"/>
  <c r="Y112"/>
  <c r="Y92"/>
  <c r="Y102"/>
  <c r="Y90"/>
  <c r="Y93"/>
  <c r="Y106"/>
  <c r="Y113"/>
  <c r="Y87"/>
  <c r="Y86"/>
  <c r="Y123" s="1"/>
  <c r="Y100"/>
  <c r="Y101"/>
  <c r="Y104"/>
  <c r="Y111"/>
  <c r="Y117"/>
  <c r="Y115"/>
  <c r="Y94"/>
  <c r="Y110"/>
  <c r="Y97"/>
  <c r="Y88"/>
  <c r="Y91"/>
  <c r="Y128" s="1"/>
  <c r="Y89"/>
  <c r="Y107"/>
  <c r="Y144" s="1"/>
  <c r="Y99"/>
  <c r="Y108"/>
  <c r="Y116"/>
  <c r="N3" i="22"/>
  <c r="H97" i="19"/>
  <c r="H110"/>
  <c r="H112"/>
  <c r="H87"/>
  <c r="H98"/>
  <c r="H135" s="1"/>
  <c r="H109"/>
  <c r="H108"/>
  <c r="H104"/>
  <c r="H90"/>
  <c r="H103"/>
  <c r="H91"/>
  <c r="H86"/>
  <c r="H123" s="1"/>
  <c r="H96"/>
  <c r="H113"/>
  <c r="H93"/>
  <c r="H95"/>
  <c r="H114"/>
  <c r="H102"/>
  <c r="H115"/>
  <c r="H101"/>
  <c r="H106"/>
  <c r="H88"/>
  <c r="H99"/>
  <c r="H116"/>
  <c r="H92"/>
  <c r="H117"/>
  <c r="H100"/>
  <c r="H137" s="1"/>
  <c r="H94"/>
  <c r="H111"/>
  <c r="H105"/>
  <c r="H89"/>
  <c r="H107"/>
  <c r="W94"/>
  <c r="W106"/>
  <c r="W111"/>
  <c r="W112"/>
  <c r="W92"/>
  <c r="W101"/>
  <c r="W104"/>
  <c r="W99"/>
  <c r="W98"/>
  <c r="W86"/>
  <c r="W123" s="1"/>
  <c r="W95"/>
  <c r="W93"/>
  <c r="W90"/>
  <c r="W105"/>
  <c r="W114"/>
  <c r="W116"/>
  <c r="W110"/>
  <c r="W87"/>
  <c r="W124" s="1"/>
  <c r="W100"/>
  <c r="W88"/>
  <c r="W117"/>
  <c r="W113"/>
  <c r="W109"/>
  <c r="W115"/>
  <c r="W97"/>
  <c r="W103"/>
  <c r="AC3" i="22"/>
  <c r="W89" i="19"/>
  <c r="W126" s="1"/>
  <c r="W108"/>
  <c r="W91"/>
  <c r="W102"/>
  <c r="W96"/>
  <c r="W107"/>
  <c r="Q96"/>
  <c r="Q90"/>
  <c r="Q99"/>
  <c r="Q86"/>
  <c r="Q123" s="1"/>
  <c r="Q117"/>
  <c r="Q97"/>
  <c r="Q108"/>
  <c r="Q106"/>
  <c r="Q107"/>
  <c r="Q100"/>
  <c r="Q87"/>
  <c r="Q91"/>
  <c r="Q111"/>
  <c r="Q101"/>
  <c r="Q115"/>
  <c r="Q103"/>
  <c r="W3" i="22"/>
  <c r="Q105" i="19"/>
  <c r="Q110"/>
  <c r="Q89"/>
  <c r="Q94"/>
  <c r="Q113"/>
  <c r="Q92"/>
  <c r="Q114"/>
  <c r="Q109"/>
  <c r="Q104"/>
  <c r="Q116"/>
  <c r="Q88"/>
  <c r="Q112"/>
  <c r="Q149" s="1"/>
  <c r="Q93"/>
  <c r="Q95"/>
  <c r="Q98"/>
  <c r="Q102"/>
  <c r="I87"/>
  <c r="I108"/>
  <c r="I109"/>
  <c r="I104"/>
  <c r="I91"/>
  <c r="I98"/>
  <c r="I101"/>
  <c r="I97"/>
  <c r="I96"/>
  <c r="I88"/>
  <c r="I115"/>
  <c r="O3" i="22"/>
  <c r="I105" i="19"/>
  <c r="I99"/>
  <c r="I111"/>
  <c r="I93"/>
  <c r="I94"/>
  <c r="I86"/>
  <c r="I123" s="1"/>
  <c r="I100"/>
  <c r="I116"/>
  <c r="I92"/>
  <c r="I129" s="1"/>
  <c r="I114"/>
  <c r="I117"/>
  <c r="I107"/>
  <c r="I103"/>
  <c r="I106"/>
  <c r="I90"/>
  <c r="I102"/>
  <c r="I95"/>
  <c r="I132" s="1"/>
  <c r="I112"/>
  <c r="I113"/>
  <c r="I89"/>
  <c r="I110"/>
  <c r="R96"/>
  <c r="R97"/>
  <c r="R115"/>
  <c r="R107"/>
  <c r="R99"/>
  <c r="R106"/>
  <c r="R88"/>
  <c r="R111"/>
  <c r="X3" i="22"/>
  <c r="R105" i="19"/>
  <c r="R109"/>
  <c r="R95"/>
  <c r="R89"/>
  <c r="R117"/>
  <c r="R100"/>
  <c r="R113"/>
  <c r="R103"/>
  <c r="R87"/>
  <c r="R93"/>
  <c r="R101"/>
  <c r="R102"/>
  <c r="R116"/>
  <c r="R90"/>
  <c r="R92"/>
  <c r="R108"/>
  <c r="R114"/>
  <c r="R86"/>
  <c r="R123" s="1"/>
  <c r="R110"/>
  <c r="R98"/>
  <c r="R91"/>
  <c r="R112"/>
  <c r="R104"/>
  <c r="R94"/>
  <c r="N106"/>
  <c r="N113"/>
  <c r="N108"/>
  <c r="N98"/>
  <c r="N105"/>
  <c r="N97"/>
  <c r="N89"/>
  <c r="N112"/>
  <c r="N117"/>
  <c r="N111"/>
  <c r="N103"/>
  <c r="T3" i="22"/>
  <c r="N94" i="19"/>
  <c r="N86"/>
  <c r="N123" s="1"/>
  <c r="N114"/>
  <c r="N104"/>
  <c r="N110"/>
  <c r="N102"/>
  <c r="N95"/>
  <c r="N93"/>
  <c r="N96"/>
  <c r="N109"/>
  <c r="N91"/>
  <c r="N101"/>
  <c r="N107"/>
  <c r="N144" s="1"/>
  <c r="N115"/>
  <c r="N90"/>
  <c r="N127" s="1"/>
  <c r="N92"/>
  <c r="N99"/>
  <c r="N116"/>
  <c r="N153" s="1"/>
  <c r="N87"/>
  <c r="N100"/>
  <c r="N88"/>
  <c r="J108"/>
  <c r="J98"/>
  <c r="J94"/>
  <c r="J89"/>
  <c r="J92"/>
  <c r="J117"/>
  <c r="J107"/>
  <c r="J96"/>
  <c r="P3" i="22"/>
  <c r="J93" i="19"/>
  <c r="J95"/>
  <c r="J132" s="1"/>
  <c r="J90"/>
  <c r="J127" s="1"/>
  <c r="J109"/>
  <c r="J146" s="1"/>
  <c r="J91"/>
  <c r="J116"/>
  <c r="J115"/>
  <c r="J114"/>
  <c r="J106"/>
  <c r="J101"/>
  <c r="J99"/>
  <c r="J86"/>
  <c r="J123" s="1"/>
  <c r="J110"/>
  <c r="J112"/>
  <c r="J105"/>
  <c r="J113"/>
  <c r="J102"/>
  <c r="J97"/>
  <c r="J87"/>
  <c r="J88"/>
  <c r="J100"/>
  <c r="J103"/>
  <c r="J104"/>
  <c r="J111"/>
  <c r="L3" i="22"/>
  <c r="F94" i="19"/>
  <c r="F111"/>
  <c r="F91"/>
  <c r="F96"/>
  <c r="F97"/>
  <c r="F107"/>
  <c r="F92"/>
  <c r="F110"/>
  <c r="F114"/>
  <c r="F112"/>
  <c r="F115"/>
  <c r="F100"/>
  <c r="F109"/>
  <c r="F93"/>
  <c r="F89"/>
  <c r="F105"/>
  <c r="F98"/>
  <c r="F135" s="1"/>
  <c r="F117"/>
  <c r="F87"/>
  <c r="F113"/>
  <c r="F108"/>
  <c r="F106"/>
  <c r="F88"/>
  <c r="F103"/>
  <c r="F116"/>
  <c r="F86"/>
  <c r="F123" s="1"/>
  <c r="F104"/>
  <c r="F95"/>
  <c r="F101"/>
  <c r="F90"/>
  <c r="F99"/>
  <c r="F102"/>
  <c r="X92"/>
  <c r="X115"/>
  <c r="X93"/>
  <c r="X114"/>
  <c r="X116"/>
  <c r="X105"/>
  <c r="X111"/>
  <c r="X103"/>
  <c r="X88"/>
  <c r="X100"/>
  <c r="X112"/>
  <c r="X117"/>
  <c r="AD3" i="22"/>
  <c r="X96" i="19"/>
  <c r="X99"/>
  <c r="X106"/>
  <c r="X107"/>
  <c r="X110"/>
  <c r="X97"/>
  <c r="X91"/>
  <c r="X104"/>
  <c r="X109"/>
  <c r="X95"/>
  <c r="X98"/>
  <c r="X101"/>
  <c r="X87"/>
  <c r="X102"/>
  <c r="X86"/>
  <c r="X123" s="1"/>
  <c r="X89"/>
  <c r="X126" s="1"/>
  <c r="X94"/>
  <c r="X108"/>
  <c r="X90"/>
  <c r="X113"/>
  <c r="M105"/>
  <c r="M96"/>
  <c r="M91"/>
  <c r="M117"/>
  <c r="M109"/>
  <c r="M108"/>
  <c r="M103"/>
  <c r="M88"/>
  <c r="M101"/>
  <c r="S3" i="22"/>
  <c r="M87" i="19"/>
  <c r="M98"/>
  <c r="M110"/>
  <c r="M99"/>
  <c r="M94"/>
  <c r="M89"/>
  <c r="M126" s="1"/>
  <c r="M95"/>
  <c r="M112"/>
  <c r="M97"/>
  <c r="M93"/>
  <c r="M113"/>
  <c r="M111"/>
  <c r="M102"/>
  <c r="M115"/>
  <c r="M116"/>
  <c r="M86"/>
  <c r="M123" s="1"/>
  <c r="M114"/>
  <c r="M106"/>
  <c r="M107"/>
  <c r="M100"/>
  <c r="M137" s="1"/>
  <c r="M92"/>
  <c r="M129" s="1"/>
  <c r="M90"/>
  <c r="M127" s="1"/>
  <c r="M104"/>
  <c r="V36" i="6"/>
  <c r="F36"/>
  <c r="J36"/>
  <c r="X36"/>
  <c r="L36"/>
  <c r="W36"/>
  <c r="P36"/>
  <c r="M36"/>
  <c r="N36"/>
  <c r="S36"/>
  <c r="H36"/>
  <c r="T36"/>
  <c r="R36"/>
  <c r="E36"/>
  <c r="I36"/>
  <c r="O36"/>
  <c r="U36"/>
  <c r="G36"/>
  <c r="K36"/>
  <c r="Q36"/>
  <c r="L98" i="19"/>
  <c r="L102"/>
  <c r="L106"/>
  <c r="L90"/>
  <c r="L111"/>
  <c r="L86"/>
  <c r="L123" s="1"/>
  <c r="L108"/>
  <c r="L116"/>
  <c r="L109"/>
  <c r="L97"/>
  <c r="L92"/>
  <c r="L99"/>
  <c r="L100"/>
  <c r="L117"/>
  <c r="L110"/>
  <c r="L89"/>
  <c r="L105"/>
  <c r="L115"/>
  <c r="L114"/>
  <c r="L113"/>
  <c r="L94"/>
  <c r="L112"/>
  <c r="L107"/>
  <c r="L144" s="1"/>
  <c r="L91"/>
  <c r="L128" s="1"/>
  <c r="R3" i="22"/>
  <c r="L93" i="19"/>
  <c r="L101"/>
  <c r="L103"/>
  <c r="L88"/>
  <c r="L104"/>
  <c r="L95"/>
  <c r="L87"/>
  <c r="L96"/>
  <c r="U3" i="22"/>
  <c r="O87" i="19"/>
  <c r="O108"/>
  <c r="O88"/>
  <c r="O94"/>
  <c r="O95"/>
  <c r="O102"/>
  <c r="O99"/>
  <c r="O103"/>
  <c r="O113"/>
  <c r="O105"/>
  <c r="O93"/>
  <c r="O106"/>
  <c r="O115"/>
  <c r="O110"/>
  <c r="O107"/>
  <c r="O101"/>
  <c r="O116"/>
  <c r="O89"/>
  <c r="O112"/>
  <c r="O92"/>
  <c r="O109"/>
  <c r="O97"/>
  <c r="O100"/>
  <c r="O137" s="1"/>
  <c r="O114"/>
  <c r="O96"/>
  <c r="O133" s="1"/>
  <c r="O117"/>
  <c r="O98"/>
  <c r="O90"/>
  <c r="O104"/>
  <c r="O91"/>
  <c r="O86"/>
  <c r="O123" s="1"/>
  <c r="O111"/>
  <c r="V3" i="22"/>
  <c r="P101" i="19"/>
  <c r="P110"/>
  <c r="P100"/>
  <c r="P88"/>
  <c r="P117"/>
  <c r="P95"/>
  <c r="P112"/>
  <c r="P99"/>
  <c r="P106"/>
  <c r="P90"/>
  <c r="P107"/>
  <c r="P113"/>
  <c r="P103"/>
  <c r="P89"/>
  <c r="P114"/>
  <c r="P104"/>
  <c r="P92"/>
  <c r="P105"/>
  <c r="P97"/>
  <c r="P115"/>
  <c r="P86"/>
  <c r="P123" s="1"/>
  <c r="P111"/>
  <c r="P148" s="1"/>
  <c r="P94"/>
  <c r="P91"/>
  <c r="P116"/>
  <c r="P87"/>
  <c r="P98"/>
  <c r="P135" s="1"/>
  <c r="P109"/>
  <c r="P96"/>
  <c r="P102"/>
  <c r="P108"/>
  <c r="P145" s="1"/>
  <c r="P93"/>
  <c r="K93"/>
  <c r="K95"/>
  <c r="K88"/>
  <c r="K104"/>
  <c r="K107"/>
  <c r="K113"/>
  <c r="K111"/>
  <c r="K109"/>
  <c r="K117"/>
  <c r="K106"/>
  <c r="K96"/>
  <c r="K97"/>
  <c r="K91"/>
  <c r="K100"/>
  <c r="K105"/>
  <c r="K86"/>
  <c r="K123" s="1"/>
  <c r="K90"/>
  <c r="K89"/>
  <c r="K102"/>
  <c r="K94"/>
  <c r="K87"/>
  <c r="K114"/>
  <c r="K151" s="1"/>
  <c r="K108"/>
  <c r="K116"/>
  <c r="Q3" i="22"/>
  <c r="K110" i="19"/>
  <c r="K92"/>
  <c r="K112"/>
  <c r="K103"/>
  <c r="K115"/>
  <c r="K152" s="1"/>
  <c r="K99"/>
  <c r="K98"/>
  <c r="K135" s="1"/>
  <c r="K101"/>
  <c r="U114"/>
  <c r="U110"/>
  <c r="U94"/>
  <c r="U89"/>
  <c r="U103"/>
  <c r="U91"/>
  <c r="U99"/>
  <c r="U108"/>
  <c r="AA3" i="22"/>
  <c r="U88" i="19"/>
  <c r="U98"/>
  <c r="U104"/>
  <c r="U93"/>
  <c r="U112"/>
  <c r="U115"/>
  <c r="U117"/>
  <c r="U107"/>
  <c r="U101"/>
  <c r="U100"/>
  <c r="U137" s="1"/>
  <c r="U86"/>
  <c r="U123" s="1"/>
  <c r="U97"/>
  <c r="U92"/>
  <c r="U129" s="1"/>
  <c r="U111"/>
  <c r="U90"/>
  <c r="U127" s="1"/>
  <c r="U87"/>
  <c r="U105"/>
  <c r="U109"/>
  <c r="U113"/>
  <c r="U106"/>
  <c r="U96"/>
  <c r="U102"/>
  <c r="U95"/>
  <c r="U116"/>
  <c r="T134" l="1"/>
  <c r="I80"/>
  <c r="K80"/>
  <c r="J80"/>
  <c r="L168" i="6"/>
  <c r="L41" i="19"/>
  <c r="L66" s="1"/>
  <c r="L169" i="6"/>
  <c r="L42" i="19"/>
  <c r="L67" s="1"/>
  <c r="R9" i="22" s="1"/>
  <c r="F129" i="19"/>
  <c r="Q138"/>
  <c r="I136"/>
  <c r="Q153"/>
  <c r="N131"/>
  <c r="N142"/>
  <c r="I137"/>
  <c r="Q125"/>
  <c r="Y152"/>
  <c r="G129"/>
  <c r="G145"/>
  <c r="V138"/>
  <c r="O153"/>
  <c r="N136"/>
  <c r="U138"/>
  <c r="K136"/>
  <c r="K142"/>
  <c r="P151"/>
  <c r="P137"/>
  <c r="O151"/>
  <c r="L130"/>
  <c r="L152"/>
  <c r="M131"/>
  <c r="X127"/>
  <c r="F139"/>
  <c r="F132"/>
  <c r="F147"/>
  <c r="J139"/>
  <c r="R141"/>
  <c r="I124"/>
  <c r="Q130"/>
  <c r="Q137"/>
  <c r="W137"/>
  <c r="H145"/>
  <c r="Y130"/>
  <c r="S148"/>
  <c r="T150"/>
  <c r="T140"/>
  <c r="G153"/>
  <c r="G138"/>
  <c r="V150"/>
  <c r="U132"/>
  <c r="P153"/>
  <c r="X142"/>
  <c r="R134"/>
  <c r="I150"/>
  <c r="V153"/>
  <c r="E146"/>
  <c r="K124"/>
  <c r="M144"/>
  <c r="M153"/>
  <c r="M147"/>
  <c r="J141"/>
  <c r="J133"/>
  <c r="V134"/>
  <c r="E127"/>
  <c r="U141"/>
  <c r="U145"/>
  <c r="K138"/>
  <c r="K127"/>
  <c r="K144"/>
  <c r="P133"/>
  <c r="P140"/>
  <c r="P143"/>
  <c r="O126"/>
  <c r="O145"/>
  <c r="L126"/>
  <c r="L136"/>
  <c r="M150"/>
  <c r="M138"/>
  <c r="X131"/>
  <c r="X146"/>
  <c r="X133"/>
  <c r="X137"/>
  <c r="F127"/>
  <c r="F130"/>
  <c r="J124"/>
  <c r="J152"/>
  <c r="N147"/>
  <c r="R128"/>
  <c r="R153"/>
  <c r="R124"/>
  <c r="I127"/>
  <c r="W144"/>
  <c r="H148"/>
  <c r="H151"/>
  <c r="Y125"/>
  <c r="G126"/>
  <c r="G133"/>
  <c r="V130"/>
  <c r="E137"/>
  <c r="N151"/>
  <c r="N140"/>
  <c r="R147"/>
  <c r="R138"/>
  <c r="R150"/>
  <c r="I131"/>
  <c r="I142"/>
  <c r="Q150"/>
  <c r="Q134"/>
  <c r="W139"/>
  <c r="W151"/>
  <c r="W141"/>
  <c r="H126"/>
  <c r="Y147"/>
  <c r="X149"/>
  <c r="F125"/>
  <c r="J147"/>
  <c r="J130"/>
  <c r="N124"/>
  <c r="P129"/>
  <c r="O134"/>
  <c r="O147"/>
  <c r="O142"/>
  <c r="J126"/>
  <c r="I152"/>
  <c r="I146"/>
  <c r="Q140"/>
  <c r="W134"/>
  <c r="W127"/>
  <c r="W129"/>
  <c r="W131"/>
  <c r="H129"/>
  <c r="H143"/>
  <c r="H133"/>
  <c r="Y136"/>
  <c r="Y138"/>
  <c r="Y150"/>
  <c r="Y132"/>
  <c r="S152"/>
  <c r="S139"/>
  <c r="S142"/>
  <c r="S134"/>
  <c r="S124"/>
  <c r="S146"/>
  <c r="T124"/>
  <c r="T141"/>
  <c r="T152"/>
  <c r="T133"/>
  <c r="G140"/>
  <c r="G131"/>
  <c r="G150"/>
  <c r="V144"/>
  <c r="V141"/>
  <c r="V147"/>
  <c r="V127"/>
  <c r="E153"/>
  <c r="E135"/>
  <c r="E129"/>
  <c r="E125"/>
  <c r="E141"/>
  <c r="E131"/>
  <c r="AA62" i="6"/>
  <c r="M146" i="19"/>
  <c r="E132"/>
  <c r="J135"/>
  <c r="R132"/>
  <c r="Y135"/>
  <c r="Y142"/>
  <c r="S133"/>
  <c r="T127"/>
  <c r="T145"/>
  <c r="T148"/>
  <c r="T130"/>
  <c r="G136"/>
  <c r="V135"/>
  <c r="E139"/>
  <c r="E152"/>
  <c r="E144"/>
  <c r="U150"/>
  <c r="U126"/>
  <c r="K140"/>
  <c r="K130"/>
  <c r="P138"/>
  <c r="O128"/>
  <c r="O139"/>
  <c r="L124"/>
  <c r="L140"/>
  <c r="L150"/>
  <c r="L153"/>
  <c r="M141"/>
  <c r="M132"/>
  <c r="X124"/>
  <c r="X152"/>
  <c r="F143"/>
  <c r="F148"/>
  <c r="J136"/>
  <c r="N125"/>
  <c r="N133"/>
  <c r="R151"/>
  <c r="R142"/>
  <c r="Q135"/>
  <c r="Q151"/>
  <c r="Q128"/>
  <c r="Q143"/>
  <c r="W147"/>
  <c r="H127"/>
  <c r="X145"/>
  <c r="F136"/>
  <c r="F152"/>
  <c r="J150"/>
  <c r="J145"/>
  <c r="N139"/>
  <c r="R149"/>
  <c r="R127"/>
  <c r="R137"/>
  <c r="I126"/>
  <c r="Q139"/>
  <c r="Q146"/>
  <c r="Q148"/>
  <c r="W150"/>
  <c r="H142"/>
  <c r="H125"/>
  <c r="H139"/>
  <c r="Y145"/>
  <c r="S130"/>
  <c r="S127"/>
  <c r="S132"/>
  <c r="S145"/>
  <c r="T147"/>
  <c r="V146"/>
  <c r="V129"/>
  <c r="V125"/>
  <c r="E147"/>
  <c r="E143"/>
  <c r="R143"/>
  <c r="U153"/>
  <c r="U143"/>
  <c r="U134"/>
  <c r="U144"/>
  <c r="U130"/>
  <c r="U140"/>
  <c r="K147"/>
  <c r="K126"/>
  <c r="K137"/>
  <c r="K143"/>
  <c r="K150"/>
  <c r="K132"/>
  <c r="P142"/>
  <c r="P126"/>
  <c r="P132"/>
  <c r="P147"/>
  <c r="O149"/>
  <c r="O144"/>
  <c r="O130"/>
  <c r="O125"/>
  <c r="L133"/>
  <c r="L131"/>
  <c r="L142"/>
  <c r="L146"/>
  <c r="L148"/>
  <c r="L135"/>
  <c r="M136"/>
  <c r="X139"/>
  <c r="X136"/>
  <c r="X130"/>
  <c r="F141"/>
  <c r="J148"/>
  <c r="N150"/>
  <c r="R146"/>
  <c r="Q133"/>
  <c r="T132"/>
  <c r="T143"/>
  <c r="G125"/>
  <c r="E150"/>
  <c r="U149"/>
  <c r="U147"/>
  <c r="P131"/>
  <c r="L139"/>
  <c r="M128"/>
  <c r="X151"/>
  <c r="V124"/>
  <c r="AA65" i="6"/>
  <c r="U154" i="19"/>
  <c r="U119"/>
  <c r="T154"/>
  <c r="T119"/>
  <c r="U54" i="6"/>
  <c r="U61"/>
  <c r="R61"/>
  <c r="R54"/>
  <c r="N54"/>
  <c r="N61"/>
  <c r="L54"/>
  <c r="L61"/>
  <c r="V54"/>
  <c r="V61"/>
  <c r="I145" i="19"/>
  <c r="I144"/>
  <c r="Q154"/>
  <c r="Q119"/>
  <c r="H119"/>
  <c r="H154"/>
  <c r="S154"/>
  <c r="S119"/>
  <c r="K128"/>
  <c r="F144"/>
  <c r="J142"/>
  <c r="I138"/>
  <c r="W135"/>
  <c r="T125"/>
  <c r="U124"/>
  <c r="O136"/>
  <c r="L125"/>
  <c r="M148"/>
  <c r="M149"/>
  <c r="M145"/>
  <c r="M133"/>
  <c r="X132"/>
  <c r="X134"/>
  <c r="X148"/>
  <c r="F124"/>
  <c r="F126"/>
  <c r="F128"/>
  <c r="J125"/>
  <c r="J151"/>
  <c r="J129"/>
  <c r="N152"/>
  <c r="N146"/>
  <c r="N148"/>
  <c r="N134"/>
  <c r="R130"/>
  <c r="R125"/>
  <c r="R152"/>
  <c r="I139"/>
  <c r="I153"/>
  <c r="I130"/>
  <c r="I134"/>
  <c r="Q131"/>
  <c r="Q144"/>
  <c r="W128"/>
  <c r="W140"/>
  <c r="W142"/>
  <c r="W138"/>
  <c r="W143"/>
  <c r="H150"/>
  <c r="H140"/>
  <c r="H146"/>
  <c r="H147"/>
  <c r="Y131"/>
  <c r="Y141"/>
  <c r="Y124"/>
  <c r="Y127"/>
  <c r="Y133"/>
  <c r="Y146"/>
  <c r="S140"/>
  <c r="S135"/>
  <c r="T153"/>
  <c r="T129"/>
  <c r="T151"/>
  <c r="T126"/>
  <c r="G148"/>
  <c r="G141"/>
  <c r="G134"/>
  <c r="G127"/>
  <c r="G135"/>
  <c r="G132"/>
  <c r="V131"/>
  <c r="V132"/>
  <c r="V136"/>
  <c r="E138"/>
  <c r="E136"/>
  <c r="E151"/>
  <c r="K154"/>
  <c r="K119"/>
  <c r="F154"/>
  <c r="F119"/>
  <c r="N154"/>
  <c r="N119"/>
  <c r="W119"/>
  <c r="W154"/>
  <c r="E61" i="6"/>
  <c r="E54"/>
  <c r="W61"/>
  <c r="W54"/>
  <c r="F54"/>
  <c r="F61"/>
  <c r="X119" i="19"/>
  <c r="X154"/>
  <c r="J119"/>
  <c r="J154"/>
  <c r="I141"/>
  <c r="I140"/>
  <c r="G119"/>
  <c r="G154"/>
  <c r="Y140"/>
  <c r="P124"/>
  <c r="P127"/>
  <c r="L137"/>
  <c r="U133"/>
  <c r="U125"/>
  <c r="U128"/>
  <c r="K129"/>
  <c r="P134"/>
  <c r="P149"/>
  <c r="O143"/>
  <c r="O131"/>
  <c r="M134"/>
  <c r="M124"/>
  <c r="F140"/>
  <c r="N128"/>
  <c r="N126"/>
  <c r="N145"/>
  <c r="R129"/>
  <c r="R148"/>
  <c r="R144"/>
  <c r="I147"/>
  <c r="I133"/>
  <c r="I128"/>
  <c r="Q141"/>
  <c r="Q142"/>
  <c r="Q127"/>
  <c r="W146"/>
  <c r="W132"/>
  <c r="W148"/>
  <c r="H136"/>
  <c r="H152"/>
  <c r="H130"/>
  <c r="H128"/>
  <c r="H149"/>
  <c r="Y153"/>
  <c r="Y126"/>
  <c r="Y148"/>
  <c r="Y149"/>
  <c r="S151"/>
  <c r="S153"/>
  <c r="S128"/>
  <c r="T136"/>
  <c r="T128"/>
  <c r="G130"/>
  <c r="G146"/>
  <c r="V139"/>
  <c r="V143"/>
  <c r="V148"/>
  <c r="V151"/>
  <c r="V145"/>
  <c r="E133"/>
  <c r="E134"/>
  <c r="E130"/>
  <c r="E128"/>
  <c r="E145"/>
  <c r="P154"/>
  <c r="P119"/>
  <c r="O154"/>
  <c r="O119"/>
  <c r="Q54" i="6"/>
  <c r="Q61"/>
  <c r="O54"/>
  <c r="O61"/>
  <c r="T61"/>
  <c r="T54"/>
  <c r="M54"/>
  <c r="M61"/>
  <c r="X54"/>
  <c r="X61"/>
  <c r="R119" i="19"/>
  <c r="R154"/>
  <c r="I119"/>
  <c r="I154"/>
  <c r="I149"/>
  <c r="I148"/>
  <c r="L154"/>
  <c r="L119"/>
  <c r="G54" i="6"/>
  <c r="G61"/>
  <c r="S54"/>
  <c r="S61"/>
  <c r="K54"/>
  <c r="K61"/>
  <c r="I54"/>
  <c r="I61"/>
  <c r="H61"/>
  <c r="H54"/>
  <c r="P61"/>
  <c r="P54"/>
  <c r="J54"/>
  <c r="J61"/>
  <c r="M154" i="19"/>
  <c r="M119"/>
  <c r="Y154"/>
  <c r="Y119"/>
  <c r="V119"/>
  <c r="V154"/>
  <c r="E119"/>
  <c r="E154"/>
  <c r="L127"/>
  <c r="M142"/>
  <c r="X147"/>
  <c r="F149"/>
  <c r="N143"/>
  <c r="Q126"/>
  <c r="W145"/>
  <c r="H134"/>
  <c r="Y139"/>
  <c r="U151"/>
  <c r="P139"/>
  <c r="O135"/>
  <c r="U142"/>
  <c r="K145"/>
  <c r="K139"/>
  <c r="K133"/>
  <c r="K148"/>
  <c r="K125"/>
  <c r="P144"/>
  <c r="O148"/>
  <c r="O127"/>
  <c r="O129"/>
  <c r="O138"/>
  <c r="O140"/>
  <c r="L141"/>
  <c r="L149"/>
  <c r="L134"/>
  <c r="M151"/>
  <c r="M139"/>
  <c r="M140"/>
  <c r="X135"/>
  <c r="X128"/>
  <c r="X143"/>
  <c r="X140"/>
  <c r="F150"/>
  <c r="F142"/>
  <c r="F137"/>
  <c r="F133"/>
  <c r="J137"/>
  <c r="J143"/>
  <c r="J128"/>
  <c r="N132"/>
  <c r="U139"/>
  <c r="U146"/>
  <c r="U148"/>
  <c r="U152"/>
  <c r="U135"/>
  <c r="U136"/>
  <c r="U131"/>
  <c r="K149"/>
  <c r="K153"/>
  <c r="K131"/>
  <c r="K134"/>
  <c r="K146"/>
  <c r="K141"/>
  <c r="P130"/>
  <c r="P146"/>
  <c r="P128"/>
  <c r="P152"/>
  <c r="P141"/>
  <c r="P150"/>
  <c r="P136"/>
  <c r="P125"/>
  <c r="O141"/>
  <c r="O146"/>
  <c r="O152"/>
  <c r="O150"/>
  <c r="O132"/>
  <c r="O124"/>
  <c r="L132"/>
  <c r="L138"/>
  <c r="L151"/>
  <c r="L147"/>
  <c r="L129"/>
  <c r="L145"/>
  <c r="L143"/>
  <c r="M143"/>
  <c r="M152"/>
  <c r="M130"/>
  <c r="M135"/>
  <c r="M125"/>
  <c r="X150"/>
  <c r="X138"/>
  <c r="X141"/>
  <c r="X144"/>
  <c r="X125"/>
  <c r="X153"/>
  <c r="X129"/>
  <c r="F138"/>
  <c r="F153"/>
  <c r="F145"/>
  <c r="F146"/>
  <c r="F151"/>
  <c r="F134"/>
  <c r="F131"/>
  <c r="J140"/>
  <c r="J134"/>
  <c r="J149"/>
  <c r="J138"/>
  <c r="J153"/>
  <c r="J144"/>
  <c r="J131"/>
  <c r="N137"/>
  <c r="N129"/>
  <c r="N138"/>
  <c r="N130"/>
  <c r="N141"/>
  <c r="N149"/>
  <c r="N135"/>
  <c r="R131"/>
  <c r="R135"/>
  <c r="R145"/>
  <c r="R139"/>
  <c r="R140"/>
  <c r="R126"/>
  <c r="R136"/>
  <c r="R133"/>
  <c r="I143"/>
  <c r="I151"/>
  <c r="I125"/>
  <c r="I135"/>
  <c r="Q132"/>
  <c r="Q129"/>
  <c r="Q147"/>
  <c r="Q152"/>
  <c r="Q124"/>
  <c r="Q145"/>
  <c r="Q136"/>
  <c r="W133"/>
  <c r="W152"/>
  <c r="W125"/>
  <c r="W153"/>
  <c r="W130"/>
  <c r="W136"/>
  <c r="W149"/>
  <c r="H144"/>
  <c r="H131"/>
  <c r="H153"/>
  <c r="H138"/>
  <c r="H132"/>
  <c r="H141"/>
  <c r="H124"/>
  <c r="Y134"/>
  <c r="Y137"/>
  <c r="Y143"/>
  <c r="Y129"/>
  <c r="Y151"/>
  <c r="S144"/>
  <c r="S137"/>
  <c r="S141"/>
  <c r="S138"/>
  <c r="S131"/>
  <c r="S129"/>
  <c r="S147"/>
  <c r="S126"/>
  <c r="T142"/>
  <c r="T131"/>
  <c r="T146"/>
  <c r="T137"/>
  <c r="T139"/>
  <c r="T149"/>
  <c r="G142"/>
  <c r="G151"/>
  <c r="G143"/>
  <c r="G152"/>
  <c r="G128"/>
  <c r="G124"/>
  <c r="G144"/>
  <c r="G137"/>
  <c r="V149"/>
  <c r="V152"/>
  <c r="V140"/>
  <c r="V128"/>
  <c r="V137"/>
  <c r="V133"/>
  <c r="E149"/>
  <c r="E140"/>
  <c r="E126"/>
  <c r="E142"/>
  <c r="R8" i="22" l="1"/>
  <c r="L80" i="19"/>
  <c r="M168" i="6"/>
  <c r="M41" i="19"/>
  <c r="M66" s="1"/>
  <c r="M169" i="6"/>
  <c r="M42" i="19"/>
  <c r="M67" s="1"/>
  <c r="S9" i="22" s="1"/>
  <c r="O156" i="19"/>
  <c r="U156"/>
  <c r="E156"/>
  <c r="E157" s="1"/>
  <c r="S156"/>
  <c r="T156"/>
  <c r="J156"/>
  <c r="L156"/>
  <c r="N156"/>
  <c r="V156"/>
  <c r="Y157"/>
  <c r="H156"/>
  <c r="Q156"/>
  <c r="X156"/>
  <c r="M156"/>
  <c r="R156"/>
  <c r="W156"/>
  <c r="F156"/>
  <c r="P156"/>
  <c r="K156"/>
  <c r="G156"/>
  <c r="I156"/>
  <c r="J103" i="6"/>
  <c r="J100"/>
  <c r="J95"/>
  <c r="J87"/>
  <c r="J114"/>
  <c r="J107"/>
  <c r="J92"/>
  <c r="J110"/>
  <c r="J89"/>
  <c r="J108"/>
  <c r="J112"/>
  <c r="J117"/>
  <c r="J86"/>
  <c r="J123" s="1"/>
  <c r="J115"/>
  <c r="J90"/>
  <c r="J102"/>
  <c r="J113"/>
  <c r="J99"/>
  <c r="J111"/>
  <c r="J88"/>
  <c r="J125" s="1"/>
  <c r="J109"/>
  <c r="J93"/>
  <c r="J130" s="1"/>
  <c r="J96"/>
  <c r="J133" s="1"/>
  <c r="J91"/>
  <c r="J106"/>
  <c r="J104"/>
  <c r="J97"/>
  <c r="J134" s="1"/>
  <c r="J101"/>
  <c r="J116"/>
  <c r="J98"/>
  <c r="J135" s="1"/>
  <c r="J94"/>
  <c r="J105"/>
  <c r="K115"/>
  <c r="K90"/>
  <c r="K106"/>
  <c r="K95"/>
  <c r="K89"/>
  <c r="K96"/>
  <c r="K88"/>
  <c r="K107"/>
  <c r="K102"/>
  <c r="K101"/>
  <c r="K109"/>
  <c r="K116"/>
  <c r="K112"/>
  <c r="K103"/>
  <c r="K93"/>
  <c r="K111"/>
  <c r="K87"/>
  <c r="K86"/>
  <c r="K123" s="1"/>
  <c r="K110"/>
  <c r="K147" s="1"/>
  <c r="K114"/>
  <c r="K98"/>
  <c r="K97"/>
  <c r="K134" s="1"/>
  <c r="K117"/>
  <c r="K108"/>
  <c r="K145" s="1"/>
  <c r="K99"/>
  <c r="K92"/>
  <c r="K91"/>
  <c r="K105"/>
  <c r="K113"/>
  <c r="K150" s="1"/>
  <c r="K94"/>
  <c r="K131" s="1"/>
  <c r="K100"/>
  <c r="K104"/>
  <c r="G87"/>
  <c r="G94"/>
  <c r="G110"/>
  <c r="G107"/>
  <c r="G104"/>
  <c r="G98"/>
  <c r="G113"/>
  <c r="G108"/>
  <c r="G95"/>
  <c r="G115"/>
  <c r="G88"/>
  <c r="G111"/>
  <c r="G97"/>
  <c r="G114"/>
  <c r="G102"/>
  <c r="G96"/>
  <c r="G117"/>
  <c r="G116"/>
  <c r="G153" s="1"/>
  <c r="G103"/>
  <c r="G140" s="1"/>
  <c r="G90"/>
  <c r="G89"/>
  <c r="G91"/>
  <c r="G112"/>
  <c r="G101"/>
  <c r="G109"/>
  <c r="G100"/>
  <c r="G92"/>
  <c r="G93"/>
  <c r="G86"/>
  <c r="G123" s="1"/>
  <c r="G106"/>
  <c r="G105"/>
  <c r="G99"/>
  <c r="M88"/>
  <c r="M112"/>
  <c r="M102"/>
  <c r="M109"/>
  <c r="M114"/>
  <c r="M104"/>
  <c r="M93"/>
  <c r="M107"/>
  <c r="M91"/>
  <c r="M116"/>
  <c r="M86"/>
  <c r="M123" s="1"/>
  <c r="M117"/>
  <c r="M97"/>
  <c r="M111"/>
  <c r="M148" s="1"/>
  <c r="M92"/>
  <c r="M103"/>
  <c r="M113"/>
  <c r="M95"/>
  <c r="M110"/>
  <c r="M94"/>
  <c r="M100"/>
  <c r="M115"/>
  <c r="M105"/>
  <c r="M87"/>
  <c r="M90"/>
  <c r="M106"/>
  <c r="M143" s="1"/>
  <c r="M89"/>
  <c r="M96"/>
  <c r="M99"/>
  <c r="M108"/>
  <c r="M98"/>
  <c r="M101"/>
  <c r="O113"/>
  <c r="O100"/>
  <c r="O86"/>
  <c r="O123" s="1"/>
  <c r="O87"/>
  <c r="O102"/>
  <c r="O99"/>
  <c r="O116"/>
  <c r="O90"/>
  <c r="O96"/>
  <c r="O95"/>
  <c r="O132" s="1"/>
  <c r="O117"/>
  <c r="O109"/>
  <c r="O112"/>
  <c r="O88"/>
  <c r="O94"/>
  <c r="O92"/>
  <c r="O89"/>
  <c r="O103"/>
  <c r="O104"/>
  <c r="O106"/>
  <c r="O108"/>
  <c r="O111"/>
  <c r="O107"/>
  <c r="O114"/>
  <c r="O97"/>
  <c r="O134" s="1"/>
  <c r="O105"/>
  <c r="O142" s="1"/>
  <c r="O98"/>
  <c r="O93"/>
  <c r="O130" s="1"/>
  <c r="O110"/>
  <c r="O91"/>
  <c r="O101"/>
  <c r="O115"/>
  <c r="O152" s="1"/>
  <c r="E98"/>
  <c r="E115"/>
  <c r="E90"/>
  <c r="E102"/>
  <c r="E107"/>
  <c r="E106"/>
  <c r="E109"/>
  <c r="E96"/>
  <c r="E88"/>
  <c r="E92"/>
  <c r="E110"/>
  <c r="E147" s="1"/>
  <c r="E117"/>
  <c r="E105"/>
  <c r="E111"/>
  <c r="AA61"/>
  <c r="AA80" s="1"/>
  <c r="E86"/>
  <c r="E123" s="1"/>
  <c r="E104"/>
  <c r="E93"/>
  <c r="E130" s="1"/>
  <c r="E116"/>
  <c r="E97"/>
  <c r="E134" s="1"/>
  <c r="E114"/>
  <c r="E99"/>
  <c r="E94"/>
  <c r="E95"/>
  <c r="E103"/>
  <c r="E112"/>
  <c r="E149" s="1"/>
  <c r="E89"/>
  <c r="E108"/>
  <c r="E113"/>
  <c r="E101"/>
  <c r="E87"/>
  <c r="E91"/>
  <c r="E100"/>
  <c r="I109"/>
  <c r="I102"/>
  <c r="I107"/>
  <c r="I100"/>
  <c r="I106"/>
  <c r="I115"/>
  <c r="I112"/>
  <c r="I88"/>
  <c r="I97"/>
  <c r="I114"/>
  <c r="I104"/>
  <c r="I116"/>
  <c r="I95"/>
  <c r="I90"/>
  <c r="I101"/>
  <c r="I87"/>
  <c r="I98"/>
  <c r="I135" s="1"/>
  <c r="I96"/>
  <c r="I117"/>
  <c r="I89"/>
  <c r="I126" s="1"/>
  <c r="I92"/>
  <c r="I94"/>
  <c r="I111"/>
  <c r="I113"/>
  <c r="I93"/>
  <c r="I86"/>
  <c r="I123" s="1"/>
  <c r="I110"/>
  <c r="I91"/>
  <c r="I99"/>
  <c r="I136" s="1"/>
  <c r="I108"/>
  <c r="I105"/>
  <c r="I142" s="1"/>
  <c r="I103"/>
  <c r="S107"/>
  <c r="S111"/>
  <c r="S99"/>
  <c r="S115"/>
  <c r="S86"/>
  <c r="S123" s="1"/>
  <c r="S103"/>
  <c r="S113"/>
  <c r="S110"/>
  <c r="S89"/>
  <c r="S112"/>
  <c r="S149" s="1"/>
  <c r="S102"/>
  <c r="S98"/>
  <c r="S96"/>
  <c r="S101"/>
  <c r="S114"/>
  <c r="S93"/>
  <c r="S97"/>
  <c r="S134" s="1"/>
  <c r="S100"/>
  <c r="S87"/>
  <c r="S108"/>
  <c r="S104"/>
  <c r="S90"/>
  <c r="S91"/>
  <c r="S106"/>
  <c r="S117"/>
  <c r="S109"/>
  <c r="S95"/>
  <c r="S92"/>
  <c r="S105"/>
  <c r="S142" s="1"/>
  <c r="S88"/>
  <c r="S116"/>
  <c r="S94"/>
  <c r="S131" s="1"/>
  <c r="X113"/>
  <c r="X94"/>
  <c r="X100"/>
  <c r="X92"/>
  <c r="X96"/>
  <c r="X88"/>
  <c r="X107"/>
  <c r="X104"/>
  <c r="X115"/>
  <c r="X111"/>
  <c r="X91"/>
  <c r="X103"/>
  <c r="X95"/>
  <c r="X132" s="1"/>
  <c r="X108"/>
  <c r="X101"/>
  <c r="X138" s="1"/>
  <c r="X87"/>
  <c r="X105"/>
  <c r="X93"/>
  <c r="X102"/>
  <c r="X139" s="1"/>
  <c r="X97"/>
  <c r="X112"/>
  <c r="X149" s="1"/>
  <c r="X86"/>
  <c r="X123" s="1"/>
  <c r="X116"/>
  <c r="X90"/>
  <c r="X117"/>
  <c r="X89"/>
  <c r="X126" s="1"/>
  <c r="X109"/>
  <c r="X110"/>
  <c r="X99"/>
  <c r="X106"/>
  <c r="X114"/>
  <c r="X98"/>
  <c r="X135" s="1"/>
  <c r="Q90"/>
  <c r="Q98"/>
  <c r="Q88"/>
  <c r="Q99"/>
  <c r="Q86"/>
  <c r="Q123" s="1"/>
  <c r="Q92"/>
  <c r="Q116"/>
  <c r="Q110"/>
  <c r="Q87"/>
  <c r="Q112"/>
  <c r="Q93"/>
  <c r="Q89"/>
  <c r="Q104"/>
  <c r="Q111"/>
  <c r="Q100"/>
  <c r="Q106"/>
  <c r="Q113"/>
  <c r="Q150" s="1"/>
  <c r="Q107"/>
  <c r="Q91"/>
  <c r="Q108"/>
  <c r="Q103"/>
  <c r="Q117"/>
  <c r="Q97"/>
  <c r="Q105"/>
  <c r="Q95"/>
  <c r="Q101"/>
  <c r="Q102"/>
  <c r="Q94"/>
  <c r="Q109"/>
  <c r="Q96"/>
  <c r="Q114"/>
  <c r="Q115"/>
  <c r="P94"/>
  <c r="P91"/>
  <c r="P109"/>
  <c r="P93"/>
  <c r="P100"/>
  <c r="P102"/>
  <c r="P110"/>
  <c r="P87"/>
  <c r="P116"/>
  <c r="P107"/>
  <c r="P106"/>
  <c r="P96"/>
  <c r="P115"/>
  <c r="P86"/>
  <c r="P123" s="1"/>
  <c r="P114"/>
  <c r="P92"/>
  <c r="P90"/>
  <c r="P117"/>
  <c r="P97"/>
  <c r="P113"/>
  <c r="P108"/>
  <c r="P145" s="1"/>
  <c r="P99"/>
  <c r="P111"/>
  <c r="P148" s="1"/>
  <c r="P95"/>
  <c r="P103"/>
  <c r="P140" s="1"/>
  <c r="P89"/>
  <c r="P104"/>
  <c r="P101"/>
  <c r="P112"/>
  <c r="P98"/>
  <c r="P105"/>
  <c r="P142" s="1"/>
  <c r="P88"/>
  <c r="P125" s="1"/>
  <c r="T104"/>
  <c r="T108"/>
  <c r="T112"/>
  <c r="T92"/>
  <c r="T94"/>
  <c r="T117"/>
  <c r="T93"/>
  <c r="T102"/>
  <c r="T103"/>
  <c r="T114"/>
  <c r="T111"/>
  <c r="T89"/>
  <c r="T107"/>
  <c r="T95"/>
  <c r="T98"/>
  <c r="T90"/>
  <c r="T127" s="1"/>
  <c r="T109"/>
  <c r="T146" s="1"/>
  <c r="T87"/>
  <c r="T105"/>
  <c r="T91"/>
  <c r="T110"/>
  <c r="T115"/>
  <c r="T152" s="1"/>
  <c r="T88"/>
  <c r="T113"/>
  <c r="T86"/>
  <c r="T123" s="1"/>
  <c r="T100"/>
  <c r="T106"/>
  <c r="T143" s="1"/>
  <c r="T101"/>
  <c r="T99"/>
  <c r="T97"/>
  <c r="T96"/>
  <c r="T116"/>
  <c r="F99"/>
  <c r="F108"/>
  <c r="F112"/>
  <c r="F100"/>
  <c r="F98"/>
  <c r="F104"/>
  <c r="F91"/>
  <c r="F113"/>
  <c r="F96"/>
  <c r="F111"/>
  <c r="F92"/>
  <c r="F103"/>
  <c r="F90"/>
  <c r="F87"/>
  <c r="F97"/>
  <c r="F89"/>
  <c r="F101"/>
  <c r="F106"/>
  <c r="F95"/>
  <c r="F110"/>
  <c r="F107"/>
  <c r="F93"/>
  <c r="F117"/>
  <c r="F102"/>
  <c r="F88"/>
  <c r="F125" s="1"/>
  <c r="F109"/>
  <c r="F146" s="1"/>
  <c r="F114"/>
  <c r="F94"/>
  <c r="F116"/>
  <c r="F105"/>
  <c r="F142" s="1"/>
  <c r="F86"/>
  <c r="F123" s="1"/>
  <c r="F115"/>
  <c r="V104"/>
  <c r="V111"/>
  <c r="V105"/>
  <c r="V89"/>
  <c r="V109"/>
  <c r="V86"/>
  <c r="V123" s="1"/>
  <c r="V107"/>
  <c r="V98"/>
  <c r="V90"/>
  <c r="V93"/>
  <c r="V88"/>
  <c r="V113"/>
  <c r="V115"/>
  <c r="V114"/>
  <c r="V102"/>
  <c r="V103"/>
  <c r="V99"/>
  <c r="V96"/>
  <c r="V110"/>
  <c r="V94"/>
  <c r="V101"/>
  <c r="V117"/>
  <c r="V92"/>
  <c r="V95"/>
  <c r="V106"/>
  <c r="V116"/>
  <c r="V97"/>
  <c r="V91"/>
  <c r="V108"/>
  <c r="V112"/>
  <c r="V149" s="1"/>
  <c r="V87"/>
  <c r="V100"/>
  <c r="N116"/>
  <c r="N114"/>
  <c r="N112"/>
  <c r="N102"/>
  <c r="N93"/>
  <c r="N104"/>
  <c r="N107"/>
  <c r="N97"/>
  <c r="N100"/>
  <c r="N115"/>
  <c r="N152" s="1"/>
  <c r="N95"/>
  <c r="N111"/>
  <c r="N109"/>
  <c r="N101"/>
  <c r="N106"/>
  <c r="N117"/>
  <c r="N96"/>
  <c r="N99"/>
  <c r="N90"/>
  <c r="N92"/>
  <c r="N91"/>
  <c r="N88"/>
  <c r="N110"/>
  <c r="N94"/>
  <c r="N103"/>
  <c r="N98"/>
  <c r="N113"/>
  <c r="N150" s="1"/>
  <c r="N108"/>
  <c r="N86"/>
  <c r="N123" s="1"/>
  <c r="N87"/>
  <c r="N89"/>
  <c r="N105"/>
  <c r="U95"/>
  <c r="U89"/>
  <c r="U103"/>
  <c r="U107"/>
  <c r="U117"/>
  <c r="U110"/>
  <c r="U111"/>
  <c r="U91"/>
  <c r="U97"/>
  <c r="U105"/>
  <c r="U108"/>
  <c r="U113"/>
  <c r="U93"/>
  <c r="U88"/>
  <c r="U101"/>
  <c r="U98"/>
  <c r="U112"/>
  <c r="U102"/>
  <c r="U96"/>
  <c r="U100"/>
  <c r="U87"/>
  <c r="U106"/>
  <c r="U143" s="1"/>
  <c r="U115"/>
  <c r="U90"/>
  <c r="U116"/>
  <c r="U94"/>
  <c r="U92"/>
  <c r="U99"/>
  <c r="U136" s="1"/>
  <c r="U114"/>
  <c r="U109"/>
  <c r="U86"/>
  <c r="U123" s="1"/>
  <c r="U104"/>
  <c r="W107"/>
  <c r="W105"/>
  <c r="W104"/>
  <c r="W93"/>
  <c r="W89"/>
  <c r="W87"/>
  <c r="W115"/>
  <c r="W112"/>
  <c r="W90"/>
  <c r="W110"/>
  <c r="W95"/>
  <c r="W101"/>
  <c r="W114"/>
  <c r="W92"/>
  <c r="W103"/>
  <c r="W99"/>
  <c r="W116"/>
  <c r="W109"/>
  <c r="W100"/>
  <c r="W117"/>
  <c r="W94"/>
  <c r="W102"/>
  <c r="W106"/>
  <c r="W91"/>
  <c r="W97"/>
  <c r="W86"/>
  <c r="W123" s="1"/>
  <c r="W111"/>
  <c r="W98"/>
  <c r="W108"/>
  <c r="W145" s="1"/>
  <c r="W96"/>
  <c r="W88"/>
  <c r="W113"/>
  <c r="R111"/>
  <c r="R87"/>
  <c r="R91"/>
  <c r="R116"/>
  <c r="R89"/>
  <c r="R96"/>
  <c r="R100"/>
  <c r="R92"/>
  <c r="R94"/>
  <c r="R117"/>
  <c r="R90"/>
  <c r="R99"/>
  <c r="R104"/>
  <c r="R105"/>
  <c r="R102"/>
  <c r="R114"/>
  <c r="R110"/>
  <c r="R95"/>
  <c r="R103"/>
  <c r="R140" s="1"/>
  <c r="R98"/>
  <c r="R86"/>
  <c r="R123" s="1"/>
  <c r="R115"/>
  <c r="R107"/>
  <c r="R109"/>
  <c r="R93"/>
  <c r="R88"/>
  <c r="R125" s="1"/>
  <c r="R106"/>
  <c r="R97"/>
  <c r="R112"/>
  <c r="R149" s="1"/>
  <c r="R101"/>
  <c r="R113"/>
  <c r="R108"/>
  <c r="H100"/>
  <c r="H87"/>
  <c r="H93"/>
  <c r="H105"/>
  <c r="H111"/>
  <c r="H88"/>
  <c r="H101"/>
  <c r="H91"/>
  <c r="H108"/>
  <c r="H97"/>
  <c r="H115"/>
  <c r="H104"/>
  <c r="H116"/>
  <c r="H96"/>
  <c r="H90"/>
  <c r="H112"/>
  <c r="H110"/>
  <c r="H92"/>
  <c r="H113"/>
  <c r="H117"/>
  <c r="H106"/>
  <c r="H99"/>
  <c r="H109"/>
  <c r="H98"/>
  <c r="H94"/>
  <c r="H107"/>
  <c r="H114"/>
  <c r="H151" s="1"/>
  <c r="H86"/>
  <c r="H123" s="1"/>
  <c r="H103"/>
  <c r="H102"/>
  <c r="H89"/>
  <c r="H95"/>
  <c r="L89"/>
  <c r="L95"/>
  <c r="L93"/>
  <c r="L113"/>
  <c r="L90"/>
  <c r="L127" s="1"/>
  <c r="L105"/>
  <c r="L102"/>
  <c r="L94"/>
  <c r="L97"/>
  <c r="L104"/>
  <c r="L109"/>
  <c r="L106"/>
  <c r="L107"/>
  <c r="L114"/>
  <c r="L101"/>
  <c r="L88"/>
  <c r="L112"/>
  <c r="L96"/>
  <c r="L133" s="1"/>
  <c r="L116"/>
  <c r="L100"/>
  <c r="L115"/>
  <c r="L111"/>
  <c r="L103"/>
  <c r="L140" s="1"/>
  <c r="L91"/>
  <c r="L99"/>
  <c r="L87"/>
  <c r="L108"/>
  <c r="L86"/>
  <c r="L123" s="1"/>
  <c r="L92"/>
  <c r="L110"/>
  <c r="L98"/>
  <c r="L117"/>
  <c r="E128" l="1"/>
  <c r="M124"/>
  <c r="M131"/>
  <c r="M140"/>
  <c r="G148"/>
  <c r="J128"/>
  <c r="S8" i="22"/>
  <c r="M80" i="19"/>
  <c r="T147" i="6"/>
  <c r="Q124"/>
  <c r="J145"/>
  <c r="W127"/>
  <c r="N168"/>
  <c r="N41" i="19"/>
  <c r="N66" s="1"/>
  <c r="N169" i="6"/>
  <c r="N42" i="19"/>
  <c r="N67" s="1"/>
  <c r="T9" i="22" s="1"/>
  <c r="V152" i="6"/>
  <c r="F144"/>
  <c r="S141"/>
  <c r="E148"/>
  <c r="P147"/>
  <c r="S151"/>
  <c r="G145"/>
  <c r="L128"/>
  <c r="H132"/>
  <c r="H149"/>
  <c r="W135"/>
  <c r="W128"/>
  <c r="E132"/>
  <c r="O124"/>
  <c r="G130"/>
  <c r="K148"/>
  <c r="K144"/>
  <c r="V132"/>
  <c r="T128"/>
  <c r="I130"/>
  <c r="L137"/>
  <c r="L150"/>
  <c r="N137"/>
  <c r="N153"/>
  <c r="R142"/>
  <c r="R124"/>
  <c r="U148"/>
  <c r="N126"/>
  <c r="V124"/>
  <c r="F149"/>
  <c r="T133"/>
  <c r="T125"/>
  <c r="T135"/>
  <c r="Q139"/>
  <c r="Q134"/>
  <c r="Q130"/>
  <c r="X146"/>
  <c r="X144"/>
  <c r="S128"/>
  <c r="S139"/>
  <c r="S150"/>
  <c r="H144"/>
  <c r="R132"/>
  <c r="W146"/>
  <c r="U140"/>
  <c r="V134"/>
  <c r="F129"/>
  <c r="L147"/>
  <c r="L141"/>
  <c r="H139"/>
  <c r="R138"/>
  <c r="W133"/>
  <c r="W142"/>
  <c r="U129"/>
  <c r="U138"/>
  <c r="U145"/>
  <c r="N143"/>
  <c r="N132"/>
  <c r="N149"/>
  <c r="V129"/>
  <c r="F151"/>
  <c r="F132"/>
  <c r="T130"/>
  <c r="P134"/>
  <c r="P151"/>
  <c r="Q137"/>
  <c r="X128"/>
  <c r="S153"/>
  <c r="S132"/>
  <c r="I138"/>
  <c r="E145"/>
  <c r="O151"/>
  <c r="M138"/>
  <c r="G127"/>
  <c r="G133"/>
  <c r="K153"/>
  <c r="L131"/>
  <c r="H128"/>
  <c r="R129"/>
  <c r="W138"/>
  <c r="U151"/>
  <c r="N146"/>
  <c r="N130"/>
  <c r="V136"/>
  <c r="V141"/>
  <c r="F127"/>
  <c r="P131"/>
  <c r="Q127"/>
  <c r="X136"/>
  <c r="X142"/>
  <c r="E138"/>
  <c r="E136"/>
  <c r="E143"/>
  <c r="O140"/>
  <c r="M152"/>
  <c r="J141"/>
  <c r="J152"/>
  <c r="K136"/>
  <c r="R145"/>
  <c r="R151"/>
  <c r="N140"/>
  <c r="V138"/>
  <c r="V127"/>
  <c r="F153"/>
  <c r="F138"/>
  <c r="T140"/>
  <c r="Q146"/>
  <c r="Q132"/>
  <c r="W149"/>
  <c r="I129"/>
  <c r="E152"/>
  <c r="O148"/>
  <c r="G151"/>
  <c r="W150"/>
  <c r="H125"/>
  <c r="J150"/>
  <c r="L136"/>
  <c r="H131"/>
  <c r="H143"/>
  <c r="H147"/>
  <c r="H153"/>
  <c r="R141"/>
  <c r="W131"/>
  <c r="W153"/>
  <c r="N135"/>
  <c r="V133"/>
  <c r="V151"/>
  <c r="X130"/>
  <c r="E126"/>
  <c r="O138"/>
  <c r="M135"/>
  <c r="M126"/>
  <c r="M129"/>
  <c r="G142"/>
  <c r="G125"/>
  <c r="K128"/>
  <c r="J131"/>
  <c r="J127"/>
  <c r="L124"/>
  <c r="L151"/>
  <c r="L132"/>
  <c r="H136"/>
  <c r="H129"/>
  <c r="H133"/>
  <c r="H124"/>
  <c r="R152"/>
  <c r="W139"/>
  <c r="W129"/>
  <c r="U152"/>
  <c r="U133"/>
  <c r="N147"/>
  <c r="V147"/>
  <c r="V139"/>
  <c r="V144"/>
  <c r="V142"/>
  <c r="F134"/>
  <c r="F128"/>
  <c r="T142"/>
  <c r="T148"/>
  <c r="P141"/>
  <c r="P146"/>
  <c r="Q151"/>
  <c r="Q128"/>
  <c r="Q153"/>
  <c r="Q125"/>
  <c r="X151"/>
  <c r="X153"/>
  <c r="X137"/>
  <c r="S124"/>
  <c r="S136"/>
  <c r="I147"/>
  <c r="I141"/>
  <c r="I144"/>
  <c r="E139"/>
  <c r="O143"/>
  <c r="O129"/>
  <c r="O146"/>
  <c r="O127"/>
  <c r="M133"/>
  <c r="G136"/>
  <c r="K141"/>
  <c r="J142"/>
  <c r="J138"/>
  <c r="F157" i="19"/>
  <c r="M144" i="6"/>
  <c r="M146"/>
  <c r="G138"/>
  <c r="G144"/>
  <c r="K151"/>
  <c r="K132"/>
  <c r="J147"/>
  <c r="J124"/>
  <c r="S144"/>
  <c r="G135"/>
  <c r="K140"/>
  <c r="K127"/>
  <c r="W126"/>
  <c r="W144"/>
  <c r="U131"/>
  <c r="U142"/>
  <c r="V153"/>
  <c r="F148"/>
  <c r="F141"/>
  <c r="T132"/>
  <c r="T151"/>
  <c r="P126"/>
  <c r="P139"/>
  <c r="Q133"/>
  <c r="Q144"/>
  <c r="Q148"/>
  <c r="X143"/>
  <c r="X148"/>
  <c r="X125"/>
  <c r="S146"/>
  <c r="S127"/>
  <c r="S148"/>
  <c r="I133"/>
  <c r="I127"/>
  <c r="I151"/>
  <c r="E131"/>
  <c r="E153"/>
  <c r="O135"/>
  <c r="M142"/>
  <c r="G129"/>
  <c r="G147"/>
  <c r="K137"/>
  <c r="K125"/>
  <c r="G157" i="19"/>
  <c r="H157" s="1"/>
  <c r="I157" s="1"/>
  <c r="J157" s="1"/>
  <c r="K157" s="1"/>
  <c r="L157" s="1"/>
  <c r="M157" s="1"/>
  <c r="N157" s="1"/>
  <c r="O157" s="1"/>
  <c r="P157" s="1"/>
  <c r="Q157" s="1"/>
  <c r="R157" s="1"/>
  <c r="S157" s="1"/>
  <c r="T157" s="1"/>
  <c r="U157" s="1"/>
  <c r="V157" s="1"/>
  <c r="W157" s="1"/>
  <c r="X157" s="1"/>
  <c r="R154" i="6"/>
  <c r="R119"/>
  <c r="F154"/>
  <c r="F119"/>
  <c r="I154"/>
  <c r="I119"/>
  <c r="E119"/>
  <c r="E154"/>
  <c r="M154"/>
  <c r="M119"/>
  <c r="J119"/>
  <c r="J154"/>
  <c r="N119"/>
  <c r="N154"/>
  <c r="G119"/>
  <c r="G154"/>
  <c r="L148"/>
  <c r="L142"/>
  <c r="H134"/>
  <c r="R133"/>
  <c r="W147"/>
  <c r="W124"/>
  <c r="N127"/>
  <c r="N144"/>
  <c r="V125"/>
  <c r="T149"/>
  <c r="P143"/>
  <c r="I148"/>
  <c r="I149"/>
  <c r="E133"/>
  <c r="K142"/>
  <c r="J139"/>
  <c r="L135"/>
  <c r="L145"/>
  <c r="L153"/>
  <c r="L138"/>
  <c r="L146"/>
  <c r="L139"/>
  <c r="L130"/>
  <c r="H126"/>
  <c r="H146"/>
  <c r="H150"/>
  <c r="H127"/>
  <c r="H152"/>
  <c r="H138"/>
  <c r="H130"/>
  <c r="R150"/>
  <c r="R143"/>
  <c r="R144"/>
  <c r="R139"/>
  <c r="R127"/>
  <c r="R137"/>
  <c r="R128"/>
  <c r="W125"/>
  <c r="W148"/>
  <c r="W143"/>
  <c r="W137"/>
  <c r="W140"/>
  <c r="W132"/>
  <c r="W152"/>
  <c r="W141"/>
  <c r="U141"/>
  <c r="U127"/>
  <c r="U137"/>
  <c r="U135"/>
  <c r="U150"/>
  <c r="U128"/>
  <c r="U144"/>
  <c r="N142"/>
  <c r="N145"/>
  <c r="N131"/>
  <c r="N129"/>
  <c r="N148"/>
  <c r="N134"/>
  <c r="N139"/>
  <c r="V137"/>
  <c r="V128"/>
  <c r="V131"/>
  <c r="V140"/>
  <c r="V150"/>
  <c r="V135"/>
  <c r="V126"/>
  <c r="F152"/>
  <c r="F131"/>
  <c r="F139"/>
  <c r="F147"/>
  <c r="F126"/>
  <c r="F140"/>
  <c r="F150"/>
  <c r="F137"/>
  <c r="T153"/>
  <c r="T138"/>
  <c r="T150"/>
  <c r="T126"/>
  <c r="T139"/>
  <c r="T129"/>
  <c r="P138"/>
  <c r="P132"/>
  <c r="P150"/>
  <c r="P129"/>
  <c r="P133"/>
  <c r="P124"/>
  <c r="P130"/>
  <c r="Q152"/>
  <c r="Q131"/>
  <c r="Q142"/>
  <c r="Q145"/>
  <c r="Q143"/>
  <c r="Q126"/>
  <c r="Q147"/>
  <c r="Q136"/>
  <c r="X147"/>
  <c r="X127"/>
  <c r="X134"/>
  <c r="X124"/>
  <c r="X140"/>
  <c r="X141"/>
  <c r="X129"/>
  <c r="S129"/>
  <c r="S143"/>
  <c r="S145"/>
  <c r="S130"/>
  <c r="S135"/>
  <c r="S147"/>
  <c r="S152"/>
  <c r="I140"/>
  <c r="I128"/>
  <c r="I150"/>
  <c r="I124"/>
  <c r="I153"/>
  <c r="I125"/>
  <c r="I137"/>
  <c r="E137"/>
  <c r="E150"/>
  <c r="E140"/>
  <c r="E151"/>
  <c r="E141"/>
  <c r="E142"/>
  <c r="E125"/>
  <c r="E144"/>
  <c r="E135"/>
  <c r="O147"/>
  <c r="O145"/>
  <c r="O126"/>
  <c r="O149"/>
  <c r="O133"/>
  <c r="O139"/>
  <c r="O150"/>
  <c r="M136"/>
  <c r="M127"/>
  <c r="M137"/>
  <c r="M150"/>
  <c r="M134"/>
  <c r="M128"/>
  <c r="M151"/>
  <c r="M125"/>
  <c r="G146"/>
  <c r="G126"/>
  <c r="G134"/>
  <c r="G132"/>
  <c r="G141"/>
  <c r="G124"/>
  <c r="K135"/>
  <c r="K124"/>
  <c r="K149"/>
  <c r="K139"/>
  <c r="K126"/>
  <c r="K152"/>
  <c r="J153"/>
  <c r="J143"/>
  <c r="J146"/>
  <c r="J126"/>
  <c r="J151"/>
  <c r="J140"/>
  <c r="L154"/>
  <c r="L119"/>
  <c r="H119"/>
  <c r="H154"/>
  <c r="W154"/>
  <c r="W119"/>
  <c r="U119"/>
  <c r="U154"/>
  <c r="X154"/>
  <c r="X119"/>
  <c r="S154"/>
  <c r="S119"/>
  <c r="L125"/>
  <c r="L143"/>
  <c r="H135"/>
  <c r="H141"/>
  <c r="H142"/>
  <c r="R134"/>
  <c r="R146"/>
  <c r="R135"/>
  <c r="R136"/>
  <c r="R153"/>
  <c r="W136"/>
  <c r="W130"/>
  <c r="U153"/>
  <c r="U124"/>
  <c r="U149"/>
  <c r="U130"/>
  <c r="U134"/>
  <c r="U132"/>
  <c r="N128"/>
  <c r="N133"/>
  <c r="V145"/>
  <c r="V143"/>
  <c r="V146"/>
  <c r="F133"/>
  <c r="F135"/>
  <c r="F136"/>
  <c r="T136"/>
  <c r="T144"/>
  <c r="T131"/>
  <c r="T141"/>
  <c r="P149"/>
  <c r="P127"/>
  <c r="P152"/>
  <c r="P153"/>
  <c r="P137"/>
  <c r="Q140"/>
  <c r="Q141"/>
  <c r="X152"/>
  <c r="X133"/>
  <c r="X150"/>
  <c r="S133"/>
  <c r="S126"/>
  <c r="I132"/>
  <c r="I134"/>
  <c r="I143"/>
  <c r="I146"/>
  <c r="E129"/>
  <c r="O128"/>
  <c r="O125"/>
  <c r="O136"/>
  <c r="O137"/>
  <c r="M145"/>
  <c r="M132"/>
  <c r="M153"/>
  <c r="M141"/>
  <c r="M149"/>
  <c r="G143"/>
  <c r="G137"/>
  <c r="G128"/>
  <c r="G152"/>
  <c r="G131"/>
  <c r="K129"/>
  <c r="K138"/>
  <c r="K133"/>
  <c r="J136"/>
  <c r="J144"/>
  <c r="J137"/>
  <c r="V119"/>
  <c r="V154"/>
  <c r="T119"/>
  <c r="T154"/>
  <c r="P119"/>
  <c r="P154"/>
  <c r="Q154"/>
  <c r="Q119"/>
  <c r="O119"/>
  <c r="O154"/>
  <c r="K154"/>
  <c r="K119"/>
  <c r="L129"/>
  <c r="L152"/>
  <c r="L149"/>
  <c r="L144"/>
  <c r="L134"/>
  <c r="L126"/>
  <c r="H140"/>
  <c r="H145"/>
  <c r="H148"/>
  <c r="H137"/>
  <c r="R130"/>
  <c r="R147"/>
  <c r="R131"/>
  <c r="R126"/>
  <c r="R148"/>
  <c r="W134"/>
  <c r="W151"/>
  <c r="U146"/>
  <c r="U139"/>
  <c r="U125"/>
  <c r="U147"/>
  <c r="U126"/>
  <c r="N124"/>
  <c r="N125"/>
  <c r="N136"/>
  <c r="N138"/>
  <c r="N141"/>
  <c r="N151"/>
  <c r="V130"/>
  <c r="V148"/>
  <c r="F130"/>
  <c r="F143"/>
  <c r="F124"/>
  <c r="F145"/>
  <c r="T134"/>
  <c r="T137"/>
  <c r="T124"/>
  <c r="T145"/>
  <c r="P135"/>
  <c r="P136"/>
  <c r="P144"/>
  <c r="P128"/>
  <c r="Q138"/>
  <c r="Q149"/>
  <c r="Q129"/>
  <c r="Q135"/>
  <c r="X145"/>
  <c r="X131"/>
  <c r="S125"/>
  <c r="S137"/>
  <c r="S138"/>
  <c r="S140"/>
  <c r="I145"/>
  <c r="I131"/>
  <c r="I152"/>
  <c r="I139"/>
  <c r="E124"/>
  <c r="E146"/>
  <c r="E127"/>
  <c r="O144"/>
  <c r="O141"/>
  <c r="O131"/>
  <c r="O153"/>
  <c r="M147"/>
  <c r="M130"/>
  <c r="M139"/>
  <c r="G149"/>
  <c r="G139"/>
  <c r="G150"/>
  <c r="K130"/>
  <c r="K146"/>
  <c r="K143"/>
  <c r="J148"/>
  <c r="J149"/>
  <c r="J129"/>
  <c r="J132"/>
  <c r="T8" i="22" l="1"/>
  <c r="N80" i="19"/>
  <c r="O168" i="6"/>
  <c r="O41" i="19"/>
  <c r="O66" s="1"/>
  <c r="O169" i="6"/>
  <c r="O42" i="19"/>
  <c r="O67" s="1"/>
  <c r="U9" i="22" s="1"/>
  <c r="M156" i="6"/>
  <c r="P156"/>
  <c r="V156"/>
  <c r="O156"/>
  <c r="G156"/>
  <c r="E156"/>
  <c r="E157" s="1"/>
  <c r="W156"/>
  <c r="H156"/>
  <c r="I156"/>
  <c r="X156"/>
  <c r="Q156"/>
  <c r="T156"/>
  <c r="F156"/>
  <c r="N156"/>
  <c r="R156"/>
  <c r="J156"/>
  <c r="K156"/>
  <c r="S156"/>
  <c r="L156"/>
  <c r="U156"/>
  <c r="U8" i="22" l="1"/>
  <c r="O80" i="19"/>
  <c r="P168" i="6"/>
  <c r="P41" i="19"/>
  <c r="P66" s="1"/>
  <c r="P169" i="6"/>
  <c r="P42" i="19"/>
  <c r="P67" s="1"/>
  <c r="V9" i="22" s="1"/>
  <c r="F157" i="6"/>
  <c r="G157" s="1"/>
  <c r="H157" s="1"/>
  <c r="I157" s="1"/>
  <c r="J157" s="1"/>
  <c r="K157" s="1"/>
  <c r="L157" s="1"/>
  <c r="M157" s="1"/>
  <c r="N157" s="1"/>
  <c r="O157" s="1"/>
  <c r="P157" s="1"/>
  <c r="Q157" s="1"/>
  <c r="R157" s="1"/>
  <c r="S157" s="1"/>
  <c r="T157" s="1"/>
  <c r="U157" s="1"/>
  <c r="V157" s="1"/>
  <c r="W157" s="1"/>
  <c r="X157" s="1"/>
  <c r="V8" i="22" l="1"/>
  <c r="P80" i="19"/>
  <c r="Q168" i="6"/>
  <c r="Q41" i="19"/>
  <c r="Q66" s="1"/>
  <c r="Q169" i="6"/>
  <c r="Q42" i="19"/>
  <c r="Q67" s="1"/>
  <c r="W9" i="22" s="1"/>
  <c r="W8" l="1"/>
  <c r="Q80" i="19"/>
  <c r="R168" i="6"/>
  <c r="R41" i="19"/>
  <c r="R66" s="1"/>
  <c r="R169" i="6"/>
  <c r="R42" i="19"/>
  <c r="R67" s="1"/>
  <c r="X9" i="22" s="1"/>
  <c r="X8" l="1"/>
  <c r="R80" i="19"/>
  <c r="S168" i="6"/>
  <c r="S41" i="19"/>
  <c r="S66" s="1"/>
  <c r="S169" i="6"/>
  <c r="S42" i="19"/>
  <c r="S67" s="1"/>
  <c r="Y9" i="22" s="1"/>
  <c r="Y8" l="1"/>
  <c r="S80" i="19"/>
  <c r="T168" i="6"/>
  <c r="T41" i="19"/>
  <c r="T66" s="1"/>
  <c r="T169" i="6"/>
  <c r="T42" i="19"/>
  <c r="T67" s="1"/>
  <c r="Z9" i="22" s="1"/>
  <c r="Z8" l="1"/>
  <c r="T80" i="19"/>
  <c r="U168" i="6"/>
  <c r="U41" i="19"/>
  <c r="U66" s="1"/>
  <c r="U169" i="6"/>
  <c r="U42" i="19"/>
  <c r="U67" s="1"/>
  <c r="AA9" i="22" s="1"/>
  <c r="AA8" l="1"/>
  <c r="U80" i="19"/>
  <c r="V168" i="6"/>
  <c r="V41" i="19"/>
  <c r="V66" s="1"/>
  <c r="V169" i="6"/>
  <c r="V42" i="19"/>
  <c r="V67" s="1"/>
  <c r="AB9" i="22" s="1"/>
  <c r="AB8" l="1"/>
  <c r="V80" i="19"/>
  <c r="W168" i="6"/>
  <c r="W41" i="19"/>
  <c r="W66" s="1"/>
  <c r="W169" i="6"/>
  <c r="W42" i="19"/>
  <c r="W67" s="1"/>
  <c r="AC9" i="22" s="1"/>
  <c r="AC8" l="1"/>
  <c r="W80" i="19"/>
  <c r="X168" i="6"/>
  <c r="X41" i="19"/>
  <c r="X66" s="1"/>
  <c r="X169" i="6"/>
  <c r="X42" i="19"/>
  <c r="X67" s="1"/>
  <c r="AD9" i="22" s="1"/>
  <c r="AD8" l="1"/>
  <c r="X80" i="19"/>
  <c r="C10"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Kevin Smit</author>
  </authors>
  <commentList>
    <comment ref="B35" authorId="0">
      <text>
        <r>
          <rPr>
            <b/>
            <sz val="9"/>
            <color indexed="81"/>
            <rFont val="Tahoma"/>
            <family val="2"/>
          </rPr>
          <t>Kevin Smit:</t>
        </r>
        <r>
          <rPr>
            <sz val="9"/>
            <color indexed="81"/>
            <rFont val="Tahoma"/>
            <family val="2"/>
          </rPr>
          <t xml:space="preserve">
Includes baseline saturation
</t>
        </r>
      </text>
    </comment>
  </commentList>
</comments>
</file>

<file path=xl/comments3.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52"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52"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4.xml><?xml version="1.0" encoding="utf-8"?>
<comments xmlns="http://schemas.openxmlformats.org/spreadsheetml/2006/main">
  <authors>
    <author>Kevin Smit</author>
  </authors>
  <commentList>
    <comment ref="C22" authorId="0">
      <text>
        <r>
          <rPr>
            <b/>
            <sz val="9"/>
            <color indexed="81"/>
            <rFont val="Tahoma"/>
            <family val="2"/>
          </rPr>
          <t>Kevin Smit:</t>
        </r>
        <r>
          <rPr>
            <sz val="9"/>
            <color indexed="81"/>
            <rFont val="Tahoma"/>
            <family val="2"/>
          </rPr>
          <t xml:space="preserve">
Includes only fitness centers</t>
        </r>
      </text>
    </comment>
  </commentList>
</comments>
</file>

<file path=xl/comments5.xml><?xml version="1.0" encoding="utf-8"?>
<comments xmlns="http://schemas.openxmlformats.org/spreadsheetml/2006/main">
  <authors>
    <author>Mohit</author>
  </authors>
  <commentList>
    <comment ref="H2" authorId="0">
      <text>
        <r>
          <rPr>
            <b/>
            <sz val="9"/>
            <color indexed="81"/>
            <rFont val="Tahoma"/>
            <family val="2"/>
          </rPr>
          <t>Mohit:</t>
        </r>
        <r>
          <rPr>
            <sz val="9"/>
            <color indexed="81"/>
            <rFont val="Tahoma"/>
            <family val="2"/>
          </rPr>
          <t xml:space="preserve">
The costs vary by delivery mechanism. These costs represent direct install. Incremental costs for store bought showerheads would be $3.3</t>
        </r>
      </text>
    </comment>
    <comment ref="H20" authorId="0">
      <text>
        <r>
          <rPr>
            <b/>
            <sz val="9"/>
            <color indexed="81"/>
            <rFont val="Tahoma"/>
            <family val="2"/>
          </rPr>
          <t>Mohit:</t>
        </r>
        <r>
          <rPr>
            <sz val="9"/>
            <color indexed="81"/>
            <rFont val="Tahoma"/>
            <family val="2"/>
          </rPr>
          <t xml:space="preserve">
The costs vary by delivery mechanism. These costs represent direct install. Incremental costs for store bought showerheads would be $3.3</t>
        </r>
      </text>
    </comment>
  </commentList>
</comments>
</file>

<file path=xl/comments6.xml><?xml version="1.0" encoding="utf-8"?>
<comments xmlns="http://schemas.openxmlformats.org/spreadsheetml/2006/main">
  <authors>
    <author xml:space="preserve"> </author>
    <author>Nick O'Neil</author>
  </authors>
  <commentList>
    <comment ref="I6" authorId="0">
      <text>
        <r>
          <rPr>
            <b/>
            <sz val="8"/>
            <color indexed="81"/>
            <rFont val="Tahoma"/>
            <family val="2"/>
          </rPr>
          <t xml:space="preserve"> :ProCost</t>
        </r>
        <r>
          <rPr>
            <sz val="8"/>
            <color indexed="81"/>
            <rFont val="Tahoma"/>
            <family val="2"/>
          </rPr>
          <t xml:space="preserve">
Periodic replacement costs and savings of the measure.
These are costs and savings that occur periodically, but at different periods than annually.  
Can be positive or negative.  Periodic replacement costs for both the measure and the baseline measure should be included if applicable. 
ProCost can analyze these costs in two ways dependent on the 'Repeat Periodic Replacement'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per fixture must be replaced at years 6 and 11.  Lamp and labor costs, expressed as positive costs, are entered as a cost and the period would be entered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Annual operations and maintenance cost for the measure in dollars.  Must be incremental cost over the baseline alternative.  May be positive, negative or zero.  
Dollars must be denominated in the same year as 'Input Cost Reference Year' input on the ProData page. 
O&amp;M costs are entered as positive values.    Negative values represent O&amp;M savings compared to the baseline alternative. 
Example:  Annualized maintenance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BH358"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358"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358"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358"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68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687"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687"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68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7.xml><?xml version="1.0" encoding="utf-8"?>
<comments xmlns="http://schemas.openxmlformats.org/spreadsheetml/2006/main">
  <authors>
    <author>Mohit</author>
    <author>Kevin Smit</author>
  </authors>
  <commentList>
    <comment ref="J2" authorId="0">
      <text>
        <r>
          <rPr>
            <b/>
            <sz val="9"/>
            <color indexed="81"/>
            <rFont val="Tahoma"/>
            <family val="2"/>
          </rPr>
          <t>Mohit:</t>
        </r>
        <r>
          <rPr>
            <sz val="9"/>
            <color indexed="81"/>
            <rFont val="Tahoma"/>
            <family val="2"/>
          </rPr>
          <t xml:space="preserve">
This is current saturation of efficient showerheads in general. Not GPM specific. So Current saturation of efficient showerheads is 20% total.</t>
        </r>
      </text>
    </comment>
    <comment ref="O57" authorId="1">
      <text>
        <r>
          <rPr>
            <b/>
            <sz val="9"/>
            <color indexed="81"/>
            <rFont val="Tahoma"/>
            <family val="2"/>
          </rPr>
          <t>Kevin Smit:</t>
        </r>
        <r>
          <rPr>
            <sz val="9"/>
            <color indexed="81"/>
            <rFont val="Tahoma"/>
            <family val="2"/>
          </rPr>
          <t xml:space="preserve">
Includes only fitness centers</t>
        </r>
      </text>
    </comment>
  </commentList>
</comments>
</file>

<file path=xl/comments8.xml><?xml version="1.0" encoding="utf-8"?>
<comments xmlns="http://schemas.openxmlformats.org/spreadsheetml/2006/main">
  <authors>
    <author xml:space="preserve"> </author>
    <author>Ryan</author>
  </authors>
  <commentList>
    <comment ref="AC9"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AI9"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J10" authorId="1">
      <text>
        <r>
          <rPr>
            <b/>
            <sz val="9"/>
            <color indexed="81"/>
            <rFont val="Tahoma"/>
            <family val="2"/>
          </rPr>
          <t>Ryan:</t>
        </r>
        <r>
          <rPr>
            <sz val="9"/>
            <color indexed="81"/>
            <rFont val="Tahoma"/>
            <family val="2"/>
          </rPr>
          <t xml:space="preserve">
Measure names designed to match previous version of this analysis</t>
        </r>
      </text>
    </comment>
    <comment ref="U10"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V10"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W10"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X10" authorId="0">
      <text>
        <r>
          <rPr>
            <b/>
            <sz val="8"/>
            <color indexed="81"/>
            <rFont val="Tahoma"/>
            <family val="2"/>
          </rPr>
          <t xml:space="preserve"> :ProCost</t>
        </r>
        <r>
          <rPr>
            <sz val="8"/>
            <color indexed="81"/>
            <rFont val="Tahoma"/>
            <family val="2"/>
          </rPr>
          <t xml:space="preserve">
Physical life of the measure in years.  Must be &gt;=1.</t>
        </r>
      </text>
    </comment>
    <comment ref="Y10"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Z10"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AA10"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AB10"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AC10"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AD10"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AE10"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AF10"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AG10"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AH10"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AI10" authorId="0">
      <text>
        <r>
          <rPr>
            <b/>
            <sz val="8"/>
            <color indexed="81"/>
            <rFont val="Tahoma"/>
            <family val="2"/>
          </rPr>
          <t xml:space="preserve"> :</t>
        </r>
        <r>
          <rPr>
            <sz val="8"/>
            <color indexed="81"/>
            <rFont val="Tahoma"/>
            <family val="2"/>
          </rPr>
          <t xml:space="preserve">
Annual gas savings, or increases, in therms.</t>
        </r>
      </text>
    </comment>
    <comment ref="AJ10"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List>
</comments>
</file>

<file path=xl/comments9.xml><?xml version="1.0" encoding="utf-8"?>
<comments xmlns="http://schemas.openxmlformats.org/spreadsheetml/2006/main">
  <authors>
    <author xml:space="preserve"> </author>
    <author>Ryan</author>
  </authors>
  <commentList>
    <comment ref="AD17"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AJ17"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K18" authorId="1">
      <text>
        <r>
          <rPr>
            <b/>
            <sz val="9"/>
            <color indexed="81"/>
            <rFont val="Tahoma"/>
            <family val="2"/>
          </rPr>
          <t>Ryan:</t>
        </r>
        <r>
          <rPr>
            <sz val="9"/>
            <color indexed="81"/>
            <rFont val="Tahoma"/>
            <family val="2"/>
          </rPr>
          <t xml:space="preserve">
Measure names designed to match previous version of this analysis</t>
        </r>
      </text>
    </comment>
    <comment ref="V18"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W18"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X18"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Y18" authorId="0">
      <text>
        <r>
          <rPr>
            <b/>
            <sz val="8"/>
            <color indexed="81"/>
            <rFont val="Tahoma"/>
            <family val="2"/>
          </rPr>
          <t xml:space="preserve"> :ProCost</t>
        </r>
        <r>
          <rPr>
            <sz val="8"/>
            <color indexed="81"/>
            <rFont val="Tahoma"/>
            <family val="2"/>
          </rPr>
          <t xml:space="preserve">
Physical life of the measure in years.  Must be &gt;=1.</t>
        </r>
      </text>
    </comment>
    <comment ref="Z18"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AA18"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AB18"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AC18"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AD18"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AE18"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AF18"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AG18"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AH18"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AI18"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AJ18" authorId="0">
      <text>
        <r>
          <rPr>
            <b/>
            <sz val="8"/>
            <color indexed="81"/>
            <rFont val="Tahoma"/>
            <family val="2"/>
          </rPr>
          <t xml:space="preserve"> :</t>
        </r>
        <r>
          <rPr>
            <sz val="8"/>
            <color indexed="81"/>
            <rFont val="Tahoma"/>
            <family val="2"/>
          </rPr>
          <t xml:space="preserve">
Annual gas savings, or increases, in therms.</t>
        </r>
      </text>
    </comment>
    <comment ref="AK18"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List>
</comments>
</file>

<file path=xl/sharedStrings.xml><?xml version="1.0" encoding="utf-8"?>
<sst xmlns="http://schemas.openxmlformats.org/spreadsheetml/2006/main" count="9022" uniqueCount="1289">
  <si>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</si>
  <si>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</si>
  <si>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</si>
  <si>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</si>
  <si>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</si>
  <si>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</si>
  <si>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</si>
  <si>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</si>
  <si>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</si>
  <si>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</si>
  <si>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</si>
  <si>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</si>
  <si>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</si>
  <si>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</si>
  <si>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</si>
  <si>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</si>
  <si>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</si>
  <si>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</si>
  <si>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</si>
  <si>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</si>
  <si>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</si>
  <si>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</si>
  <si>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</si>
  <si>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</si>
  <si>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</si>
  <si>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</si>
  <si>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</si>
  <si>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</si>
  <si>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</si>
  <si>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</si>
  <si>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</si>
  <si>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</si>
  <si>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</si>
  <si>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</si>
  <si>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</si>
  <si>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</si>
  <si>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</si>
  <si>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</si>
  <si>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</si>
  <si>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</si>
  <si>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Baseline</t>
  </si>
  <si>
    <t>Units Methodology</t>
  </si>
  <si>
    <t>Forecast Version</t>
  </si>
  <si>
    <t>Measure Bundle</t>
  </si>
  <si>
    <t>Report Year</t>
  </si>
  <si>
    <t>UNITS FOR EXISTING STOCK</t>
  </si>
  <si>
    <t>MAX</t>
  </si>
  <si>
    <t>Achievability</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</si>
  <si>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</si>
  <si>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</si>
  <si>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</si>
  <si>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</si>
  <si>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</si>
  <si>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</si>
  <si>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</si>
  <si>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</si>
  <si>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</si>
  <si>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</si>
  <si>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</si>
  <si>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</si>
  <si>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</si>
  <si>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</si>
  <si>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</si>
  <si>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</si>
  <si>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</si>
  <si>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</si>
  <si>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</si>
  <si>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</si>
  <si>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</si>
  <si>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</si>
  <si>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</si>
  <si>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</si>
  <si>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</si>
  <si>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</si>
  <si>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</si>
  <si>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</si>
  <si>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</si>
  <si>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</si>
  <si>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</si>
  <si>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</si>
  <si>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</si>
  <si>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</si>
  <si>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</si>
  <si>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</si>
  <si>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</si>
  <si>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</si>
  <si>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</si>
  <si>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</si>
  <si>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</si>
  <si>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</si>
  <si>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</si>
  <si>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</si>
  <si>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</si>
  <si>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</si>
  <si>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</si>
  <si>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</si>
  <si>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</si>
  <si>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</si>
  <si>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</si>
  <si>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</si>
  <si>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</si>
  <si>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</si>
  <si>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</si>
  <si>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</si>
  <si>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</si>
  <si>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</si>
  <si>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</si>
  <si>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</si>
  <si>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</si>
  <si>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</si>
  <si>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</si>
  <si>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</si>
  <si>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</si>
  <si>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</si>
  <si>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</si>
  <si>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</si>
  <si>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</si>
  <si>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</si>
  <si>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</si>
  <si>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</si>
  <si>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</si>
  <si>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</si>
  <si>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</si>
  <si>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</si>
  <si>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</si>
  <si>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</si>
  <si>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</si>
  <si>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</si>
  <si>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</si>
  <si>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</si>
  <si>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</si>
  <si>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</si>
  <si>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</si>
  <si>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</si>
  <si>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</si>
  <si>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</si>
  <si>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</si>
  <si>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</si>
  <si>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</si>
  <si>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</si>
  <si>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</si>
  <si>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</si>
  <si>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</si>
  <si>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</si>
  <si>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</si>
  <si>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</si>
  <si>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</si>
  <si>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</si>
  <si>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</si>
  <si>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</si>
  <si>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</si>
  <si>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</si>
  <si>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</si>
  <si>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</si>
  <si>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</si>
  <si>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</si>
  <si>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</si>
  <si>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</si>
  <si>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</si>
  <si>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</si>
  <si>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</si>
  <si>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</si>
  <si>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</si>
  <si>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</si>
  <si>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</si>
  <si>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</si>
  <si>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</si>
  <si>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</si>
  <si>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</si>
  <si>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</si>
  <si>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</si>
  <si>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</si>
  <si>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</si>
  <si>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</si>
  <si>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</si>
  <si>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</si>
  <si>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</si>
  <si>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</si>
  <si>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</si>
  <si>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</si>
  <si>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</si>
  <si>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</si>
  <si>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</si>
  <si>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</si>
  <si>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</si>
  <si>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</si>
  <si>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</si>
  <si>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</si>
  <si>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</si>
  <si>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</si>
  <si>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</si>
  <si>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</si>
  <si>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</si>
  <si>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</si>
  <si>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</si>
  <si>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</si>
  <si>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</si>
  <si>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</si>
  <si>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</si>
  <si>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</si>
  <si>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</si>
  <si>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</si>
  <si>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</si>
  <si>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</si>
  <si>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</si>
  <si>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</si>
  <si>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</si>
  <si>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</si>
  <si>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</si>
  <si>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</si>
  <si>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</si>
  <si>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</si>
  <si>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</si>
  <si>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</si>
  <si>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</si>
  <si>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</si>
  <si>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</si>
  <si>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</si>
  <si>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</si>
  <si>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</si>
  <si>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</si>
  <si>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</si>
  <si>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</si>
  <si>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</si>
  <si>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</si>
  <si>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</si>
  <si>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</si>
  <si>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</si>
  <si>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</si>
  <si>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</si>
  <si>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</si>
  <si>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</si>
  <si>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</si>
  <si>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</si>
  <si>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</si>
  <si>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</si>
  <si>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</si>
  <si>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</si>
  <si>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</si>
  <si>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</si>
  <si>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</si>
  <si>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</si>
  <si>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</si>
  <si>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</si>
  <si>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</si>
  <si>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</si>
  <si>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</si>
  <si>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</si>
  <si>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</si>
  <si>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</si>
  <si>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</si>
  <si>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</si>
  <si>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</si>
  <si>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</si>
  <si>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</si>
  <si>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</si>
  <si>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</si>
  <si>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='[7P Forecasts D1.xlsx]Pop Forecast (Base Case)'!$A$1</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</si>
  <si>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</si>
  <si>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</si>
  <si>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</si>
  <si>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</si>
  <si>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</si>
  <si>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</si>
  <si>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</si>
  <si>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</si>
  <si>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</si>
  <si>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</si>
  <si>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</si>
  <si>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</si>
  <si>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</si>
  <si>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</si>
  <si>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</si>
  <si>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</si>
  <si>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</si>
  <si>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</si>
  <si>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</si>
  <si>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</si>
  <si>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</si>
  <si>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</si>
  <si>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</si>
  <si>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</si>
  <si>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</si>
  <si>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</si>
  <si>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</si>
  <si>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</si>
  <si>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</si>
  <si>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</si>
  <si>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</si>
  <si>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</si>
  <si>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</si>
  <si>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</si>
  <si>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</si>
  <si>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</si>
  <si>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</si>
  <si>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</si>
  <si>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</si>
  <si>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</si>
  <si>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</si>
  <si>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</si>
  <si>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</si>
  <si>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</si>
  <si>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</si>
  <si>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</si>
  <si>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</si>
  <si>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</si>
  <si>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</si>
  <si>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</si>
  <si>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</si>
  <si>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</si>
  <si>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</si>
  <si>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</si>
  <si>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</si>
  <si>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</si>
  <si>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</si>
  <si>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</si>
  <si>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</si>
  <si>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</si>
  <si>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</si>
  <si>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</si>
  <si>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</si>
  <si>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</si>
  <si>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</si>
  <si>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</si>
  <si>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Vintage</t>
  </si>
  <si>
    <t>Total Potential (aMW)</t>
  </si>
  <si>
    <t>6P MidC Final (with carbon)</t>
  </si>
  <si>
    <t>Conservation Load Shapes</t>
  </si>
  <si>
    <t>6P_Gas_Final</t>
  </si>
  <si>
    <t>Electric System CO2 Avoided (Annual Tons in 2018)</t>
  </si>
  <si>
    <t>Gas System CO2 Avoided (Annual Tons in 2018)</t>
  </si>
  <si>
    <t>Total System CO2 Avoided (Annual Tons in 2018)</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</si>
  <si>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</si>
  <si>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</si>
  <si>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</si>
  <si>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</si>
  <si>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</si>
  <si>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</si>
  <si>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</si>
  <si>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</si>
  <si>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</si>
  <si>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</si>
  <si>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</si>
  <si>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</si>
  <si>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</si>
  <si>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</si>
  <si>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</si>
  <si>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</si>
  <si>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</si>
  <si>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</si>
  <si>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</si>
  <si>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</si>
  <si>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</si>
  <si>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</si>
  <si>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</si>
  <si>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</si>
  <si>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</si>
  <si>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</si>
  <si>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</si>
  <si>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</si>
  <si>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</si>
  <si>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</si>
  <si>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</si>
  <si>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</si>
  <si>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Max</t>
  </si>
  <si>
    <t>Savings Allocation by Category and Month for Segments 1</t>
  </si>
  <si>
    <t>Savings Allocation by Category and Month for Segments 2</t>
  </si>
  <si>
    <t>Wholesale KW</t>
  </si>
  <si>
    <t>Savings Allocation by Cost Bin and Month for Segments 1</t>
  </si>
  <si>
    <t>Savings Allocation by Cost Bin and Month for Segments 2</t>
  </si>
  <si>
    <t>MOPP</t>
  </si>
  <si>
    <t>Large Off</t>
  </si>
  <si>
    <t>New</t>
  </si>
  <si>
    <t>Medium Off</t>
  </si>
  <si>
    <t>Small Off</t>
  </si>
  <si>
    <t>University</t>
  </si>
  <si>
    <t>Warehouse</t>
  </si>
  <si>
    <t>Supermarket</t>
  </si>
  <si>
    <t>Restaurant</t>
  </si>
  <si>
    <t>Lodging</t>
  </si>
  <si>
    <t>Hospital</t>
  </si>
  <si>
    <t>Assembly</t>
  </si>
  <si>
    <t>Other</t>
  </si>
  <si>
    <t>Measure Map</t>
  </si>
  <si>
    <t>Base Measure Name</t>
  </si>
  <si>
    <t>Category1</t>
  </si>
  <si>
    <t>BType</t>
  </si>
  <si>
    <t>End Use</t>
  </si>
  <si>
    <t>Life</t>
  </si>
  <si>
    <t>Btype IDX</t>
  </si>
  <si>
    <t>Xlarge Ret</t>
  </si>
  <si>
    <t>Large Ret</t>
  </si>
  <si>
    <t>Medium Ret</t>
  </si>
  <si>
    <t>Small Ret</t>
  </si>
  <si>
    <t>School K-12</t>
  </si>
  <si>
    <t>MiniMart</t>
  </si>
  <si>
    <t>Residential Care</t>
  </si>
  <si>
    <t>XLarge Ret</t>
  </si>
  <si>
    <t>Incremental based on achievability, ramp rate, and applicability</t>
  </si>
  <si>
    <t>max</t>
  </si>
  <si>
    <t>Ramp Rate</t>
  </si>
  <si>
    <t>Building Type</t>
  </si>
  <si>
    <t>Office</t>
  </si>
  <si>
    <t>School</t>
  </si>
  <si>
    <t>Cost</t>
  </si>
  <si>
    <t>Applicability</t>
  </si>
  <si>
    <t>L</t>
  </si>
  <si>
    <t>Wt Gas Savings (Therms)</t>
  </si>
  <si>
    <t>Savings Per SF</t>
  </si>
  <si>
    <t>Row Labels</t>
  </si>
  <si>
    <t>Grand Total</t>
  </si>
  <si>
    <t>Grocery</t>
  </si>
  <si>
    <t>Retail/Service</t>
  </si>
  <si>
    <t>Retro</t>
  </si>
  <si>
    <t>Resource Type</t>
  </si>
  <si>
    <t>Measure Category</t>
  </si>
  <si>
    <t>Sector</t>
  </si>
  <si>
    <t>kW per unit</t>
  </si>
  <si>
    <t>kWh per unit</t>
  </si>
  <si>
    <t>TRC Net Levelized Cost (Net of All Benefits)</t>
  </si>
  <si>
    <t>Commercial</t>
  </si>
  <si>
    <t>End-Use:</t>
  </si>
  <si>
    <t>ProCost 2.3 - Build 257f</t>
  </si>
  <si>
    <t>Monday, 22 July , 2013 at 9:53 AM</t>
  </si>
  <si>
    <t>Program</t>
  </si>
  <si>
    <t>C:\temp\MC_AND_LOADSHAPE_6P.XLS</t>
  </si>
  <si>
    <t>Bulk System T&amp;D Loss Factor by Time Segment</t>
  </si>
  <si>
    <t>WECCTrans</t>
  </si>
  <si>
    <t>Flat1.0</t>
  </si>
  <si>
    <t>Local System Dist Loss Factor by Time Segment</t>
  </si>
  <si>
    <t>Flat5.0</t>
  </si>
  <si>
    <t>NoLoss</t>
  </si>
  <si>
    <t>Risk-Mitigation Credit (mills/kWh)(mills/therm)</t>
  </si>
  <si>
    <t>6P CO2 lbs per kWh Hcap</t>
  </si>
  <si>
    <t>Admin Cost (As % of Initial Capital Cost)</t>
  </si>
  <si>
    <t>Last Year of non-Customer O&amp;M &amp; Period Repl</t>
  </si>
  <si>
    <t>Electric System CO2 Avoided (Annual Tons in 2020)</t>
  </si>
  <si>
    <t>Gas System CO2 Avoided (Annual Tons in 2020)</t>
  </si>
  <si>
    <t>Total System CO2 Avoided (Annual Tons in 2020)</t>
  </si>
  <si>
    <t>Commercial Showerhead Replacement_2_00gpm_Hospitality_ Electric Water Heating_Retail</t>
  </si>
  <si>
    <t>On-site Savings, Costs, and Benefits</t>
  </si>
  <si>
    <t>ResDHW</t>
  </si>
  <si>
    <t>ResGASDHW</t>
  </si>
  <si>
    <t>Commercial Showerhead Replacement_2_00gpm_Hospitality_ Gas Water Heating_Retail</t>
  </si>
  <si>
    <t>Commercial Showerhead Replacement_2_00gpm_Hospitality_ Any Water Heating_Retail</t>
  </si>
  <si>
    <t>Commercial Showerhead Replacement_1_75gpm_Hospitality_ Electric Water Heating_Retail</t>
  </si>
  <si>
    <t>Commercial Showerhead Replacement_1_75gpm_Hospitality_ Gas Water Heating_Retail</t>
  </si>
  <si>
    <t>Commercial Showerhead Replacement_1_75gpm_Hospitality_ Any Water Heating_Retail</t>
  </si>
  <si>
    <t>Commercial Showerhead Replacement_1_50gpm_Hospitality_ Electric Water Heating_Retail</t>
  </si>
  <si>
    <t>Commercial Showerhead Replacement_1_50gpm_Hospitality_ Gas Water Heating_Retail</t>
  </si>
  <si>
    <t>Commercial Showerhead Replacement_1_50gpm_Hospitality_ Any Water Heating_Retail</t>
  </si>
  <si>
    <t>Commercial Showerhead Replacement_2_00gpm_Hospitality_ Electric Water Heating_Direct Install</t>
  </si>
  <si>
    <t>Commercial Showerhead Replacement_2_00gpm_Hospitality_ Gas Water Heating_Direct Install</t>
  </si>
  <si>
    <t>Commercial Showerhead Replacement_2_00gpm_Hospitality_ Any Water Heating_Direct Install</t>
  </si>
  <si>
    <t>Commercial Showerhead Replacement_1_75gpm_Hospitality_ Electric Water Heating_Direct Install</t>
  </si>
  <si>
    <t>Commercial Showerhead Replacement_1_75gpm_Hospitality_ Gas Water Heating_Direct Install</t>
  </si>
  <si>
    <t>Commercial Showerhead Replacement_1_75gpm_Hospitality_ Any Water Heating_Direct Install</t>
  </si>
  <si>
    <t>Commercial Showerhead Replacement_1_50gpm_Hospitality_ Electric Water Heating_Direct Install</t>
  </si>
  <si>
    <t>Commercial Showerhead Replacement_1_50gpm_Hospitality_ Gas Water Heating_Direct Install</t>
  </si>
  <si>
    <t>Commercial Showerhead Replacement_1_50gpm_Hospitality_ Any Water Heating_Direct Install</t>
  </si>
  <si>
    <t>Commercial Showerhead Replacement_2_00gpm_Hospitality_ Electric Water Heating_Mail-by-Request</t>
  </si>
  <si>
    <t>Commercial Showerhead Replacement_2_00gpm_Hospitality_ Gas Water Heating_Mail-by-Request</t>
  </si>
  <si>
    <t>Commercial Showerhead Replacement_2_00gpm_Hospitality_ Any Water Heating_Mail-by-Request</t>
  </si>
  <si>
    <t>Commercial Showerhead Replacement_1_75gpm_Hospitality_ Electric Water Heating_Mail-by-Request</t>
  </si>
  <si>
    <t>Commercial Showerhead Replacement_1_75gpm_Hospitality_ Gas Water Heating_Mail-by-Request</t>
  </si>
  <si>
    <t>Commercial Showerhead Replacement_1_75gpm_Hospitality_ Any Water Heating_Mail-by-Request</t>
  </si>
  <si>
    <t>Commercial Showerhead Replacement_1_50gpm_Hospitality_ Electric Water Heating_Mail-by-Request</t>
  </si>
  <si>
    <t>Commercial Showerhead Replacement_1_50gpm_Hospitality_ Gas Water Heating_Mail-by-Request</t>
  </si>
  <si>
    <t>Commercial Showerhead Replacement_1_50gpm_Hospitality_ Any Water Heating_Mail-by-Request</t>
  </si>
  <si>
    <t>Commercial Showerhead Replacement_2_00gpm_Health Care_ Electric Water Heating_Retail</t>
  </si>
  <si>
    <t>Commercial Showerhead Replacement_2_00gpm_Health Care_ Gas Water Heating_Retail</t>
  </si>
  <si>
    <t>Commercial Showerhead Replacement_2_00gpm_Health Care_ Any Water Heating_Retail</t>
  </si>
  <si>
    <t>Commercial Showerhead Replacement_1_75gpm_Health Care_ Electric Water Heating_Retail</t>
  </si>
  <si>
    <t>Commercial Showerhead Replacement_1_75gpm_Health Care_ Gas Water Heating_Retail</t>
  </si>
  <si>
    <t>Commercial Showerhead Replacement_1_75gpm_Health Care_ Any Water Heating_Retail</t>
  </si>
  <si>
    <t>Commercial Showerhead Replacement_1_50gpm_Health Care_ Electric Water Heating_Retail</t>
  </si>
  <si>
    <t>Commercial Showerhead Replacement_1_50gpm_Health Care_ Gas Water Heating_Retail</t>
  </si>
  <si>
    <t>Commercial Showerhead Replacement_1_50gpm_Health Care_ Any Water Heating_Retail</t>
  </si>
  <si>
    <t>Commercial Showerhead Replacement_2_00gpm_Health Care_ Electric Water Heating_Direct Install</t>
  </si>
  <si>
    <t>Commercial Showerhead Replacement_2_00gpm_Health Care_ Gas Water Heating_Direct Install</t>
  </si>
  <si>
    <t>Commercial Showerhead Replacement_2_00gpm_Health Care_ Any Water Heating_Direct Install</t>
  </si>
  <si>
    <t>Commercial Showerhead Replacement_1_75gpm_Health Care_ Electric Water Heating_Direct Install</t>
  </si>
  <si>
    <t>Commercial Showerhead Replacement_1_75gpm_Health Care_ Gas Water Heating_Direct Install</t>
  </si>
  <si>
    <t>Commercial Showerhead Replacement_1_75gpm_Health Care_ Any Water Heating_Direct Install</t>
  </si>
  <si>
    <t>Commercial Showerhead Replacement_1_50gpm_Health Care_ Electric Water Heating_Direct Install</t>
  </si>
  <si>
    <t>Commercial Showerhead Replacement_1_50gpm_Health Care_ Gas Water Heating_Direct Install</t>
  </si>
  <si>
    <t>Commercial Showerhead Replacement_1_50gpm_Health Care_ Any Water Heating_Direct Install</t>
  </si>
  <si>
    <t>Commercial Showerhead Replacement_2_00gpm_Health Care_ Electric Water Heating_Mail-by-Request</t>
  </si>
  <si>
    <t>Commercial Showerhead Replacement_2_00gpm_Health Care_ Gas Water Heating_Mail-by-Request</t>
  </si>
  <si>
    <t>Commercial Showerhead Replacement_2_00gpm_Health Care_ Any Water Heating_Mail-by-Request</t>
  </si>
  <si>
    <t>Commercial Showerhead Replacement_1_75gpm_Health Care_ Electric Water Heating_Mail-by-Request</t>
  </si>
  <si>
    <t>Commercial Showerhead Replacement_1_75gpm_Health Care_ Gas Water Heating_Mail-by-Request</t>
  </si>
  <si>
    <t>Commercial Showerhead Replacement_1_75gpm_Health Care_ Any Water Heating_Mail-by-Request</t>
  </si>
  <si>
    <t>Commercial Showerhead Replacement_1_50gpm_Health Care_ Electric Water Heating_Mail-by-Request</t>
  </si>
  <si>
    <t>Commercial Showerhead Replacement_1_50gpm_Health Care_ Gas Water Heating_Mail-by-Request</t>
  </si>
  <si>
    <t>Commercial Showerhead Replacement_1_50gpm_Health Care_ Any Water Heating_Mail-by-Request</t>
  </si>
  <si>
    <t>Commercial Showerhead Replacement_2_00gpm_Commercial - Employee Shower_ Electric Water Heating_Retail</t>
  </si>
  <si>
    <t>Commercial Showerhead Replacement_2_00gpm_Commercial - Employee Shower_ Gas Water Heating_Retail</t>
  </si>
  <si>
    <t>Commercial Showerhead Replacement_2_00gpm_Commercial - Employee Shower_ Any Water Heating_Retail</t>
  </si>
  <si>
    <t>Commercial Showerhead Replacement_1_75gpm_Commercial - Employee Shower_ Electric Water Heating_Retail</t>
  </si>
  <si>
    <t>Commercial Showerhead Replacement_1_75gpm_Commercial - Employee Shower_ Gas Water Heating_Retail</t>
  </si>
  <si>
    <t>Commercial Showerhead Replacement_1_75gpm_Commercial - Employee Shower_ Any Water Heating_Retail</t>
  </si>
  <si>
    <t>Commercial Showerhead Replacement_1_50gpm_Commercial - Employee Shower_ Electric Water Heating_Retail</t>
  </si>
  <si>
    <t>Commercial Showerhead Replacement_1_50gpm_Commercial - Employee Shower_ Gas Water Heating_Retail</t>
  </si>
  <si>
    <t>Commercial Showerhead Replacement_1_50gpm_Commercial - Employee Shower_ Any Water Heating_Retail</t>
  </si>
  <si>
    <t>Commercial Showerhead Replacement_2_00gpm_Commercial - Employee Shower_ Electric Water Heating_Direct Install</t>
  </si>
  <si>
    <t>Commercial Showerhead Replacement_2_00gpm_Commercial - Employee Shower_ Gas Water Heating_Direct Install</t>
  </si>
  <si>
    <t>Commercial Showerhead Replacement_2_00gpm_Commercial - Employee Shower_ Any Water Heating_Direct Install</t>
  </si>
  <si>
    <t>Commercial Showerhead Replacement_1_75gpm_Commercial - Employee Shower_ Electric Water Heating_Direct Install</t>
  </si>
  <si>
    <t>Commercial Showerhead Replacement_1_75gpm_Commercial - Employee Shower_ Gas Water Heating_Direct Install</t>
  </si>
  <si>
    <t>Commercial Showerhead Replacement_1_75gpm_Commercial - Employee Shower_ Any Water Heating_Direct Install</t>
  </si>
  <si>
    <t>Commercial Showerhead Replacement_1_50gpm_Commercial - Employee Shower_ Electric Water Heating_Direct Install</t>
  </si>
  <si>
    <t>Commercial Showerhead Replacement_1_50gpm_Commercial - Employee Shower_ Gas Water Heating_Direct Install</t>
  </si>
  <si>
    <t>Commercial Showerhead Replacement_1_50gpm_Commercial - Employee Shower_ Any Water Heating_Direct Install</t>
  </si>
  <si>
    <t>Commercial Showerhead Replacement_2_00gpm_Commercial - Employee Shower_ Electric Water Heating_Mail-by-Request</t>
  </si>
  <si>
    <t>Commercial Showerhead Replacement_2_00gpm_Commercial - Employee Shower_ Gas Water Heating_Mail-by-Request</t>
  </si>
  <si>
    <t>Commercial Showerhead Replacement_2_00gpm_Commercial - Employee Shower_ Any Water Heating_Mail-by-Request</t>
  </si>
  <si>
    <t>Commercial Showerhead Replacement_1_75gpm_Commercial - Employee Shower_ Electric Water Heating_Mail-by-Request</t>
  </si>
  <si>
    <t>Commercial Showerhead Replacement_1_75gpm_Commercial - Employee Shower_ Gas Water Heating_Mail-by-Request</t>
  </si>
  <si>
    <t>Commercial Showerhead Replacement_1_75gpm_Commercial - Employee Shower_ Any Water Heating_Mail-by-Request</t>
  </si>
  <si>
    <t>Commercial Showerhead Replacement_1_50gpm_Commercial - Employee Shower_ Electric Water Heating_Mail-by-Request</t>
  </si>
  <si>
    <t>Commercial Showerhead Replacement_1_50gpm_Commercial - Employee Shower_ Gas Water Heating_Mail-by-Request</t>
  </si>
  <si>
    <t>Commercial Showerhead Replacement_1_50gpm_Commercial - Employee Shower_ Any Water Heating_Mail-by-Request</t>
  </si>
  <si>
    <t>Commercial Showerhead Replacement_2_00gpm_School_ Electric Water Heating_Retail</t>
  </si>
  <si>
    <t>Commercial Showerhead Replacement_2_00gpm_School_ Gas Water Heating_Retail</t>
  </si>
  <si>
    <t>Commercial Showerhead Replacement_2_00gpm_School_ Any Water Heating_Retail</t>
  </si>
  <si>
    <t>Commercial Showerhead Replacement_1_75gpm_School_ Electric Water Heating_Retail</t>
  </si>
  <si>
    <t>Commercial Showerhead Replacement_1_75gpm_School_ Gas Water Heating_Retail</t>
  </si>
  <si>
    <t>Commercial Showerhead Replacement_1_75gpm_School_ Any Water Heating_Retail</t>
  </si>
  <si>
    <t>Commercial Showerhead Replacement_1_50gpm_School_ Electric Water Heating_Retail</t>
  </si>
  <si>
    <t>Commercial Showerhead Replacement_1_50gpm_School_ Gas Water Heating_Retail</t>
  </si>
  <si>
    <t>Commercial Showerhead Replacement_1_50gpm_School_ Any Water Heating_Retail</t>
  </si>
  <si>
    <t>Commercial Showerhead Replacement_2_00gpm_School_ Electric Water Heating_Direct Install</t>
  </si>
  <si>
    <t>Commercial Showerhead Replacement_2_00gpm_School_ Gas Water Heating_Direct Install</t>
  </si>
  <si>
    <t>Commercial Showerhead Replacement_2_00gpm_School_ Any Water Heating_Direct Install</t>
  </si>
  <si>
    <t>Commercial Showerhead Replacement_1_75gpm_School_ Electric Water Heating_Direct Install</t>
  </si>
  <si>
    <t>Commercial Showerhead Replacement_1_75gpm_School_ Gas Water Heating_Direct Install</t>
  </si>
  <si>
    <t>Commercial Showerhead Replacement_1_75gpm_School_ Any Water Heating_Direct Install</t>
  </si>
  <si>
    <t>Commercial Showerhead Replacement_1_50gpm_School_ Electric Water Heating_Direct Install</t>
  </si>
  <si>
    <t>Commercial Showerhead Replacement_1_50gpm_School_ Gas Water Heating_Direct Install</t>
  </si>
  <si>
    <t>Commercial Showerhead Replacement_1_50gpm_School_ Any Water Heating_Direct Install</t>
  </si>
  <si>
    <t>Commercial Showerhead Replacement_2_00gpm_School_ Electric Water Heating_Mail-by-Request</t>
  </si>
  <si>
    <t>Commercial Showerhead Replacement_2_00gpm_School_ Gas Water Heating_Mail-by-Request</t>
  </si>
  <si>
    <t>Commercial Showerhead Replacement_2_00gpm_School_ Any Water Heating_Mail-by-Request</t>
  </si>
  <si>
    <t>Commercial Showerhead Replacement_1_75gpm_School_ Electric Water Heating_Mail-by-Request</t>
  </si>
  <si>
    <t>Commercial Showerhead Replacement_1_75gpm_School_ Gas Water Heating_Mail-by-Request</t>
  </si>
  <si>
    <t>Commercial Showerhead Replacement_1_75gpm_School_ Any Water Heating_Mail-by-Request</t>
  </si>
  <si>
    <t>Commercial Showerhead Replacement_1_50gpm_School_ Electric Water Heating_Mail-by-Request</t>
  </si>
  <si>
    <t>Commercial Showerhead Replacement_1_50gpm_School_ Gas Water Heating_Mail-by-Request</t>
  </si>
  <si>
    <t>Commercial Showerhead Replacement_1_50gpm_School_ Any Water Heating_Mail-by-Request</t>
  </si>
  <si>
    <t>Commercial Showerhead Replacement_2_00gpm_Any Commercial Except Fitness Center_ Electric Water Heating_Retail</t>
  </si>
  <si>
    <t>Commercial Showerhead Replacement_2_00gpm_Any Commercial Except Fitness Center_ Gas Water Heating_Retail</t>
  </si>
  <si>
    <t>Commercial Showerhead Replacement_2_00gpm_Any Commercial Except Fitness Center_ Any Water Heating_Retail</t>
  </si>
  <si>
    <t>Commercial Showerhead Replacement_1_75gpm_Any Commercial Except Fitness Center_ Electric Water Heating_Retail</t>
  </si>
  <si>
    <t>Commercial Showerhead Replacement_1_75gpm_Any Commercial Except Fitness Center_ Gas Water Heating_Retail</t>
  </si>
  <si>
    <t>Commercial Showerhead Replacement_1_75gpm_Any Commercial Except Fitness Center_ Any Water Heating_Retail</t>
  </si>
  <si>
    <t>Commercial Showerhead Replacement_1_50gpm_Any Commercial Except Fitness Center_ Electric Water Heating_Retail</t>
  </si>
  <si>
    <t>Commercial Showerhead Replacement_1_50gpm_Any Commercial Except Fitness Center_ Gas Water Heating_Retail</t>
  </si>
  <si>
    <t>Commercial Showerhead Replacement_1_50gpm_Any Commercial Except Fitness Center_ Any Water Heating_Retail</t>
  </si>
  <si>
    <t>Commercial Showerhead Replacement_2_00gpm_Any Commercial Except Fitness Center_ Electric Water Heating_Direct Install</t>
  </si>
  <si>
    <t>Commercial Showerhead Replacement_2_00gpm_Any Commercial Except Fitness Center_ Gas Water Heating_Direct Install</t>
  </si>
  <si>
    <t>Commercial Showerhead Replacement_2_00gpm_Any Commercial Except Fitness Center_ Any Water Heating_Direct Install</t>
  </si>
  <si>
    <t>Commercial Showerhead Replacement_1_75gpm_Any Commercial Except Fitness Center_ Electric Water Heating_Direct Install</t>
  </si>
  <si>
    <t>Commercial Showerhead Replacement_1_75gpm_Any Commercial Except Fitness Center_ Gas Water Heating_Direct Install</t>
  </si>
  <si>
    <t>Commercial Showerhead Replacement_1_75gpm_Any Commercial Except Fitness Center_ Any Water Heating_Direct Install</t>
  </si>
  <si>
    <t>Commercial Showerhead Replacement_1_50gpm_Any Commercial Except Fitness Center_ Electric Water Heating_Direct Install</t>
  </si>
  <si>
    <t>Commercial Showerhead Replacement_1_50gpm_Any Commercial Except Fitness Center_ Gas Water Heating_Direct Install</t>
  </si>
  <si>
    <t>Commercial Showerhead Replacement_1_50gpm_Any Commercial Except Fitness Center_ Any Water Heating_Direct Install</t>
  </si>
  <si>
    <t>Commercial Showerhead Replacement_2_00gpm_Any Commercial Except Fitness Center_ Electric Water Heating_Mail-by-Request</t>
  </si>
  <si>
    <t>Commercial Showerhead Replacement_2_00gpm_Any Commercial Except Fitness Center_ Gas Water Heating_Mail-by-Request</t>
  </si>
  <si>
    <t>Commercial Showerhead Replacement_2_00gpm_Any Commercial Except Fitness Center_ Any Water Heating_Mail-by-Request</t>
  </si>
  <si>
    <t>Commercial Showerhead Replacement_1_75gpm_Any Commercial Except Fitness Center_ Electric Water Heating_Mail-by-Request</t>
  </si>
  <si>
    <t>Commercial Showerhead Replacement_1_75gpm_Any Commercial Except Fitness Center_ Gas Water Heating_Mail-by-Request</t>
  </si>
  <si>
    <t>Commercial Showerhead Replacement_1_75gpm_Any Commercial Except Fitness Center_ Any Water Heating_Mail-by-Request</t>
  </si>
  <si>
    <t>Commercial Showerhead Replacement_1_50gpm_Any Commercial Except Fitness Center_ Electric Water Heating_Mail-by-Request</t>
  </si>
  <si>
    <t>Commercial Showerhead Replacement_1_50gpm_Any Commercial Except Fitness Center_ Gas Water Heating_Mail-by-Request</t>
  </si>
  <si>
    <t>Commercial Showerhead Replacement_1_50gpm_Any Commercial Except Fitness Center_ Any Water Heating_Mail-by-Request</t>
  </si>
  <si>
    <t>Commercial Showerhead Replacement_2_00gpm_Fitness Center_ Electric Water Heating_Retail</t>
  </si>
  <si>
    <t>Commercial Showerhead Replacement_2_00gpm_Fitness Center_ Gas Water Heating_Retail</t>
  </si>
  <si>
    <t>Commercial Showerhead Replacement_2_00gpm_Fitness Center_ Any Water Heating_Retail</t>
  </si>
  <si>
    <t>Commercial Showerhead Replacement_1_75gpm_Fitness Center_ Electric Water Heating_Retail</t>
  </si>
  <si>
    <t>Commercial Showerhead Replacement_1_75gpm_Fitness Center_ Gas Water Heating_Retail</t>
  </si>
  <si>
    <t>Commercial Showerhead Replacement_1_75gpm_Fitness Center_ Any Water Heating_Retail</t>
  </si>
  <si>
    <t>Commercial Showerhead Replacement_1_50gpm_Fitness Center_ Electric Water Heating_Retail</t>
  </si>
  <si>
    <t>Commercial Showerhead Replacement_1_50gpm_Fitness Center_ Gas Water Heating_Retail</t>
  </si>
  <si>
    <t>Commercial Showerhead Replacement_1_50gpm_Fitness Center_ Any Water Heating_Retail</t>
  </si>
  <si>
    <t>Commercial Showerhead Replacement_2_00gpm_Fitness Center_ Electric Water Heating_Direct Install</t>
  </si>
  <si>
    <t>Commercial Showerhead Replacement_2_00gpm_Fitness Center_ Gas Water Heating_Direct Install</t>
  </si>
  <si>
    <t>Commercial Showerhead Replacement_2_00gpm_Fitness Center_ Any Water Heating_Direct Install</t>
  </si>
  <si>
    <t>Commercial Showerhead Replacement_1_75gpm_Fitness Center_ Electric Water Heating_Direct Install</t>
  </si>
  <si>
    <t>Commercial Showerhead Replacement_1_75gpm_Fitness Center_ Gas Water Heating_Direct Install</t>
  </si>
  <si>
    <t>Commercial Showerhead Replacement_1_75gpm_Fitness Center_ Any Water Heating_Direct Install</t>
  </si>
  <si>
    <t>Commercial Showerhead Replacement_1_50gpm_Fitness Center_ Electric Water Heating_Direct Install</t>
  </si>
  <si>
    <t>Commercial Showerhead Replacement_1_50gpm_Fitness Center_ Gas Water Heating_Direct Install</t>
  </si>
  <si>
    <t>Commercial Showerhead Replacement_1_50gpm_Fitness Center_ Any Water Heating_Direct Install</t>
  </si>
  <si>
    <t>Commercial Showerhead Replacement_2_00gpm_Fitness Center_ Electric Water Heating_Mail-by-Request</t>
  </si>
  <si>
    <t>Commercial Showerhead Replacement_2_00gpm_Fitness Center_ Gas Water Heating_Mail-by-Request</t>
  </si>
  <si>
    <t>Commercial Showerhead Replacement_2_00gpm_Fitness Center_ Any Water Heating_Mail-by-Request</t>
  </si>
  <si>
    <t>Commercial Showerhead Replacement_1_75gpm_Fitness Center_ Electric Water Heating_Mail-by-Request</t>
  </si>
  <si>
    <t>Commercial Showerhead Replacement_1_75gpm_Fitness Center_ Gas Water Heating_Mail-by-Request</t>
  </si>
  <si>
    <t>Commercial Showerhead Replacement_1_75gpm_Fitness Center_ Any Water Heating_Mail-by-Request</t>
  </si>
  <si>
    <t>Commercial Showerhead Replacement_1_50gpm_Fitness Center_ Electric Water Heating_Mail-by-Request</t>
  </si>
  <si>
    <t>Commercial Showerhead Replacement_1_50gpm_Fitness Center_ Gas Water Heating_Mail-by-Request</t>
  </si>
  <si>
    <t>Commercial Showerhead Replacement_1_50gpm_Fitness Center_ Any Water Heating_Mail-by-Request</t>
  </si>
  <si>
    <t>Embedded Water Energy</t>
  </si>
  <si>
    <t>FLAT</t>
  </si>
  <si>
    <t>Savings Allocation by Cost Bin and Month for Segments 1 &amp; 2</t>
  </si>
  <si>
    <t>Savings Allocation by Cost Bin and Month for Segments 3 &amp; 4</t>
  </si>
  <si>
    <t>Savings Allocation by Category and Month for Segments 1&amp;2</t>
  </si>
  <si>
    <t>Savings Allocation by Category and Month for Segments 3&amp;4</t>
  </si>
  <si>
    <t>Basis</t>
  </si>
  <si>
    <t>Savings Unit Basis</t>
  </si>
  <si>
    <t>Scalar</t>
  </si>
  <si>
    <t>Scalar Units</t>
  </si>
  <si>
    <t>First Year Cost</t>
  </si>
  <si>
    <t>Annual O&amp;M Cost</t>
  </si>
  <si>
    <t>Cost Units</t>
  </si>
  <si>
    <t>Non Energy Benefit (NEB)</t>
  </si>
  <si>
    <t>NEB Units</t>
  </si>
  <si>
    <t>EUL</t>
  </si>
  <si>
    <t>Notes</t>
  </si>
  <si>
    <t>Low Flow Showerheads - 1.75 gpm</t>
  </si>
  <si>
    <t>RET</t>
  </si>
  <si>
    <t>kWh</t>
  </si>
  <si>
    <t>Showerheads in the region</t>
  </si>
  <si>
    <t>$ / direct install showerhead</t>
  </si>
  <si>
    <t>NA</t>
  </si>
  <si>
    <t>One can either install a 1.75 or a 1.5 gpm showerhead at a given shower. These two measure savings compete for the same potential. Care should be taken to not double count savings</t>
  </si>
  <si>
    <t>Low Flow Showerheads - 1.5 gpm</t>
  </si>
  <si>
    <t>Regional Potential Estimates for Small Saver Justification</t>
  </si>
  <si>
    <t>CBSA Building Type</t>
  </si>
  <si>
    <t>Usage (minutes per year)</t>
  </si>
  <si>
    <t>Baseline in situ GPM</t>
  </si>
  <si>
    <t>Efficient in situ GPM</t>
  </si>
  <si>
    <t>Electric DHW Savings (kWh)</t>
  </si>
  <si>
    <t>Water embedded savings (kWh)</t>
  </si>
  <si>
    <t>% Electric Water Heating</t>
  </si>
  <si>
    <t># of showerheads in region</t>
  </si>
  <si>
    <t>Current saturation</t>
  </si>
  <si>
    <t>Remaining Potential (kWh)</t>
  </si>
  <si>
    <t>Remaining Potential (aMW)</t>
  </si>
  <si>
    <t>UES (kWh)</t>
  </si>
  <si>
    <t>Measure UES workbook Building Type</t>
  </si>
  <si>
    <t>Hospitality</t>
  </si>
  <si>
    <t>Health Care</t>
  </si>
  <si>
    <t>Fitness Center</t>
  </si>
  <si>
    <t>Commercial - Employee Shower</t>
  </si>
  <si>
    <t>Showerhead Count Estimates</t>
  </si>
  <si>
    <t>#  of shower heads = [# of beds] / [# of clients per shower]</t>
  </si>
  <si>
    <t>rooms in U.S.</t>
  </si>
  <si>
    <t>http://www.ahla.com/content.aspx?id=34706</t>
  </si>
  <si>
    <t>U.S. population, in millions</t>
  </si>
  <si>
    <t>OR population, in millions</t>
  </si>
  <si>
    <t>WA population, in millions</t>
  </si>
  <si>
    <t>ID population, in millions</t>
  </si>
  <si>
    <t>MT population, in millions</t>
  </si>
  <si>
    <t>estimated rooms in NW (assume proportional to population)</t>
  </si>
  <si>
    <t>Healthcare</t>
  </si>
  <si>
    <t>Number of beds in NW</t>
  </si>
  <si>
    <t>Estimated number of clients per shower</t>
  </si>
  <si>
    <t>estimated showers in NW</t>
  </si>
  <si>
    <t>Commercial # of Showers estimate</t>
  </si>
  <si>
    <t>NW population, in millions</t>
  </si>
  <si>
    <t>% of population working (RTF staff estimate)</t>
  </si>
  <si>
    <t>number of employees per shower (RTF staff estimate)</t>
  </si>
  <si>
    <t># of showers</t>
  </si>
  <si>
    <t>K-12 students, WA, May 2012</t>
  </si>
  <si>
    <t>http://reportcard.ospi.k12.wa.us/summary.aspx?year=2011-12</t>
  </si>
  <si>
    <t>K-12 students, OR, 2012</t>
  </si>
  <si>
    <t>http://www.kgw.com/news/local/190276291.html</t>
  </si>
  <si>
    <t>K-12 students, ID</t>
  </si>
  <si>
    <t>http://www.sde.idaho.gov/site/statistics/fall_enrollment.htm</t>
  </si>
  <si>
    <t>K-12 students, MT</t>
  </si>
  <si>
    <t>http://opi.mt.gov/pdf/Measurement/EnrollBook2012.pdf</t>
  </si>
  <si>
    <t>percentage of students at school with showers, RTF staff estimate</t>
  </si>
  <si>
    <t>Number of students per shower at schools with showers</t>
  </si>
  <si>
    <t>Number of showers</t>
  </si>
  <si>
    <t>approximate number of Fitness Centers in U.S. (excludes hotels, schools)</t>
  </si>
  <si>
    <t>http://www.fitness.com</t>
  </si>
  <si>
    <t>estimate of Fitness Centers in NW, assume proportional to population</t>
  </si>
  <si>
    <t>estimate of # of showers per Fitness Center</t>
  </si>
  <si>
    <t>from informal telephone survey of Fitness Centers in NW for this analysis</t>
  </si>
  <si>
    <t>Number of Showers</t>
  </si>
  <si>
    <t>"Any Commercial Except Fitness Center" is a weighted average of four categories.  The weighting is based on the estimated number of showerheads in each application in the NW:</t>
  </si>
  <si>
    <t>weight</t>
  </si>
  <si>
    <t>Baseline Shower Minutes Per Year</t>
  </si>
  <si>
    <t>Summary</t>
  </si>
  <si>
    <t>Annual Minutes Per Showerhead</t>
  </si>
  <si>
    <t>Any Commercial Except Fitness Center</t>
  </si>
  <si>
    <t>Metric</t>
  </si>
  <si>
    <t>Value</t>
  </si>
  <si>
    <t>Source</t>
  </si>
  <si>
    <t>[1] minutes per day, per shower</t>
  </si>
  <si>
    <t>Gleick, P., Haasz, D., Henges-Jeck, C., Srinivasan, V., Wolff, G., Cushing, K. K., et al. (2003). Waste Not, Want Not: The Potential for Urban Water Conservation in California. Pacific Institute. Value can be found on page 5 of Appendix D of the report.  A link to the appendix D: http://www.pacinst.org/reports/urban_usage/appendix_d.pdf</t>
  </si>
  <si>
    <t>X</t>
  </si>
  <si>
    <t>[2] average occupancy rate</t>
  </si>
  <si>
    <t>[3]days per year</t>
  </si>
  <si>
    <t>=</t>
  </si>
  <si>
    <t>[4] annual shower utilization (minutes per year)</t>
  </si>
  <si>
    <t>[1]*[2]*[3]</t>
  </si>
  <si>
    <t>Health Care (Hospitals and Nursing Facilities)</t>
  </si>
  <si>
    <t>[1] minutes per day, client</t>
  </si>
  <si>
    <t>[2] clients per shower, at full capacity</t>
  </si>
  <si>
    <t>Professional judgement of RTF staff, assumes that each shower serves two clients at full capacity</t>
  </si>
  <si>
    <t>[3] average occupancy rate</t>
  </si>
  <si>
    <t>StateHealthFacts.org</t>
  </si>
  <si>
    <t>[4] days per year</t>
  </si>
  <si>
    <t>[5] annual shower utilization (minutes per year)</t>
  </si>
  <si>
    <t>[1]*[2]*[3]*[4]</t>
  </si>
  <si>
    <t>[1] Residential shower minutes per year</t>
  </si>
  <si>
    <t>RTF approved minutes per year for residential showerhead: ResShowerheads_v2_1.xlsm</t>
  </si>
  <si>
    <t>[2] Assumed fraction of residential usage at employee shower</t>
  </si>
  <si>
    <t>[3] annual shower utilization (minutes per year)</t>
  </si>
  <si>
    <t>[1] * [2]</t>
  </si>
  <si>
    <t>Schoools</t>
  </si>
  <si>
    <t>[1] Total annual metered shower water consumption from two schools (gallons)</t>
  </si>
  <si>
    <t>Planning and Management Consultants, Ltd., Aquacraft, Inc., and John Olaf Nelson Water Resources Management. "Commercial and Institutional End Uses of Water".  For the American Water Works Association.  2000.</t>
  </si>
  <si>
    <t>/</t>
  </si>
  <si>
    <t>[2] Total number of showers at the two schools</t>
  </si>
  <si>
    <t>[3] Estimated flow rate of showerheads (gpm)</t>
  </si>
  <si>
    <t>Professional judgement of RTF staff</t>
  </si>
  <si>
    <t>[1] / ( [2]*[3] )</t>
  </si>
  <si>
    <t>Fitness Centers</t>
  </si>
  <si>
    <t>[1] annual shower utilization (minutes per year)</t>
  </si>
  <si>
    <t>Informal telephone survey of Fitness Centers in the Northwest conducted by RTF staff in June, 2013</t>
  </si>
  <si>
    <t>Commercial Hospitality - Occupancy</t>
  </si>
  <si>
    <t>U.S. Lodging Occupancy Rates</t>
  </si>
  <si>
    <t>Year</t>
  </si>
  <si>
    <t>Occupancy</t>
  </si>
  <si>
    <t>10 year average occupancy rate</t>
  </si>
  <si>
    <t>computed, from years 2002 through 2011</t>
  </si>
  <si>
    <t>American Hotel and Lodging Association Website ( www.ahla.com ), annual Lodging Industry Profile</t>
  </si>
  <si>
    <t>2011 is the last year of data, as of 4/2/2013</t>
  </si>
  <si>
    <t>Commercial Healthcare - Occupancy</t>
  </si>
  <si>
    <t>Certified Nursing Homes</t>
  </si>
  <si>
    <t>OR</t>
  </si>
  <si>
    <t>WA</t>
  </si>
  <si>
    <t>ID</t>
  </si>
  <si>
    <t>MT</t>
  </si>
  <si>
    <t>NW Total (calculated)</t>
  </si>
  <si>
    <t>Total Number of Residents in Certified Nursing Facilities, 2010</t>
  </si>
  <si>
    <t>Number of Certified Nursing Facility Beds, 2010</t>
  </si>
  <si>
    <t>Certified Nursing Facility Occupancy Rate, 2010</t>
  </si>
  <si>
    <t>Source: StateHealthFacts.org</t>
  </si>
  <si>
    <t>http://www.statehealthfacts.org/comparemaptable.jsp?ind=416&amp;cat=8</t>
  </si>
  <si>
    <t>Hospitals</t>
  </si>
  <si>
    <t>Total Hospitals, 2010</t>
  </si>
  <si>
    <t>Hospital Beds per 1,000 Population, 2010</t>
  </si>
  <si>
    <t>Hospital Inpatient Days per 1,000 Population, 2010</t>
  </si>
  <si>
    <t>State Population Estimate, July 1 2011, use for weighting</t>
  </si>
  <si>
    <t>Source: U.S. Census Bureau</t>
  </si>
  <si>
    <t>Hospital Beds</t>
  </si>
  <si>
    <t>calculated</t>
  </si>
  <si>
    <t>Occupancy Rate</t>
  </si>
  <si>
    <t>http://www.census.gov/popest/data/historical/2010s/vintage_2011/state.html</t>
  </si>
  <si>
    <t>Weighted Average Nursing Facility and Hospital</t>
  </si>
  <si>
    <t>Nursing Facility Beds</t>
  </si>
  <si>
    <t>Total Beds</t>
  </si>
  <si>
    <t>Nursing Facility Occupancy</t>
  </si>
  <si>
    <t>Hospital Occupancy</t>
  </si>
  <si>
    <t>Weighted Average Occupancy</t>
  </si>
  <si>
    <t>Schools</t>
  </si>
  <si>
    <t>Metered data from two high schools (no flow rate information provided, though)</t>
  </si>
  <si>
    <t>Annual Shower Water Consumption (gallons)*</t>
  </si>
  <si>
    <t>Number of Showers*</t>
  </si>
  <si>
    <t>Volume per Showerhead per Day (gallons)**</t>
  </si>
  <si>
    <t>Estimated baseline in situ flow rate (gpm) ***</t>
  </si>
  <si>
    <t>Annual Usage (assuming 2.25 gpm in situ flow rate)**</t>
  </si>
  <si>
    <t>Implied Daily Usage per School Day (minutes)**</t>
  </si>
  <si>
    <t>Number of Students*</t>
  </si>
  <si>
    <t>Irvine</t>
  </si>
  <si>
    <t>Santa Monica</t>
  </si>
  <si>
    <t>* Data provided by source
** Professional judgement of RTF staff
*** Computed by RTF staff</t>
  </si>
  <si>
    <t>Source: "Commercial and Institutional End Uses of Water". Planning and Management Consultants, Ltd., Aquacraft, Inc., and John Olaf Nelson Water Resources Management.  For the American Water Works Association.  2000.</t>
  </si>
  <si>
    <t>http://ufdc.ufl.edu/WC13511002/00001</t>
  </si>
  <si>
    <t>Data from an informal telephone survey of five Fitness Centers across the Northwest.</t>
  </si>
  <si>
    <t>See tab, "Fitness Centers Survey"</t>
  </si>
  <si>
    <t>Key Assumptions</t>
  </si>
  <si>
    <t>Fitness Center Usage Analysis</t>
  </si>
  <si>
    <t>Site 1</t>
  </si>
  <si>
    <t>Site 2</t>
  </si>
  <si>
    <t>Site 3</t>
  </si>
  <si>
    <t>Site 4</t>
  </si>
  <si>
    <t>Site 5</t>
  </si>
  <si>
    <t>number of showerheads, individual shower</t>
  </si>
  <si>
    <t>number of showerheads, open shower areas</t>
  </si>
  <si>
    <t>total number of showerheads</t>
  </si>
  <si>
    <t>number of showers per day</t>
  </si>
  <si>
    <t>number of showers per showerhead per day</t>
  </si>
  <si>
    <t>average shower duration (minutes)</t>
  </si>
  <si>
    <t>usage (minutes per year)</t>
  </si>
  <si>
    <t>weighted average usage (minutes per year)</t>
  </si>
  <si>
    <t>open and individual showers are used at the same rates</t>
  </si>
  <si>
    <t>average shower duration, individual shower = 8 minutes</t>
  </si>
  <si>
    <t>average shower duration, open shower = 4 minutes</t>
  </si>
  <si>
    <t>Sampling methodology - locations selected for a diversity of states and population densities.  Gyms types selected for a range of franchises.  Sample drawn from fitness.com database. Entered each query and called down the list of gyms until a respondent was willing to go over the survey at the time of the initial contact.</t>
  </si>
  <si>
    <t>Hello - I am conducting an analsysis of energy savings potential from low flow showerheads at gyms in the Pacific Northwest for the Northwest Power and Conservation Council.  Can I ask you a few questions about the showers at your facility? This will help us to estimate how much showers at gyms are used, and how much water and energy (for hot water) could be saved by switching to lower flow showerheads.</t>
  </si>
  <si>
    <t>Survey</t>
  </si>
  <si>
    <t>Responses</t>
  </si>
  <si>
    <t>Search Criteria: Location</t>
  </si>
  <si>
    <t>Seattle Metro Area, WA</t>
  </si>
  <si>
    <t>Portland Metro Area, OR</t>
  </si>
  <si>
    <t>Caldwell, Idaho</t>
  </si>
  <si>
    <t>Boise, ID</t>
  </si>
  <si>
    <t>Montana</t>
  </si>
  <si>
    <t>Search Criteria: Gym Type</t>
  </si>
  <si>
    <t>YMCA</t>
  </si>
  <si>
    <t>Gold's Gym</t>
  </si>
  <si>
    <t>[any]</t>
  </si>
  <si>
    <t>Curves</t>
  </si>
  <si>
    <t>Database Query</t>
  </si>
  <si>
    <t>http://www.seattleymca.org/pages/locations.aspx</t>
  </si>
  <si>
    <t>http://www.fitness.com/find_gym/?c=search&amp;name=golds&amp;country=US&amp;province=OR&amp;city=portland&amp;postal_code=</t>
  </si>
  <si>
    <t>http://www.fitness.com/find_gym/?c=search&amp;name=&amp;country=US&amp;province=ID&amp;city=idaho+falls&amp;postal_code=</t>
  </si>
  <si>
    <t>http://www.fitness.com/find_gym/?c=search&amp;name=curves&amp;country=US&amp;province=ID&amp;city=boise&amp;postal_code=</t>
  </si>
  <si>
    <t>http://www.fitness.com/find_gym/?c=search&amp;name=&amp;country=US&amp;province=MT&amp;city=flathead&amp;postal_code=</t>
  </si>
  <si>
    <t>site info:</t>
  </si>
  <si>
    <t>Coal Creek Family YMCA
13750 Newcastle Golf Club Rd, Newcastle, Washington 98059 - 425.282.1500</t>
  </si>
  <si>
    <t xml:space="preserve">Golds Gym - Gresham
23500 SE Stark St., Gresham, Or 97030 
Phone: (503) 667-2290 </t>
  </si>
  <si>
    <t xml:space="preserve">Idaho Athletic Club
3410 Blaine St., Caldwell, ID 83605 
Phone: 208-459-0729 </t>
  </si>
  <si>
    <t>Curves
8960 W. Ardene St., Boise, ID 83709 
Phone: (208) 378-4740</t>
  </si>
  <si>
    <t>Montana Athletic Club
850 Holt Drive, Big Fork, MT 59911-0337 
Phone: (406) 837-2582 
note - they have low flow showerheads</t>
  </si>
  <si>
    <t>Approximately how many showers do you have at your facility (one "shower" = one showerhead)</t>
  </si>
  <si>
    <r>
      <t xml:space="preserve">Are these primarily </t>
    </r>
    <r>
      <rPr>
        <b/>
        <i/>
        <sz val="10"/>
        <rFont val="Arial"/>
        <family val="2"/>
      </rPr>
      <t>individual</t>
    </r>
    <r>
      <rPr>
        <b/>
        <sz val="10"/>
        <rFont val="Arial"/>
        <family val="2"/>
      </rPr>
      <t xml:space="preserve"> showers or </t>
    </r>
    <r>
      <rPr>
        <b/>
        <i/>
        <sz val="10"/>
        <rFont val="Arial"/>
        <family val="2"/>
      </rPr>
      <t xml:space="preserve">open </t>
    </r>
    <r>
      <rPr>
        <b/>
        <sz val="10"/>
        <rFont val="Arial"/>
        <family val="2"/>
      </rPr>
      <t>shower areas?</t>
    </r>
  </si>
  <si>
    <t>all individual</t>
  </si>
  <si>
    <t>5 individual, 9 open</t>
  </si>
  <si>
    <t>Could you estimate the number of showers taken by the number of towels that you wash per day?</t>
  </si>
  <si>
    <t>no</t>
  </si>
  <si>
    <t>they wash about 200 towels per day, this is a good estimate of the number of showers taken per day</t>
  </si>
  <si>
    <t>about 150 showers per day</t>
  </si>
  <si>
    <t>[If 3 = YES], how many towels per day?</t>
  </si>
  <si>
    <t>[IF 3 = NO], how many people come into your gym on a typical day?</t>
  </si>
  <si>
    <t>last month - 36,900 visit</t>
  </si>
  <si>
    <t>300 to 400 per day</t>
  </si>
  <si>
    <t>100 to 300</t>
  </si>
  <si>
    <t>[IF 3 = NO], Approximately what percentage of these people shower at the gym?</t>
  </si>
  <si>
    <t>not sure. 50% sounds about right.</t>
  </si>
  <si>
    <t>5 to 10%</t>
  </si>
  <si>
    <t>First tried 24 Hour Fitness - they referred me to their member services phone line, and from there to corpfit@24hourfit.com.  I received no reply to my email.  I next tried several other gyms in the database under a query for all gyms in Seattle, with no luck.  Finally, I called YMCA gyms found on the YMCA of Greater Seattle website.</t>
  </si>
  <si>
    <t>First tried gyms in Idaho Falls then Meridian. Then Pocatello.  No positive replies.  Finally, called in Caldwell and got a reply.</t>
  </si>
  <si>
    <r>
      <t xml:space="preserve">Usage </t>
    </r>
    <r>
      <rPr>
        <sz val="10"/>
        <rFont val="Arial"/>
        <family val="2"/>
      </rPr>
      <t>= [number of showers taken per day] x [minutes per shower] / [showerheads per facility]</t>
    </r>
  </si>
  <si>
    <r>
      <t xml:space="preserve">[minutes per shower] </t>
    </r>
    <r>
      <rPr>
        <sz val="10"/>
        <rFont val="Arial"/>
        <family val="2"/>
      </rPr>
      <t>= 8 for private shower, 4 for open shower</t>
    </r>
  </si>
  <si>
    <r>
      <t xml:space="preserve">[number of showers taken per day] </t>
    </r>
    <r>
      <rPr>
        <sz val="10"/>
        <rFont val="Arial"/>
        <family val="2"/>
      </rPr>
      <t>= [number of towels per day] or [number of patrons]x[percentage who shower at gym]</t>
    </r>
  </si>
  <si>
    <t>In Situ Showerhead Flow Rates (gallons per minute)</t>
  </si>
  <si>
    <t>Baseline in situ flow rate</t>
  </si>
  <si>
    <t>In Situ Flow Rate (gpm)</t>
  </si>
  <si>
    <t>Nominal Flow Rate (gpm)</t>
  </si>
  <si>
    <t>% of nominal</t>
  </si>
  <si>
    <t>based on observed residential average baseline flowrate</t>
  </si>
  <si>
    <t>[1]</t>
  </si>
  <si>
    <t>Efficient Cases</t>
  </si>
  <si>
    <t>[2]</t>
  </si>
  <si>
    <t>[3]</t>
  </si>
  <si>
    <t>The federal standard of 2.5 gpm has been in effect since January 1, 1994 (19 years).  In situ flow rates tend to be less than rated flow rates. Note that in SBW's 2007 study of Seattle City Lights, the mean pre-retrofit in-situ flow rate was 2.53, while the median was 2.2 gpm.  This difference is attributed to the small fraction of showerheads with flow rates significantly greater than 2.5 gpm. The median in-situ flow rate (2.2 gpm) is likely representative of nominal 2.5 gpm showerheads.  These high flow showerheads were likely old (pre 1994) at the time of the study (2007), and it is likely that many of these high flow showerheads have been replaced.  Therefore, a nominal 2.5 gpm showerhead is used as the baseline for this analysis, with an estimated in situ flow rate of 2.2 gpm.</t>
  </si>
  <si>
    <t>The in situ flow rate is that observed in the SBW's 2007 study of Seattle City Lights.</t>
  </si>
  <si>
    <t>No evidence found that the trend of in situ flow rate being less than rated flow rate continues for lower flow showerheads. Many of these showerheads have pressure compesanting flow regulatorsto maintain a stable flow rate across a range of pressures.</t>
  </si>
  <si>
    <t>Supporting Data</t>
  </si>
  <si>
    <t>Federal standard (2.5 gpm)</t>
  </si>
  <si>
    <t>Code of Federal Regulations Section 430.32 [10CFR430.32-- Subpart C_Energy and Water Conservation Standards]</t>
  </si>
  <si>
    <t>Observed Seattle City Light flow rates (SBW, 2007 study)</t>
  </si>
  <si>
    <t>In-Situ Baseline Showerhead Flow Rate (2.2 gpm) taken from: Table 16 (p. 19) of "Single Family 2007 Showerhead Kit Impact Evaluation". SBW Consulting; Seattle City Light. October 2008. NOTE that the rated showerhead flow rate of the 'Existing Showerhead' in this table was 2.5 gpm. The screen shot below explains this Baseline Rated Showerhead Flow rate and is from a preceding section of the same page that Table 16 was pulled from.</t>
  </si>
  <si>
    <t>"Single Family 2007 Showerhead Kit Impact Evaluation." SBW Consulting; Seattle City Light. October 2008.</t>
  </si>
  <si>
    <t>Flow Rates for Fitness Centers, with Measured Pre-Condition</t>
  </si>
  <si>
    <t>Flow Rate (gpm)</t>
  </si>
  <si>
    <t>2_5 gpm or higher</t>
  </si>
  <si>
    <t>2_4 to 2_49 gpm</t>
  </si>
  <si>
    <t>2_30 to 2_39 gpm</t>
  </si>
  <si>
    <t>2_20 to 2_29 gpm</t>
  </si>
  <si>
    <t>2_10 to 2_19 gpm</t>
  </si>
  <si>
    <t>2_00 to 2_09 gpm</t>
  </si>
  <si>
    <t>1_90 to 1_99 gpm</t>
  </si>
  <si>
    <t>1_80 to 1_89 gpm</t>
  </si>
  <si>
    <t>1_70 to 1_79 gpm</t>
  </si>
  <si>
    <t>1_60 to 1_69 gpm</t>
  </si>
  <si>
    <t>1_50 to 1_59 gpm</t>
  </si>
  <si>
    <t>Water Energy Intensity</t>
  </si>
  <si>
    <t>Rated gpm</t>
  </si>
  <si>
    <t>Delta T (degF)</t>
  </si>
  <si>
    <t>Electric DHW - kWh/ gallon</t>
  </si>
  <si>
    <t>Gas DHW - therms/ gallon</t>
  </si>
  <si>
    <t>Steady State Efficiency</t>
  </si>
  <si>
    <t>DOE Test Procedure (Title 10 CFR 430 - Energy Conservation Program for Consumer Products Appendix E to Subpart B - Uniform Test Procedure for Measuring the Energy Conservation of Water Heaters, effective June 10, 1998)</t>
  </si>
  <si>
    <t>"Single Family 2007 Showerhead Kit Impact Evaluation". SBW Consulting; Seattle City Light. October 2008 (p.21-22)</t>
  </si>
  <si>
    <t>Conversion Factors for Water Energy Intensity</t>
  </si>
  <si>
    <t>kWh per gallon degF</t>
  </si>
  <si>
    <t>btu per gallon degF</t>
  </si>
  <si>
    <t>therms per gallon degF</t>
  </si>
  <si>
    <t>Electric Water Heating Saturation</t>
  </si>
  <si>
    <t>Residential</t>
  </si>
  <si>
    <t>PNWResSectorSupplyCurveUnits_6th_Fnl.xls - This value is not used in this analysis - it is shown here only for reference.</t>
  </si>
  <si>
    <t>CBSA 2014</t>
  </si>
  <si>
    <t>CBSA 2009, simple average of "hospital" and "other health" categories</t>
  </si>
  <si>
    <t>CBECS 2003 Public Use Microdata, Pacific Region, Fire/Police stations - by square foot, assume bldgs with gas and electric hot water are primarily gas, assume bldgs only electric hot water are electric. Analysis conducted by SBW Consulting, Inc.</t>
  </si>
  <si>
    <t>weighted average of previous four categories</t>
  </si>
  <si>
    <t>CBSA 2009 - there is no Gym category.  Used simple average of all categories that use a significant amount of DHW: "Restaurant", "Hospital","Hotel/Motel","Other Health", "School", and "University"</t>
  </si>
  <si>
    <t>reference for CBSA 2009</t>
  </si>
  <si>
    <t>The Cadmus Group, Inc., "Northwest Commercial Building Stock Assessment, Final Report."  December, 2009.  Prepared for the Northwest Energy Efficiency Alliance..  Table C-WH2</t>
  </si>
  <si>
    <t>http://neea.org/docs/reports/2009NorthwestCommercialBuildingStockAssessment021CA220F212.pdf?sfvrsn=10</t>
  </si>
  <si>
    <t>Hot water fraction and showerhead outlet temperature</t>
  </si>
  <si>
    <t>Hot Water Percentage</t>
  </si>
  <si>
    <t>Temperature (degF)</t>
  </si>
  <si>
    <t xml:space="preserve">Source for hot water percentage for 2.5 and 2.0 gpm showerheads is SEATTLE HOME WATER CONSERVATION STUDY: THE IMPACTS OF HIGH EFFICIENCY PLUMBING FIXTURE RETROFITS IN SINGLE-FAMILY HOMES", December 2000,
Peter W. Mayer, William B. DeOreo, and David M. Lewis Aquacraft, Inc. Water Engineering and Management
</t>
  </si>
  <si>
    <t>Hot water percentage values for 1.75 and 1.5 gpm showerheads are extrapolated from 2.5 and 2.0 values. Lower flow rates result in higher temperature drop from showerhead to user, necessitating higher showerhead temperatures to compensate for the higher loss.</t>
  </si>
  <si>
    <t>Temperatures are calculated assuming a 55 degF mains temperature and a 128 degF water heater setpoint - temperatures here are illustrative and do not reflect thermal losses out of pipes from the water heater to the showerhead.  See below for source of 55 and 128 degF values.</t>
  </si>
  <si>
    <t>SEATTLE HOME WATER CONSERVATION STUDY: THE IMPACTS OF HIGH EFFICIENCY PLUMBING FIXTURE RETROFITS IN SINGLE-FAMILY HOMES", December 2000,</t>
  </si>
  <si>
    <t>Peter W. Mayer, William B. DeOreo, and David M. Lewis Aquacraft, Inc. Water Engineering and Management</t>
  </si>
  <si>
    <t>Water and Wastewater Costs and Embedded Energy</t>
  </si>
  <si>
    <t>Values from the RTF Standard Information Workbook, v1.3,   '[RTFStandardInformationWorkbook_v1_3.xlsx]Water Energy'!$A$28:$H$38</t>
  </si>
  <si>
    <t>http://rtf.nwcouncil.org/measures/support/files/RTFStandardInformationWorkbook_v1_3.xlsx</t>
  </si>
  <si>
    <t>Water and Waste Water Cost &amp; Energy Intensity</t>
  </si>
  <si>
    <t>Units</t>
  </si>
  <si>
    <t>Non-Manufact/ Commercial</t>
  </si>
  <si>
    <t>Commercial/Light Indust.</t>
  </si>
  <si>
    <t>Industrial 1,000,000 cf</t>
  </si>
  <si>
    <t>Industrial 1,500,000 cf</t>
  </si>
  <si>
    <t>Fresh Water Rate</t>
  </si>
  <si>
    <t>$/1000 gal</t>
  </si>
  <si>
    <t>2010 Water and Wastewater Rate Survey, accessed from the "RTF Costs and Benefits Standard Information Workbook January 2013-v1.0.xls", tab "Water and Wastewater". Reported in $2006.</t>
  </si>
  <si>
    <t>Waste Water Rate</t>
  </si>
  <si>
    <t>[included in freshwater]</t>
  </si>
  <si>
    <t>Fresh Water Embedded Energy</t>
  </si>
  <si>
    <t>kWh/1000 gal</t>
  </si>
  <si>
    <t>6th Plan,  accessed from the "RTF Costs and Benefits Standard Information Workbook January 2013-v1.0.xls", tab "Water and Wastewater".  Value retained from 2007 analysis.  For reference, national average wastewater treatment energy intensity is 1.2 kWh/1000 gallons (source: Burton, Franklin L., 1996, Water and Wastewater Industries: Characteristics and Energy ManagementOpportunities. (Burton Engineering) Los Altos, CA, Report CR-106941, Electric Power Research InstituteReport, p.2-45) and distribution energy intensities can range from 0.5 kWh/1000 gallons to 10 kWh/1000 gallons.</t>
  </si>
  <si>
    <t>Waste Water Embedded Energy</t>
  </si>
  <si>
    <t>Effective Electricity Rate*</t>
  </si>
  <si>
    <t>$/kWh</t>
  </si>
  <si>
    <t>Effective rate which preserves B/C ratio. This is the electricity rate at which disagregating embedded energy and other water costs results in the same ProCost TRC B/C ratio as not disagregating these two elements.</t>
  </si>
  <si>
    <t>Fresh Water Rate, net of Embedded Electricity</t>
  </si>
  <si>
    <t>Waste Water Rate, net of Embedded Electricity</t>
  </si>
  <si>
    <t>Installation Rates</t>
  </si>
  <si>
    <t>Flow Rate for Lookup</t>
  </si>
  <si>
    <t>2_00</t>
  </si>
  <si>
    <t>1_75</t>
  </si>
  <si>
    <t>1_50</t>
  </si>
  <si>
    <t>Rated Flow Rate</t>
  </si>
  <si>
    <t>Retail</t>
  </si>
  <si>
    <t>Direct Install</t>
  </si>
  <si>
    <t>Mail-by-Request</t>
  </si>
  <si>
    <t>90% for direct install - "SPU Showerhead/Aerator Pilot Program, Summary I": 93% of survey respondents installed and retained one or more showerheads they received. Result rounded down to 90%.</t>
  </si>
  <si>
    <t>lower uptake with lower gpm for retail to address concerns of lower satisfaction at lower flow rates (professional judgement of RTF staff)</t>
  </si>
  <si>
    <t>Direct mail installation rates retained from previous of this analysis</t>
  </si>
  <si>
    <t>Measure Cost</t>
  </si>
  <si>
    <t>average incremental cost: [2.5 GPM COST] - [AVERAGE LOW FLOW COST] , adjusted to 2006$, GDP deflator for 2013 (January) to 2006 (January) = 102.055  / 116.429, http://research.stlouisfed.org/fred2/data/GDPDEF.txt</t>
  </si>
  <si>
    <t>GDP deflator for 2013 (January) to 2006 (January) = 102.055  / 116.429, http://research.stlouisfed.org/fred2/data/GDPDEF.txt</t>
  </si>
  <si>
    <t>Material cost based on Mail-by-Request data below.  20 minutes install time at $20/hour for labor.</t>
  </si>
  <si>
    <t>$6 (2012$) bulk material cost, cited by Mark Jerome, Fluid Market Strategies.  Fluid is the only entity that RTF staff has heard of running a mail-by-request program.  Shipping and handling costs were unavailable.  Assumed to be $3.06/showerhead, based on the $9/package (regardless of number of items in page) observed for residential direct mail CFL programs and assumed an average of 3 showerhead per package.</t>
  </si>
  <si>
    <t>Mail-by-Request, S&amp;H</t>
  </si>
  <si>
    <t>This is 1/3 of the average shipping and handling cost per package provided by Fluid Market Strategies for three CFL mail-by-request programs and used in the Specialty CFL measure.  RTF staff estimated that an average of three showerheads would be shipped per package, which is what the S&amp;H package cost is divided by three.</t>
  </si>
  <si>
    <t>GDP deflator 0.895 for 2012 to 2006 - http://research.stlouisfed.org/fred2/data/GDPDEF.txt</t>
  </si>
  <si>
    <t>Cost Collection Approach</t>
  </si>
  <si>
    <t>Google Shopping queries on June 6, 2013</t>
  </si>
  <si>
    <t>searched for "Showerhead 1.5 gpm", sorted by "Price: low to high" and recorded the 20 lowest prices (excluding used items). Plus the 50th and 100th lowest price.  Repeated for 1.75, 2.00, and 2.50 gpm showerheads.</t>
  </si>
  <si>
    <t>Record number (after sorting lowest to highest)</t>
  </si>
  <si>
    <t>1.5 gpm</t>
  </si>
  <si>
    <t>1.75 gpm</t>
  </si>
  <si>
    <t>2 gpm</t>
  </si>
  <si>
    <t>2.5 gpm</t>
  </si>
  <si>
    <t>At these costs, non-flow rate features are dominating costs.</t>
  </si>
  <si>
    <t>average of first 20</t>
  </si>
  <si>
    <t>Measure Lifetime</t>
  </si>
  <si>
    <t>lifetime (years)</t>
  </si>
  <si>
    <t>David Weitzel and Lisa Skumatz, "Measure Retention Study: Revised Lifetimes for a Residential Weatherization Program", 2002. Proceedings of the 2002 ACEEE Summer Study on Energy Efficiency in Buildings.
Delphi panel conducted by Skumatz Economic Research Associates for the RTF in 2012.</t>
  </si>
  <si>
    <t xml:space="preserve">                  </t>
  </si>
  <si>
    <t>Case</t>
  </si>
  <si>
    <t>Precondition</t>
  </si>
  <si>
    <t>Efficient Case</t>
  </si>
  <si>
    <t>Energy Savings</t>
  </si>
  <si>
    <t>Water Savings</t>
  </si>
  <si>
    <t>Baseline In Situ Flow Rate (gpm)</t>
  </si>
  <si>
    <t>Flow Rate (gpm, nominal)</t>
  </si>
  <si>
    <t>Flow Rate Name</t>
  </si>
  <si>
    <t>Lookup String</t>
  </si>
  <si>
    <t>Annual Usage (minutes)</t>
  </si>
  <si>
    <t>gallons</t>
  </si>
  <si>
    <t>kWh/gallon</t>
  </si>
  <si>
    <t>therms/gallon</t>
  </si>
  <si>
    <t>therms</t>
  </si>
  <si>
    <t>kWh (w/o embedded water energy)</t>
  </si>
  <si>
    <t>kWh (embedded water energy)</t>
  </si>
  <si>
    <t>kWh, total</t>
  </si>
  <si>
    <t>water cost savings ($)</t>
  </si>
  <si>
    <t>Fitness Center with Pre-Condtion</t>
  </si>
  <si>
    <t>This analysis is not used for the measure.  It was developed for illustrative purposes, to explore the impacts of pre-condition flow rate on savings for fitness centers.  At the July 16, 2013 RTF meeting, the RTF decided not to use this approach.</t>
  </si>
  <si>
    <t>use average because nominal flow rate is not know for lookup</t>
  </si>
  <si>
    <t>Electric Water Heating</t>
  </si>
  <si>
    <t>Gas Water Heating</t>
  </si>
  <si>
    <t>Any Water Heating</t>
  </si>
  <si>
    <t>Indices</t>
  </si>
  <si>
    <t>Results from Impacts Tab</t>
  </si>
  <si>
    <t>ProCost Inputs</t>
  </si>
  <si>
    <t>Index Delivery Mechanism</t>
  </si>
  <si>
    <t>Index Flow Rate</t>
  </si>
  <si>
    <t>Index Fuel Source</t>
  </si>
  <si>
    <t>Delivery Mechanism</t>
  </si>
  <si>
    <t>EE Flow Rate</t>
  </si>
  <si>
    <t>DHW Fuel Source</t>
  </si>
  <si>
    <t>Installation Rate</t>
  </si>
  <si>
    <t>ElectricSaturation</t>
  </si>
  <si>
    <t>kWh, on-site</t>
  </si>
  <si>
    <t>kWh, water treatment and delivery</t>
  </si>
  <si>
    <t>Index Baseline Flow Rate</t>
  </si>
  <si>
    <t>Baseline In Site Flow Rate</t>
  </si>
  <si>
    <t>From CBSA 2013 - Number of Guest Rooms; Lodging</t>
  </si>
  <si>
    <t>Sum of Wt_PNW_Lodging_Guest_Room_Qty</t>
  </si>
  <si>
    <t>Very close to RTF estimate for hotels</t>
  </si>
  <si>
    <t>State</t>
  </si>
  <si>
    <t>Number</t>
  </si>
  <si>
    <t>Staffed</t>
  </si>
  <si>
    <t>Beds</t>
  </si>
  <si>
    <t>Discharges</t>
  </si>
  <si>
    <t>Patient</t>
  </si>
  <si>
    <t>Days</t>
  </si>
  <si>
    <t>Gross Patient</t>
  </si>
  <si>
    <t>Revenue ($000)</t>
  </si>
  <si>
    <t>AK - Alaska</t>
  </si>
  <si>
    <t>AL - Alabama</t>
  </si>
  <si>
    <t>AR - Arkansas</t>
  </si>
  <si>
    <t>AS - American Samoa</t>
  </si>
  <si>
    <t>AZ - Arizona</t>
  </si>
  <si>
    <t>CA - California</t>
  </si>
  <si>
    <t>CO - Colorado</t>
  </si>
  <si>
    <t>CT - Connecticut</t>
  </si>
  <si>
    <t>DC - Washington D.C.</t>
  </si>
  <si>
    <t>DE - Delaware</t>
  </si>
  <si>
    <t>FL - Florida</t>
  </si>
  <si>
    <t>GA - Georgia</t>
  </si>
  <si>
    <t>GU - Guam</t>
  </si>
  <si>
    <t>HI - Hawaii</t>
  </si>
  <si>
    <t>IA - Iowa</t>
  </si>
  <si>
    <t>ID - Idaho</t>
  </si>
  <si>
    <t>IL - Illinois</t>
  </si>
  <si>
    <t>IN - Indiana</t>
  </si>
  <si>
    <t>KS - Kansas</t>
  </si>
  <si>
    <t>KY - Kentucky</t>
  </si>
  <si>
    <t>LA - Louisiana</t>
  </si>
  <si>
    <t>MA - Massachusetts</t>
  </si>
  <si>
    <t>MD - Maryland</t>
  </si>
  <si>
    <t>ME - Maine</t>
  </si>
  <si>
    <t>MI - Michigan</t>
  </si>
  <si>
    <t>MN - Minnesota</t>
  </si>
  <si>
    <t>MO - Missouri</t>
  </si>
  <si>
    <t>MP - Northern Mariana Islands</t>
  </si>
  <si>
    <t>MS - Mississippi</t>
  </si>
  <si>
    <t>MT - Montana</t>
  </si>
  <si>
    <t>NC - North Carolina</t>
  </si>
  <si>
    <t>ND - North Dakota</t>
  </si>
  <si>
    <t>NE - Nebraska</t>
  </si>
  <si>
    <t>NH - New Hampshire</t>
  </si>
  <si>
    <t>NJ - New Jersey</t>
  </si>
  <si>
    <t>NM - New Mexico</t>
  </si>
  <si>
    <t>NV - Nevada</t>
  </si>
  <si>
    <t>NY - New York</t>
  </si>
  <si>
    <t>OH - Ohio</t>
  </si>
  <si>
    <t>OK - Oklahoma</t>
  </si>
  <si>
    <t>OR - Oregon</t>
  </si>
  <si>
    <t>PA - Pennsylvania</t>
  </si>
  <si>
    <t>PR - Puerto Rico</t>
  </si>
  <si>
    <t>RI - Rhode Island</t>
  </si>
  <si>
    <t>SC - South Carolina</t>
  </si>
  <si>
    <t>SD - South Dakota</t>
  </si>
  <si>
    <t>TN - Tennessee</t>
  </si>
  <si>
    <t>TX - Texas</t>
  </si>
  <si>
    <t>UT - Utah</t>
  </si>
  <si>
    <t>VA - Virginia</t>
  </si>
  <si>
    <t>VI - Virgin Islands</t>
  </si>
  <si>
    <t>VT - Vermont</t>
  </si>
  <si>
    <t>WA - Washington</t>
  </si>
  <si>
    <t>WI - Wisconsin</t>
  </si>
  <si>
    <t>WV - West Virginia</t>
  </si>
  <si>
    <t>WY - Wyoming</t>
  </si>
  <si>
    <t>T O T A L</t>
  </si>
  <si>
    <t>Washington</t>
  </si>
  <si>
    <t>Oregon</t>
  </si>
  <si>
    <t>Idaho</t>
  </si>
  <si>
    <t>2012 data</t>
  </si>
  <si>
    <t># of universities from CBSA</t>
  </si>
  <si>
    <t>SF fo universities from CBSA</t>
  </si>
  <si>
    <t>of students live in dorms</t>
  </si>
  <si>
    <t>UW</t>
  </si>
  <si>
    <t>UO</t>
  </si>
  <si>
    <t># Students</t>
  </si>
  <si>
    <t>Res Hall Occupancy</t>
  </si>
  <si>
    <t>Osu</t>
  </si>
  <si>
    <t>WSU</t>
  </si>
  <si>
    <t>WWU</t>
  </si>
  <si>
    <t>American College of Healthcare Sciences</t>
  </si>
  <si>
    <t>Portland</t>
  </si>
  <si>
    <t>Private</t>
  </si>
  <si>
    <t>(for-profit)</t>
  </si>
  <si>
    <t>Health professions school</t>
  </si>
  <si>
    <t>1978[3]</t>
  </si>
  <si>
    <t>Art Institute of Portland</t>
  </si>
  <si>
    <t>School of art</t>
  </si>
  <si>
    <t>1963[4]</t>
  </si>
  <si>
    <t>Blue Mountain Community College</t>
  </si>
  <si>
    <t>Pendleton</t>
  </si>
  <si>
    <t>Public</t>
  </si>
  <si>
    <t>Associates college</t>
  </si>
  <si>
    <t>1962[5]</t>
  </si>
  <si>
    <t>Central Oregon Community College</t>
  </si>
  <si>
    <t>Bend</t>
  </si>
  <si>
    <t>1949[6]</t>
  </si>
  <si>
    <t>Chemeketa Community College</t>
  </si>
  <si>
    <t>Salem</t>
  </si>
  <si>
    <t>1970[5]</t>
  </si>
  <si>
    <t>Clackamas Community College</t>
  </si>
  <si>
    <t>Oregon City</t>
  </si>
  <si>
    <t>1961[5]</t>
  </si>
  <si>
    <t>Clatsop Community College</t>
  </si>
  <si>
    <t>Astoria</t>
  </si>
  <si>
    <t>1958[5]</t>
  </si>
  <si>
    <t>Columbia Gorge Community College</t>
  </si>
  <si>
    <t>The Dalles</t>
  </si>
  <si>
    <t>1989[5]</t>
  </si>
  <si>
    <t>Concordia University</t>
  </si>
  <si>
    <t>(Lutheran)</t>
  </si>
  <si>
    <t>Masters university</t>
  </si>
  <si>
    <t>Corban University</t>
  </si>
  <si>
    <t>(Baptist)</t>
  </si>
  <si>
    <t>Baccalaureate college</t>
  </si>
  <si>
    <t>Eastern Oregon University</t>
  </si>
  <si>
    <t>La Grande</t>
  </si>
  <si>
    <t>George Fox University</t>
  </si>
  <si>
    <t>Newberg</t>
  </si>
  <si>
    <t>(Quaker)</t>
  </si>
  <si>
    <t>Research university</t>
  </si>
  <si>
    <t>Gutenberg College</t>
  </si>
  <si>
    <t>Eugene</t>
  </si>
  <si>
    <t>(Protestant)</t>
  </si>
  <si>
    <t>Religious school[7]</t>
  </si>
  <si>
    <t>1994[9]</t>
  </si>
  <si>
    <t>Klamath Community College</t>
  </si>
  <si>
    <t>Klamath Falls</t>
  </si>
  <si>
    <t>1996[5]</t>
  </si>
  <si>
    <t>Lane Community College</t>
  </si>
  <si>
    <t>1964[5]</t>
  </si>
  <si>
    <t>Lewis &amp; Clark College</t>
  </si>
  <si>
    <t>Liberal arts college</t>
  </si>
  <si>
    <t>Linfield College</t>
  </si>
  <si>
    <t>McMinnville</t>
  </si>
  <si>
    <t>Linn-Benton Community College</t>
  </si>
  <si>
    <t>Albany</t>
  </si>
  <si>
    <t>1967[5]</t>
  </si>
  <si>
    <t>Marylhurst University</t>
  </si>
  <si>
    <t>Marylhurst</t>
  </si>
  <si>
    <t>(Catholic)</t>
  </si>
  <si>
    <t>Mount Angel Seminary</t>
  </si>
  <si>
    <t>St. Benedict</t>
  </si>
  <si>
    <t>Religious school</t>
  </si>
  <si>
    <t>1887[12]</t>
  </si>
  <si>
    <t>Mount Hood Community College</t>
  </si>
  <si>
    <t>Gresham</t>
  </si>
  <si>
    <t>1965[5]</t>
  </si>
  <si>
    <t>Multnomah University</t>
  </si>
  <si>
    <t>1936[13]</t>
  </si>
  <si>
    <t>National College of Natural Medicine</t>
  </si>
  <si>
    <t>1956[14]</t>
  </si>
  <si>
    <t>New Hope Christian College</t>
  </si>
  <si>
    <t>(Pentecostal)</t>
  </si>
  <si>
    <t>Northwest Christian University</t>
  </si>
  <si>
    <t>(Disciples of Christ)</t>
  </si>
  <si>
    <t>1895[15]</t>
  </si>
  <si>
    <t>Oregon Coast Community College</t>
  </si>
  <si>
    <t>Newport</t>
  </si>
  <si>
    <t>1987[5]</t>
  </si>
  <si>
    <t>Oregon College of Art and Craft</t>
  </si>
  <si>
    <t>Art and Craft College</t>
  </si>
  <si>
    <t>1907[16]</t>
  </si>
  <si>
    <t>Oregon College of Oriental Medicine</t>
  </si>
  <si>
    <t>1983[17]</t>
  </si>
  <si>
    <t>Oregon Health and Science University</t>
  </si>
  <si>
    <t>Medical school</t>
  </si>
  <si>
    <t>1974[18]</t>
  </si>
  <si>
    <t>Oregon Institute of Technology</t>
  </si>
  <si>
    <t>Oregon State University</t>
  </si>
  <si>
    <t>Corvallis</t>
  </si>
  <si>
    <t>Oregon State University - Cascades</t>
  </si>
  <si>
    <t>Research university (A branch campus of Oregon State University)</t>
  </si>
  <si>
    <t>Pacific Northwest College of Art</t>
  </si>
  <si>
    <t>Pacific University</t>
  </si>
  <si>
    <t>Forest Grove</t>
  </si>
  <si>
    <t>Pioneer Pacific College</t>
  </si>
  <si>
    <t>Wilsonville</t>
  </si>
  <si>
    <t>1981[20]</t>
  </si>
  <si>
    <t>Portland Community College</t>
  </si>
  <si>
    <r>
      <t>Portland State University</t>
    </r>
    <r>
      <rPr>
        <vertAlign val="superscript"/>
        <sz val="8"/>
        <color theme="1"/>
        <rFont val="Arial"/>
        <family val="2"/>
      </rPr>
      <t>[21]</t>
    </r>
  </si>
  <si>
    <t>Reed College</t>
  </si>
  <si>
    <t>Rogue Community College</t>
  </si>
  <si>
    <t>Grants Pass, Medford</t>
  </si>
  <si>
    <t>Southern Oregon University</t>
  </si>
  <si>
    <t>Ashland</t>
  </si>
  <si>
    <t>Southwestern Oregon Community College</t>
  </si>
  <si>
    <t>Coos Bay</t>
  </si>
  <si>
    <t>1961[22]</t>
  </si>
  <si>
    <t>Sumner College</t>
  </si>
  <si>
    <t>1974[23]</t>
  </si>
  <si>
    <t>Tillamook Bay Community College</t>
  </si>
  <si>
    <t>Tillamook</t>
  </si>
  <si>
    <t>1981[5]</t>
  </si>
  <si>
    <t>Treasure Valley Community College</t>
  </si>
  <si>
    <t>Ontario</t>
  </si>
  <si>
    <t>Umpqua Community College</t>
  </si>
  <si>
    <t>Roseburg</t>
  </si>
  <si>
    <t>1964[24]</t>
  </si>
  <si>
    <t>University of Oregon</t>
  </si>
  <si>
    <t>University of Portland</t>
  </si>
  <si>
    <t>University of Western States</t>
  </si>
  <si>
    <t>1904[25]</t>
  </si>
  <si>
    <t>Warner Pacific College</t>
  </si>
  <si>
    <t>(Church of God)</t>
  </si>
  <si>
    <t>1937[26]</t>
  </si>
  <si>
    <t>Western Culinary Institute</t>
  </si>
  <si>
    <t>1983[27]</t>
  </si>
  <si>
    <t>Western Oregon University</t>
  </si>
  <si>
    <t>Monmouth</t>
  </si>
  <si>
    <t>Western Seminary</t>
  </si>
  <si>
    <t>(Christian)</t>
  </si>
  <si>
    <t>1927[28]</t>
  </si>
  <si>
    <t>Willamette University</t>
  </si>
  <si>
    <t>Main location</t>
  </si>
  <si>
    <t>Control</t>
  </si>
  <si>
    <t>Type[2]</t>
  </si>
  <si>
    <r>
      <t xml:space="preserve">Enrollment </t>
    </r>
    <r>
      <rPr>
        <b/>
        <sz val="7.5"/>
        <color theme="1"/>
        <rFont val="Arial"/>
        <family val="2"/>
      </rPr>
      <t>(2005)</t>
    </r>
  </si>
  <si>
    <t>Founded</t>
  </si>
  <si>
    <t>Students in Dorms</t>
  </si>
  <si>
    <t>Students per shower</t>
  </si>
  <si>
    <t>Showers</t>
  </si>
  <si>
    <t>&lt;5,001</t>
  </si>
  <si>
    <t>5,001-20,000</t>
  </si>
  <si>
    <t>20,001-50,000</t>
  </si>
  <si>
    <t>50,001-100,000</t>
  </si>
  <si>
    <t>100,001+</t>
  </si>
  <si>
    <t>SF PNW</t>
  </si>
  <si>
    <t>Segment</t>
  </si>
  <si>
    <t>Build up number of showers by segment</t>
  </si>
  <si>
    <t>For Seventh Plan</t>
  </si>
  <si>
    <t>Water Heating</t>
  </si>
  <si>
    <t>Non E Value</t>
  </si>
  <si>
    <t>Savings (kWh/yr.)</t>
  </si>
  <si>
    <t>Capital Cost ($)</t>
  </si>
  <si>
    <t>Gas (therms)</t>
  </si>
  <si>
    <t>Non-Eval</t>
  </si>
  <si>
    <t>Commercial-Misc. Com-HotWater</t>
  </si>
  <si>
    <t>Applicable Units</t>
  </si>
  <si>
    <t>Showerheads-Retro</t>
  </si>
  <si>
    <t>Showerheads</t>
  </si>
  <si>
    <t xml:space="preserve">Use retro measure applied to new SF.  </t>
  </si>
  <si>
    <t>Units/1000sf in 2016</t>
  </si>
  <si>
    <t>Add in the new construction units here.  Took a shortcut here because the New potential is very small.</t>
  </si>
  <si>
    <t xml:space="preserve">Efficienc showerheads in commercial building applications.  </t>
  </si>
  <si>
    <t>Based on RTF work and assumes the measure is the 1.5 gpm showerhead</t>
  </si>
  <si>
    <t>New measure in 7P</t>
  </si>
  <si>
    <t>See "Regonal Potential Estimates" worksheet.  Primarily applicable to Lodging, Office, Residential Care, Schools, Universities, and Other (Fitness Centers)</t>
  </si>
  <si>
    <t>2.2 gpm showerhead</t>
  </si>
  <si>
    <t>$11.34 for the direct install measure</t>
  </si>
  <si>
    <t>10 years</t>
  </si>
  <si>
    <t>Retro20Fast</t>
  </si>
  <si>
    <t>None.</t>
  </si>
  <si>
    <t>THESE UNITS MOVED TO SC-RETRO TAB-DID NOT DEVELOP A SEPARATE MEASURE FOR NEW CONSTRUCTION</t>
  </si>
  <si>
    <t xml:space="preserve">Assume 20% </t>
  </si>
  <si>
    <t>Showerheads-Retro-Other</t>
  </si>
  <si>
    <t>Showerheads-Retro-University</t>
  </si>
  <si>
    <t>Showerheads-Retro-Lodging</t>
  </si>
  <si>
    <t>Showerheads-Retro-Residential Care</t>
  </si>
  <si>
    <t>Showerheads-Retro-Assembly</t>
  </si>
  <si>
    <t>Showerheads-Retro-Hospital</t>
  </si>
  <si>
    <t>Showerheads-Retro-Large Off</t>
  </si>
  <si>
    <t>Showerheads-Retro-Medium Off</t>
  </si>
  <si>
    <t>Showerheads-Retro-Small Off</t>
  </si>
  <si>
    <t>Showerheads-Retro-School K-12</t>
  </si>
  <si>
    <t>Showerheads-Retro-Xlarge Ret</t>
  </si>
  <si>
    <t>Showerheads-Retro-Large Ret</t>
  </si>
  <si>
    <t>Showerheads-Retro-Medium Ret</t>
  </si>
  <si>
    <t>Showerheads-Retro-Small Ret</t>
  </si>
  <si>
    <t>Showerheads-Retro-Warehouse</t>
  </si>
  <si>
    <t>Showerheads-Retro-Supermarket</t>
  </si>
  <si>
    <t>Showerheads-Retro-MiniMart</t>
  </si>
  <si>
    <t>Showerheads-Retro-Restaurant</t>
  </si>
  <si>
    <t>v1</t>
  </si>
  <si>
    <t>Original for posting</t>
  </si>
  <si>
    <t>v2</t>
  </si>
  <si>
    <t>Corrected MAX calculation</t>
  </si>
  <si>
    <t>File Versions:</t>
  </si>
  <si>
    <t>Q:\SeventhPlan\Conservation Analysis\Global EE Inputs\MC Files\MC_AND_LOADSHAPE_v3.0_24segment-7P-D9 - NewSegValues.xlsx</t>
  </si>
  <si>
    <t>v3</t>
  </si>
  <si>
    <t>Added high/low forecast</t>
  </si>
  <si>
    <t>Stock 2016</t>
  </si>
  <si>
    <t>Cumulative</t>
  </si>
  <si>
    <t>Thursday, 19 March , 2015 at 9:19 AM</t>
  </si>
</sst>
</file>

<file path=xl/styles.xml><?xml version="1.0" encoding="utf-8"?>
<styleSheet xmlns="http://schemas.openxmlformats.org/spreadsheetml/2006/main">
  <numFmts count="24">
    <numFmt numFmtId="5" formatCode="&quot;$&quot;#,##0_);\(&quot;$&quot;#,##0\)"/>
    <numFmt numFmtId="6" formatCode="&quot;$&quot;#,##0_);[Red]\(&quot;$&quot;#,##0\)"/>
    <numFmt numFmtId="8" formatCode="&quot;$&quot;#,##0.00_);[Red]\(&quot;$&quot;#,##0.0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0.000"/>
    <numFmt numFmtId="170" formatCode="0.0;[Red]\-0.0"/>
    <numFmt numFmtId="171" formatCode="\ "/>
    <numFmt numFmtId="172" formatCode="_(* #,##0.0_);_(* \(#,##0.0\);_(* &quot;-&quot;?_);_(@_)"/>
    <numFmt numFmtId="173" formatCode="_(* #,##0.000_);_(* \(#,##0.000\);_(* &quot;-&quot;??_);_(@_)"/>
    <numFmt numFmtId="174" formatCode="_(* #,##0.0_);_(* \(#,##0.0\);_(* &quot;-&quot;??_);_(@_)"/>
    <numFmt numFmtId="175" formatCode="0.0%"/>
    <numFmt numFmtId="176" formatCode="[$-F800]dddd\,\ mmmm\ dd\,\ yyyy"/>
    <numFmt numFmtId="177" formatCode="0.00000"/>
    <numFmt numFmtId="178" formatCode="&quot;$&quot;#,##0.000_);[Red]\(&quot;$&quot;#,##0.000\)"/>
    <numFmt numFmtId="179" formatCode="&quot;$&quot;#,##0.00"/>
    <numFmt numFmtId="180" formatCode="_(* #,##0.00000_);_(* \(#,##0.00000\);_(* &quot;-&quot;??_);_(@_)"/>
    <numFmt numFmtId="181" formatCode="&quot;$&quot;#,##0.0"/>
    <numFmt numFmtId="182" formatCode="m/d/\ h:mm"/>
  </numFmts>
  <fonts count="73">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b/>
      <sz val="10"/>
      <color theme="1"/>
      <name val="Arial"/>
      <family val="2"/>
    </font>
    <font>
      <sz val="10"/>
      <name val="Arial"/>
      <family val="2"/>
    </font>
    <font>
      <b/>
      <sz val="12"/>
      <name val="Arial"/>
      <family val="2"/>
    </font>
    <font>
      <u/>
      <sz val="10"/>
      <color indexed="12"/>
      <name val="Arial"/>
      <family val="2"/>
    </font>
    <font>
      <b/>
      <sz val="10"/>
      <color theme="0"/>
      <name val="Arial"/>
      <family val="2"/>
    </font>
    <font>
      <sz val="9"/>
      <color rgb="FF000000"/>
      <name val="Arial"/>
      <family val="2"/>
    </font>
    <font>
      <b/>
      <sz val="11"/>
      <color rgb="FFFFFFFF"/>
      <name val="Calibri"/>
      <family val="2"/>
    </font>
    <font>
      <sz val="11"/>
      <color rgb="FF000000"/>
      <name val="Calibri"/>
      <family val="2"/>
    </font>
    <font>
      <b/>
      <sz val="9"/>
      <color indexed="81"/>
      <name val="Tahoma"/>
      <family val="2"/>
    </font>
    <font>
      <i/>
      <sz val="10"/>
      <color theme="1"/>
      <name val="Arial"/>
      <family val="2"/>
    </font>
    <font>
      <b/>
      <sz val="10"/>
      <color rgb="FFFFFFFF"/>
      <name val="Calibri"/>
      <family val="2"/>
    </font>
    <font>
      <sz val="10"/>
      <color rgb="FF000000"/>
      <name val="Calibri"/>
      <family val="2"/>
    </font>
    <font>
      <b/>
      <sz val="11"/>
      <color rgb="FFFF0000"/>
      <name val="Calibri"/>
      <family val="2"/>
      <scheme val="minor"/>
    </font>
    <font>
      <sz val="10"/>
      <name val="Arial"/>
      <family val="2"/>
    </font>
    <font>
      <b/>
      <sz val="10"/>
      <color theme="1"/>
      <name val="Century"/>
      <family val="1"/>
    </font>
    <font>
      <sz val="10"/>
      <color rgb="FF000000"/>
      <name val="Century"/>
      <family val="1"/>
    </font>
    <font>
      <u/>
      <sz val="10"/>
      <color theme="10"/>
      <name val="Arial"/>
      <family val="2"/>
    </font>
    <font>
      <b/>
      <i/>
      <sz val="11"/>
      <color theme="1"/>
      <name val="Calibri"/>
      <family val="2"/>
      <scheme val="minor"/>
    </font>
    <font>
      <u/>
      <sz val="11"/>
      <color theme="10"/>
      <name val="Calibri"/>
      <family val="2"/>
      <scheme val="minor"/>
    </font>
    <font>
      <i/>
      <sz val="11"/>
      <color theme="1"/>
      <name val="Calibri"/>
      <family val="2"/>
      <scheme val="minor"/>
    </font>
    <font>
      <i/>
      <u/>
      <sz val="11"/>
      <color theme="10"/>
      <name val="Calibri"/>
      <family val="2"/>
      <scheme val="minor"/>
    </font>
    <font>
      <b/>
      <i/>
      <sz val="11"/>
      <name val="Calibri"/>
      <family val="2"/>
      <scheme val="minor"/>
    </font>
    <font>
      <i/>
      <sz val="11"/>
      <name val="Calibri"/>
      <family val="2"/>
      <scheme val="minor"/>
    </font>
    <font>
      <i/>
      <sz val="11"/>
      <color rgb="FF00B050"/>
      <name val="Calibri"/>
      <family val="2"/>
      <scheme val="minor"/>
    </font>
    <font>
      <sz val="11"/>
      <color rgb="FF000000"/>
      <name val="Calibri"/>
      <family val="2"/>
      <scheme val="minor"/>
    </font>
    <font>
      <sz val="11"/>
      <name val="Calibri"/>
      <family val="2"/>
    </font>
    <font>
      <sz val="11"/>
      <color rgb="FFFF0000"/>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2"/>
      <name val="Times New Roman"/>
      <family val="1"/>
    </font>
    <font>
      <i/>
      <sz val="11"/>
      <color indexed="23"/>
      <name val="Calibri"/>
      <family val="2"/>
    </font>
    <font>
      <sz val="11"/>
      <color indexed="17"/>
      <name val="Calibri"/>
      <family val="2"/>
    </font>
    <font>
      <b/>
      <sz val="12"/>
      <name val="Times New Roman"/>
      <family val="1"/>
    </font>
    <font>
      <b/>
      <sz val="15"/>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MS Sans Serif"/>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rgb="FF333333"/>
      <name val="Verdana"/>
      <family val="2"/>
    </font>
    <font>
      <b/>
      <sz val="8"/>
      <color rgb="FF333333"/>
      <name val="Verdana"/>
      <family val="2"/>
    </font>
    <font>
      <vertAlign val="superscript"/>
      <sz val="8"/>
      <color theme="1"/>
      <name val="Arial"/>
      <family val="2"/>
    </font>
    <font>
      <b/>
      <sz val="7.5"/>
      <color theme="1"/>
      <name val="Arial"/>
      <family val="2"/>
    </font>
  </fonts>
  <fills count="51">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3" tint="-0.499984740745262"/>
        <bgColor indexed="64"/>
      </patternFill>
    </fill>
    <fill>
      <patternFill patternType="solid">
        <fgColor theme="8"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C0C0C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rgb="FFA0A0A0"/>
      </left>
      <right style="medium">
        <color rgb="FFA0A0A0"/>
      </right>
      <top style="medium">
        <color rgb="FFA0A0A0"/>
      </top>
      <bottom style="medium">
        <color rgb="FFA0A0A0"/>
      </bottom>
      <diagonal/>
    </border>
    <border>
      <left style="medium">
        <color rgb="FFA0A0A0"/>
      </left>
      <right style="medium">
        <color rgb="FFA0A0A0"/>
      </right>
      <top style="medium">
        <color rgb="FFA0A0A0"/>
      </top>
      <bottom/>
      <diagonal/>
    </border>
    <border>
      <left style="medium">
        <color rgb="FFA0A0A0"/>
      </left>
      <right style="medium">
        <color rgb="FFA0A0A0"/>
      </right>
      <top/>
      <bottom style="medium">
        <color rgb="FFA0A0A0"/>
      </bottom>
      <diagonal/>
    </border>
  </borders>
  <cellStyleXfs count="130">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24" fillId="0" borderId="0"/>
    <xf numFmtId="0" fontId="2" fillId="0" borderId="0"/>
    <xf numFmtId="0" fontId="2" fillId="0" borderId="0"/>
    <xf numFmtId="0" fontId="26" fillId="0" borderId="0" applyNumberFormat="0" applyFill="0" applyBorder="0" applyAlignment="0" applyProtection="0">
      <alignment vertical="top"/>
      <protection locked="0"/>
    </xf>
    <xf numFmtId="43" fontId="2" fillId="0" borderId="0" applyFont="0" applyFill="0" applyBorder="0" applyAlignment="0" applyProtection="0"/>
    <xf numFmtId="0" fontId="2" fillId="0" borderId="0"/>
    <xf numFmtId="9" fontId="5" fillId="0" borderId="0" applyFont="0" applyFill="0" applyBorder="0" applyAlignment="0" applyProtection="0"/>
    <xf numFmtId="0" fontId="36" fillId="0" borderId="0">
      <alignment readingOrder="1"/>
    </xf>
    <xf numFmtId="0" fontId="2" fillId="0" borderId="0"/>
    <xf numFmtId="9" fontId="2" fillId="0" borderId="0" applyFont="0" applyFill="0" applyBorder="0" applyAlignment="0" applyProtection="0"/>
    <xf numFmtId="0" fontId="5" fillId="0" borderId="0"/>
    <xf numFmtId="0" fontId="39" fillId="0" borderId="0" applyNumberFormat="0" applyFill="0" applyBorder="0" applyAlignment="0" applyProtection="0">
      <alignment readingOrder="1"/>
    </xf>
    <xf numFmtId="0" fontId="41" fillId="0" borderId="0" applyNumberFormat="0" applyFill="0" applyBorder="0" applyAlignment="0" applyProtection="0"/>
    <xf numFmtId="0" fontId="2" fillId="0" borderId="0">
      <alignment readingOrder="1"/>
    </xf>
    <xf numFmtId="44" fontId="2" fillId="0" borderId="0" applyFont="0" applyFill="0" applyBorder="0" applyAlignment="0" applyProtection="0"/>
    <xf numFmtId="0" fontId="2" fillId="0" borderId="0"/>
    <xf numFmtId="0" fontId="50" fillId="28" borderId="0" applyNumberFormat="0" applyBorder="0" applyAlignment="0" applyProtection="0"/>
    <xf numFmtId="0" fontId="50" fillId="29" borderId="0" applyNumberFormat="0" applyBorder="0" applyAlignment="0" applyProtection="0"/>
    <xf numFmtId="0" fontId="50" fillId="30" borderId="0" applyNumberFormat="0" applyBorder="0" applyAlignment="0" applyProtection="0"/>
    <xf numFmtId="0" fontId="50" fillId="31" borderId="0" applyNumberFormat="0" applyBorder="0" applyAlignment="0" applyProtection="0"/>
    <xf numFmtId="0" fontId="50" fillId="32" borderId="0" applyNumberFormat="0" applyBorder="0" applyAlignment="0" applyProtection="0"/>
    <xf numFmtId="0" fontId="50" fillId="33" borderId="0" applyNumberFormat="0" applyBorder="0" applyAlignment="0" applyProtection="0"/>
    <xf numFmtId="0" fontId="50" fillId="34" borderId="0" applyNumberFormat="0" applyBorder="0" applyAlignment="0" applyProtection="0"/>
    <xf numFmtId="0" fontId="50" fillId="35" borderId="0" applyNumberFormat="0" applyBorder="0" applyAlignment="0" applyProtection="0"/>
    <xf numFmtId="0" fontId="50" fillId="36" borderId="0" applyNumberFormat="0" applyBorder="0" applyAlignment="0" applyProtection="0"/>
    <xf numFmtId="0" fontId="50" fillId="31" borderId="0" applyNumberFormat="0" applyBorder="0" applyAlignment="0" applyProtection="0"/>
    <xf numFmtId="0" fontId="50" fillId="34" borderId="0" applyNumberFormat="0" applyBorder="0" applyAlignment="0" applyProtection="0"/>
    <xf numFmtId="0" fontId="50" fillId="37" borderId="0" applyNumberFormat="0" applyBorder="0" applyAlignment="0" applyProtection="0"/>
    <xf numFmtId="0" fontId="51" fillId="38" borderId="0" applyNumberFormat="0" applyBorder="0" applyAlignment="0" applyProtection="0"/>
    <xf numFmtId="0" fontId="51" fillId="35" borderId="0" applyNumberFormat="0" applyBorder="0" applyAlignment="0" applyProtection="0"/>
    <xf numFmtId="0" fontId="51" fillId="36" borderId="0" applyNumberFormat="0" applyBorder="0" applyAlignment="0" applyProtection="0"/>
    <xf numFmtId="0" fontId="51" fillId="39"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51" fillId="42" borderId="0" applyNumberFormat="0" applyBorder="0" applyAlignment="0" applyProtection="0"/>
    <xf numFmtId="0" fontId="51" fillId="43" borderId="0" applyNumberFormat="0" applyBorder="0" applyAlignment="0" applyProtection="0"/>
    <xf numFmtId="0" fontId="51" fillId="44" borderId="0" applyNumberFormat="0" applyBorder="0" applyAlignment="0" applyProtection="0"/>
    <xf numFmtId="0" fontId="51" fillId="39" borderId="0" applyNumberFormat="0" applyBorder="0" applyAlignment="0" applyProtection="0"/>
    <xf numFmtId="0" fontId="51" fillId="40" borderId="0" applyNumberFormat="0" applyBorder="0" applyAlignment="0" applyProtection="0"/>
    <xf numFmtId="0" fontId="51" fillId="45" borderId="0" applyNumberFormat="0" applyBorder="0" applyAlignment="0" applyProtection="0"/>
    <xf numFmtId="0" fontId="52" fillId="29" borderId="0" applyNumberFormat="0" applyBorder="0" applyAlignment="0" applyProtection="0"/>
    <xf numFmtId="0" fontId="53" fillId="46" borderId="40" applyNumberFormat="0" applyAlignment="0" applyProtection="0"/>
    <xf numFmtId="0" fontId="54" fillId="47" borderId="41"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15" borderId="0" applyNumberFormat="0" applyAlignment="0">
      <alignment horizontal="right"/>
    </xf>
    <xf numFmtId="0" fontId="2" fillId="15" borderId="0" applyNumberFormat="0" applyAlignment="0">
      <alignment horizontal="right"/>
    </xf>
    <xf numFmtId="0" fontId="2" fillId="15" borderId="0" applyNumberFormat="0" applyAlignment="0">
      <alignment horizontal="right"/>
    </xf>
    <xf numFmtId="0" fontId="2" fillId="15" borderId="0" applyNumberFormat="0" applyAlignment="0">
      <alignment horizontal="right"/>
    </xf>
    <xf numFmtId="0" fontId="2" fillId="11" borderId="0" applyNumberFormat="0" applyAlignment="0"/>
    <xf numFmtId="182" fontId="55" fillId="0" borderId="0"/>
    <xf numFmtId="0" fontId="56" fillId="0" borderId="0" applyNumberFormat="0" applyFill="0" applyBorder="0" applyAlignment="0" applyProtection="0"/>
    <xf numFmtId="0" fontId="57" fillId="30" borderId="0" applyNumberFormat="0" applyBorder="0" applyAlignment="0" applyProtection="0"/>
    <xf numFmtId="0" fontId="58" fillId="0" borderId="0">
      <alignment horizontal="center" wrapText="1"/>
    </xf>
    <xf numFmtId="0" fontId="59" fillId="0" borderId="42" applyNumberFormat="0" applyFill="0" applyAlignment="0" applyProtection="0"/>
    <xf numFmtId="0" fontId="60" fillId="0" borderId="43" applyNumberFormat="0" applyFill="0" applyAlignment="0" applyProtection="0"/>
    <xf numFmtId="0" fontId="60" fillId="0" borderId="0" applyNumberFormat="0" applyFill="0" applyBorder="0" applyAlignment="0" applyProtection="0"/>
    <xf numFmtId="0" fontId="39" fillId="0" borderId="0" applyNumberFormat="0" applyFill="0" applyBorder="0" applyAlignment="0" applyProtection="0">
      <alignment vertical="top"/>
      <protection locked="0"/>
    </xf>
    <xf numFmtId="0" fontId="61" fillId="33" borderId="40" applyNumberFormat="0" applyAlignment="0" applyProtection="0"/>
    <xf numFmtId="0" fontId="62" fillId="0" borderId="44" applyNumberFormat="0" applyFill="0" applyAlignment="0" applyProtection="0"/>
    <xf numFmtId="0" fontId="63" fillId="48" borderId="0" applyNumberFormat="0" applyBorder="0" applyAlignment="0" applyProtection="0"/>
    <xf numFmtId="0" fontId="50" fillId="0" borderId="0"/>
    <xf numFmtId="0" fontId="50" fillId="0" borderId="0"/>
    <xf numFmtId="0" fontId="50" fillId="0" borderId="0"/>
    <xf numFmtId="0" fontId="2" fillId="0" borderId="0"/>
    <xf numFmtId="0" fontId="5" fillId="0" borderId="0"/>
    <xf numFmtId="0" fontId="5" fillId="0" borderId="0"/>
    <xf numFmtId="0" fontId="2" fillId="0" borderId="0"/>
    <xf numFmtId="0" fontId="2" fillId="0" borderId="0"/>
    <xf numFmtId="0" fontId="2" fillId="0" borderId="0"/>
    <xf numFmtId="0" fontId="2" fillId="0" borderId="0"/>
    <xf numFmtId="0" fontId="50" fillId="0" borderId="0"/>
    <xf numFmtId="0" fontId="50" fillId="0" borderId="0"/>
    <xf numFmtId="0" fontId="2" fillId="0" borderId="0">
      <alignment readingOrder="1"/>
    </xf>
    <xf numFmtId="0" fontId="50" fillId="0" borderId="0"/>
    <xf numFmtId="0" fontId="2" fillId="0" borderId="0">
      <alignment readingOrder="1"/>
    </xf>
    <xf numFmtId="0" fontId="2" fillId="0" borderId="0"/>
    <xf numFmtId="0" fontId="2" fillId="0" borderId="0"/>
    <xf numFmtId="0" fontId="50" fillId="0" borderId="0"/>
    <xf numFmtId="0" fontId="5" fillId="0" borderId="0"/>
    <xf numFmtId="0" fontId="50" fillId="0" borderId="0"/>
    <xf numFmtId="0" fontId="50" fillId="0" borderId="0"/>
    <xf numFmtId="0" fontId="64" fillId="0" borderId="0"/>
    <xf numFmtId="0" fontId="50" fillId="0" borderId="0"/>
    <xf numFmtId="0" fontId="50" fillId="0" borderId="0"/>
    <xf numFmtId="0" fontId="50" fillId="0" borderId="0"/>
    <xf numFmtId="0" fontId="50" fillId="0" borderId="0"/>
    <xf numFmtId="0" fontId="2" fillId="0" borderId="0">
      <alignment readingOrder="1"/>
    </xf>
    <xf numFmtId="0" fontId="2" fillId="0" borderId="0">
      <alignment readingOrder="1"/>
    </xf>
    <xf numFmtId="0" fontId="50" fillId="49" borderId="45" applyNumberFormat="0" applyFont="0" applyAlignment="0" applyProtection="0"/>
    <xf numFmtId="0" fontId="65" fillId="46" borderId="46"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0" fontId="66" fillId="0" borderId="0" applyNumberFormat="0" applyFill="0" applyBorder="0" applyAlignment="0" applyProtection="0"/>
    <xf numFmtId="0" fontId="67" fillId="0" borderId="47" applyNumberFormat="0" applyFill="0" applyAlignment="0" applyProtection="0"/>
    <xf numFmtId="0" fontId="68" fillId="0" borderId="0" applyNumberFormat="0" applyFill="0" applyBorder="0" applyAlignment="0" applyProtection="0"/>
    <xf numFmtId="0" fontId="2" fillId="0" borderId="0"/>
    <xf numFmtId="0" fontId="2" fillId="0" borderId="0"/>
  </cellStyleXfs>
  <cellXfs count="610">
    <xf numFmtId="0" fontId="0" fillId="0" borderId="0" xfId="0"/>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2" fontId="0" fillId="0" borderId="0" xfId="0" applyNumberFormat="1">
      <alignment readingOrder="1"/>
    </xf>
    <xf numFmtId="0" fontId="0" fillId="2" borderId="0" xfId="0" applyFill="1">
      <alignment readingOrder="1"/>
    </xf>
    <xf numFmtId="9" fontId="2" fillId="2" borderId="0" xfId="8" applyFont="1" applyFill="1">
      <alignment readingOrder="1"/>
    </xf>
    <xf numFmtId="0" fontId="19" fillId="12" borderId="9" xfId="0" applyFont="1" applyFill="1" applyBorder="1" applyAlignment="1">
      <alignment horizontal="left" wrapText="1" readingOrder="1"/>
    </xf>
    <xf numFmtId="0" fontId="19" fillId="12" borderId="8" xfId="0" applyFont="1" applyFill="1" applyBorder="1" applyAlignment="1">
      <alignment horizontal="center" wrapText="1" readingOrder="1"/>
    </xf>
    <xf numFmtId="0" fontId="19" fillId="13" borderId="9" xfId="0" applyFont="1" applyFill="1" applyBorder="1" applyAlignment="1">
      <alignment horizontal="left" readingOrder="1"/>
    </xf>
    <xf numFmtId="0" fontId="19" fillId="13" borderId="10" xfId="0" applyFont="1" applyFill="1" applyBorder="1" applyAlignment="1">
      <alignment horizontal="center" wrapText="1" readingOrder="1"/>
    </xf>
    <xf numFmtId="0" fontId="19" fillId="13"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4" borderId="3" xfId="0" applyFont="1" applyFill="1" applyBorder="1" applyAlignment="1">
      <alignment horizontal="centerContinuous" wrapText="1" readingOrder="1"/>
    </xf>
    <xf numFmtId="0" fontId="14" fillId="14" borderId="5" xfId="0" applyFont="1" applyFill="1" applyBorder="1" applyAlignment="1">
      <alignment horizontal="centerContinuous" wrapText="1" readingOrder="1"/>
    </xf>
    <xf numFmtId="164" fontId="14" fillId="14" borderId="3" xfId="0" applyNumberFormat="1" applyFont="1" applyFill="1" applyBorder="1" applyAlignment="1">
      <alignment horizontal="centerContinuous" wrapText="1" readingOrder="1"/>
    </xf>
    <xf numFmtId="164" fontId="14" fillId="14" borderId="4" xfId="0" applyNumberFormat="1" applyFont="1" applyFill="1" applyBorder="1" applyAlignment="1">
      <alignment horizontal="centerContinuous" wrapText="1" readingOrder="1"/>
    </xf>
    <xf numFmtId="164" fontId="14" fillId="14" borderId="5" xfId="0" applyNumberFormat="1" applyFont="1" applyFill="1" applyBorder="1" applyAlignment="1">
      <alignment horizontal="centerContinuous" wrapText="1" readingOrder="1"/>
    </xf>
    <xf numFmtId="164" fontId="14" fillId="14" borderId="10" xfId="0" applyNumberFormat="1" applyFont="1" applyFill="1" applyBorder="1" applyAlignment="1">
      <alignment horizontal="center" wrapText="1" readingOrder="1"/>
    </xf>
    <xf numFmtId="0" fontId="14" fillId="11" borderId="1" xfId="0" applyFont="1" applyFill="1" applyBorder="1" applyAlignment="1">
      <alignment horizontal="center" wrapText="1" readingOrder="1"/>
    </xf>
    <xf numFmtId="0" fontId="14" fillId="11" borderId="8" xfId="0" applyFont="1" applyFill="1" applyBorder="1" applyAlignment="1">
      <alignment horizontal="center" wrapText="1" readingOrder="1"/>
    </xf>
    <xf numFmtId="164" fontId="14" fillId="11" borderId="8" xfId="0" applyNumberFormat="1" applyFont="1" applyFill="1" applyBorder="1" applyAlignment="1">
      <alignment horizontal="center" wrapText="1" readingOrder="1"/>
    </xf>
    <xf numFmtId="170" fontId="14" fillId="11" borderId="8" xfId="0" applyNumberFormat="1" applyFont="1" applyFill="1" applyBorder="1" applyAlignment="1">
      <alignment horizontal="center" wrapText="1" readingOrder="1"/>
    </xf>
    <xf numFmtId="164" fontId="13" fillId="0" borderId="0" xfId="0" applyNumberFormat="1" applyFont="1">
      <alignment readingOrder="1"/>
    </xf>
    <xf numFmtId="0" fontId="14" fillId="15" borderId="3" xfId="0" applyFont="1" applyFill="1" applyBorder="1" applyAlignment="1">
      <alignment horizontal="centerContinuous" wrapText="1" readingOrder="1"/>
    </xf>
    <xf numFmtId="0" fontId="14" fillId="15" borderId="4" xfId="0"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164" fontId="14" fillId="15" borderId="3" xfId="0" applyNumberFormat="1" applyFont="1" applyFill="1" applyBorder="1" applyAlignment="1">
      <alignment horizontal="centerContinuous" wrapText="1" readingOrder="1"/>
    </xf>
    <xf numFmtId="171" fontId="3" fillId="0" borderId="0" xfId="0" applyNumberFormat="1" applyFont="1">
      <alignment readingOrder="1"/>
    </xf>
    <xf numFmtId="164" fontId="20" fillId="0" borderId="0" xfId="0" applyNumberFormat="1" applyFont="1">
      <alignment readingOrder="1"/>
    </xf>
    <xf numFmtId="171" fontId="0" fillId="0" borderId="0" xfId="0" applyNumberFormat="1">
      <alignment readingOrder="1"/>
    </xf>
    <xf numFmtId="171" fontId="20" fillId="0" borderId="0" xfId="0" applyNumberFormat="1" applyFont="1">
      <alignment readingOrder="1"/>
    </xf>
    <xf numFmtId="0" fontId="14" fillId="15" borderId="1" xfId="0" applyFont="1" applyFill="1" applyBorder="1" applyAlignment="1">
      <alignment horizontal="center" wrapText="1" readingOrder="1"/>
    </xf>
    <xf numFmtId="0" fontId="14" fillId="15" borderId="8" xfId="0" applyFont="1" applyFill="1" applyBorder="1" applyAlignment="1">
      <alignment horizontal="center" wrapText="1" readingOrder="1"/>
    </xf>
    <xf numFmtId="164" fontId="14" fillId="15" borderId="8" xfId="0" applyNumberFormat="1" applyFont="1" applyFill="1" applyBorder="1" applyAlignment="1">
      <alignment horizontal="center" wrapText="1" readingOrder="1"/>
    </xf>
    <xf numFmtId="164" fontId="14" fillId="15" borderId="20" xfId="0" applyNumberFormat="1" applyFont="1" applyFill="1" applyBorder="1" applyAlignment="1">
      <alignment horizontal="centerContinuous" wrapText="1" readingOrder="1"/>
    </xf>
    <xf numFmtId="164" fontId="14" fillId="15" borderId="21" xfId="0" applyNumberFormat="1" applyFont="1" applyFill="1" applyBorder="1" applyAlignment="1">
      <alignment horizontal="centerContinuous" wrapText="1" readingOrder="1"/>
    </xf>
    <xf numFmtId="0" fontId="5" fillId="0" borderId="0" xfId="0" applyFont="1" applyAlignment="1">
      <alignment wrapText="1"/>
    </xf>
    <xf numFmtId="0" fontId="22" fillId="17" borderId="1" xfId="0" applyFont="1" applyFill="1" applyBorder="1"/>
    <xf numFmtId="0" fontId="22" fillId="2" borderId="1" xfId="0" applyFont="1" applyFill="1" applyBorder="1"/>
    <xf numFmtId="0" fontId="22" fillId="2" borderId="6" xfId="0" applyFont="1" applyFill="1" applyBorder="1"/>
    <xf numFmtId="0" fontId="22" fillId="2" borderId="11" xfId="0" applyFont="1" applyFill="1" applyBorder="1"/>
    <xf numFmtId="164" fontId="0" fillId="0" borderId="0" xfId="0" applyNumberFormat="1" applyAlignment="1">
      <alignment horizontal="center" readingOrder="1"/>
    </xf>
    <xf numFmtId="172" fontId="0" fillId="0" borderId="0" xfId="0" applyNumberFormat="1">
      <alignment readingOrder="1"/>
    </xf>
    <xf numFmtId="0" fontId="22" fillId="18" borderId="1" xfId="0" applyFont="1" applyFill="1" applyBorder="1"/>
    <xf numFmtId="164" fontId="22" fillId="18" borderId="1" xfId="0" applyNumberFormat="1" applyFont="1" applyFill="1" applyBorder="1"/>
    <xf numFmtId="0" fontId="21" fillId="0" borderId="0" xfId="0" applyFont="1">
      <alignment readingOrder="1"/>
    </xf>
    <xf numFmtId="0" fontId="22" fillId="4" borderId="1" xfId="0" applyFont="1" applyFill="1" applyBorder="1"/>
    <xf numFmtId="0" fontId="0" fillId="4" borderId="8" xfId="0" applyFill="1" applyBorder="1">
      <alignment readingOrder="1"/>
    </xf>
    <xf numFmtId="0" fontId="0" fillId="17" borderId="1" xfId="0" applyFill="1" applyBorder="1">
      <alignment readingOrder="1"/>
    </xf>
    <xf numFmtId="0" fontId="2" fillId="0" borderId="0" xfId="0" applyFont="1" applyAlignment="1">
      <alignment horizontal="right" readingOrder="1"/>
    </xf>
    <xf numFmtId="173" fontId="0" fillId="0" borderId="0" xfId="1" applyNumberFormat="1" applyFont="1" applyAlignment="1">
      <alignment readingOrder="1"/>
    </xf>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0" fontId="0" fillId="4" borderId="24" xfId="0" applyNumberFormat="1" applyFill="1" applyBorder="1" applyAlignment="1">
      <alignment vertical="center" wrapText="1" readingOrder="1"/>
    </xf>
    <xf numFmtId="0" fontId="0" fillId="4" borderId="2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49" fontId="0" fillId="4" borderId="11" xfId="0" quotePrefix="1" applyNumberFormat="1" applyFill="1" applyBorder="1">
      <alignment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0" fontId="0" fillId="2" borderId="1" xfId="0" applyFill="1" applyBorder="1">
      <alignment readingOrder="1"/>
    </xf>
    <xf numFmtId="0" fontId="0" fillId="2" borderId="1" xfId="0" applyFill="1" applyBorder="1" applyAlignment="1">
      <alignment horizontal="center" readingOrder="1"/>
    </xf>
    <xf numFmtId="164" fontId="3" fillId="0" borderId="0" xfId="0" applyNumberFormat="1" applyFont="1">
      <alignment readingOrder="1"/>
    </xf>
    <xf numFmtId="0" fontId="24" fillId="0" borderId="0" xfId="12" applyFill="1" applyBorder="1"/>
    <xf numFmtId="169" fontId="24" fillId="0" borderId="0" xfId="12" applyNumberFormat="1" applyFill="1" applyBorder="1"/>
    <xf numFmtId="9" fontId="24" fillId="0" borderId="0" xfId="8" applyFont="1" applyFill="1" applyBorder="1"/>
    <xf numFmtId="0" fontId="2" fillId="0" borderId="0" xfId="12" applyFont="1" applyFill="1" applyBorder="1"/>
    <xf numFmtId="0" fontId="25" fillId="4" borderId="0" xfId="7" applyFont="1" applyFill="1"/>
    <xf numFmtId="0" fontId="2" fillId="2" borderId="1" xfId="13" applyFill="1" applyBorder="1" applyAlignment="1">
      <alignment wrapText="1"/>
    </xf>
    <xf numFmtId="0" fontId="2" fillId="2" borderId="1" xfId="13" applyFill="1" applyBorder="1" applyAlignment="1">
      <alignment horizontal="center" wrapText="1"/>
    </xf>
    <xf numFmtId="0" fontId="14" fillId="2" borderId="1" xfId="13" applyFont="1" applyFill="1" applyBorder="1" applyAlignment="1">
      <alignment horizontal="center" wrapText="1"/>
    </xf>
    <xf numFmtId="0" fontId="0" fillId="2" borderId="1" xfId="0" applyFill="1" applyBorder="1" applyAlignment="1">
      <alignment horizontal="left"/>
    </xf>
    <xf numFmtId="0" fontId="2" fillId="0" borderId="0" xfId="13" applyAlignment="1">
      <alignment wrapText="1"/>
    </xf>
    <xf numFmtId="0" fontId="2" fillId="2" borderId="1" xfId="13" applyFill="1" applyBorder="1"/>
    <xf numFmtId="0" fontId="2" fillId="2" borderId="1" xfId="13" applyFont="1" applyFill="1" applyBorder="1"/>
    <xf numFmtId="0" fontId="14" fillId="2" borderId="1" xfId="14" applyFont="1" applyFill="1" applyBorder="1" applyAlignment="1">
      <alignment horizontal="center" wrapText="1"/>
    </xf>
    <xf numFmtId="0" fontId="2" fillId="0" borderId="0" xfId="13"/>
    <xf numFmtId="0" fontId="2" fillId="0" borderId="0" xfId="13" applyFill="1" applyBorder="1"/>
    <xf numFmtId="0" fontId="2" fillId="0" borderId="0" xfId="13" applyFont="1" applyFill="1" applyBorder="1"/>
    <xf numFmtId="167" fontId="2" fillId="0" borderId="0" xfId="13" applyNumberFormat="1" applyFont="1" applyFill="1" applyBorder="1"/>
    <xf numFmtId="2" fontId="2" fillId="0" borderId="0" xfId="13" applyNumberFormat="1" applyFill="1" applyBorder="1" applyAlignment="1">
      <alignment horizontal="center"/>
    </xf>
    <xf numFmtId="0" fontId="2" fillId="0" borderId="0" xfId="13" applyFill="1" applyBorder="1" applyAlignment="1">
      <alignment horizontal="center"/>
    </xf>
    <xf numFmtId="0" fontId="2" fillId="0" borderId="0" xfId="13" applyFill="1"/>
    <xf numFmtId="0" fontId="26" fillId="0" borderId="0" xfId="15" applyFill="1" applyAlignment="1" applyProtection="1"/>
    <xf numFmtId="0" fontId="2" fillId="0" borderId="0" xfId="13" applyFont="1" applyFill="1"/>
    <xf numFmtId="0" fontId="0" fillId="0" borderId="0" xfId="0" applyFill="1"/>
    <xf numFmtId="0" fontId="2" fillId="0" borderId="0" xfId="12" applyFont="1" applyFill="1"/>
    <xf numFmtId="168" fontId="17" fillId="0" borderId="0" xfId="1" applyNumberFormat="1" applyFont="1" applyFill="1">
      <alignment readingOrder="1"/>
    </xf>
    <xf numFmtId="0" fontId="0" fillId="2" borderId="0" xfId="0" applyFill="1" applyAlignment="1">
      <alignment horizontal="right" readingOrder="1"/>
    </xf>
    <xf numFmtId="9" fontId="17" fillId="16" borderId="0" xfId="0" applyNumberFormat="1" applyFont="1" applyFill="1">
      <alignment readingOrder="1"/>
    </xf>
    <xf numFmtId="0" fontId="22" fillId="2" borderId="6" xfId="0" applyFont="1" applyFill="1" applyBorder="1" applyAlignment="1">
      <alignment horizontal="center"/>
    </xf>
    <xf numFmtId="0" fontId="22" fillId="2" borderId="11" xfId="0" applyFont="1" applyFill="1" applyBorder="1" applyAlignment="1">
      <alignment horizontal="center"/>
    </xf>
    <xf numFmtId="1" fontId="1" fillId="18" borderId="0" xfId="0" applyNumberFormat="1" applyFont="1" applyFill="1" applyAlignment="1">
      <alignment horizontal="center" readingOrder="1"/>
    </xf>
    <xf numFmtId="2" fontId="0" fillId="0" borderId="0" xfId="0" applyNumberFormat="1" applyFill="1" applyAlignment="1">
      <alignment horizontal="center" readingOrder="1"/>
    </xf>
    <xf numFmtId="0" fontId="0" fillId="0" borderId="0" xfId="0" applyFill="1" applyAlignment="1">
      <alignment horizontal="center" readingOrder="1"/>
    </xf>
    <xf numFmtId="172" fontId="0" fillId="0" borderId="0" xfId="0" applyNumberFormat="1" applyFill="1" applyBorder="1">
      <alignment readingOrder="1"/>
    </xf>
    <xf numFmtId="0" fontId="0" fillId="0" borderId="0" xfId="0" applyFill="1" applyBorder="1">
      <alignment readingOrder="1"/>
    </xf>
    <xf numFmtId="164" fontId="22" fillId="0" borderId="0" xfId="0" applyNumberFormat="1" applyFont="1" applyFill="1" applyBorder="1"/>
    <xf numFmtId="0" fontId="23" fillId="0" borderId="0" xfId="0" applyFont="1" applyFill="1" applyBorder="1">
      <alignment readingOrder="1"/>
    </xf>
    <xf numFmtId="0" fontId="23" fillId="0" borderId="0" xfId="0" applyFont="1">
      <alignment readingOrder="1"/>
    </xf>
    <xf numFmtId="0" fontId="0" fillId="0" borderId="0" xfId="0" applyFill="1" applyBorder="1"/>
    <xf numFmtId="0" fontId="3" fillId="0" borderId="0" xfId="12" applyFont="1" applyFill="1" applyBorder="1"/>
    <xf numFmtId="0" fontId="24" fillId="0" borderId="0" xfId="12" applyFill="1" applyBorder="1" applyAlignment="1">
      <alignment wrapText="1"/>
    </xf>
    <xf numFmtId="43" fontId="24" fillId="0" borderId="0" xfId="1" applyFont="1" applyFill="1" applyBorder="1"/>
    <xf numFmtId="2" fontId="24" fillId="0" borderId="0" xfId="12" applyNumberFormat="1" applyFill="1" applyBorder="1" applyAlignment="1">
      <alignment horizontal="center"/>
    </xf>
    <xf numFmtId="9" fontId="24" fillId="0" borderId="0" xfId="12" applyNumberFormat="1" applyFill="1" applyBorder="1"/>
    <xf numFmtId="43" fontId="2" fillId="0" borderId="0" xfId="1" applyFont="1" applyFill="1" applyBorder="1"/>
    <xf numFmtId="0" fontId="3" fillId="0" borderId="0" xfId="12" applyFont="1" applyFill="1" applyBorder="1" applyAlignment="1"/>
    <xf numFmtId="0" fontId="5" fillId="0" borderId="1" xfId="0" applyFont="1" applyFill="1" applyBorder="1" applyAlignment="1">
      <alignment wrapText="1"/>
    </xf>
    <xf numFmtId="0" fontId="27" fillId="16" borderId="0" xfId="0" applyFont="1" applyFill="1" applyAlignment="1">
      <alignment horizontal="center"/>
    </xf>
    <xf numFmtId="1" fontId="2" fillId="0" borderId="0" xfId="13" applyNumberFormat="1" applyFont="1" applyFill="1" applyBorder="1" applyAlignment="1">
      <alignment horizontal="center"/>
    </xf>
    <xf numFmtId="43" fontId="24" fillId="0" borderId="0" xfId="12" applyNumberFormat="1" applyFill="1" applyBorder="1"/>
    <xf numFmtId="43" fontId="2" fillId="0" borderId="0" xfId="13" applyNumberFormat="1" applyFont="1" applyFill="1" applyBorder="1"/>
    <xf numFmtId="0" fontId="2" fillId="0" borderId="0" xfId="12" applyFont="1" applyFill="1" applyBorder="1" applyAlignment="1">
      <alignment horizontal="center"/>
    </xf>
    <xf numFmtId="0" fontId="2" fillId="0" borderId="0" xfId="13" applyFont="1" applyFill="1" applyBorder="1" applyAlignment="1">
      <alignment horizontal="right"/>
    </xf>
    <xf numFmtId="174" fontId="0" fillId="0" borderId="0" xfId="1" applyNumberFormat="1" applyFont="1">
      <alignment readingOrder="1"/>
    </xf>
    <xf numFmtId="9" fontId="2" fillId="0" borderId="0" xfId="8" applyFont="1" applyFill="1" applyAlignment="1">
      <alignment horizontal="center" readingOrder="1"/>
    </xf>
    <xf numFmtId="0" fontId="32" fillId="0" borderId="0" xfId="0" applyFont="1"/>
    <xf numFmtId="0" fontId="32" fillId="0" borderId="0" xfId="0" applyFont="1">
      <alignment readingOrder="1"/>
    </xf>
    <xf numFmtId="0" fontId="23" fillId="0" borderId="0" xfId="0" applyFont="1" applyFill="1" applyBorder="1"/>
    <xf numFmtId="17" fontId="24" fillId="0" borderId="0" xfId="12" applyNumberFormat="1" applyFill="1" applyBorder="1"/>
    <xf numFmtId="2" fontId="0" fillId="0" borderId="0" xfId="0" applyNumberFormat="1" applyFill="1" applyBorder="1"/>
    <xf numFmtId="2" fontId="0" fillId="0" borderId="0" xfId="0" applyNumberFormat="1" applyFill="1" applyBorder="1" applyAlignment="1">
      <alignment horizontal="center"/>
    </xf>
    <xf numFmtId="43" fontId="0" fillId="0" borderId="0" xfId="0" applyNumberFormat="1" applyFill="1" applyBorder="1"/>
    <xf numFmtId="164" fontId="1" fillId="18" borderId="0" xfId="0" applyNumberFormat="1" applyFont="1" applyFill="1" applyAlignment="1">
      <alignment horizontal="center" readingOrder="1"/>
    </xf>
    <xf numFmtId="0" fontId="35" fillId="0" borderId="0" xfId="0" applyFont="1"/>
    <xf numFmtId="0" fontId="0" fillId="0" borderId="0" xfId="0" applyAlignment="1">
      <alignment wrapText="1"/>
    </xf>
    <xf numFmtId="0" fontId="22" fillId="2" borderId="22" xfId="0" applyFont="1" applyFill="1" applyBorder="1"/>
    <xf numFmtId="0" fontId="22" fillId="2" borderId="23" xfId="0" applyFont="1" applyFill="1" applyBorder="1"/>
    <xf numFmtId="0" fontId="22" fillId="2" borderId="24" xfId="0" applyFont="1" applyFill="1" applyBorder="1"/>
    <xf numFmtId="0" fontId="22" fillId="2" borderId="25" xfId="0" applyFont="1" applyFill="1" applyBorder="1"/>
    <xf numFmtId="176" fontId="14" fillId="11" borderId="8" xfId="0" applyNumberFormat="1" applyFont="1" applyFill="1" applyBorder="1" applyAlignment="1">
      <alignment horizontal="center" wrapText="1" readingOrder="1"/>
    </xf>
    <xf numFmtId="14" fontId="14" fillId="11" borderId="8" xfId="0" applyNumberFormat="1" applyFont="1" applyFill="1" applyBorder="1" applyAlignment="1">
      <alignment horizontal="center" wrapText="1" readingOrder="1"/>
    </xf>
    <xf numFmtId="0" fontId="22" fillId="0" borderId="0" xfId="0" applyFont="1" applyFill="1" applyBorder="1"/>
    <xf numFmtId="0" fontId="22" fillId="0" borderId="0" xfId="0" applyFont="1" applyFill="1" applyBorder="1" applyAlignment="1">
      <alignment horizontal="center"/>
    </xf>
    <xf numFmtId="167" fontId="0" fillId="0" borderId="0" xfId="0" applyNumberFormat="1" applyFill="1" applyBorder="1" applyAlignment="1">
      <alignment horizontal="center" readingOrder="1"/>
    </xf>
    <xf numFmtId="1" fontId="0" fillId="0" borderId="0" xfId="0" applyNumberFormat="1" applyFill="1" applyBorder="1" applyAlignment="1">
      <alignment horizontal="center" readingOrder="1"/>
    </xf>
    <xf numFmtId="164" fontId="0" fillId="0" borderId="0" xfId="0" applyNumberFormat="1" applyFill="1" applyBorder="1">
      <alignment readingOrder="1"/>
    </xf>
    <xf numFmtId="43" fontId="0" fillId="0" borderId="0" xfId="16" applyFont="1" applyFill="1" applyBorder="1" applyAlignment="1">
      <alignment horizontal="center" readingOrder="1"/>
    </xf>
    <xf numFmtId="0" fontId="0" fillId="2" borderId="6" xfId="0" applyFill="1" applyBorder="1">
      <alignment readingOrder="1"/>
    </xf>
    <xf numFmtId="0" fontId="0" fillId="2" borderId="27" xfId="0" applyFill="1" applyBorder="1">
      <alignment readingOrder="1"/>
    </xf>
    <xf numFmtId="0" fontId="0" fillId="2" borderId="11" xfId="0" applyFill="1" applyBorder="1">
      <alignment readingOrder="1"/>
    </xf>
    <xf numFmtId="0" fontId="22" fillId="22" borderId="1" xfId="0" applyFont="1" applyFill="1" applyBorder="1"/>
    <xf numFmtId="0" fontId="22" fillId="22" borderId="1" xfId="0" applyFont="1" applyFill="1" applyBorder="1" applyAlignment="1">
      <alignment horizontal="center"/>
    </xf>
    <xf numFmtId="0" fontId="0" fillId="22" borderId="0" xfId="0" applyFill="1">
      <alignment readingOrder="1"/>
    </xf>
    <xf numFmtId="174" fontId="0" fillId="22" borderId="0" xfId="1" applyNumberFormat="1" applyFont="1" applyFill="1">
      <alignment readingOrder="1"/>
    </xf>
    <xf numFmtId="168" fontId="0" fillId="22" borderId="0" xfId="16" applyNumberFormat="1" applyFont="1" applyFill="1" applyAlignment="1">
      <alignment horizontal="center" readingOrder="1"/>
    </xf>
    <xf numFmtId="0" fontId="33" fillId="0" borderId="0" xfId="0" applyFont="1" applyFill="1" applyBorder="1" applyAlignment="1">
      <alignment horizontal="center" vertical="center" wrapText="1" readingOrder="1"/>
    </xf>
    <xf numFmtId="0" fontId="34" fillId="0" borderId="0" xfId="0" applyFont="1" applyFill="1" applyBorder="1" applyAlignment="1">
      <alignment horizontal="center" vertical="center" wrapText="1" readingOrder="1"/>
    </xf>
    <xf numFmtId="43" fontId="3" fillId="0" borderId="0" xfId="1" applyFont="1" applyFill="1" applyBorder="1"/>
    <xf numFmtId="2" fontId="2" fillId="0" borderId="0" xfId="12" applyNumberFormat="1" applyFont="1" applyFill="1" applyBorder="1" applyAlignment="1">
      <alignment horizontal="center"/>
    </xf>
    <xf numFmtId="9" fontId="2" fillId="0" borderId="0" xfId="12" applyNumberFormat="1" applyFont="1" applyFill="1" applyBorder="1"/>
    <xf numFmtId="169" fontId="2" fillId="0" borderId="0" xfId="12" applyNumberFormat="1" applyFont="1" applyFill="1" applyBorder="1"/>
    <xf numFmtId="0" fontId="2" fillId="0" borderId="0" xfId="0" applyFont="1" applyFill="1" applyBorder="1"/>
    <xf numFmtId="0" fontId="28" fillId="0" borderId="0" xfId="0" applyFont="1" applyFill="1" applyBorder="1"/>
    <xf numFmtId="0" fontId="0" fillId="0" borderId="0" xfId="0" applyFont="1" applyFill="1" applyBorder="1"/>
    <xf numFmtId="0" fontId="29" fillId="0" borderId="0" xfId="0" applyFont="1" applyFill="1" applyBorder="1" applyAlignment="1">
      <alignment wrapText="1"/>
    </xf>
    <xf numFmtId="0" fontId="29" fillId="0" borderId="0" xfId="0" applyFont="1" applyFill="1" applyBorder="1" applyAlignment="1">
      <alignment horizontal="center" wrapText="1"/>
    </xf>
    <xf numFmtId="0" fontId="30" fillId="0" borderId="0" xfId="0" applyFont="1" applyFill="1" applyBorder="1" applyAlignment="1">
      <alignment horizontal="center" vertical="center" wrapText="1"/>
    </xf>
    <xf numFmtId="0" fontId="30" fillId="0" borderId="0" xfId="0" applyFont="1" applyFill="1" applyBorder="1" applyAlignment="1">
      <alignment vertical="center" wrapText="1"/>
    </xf>
    <xf numFmtId="43" fontId="0" fillId="0" borderId="0" xfId="1" applyFont="1" applyFill="1" applyBorder="1"/>
    <xf numFmtId="0" fontId="3" fillId="0" borderId="0" xfId="12" applyFont="1" applyFill="1" applyBorder="1" applyAlignment="1">
      <alignment horizontal="center"/>
    </xf>
    <xf numFmtId="0" fontId="36" fillId="0" borderId="0" xfId="19">
      <alignment readingOrder="1"/>
    </xf>
    <xf numFmtId="166" fontId="36" fillId="0" borderId="0" xfId="19" applyNumberFormat="1" applyAlignment="1">
      <alignment horizontal="center" readingOrder="1"/>
    </xf>
    <xf numFmtId="167" fontId="36" fillId="0" borderId="0" xfId="19" applyNumberFormat="1" applyAlignment="1">
      <alignment horizontal="center" readingOrder="1"/>
    </xf>
    <xf numFmtId="0" fontId="11" fillId="0" borderId="0" xfId="3" applyFont="1" applyFill="1" applyBorder="1" applyAlignment="1">
      <alignment horizontal="centerContinuous"/>
    </xf>
    <xf numFmtId="0" fontId="14" fillId="9" borderId="2" xfId="19" applyFont="1" applyFill="1" applyBorder="1" applyAlignment="1">
      <alignment horizontal="center" wrapText="1"/>
    </xf>
    <xf numFmtId="0" fontId="2" fillId="0" borderId="0" xfId="20" applyFont="1" applyBorder="1" applyAlignment="1"/>
    <xf numFmtId="0" fontId="2" fillId="0" borderId="0" xfId="20" applyFont="1" applyBorder="1" applyAlignment="1">
      <alignment wrapText="1"/>
    </xf>
    <xf numFmtId="164" fontId="13" fillId="0" borderId="0" xfId="19" applyNumberFormat="1" applyFont="1">
      <alignment readingOrder="1"/>
    </xf>
    <xf numFmtId="2" fontId="36" fillId="0" borderId="0" xfId="19" applyNumberFormat="1">
      <alignment readingOrder="1"/>
    </xf>
    <xf numFmtId="0" fontId="19" fillId="12" borderId="9" xfId="19" applyFont="1" applyFill="1" applyBorder="1" applyAlignment="1">
      <alignment horizontal="left" wrapText="1" readingOrder="1"/>
    </xf>
    <xf numFmtId="0" fontId="19" fillId="12" borderId="8" xfId="19" applyFont="1" applyFill="1" applyBorder="1" applyAlignment="1">
      <alignment horizontal="center" wrapText="1" readingOrder="1"/>
    </xf>
    <xf numFmtId="0" fontId="19" fillId="13" borderId="9" xfId="19" applyFont="1" applyFill="1" applyBorder="1" applyAlignment="1">
      <alignment horizontal="left" readingOrder="1"/>
    </xf>
    <xf numFmtId="0" fontId="19" fillId="13" borderId="10" xfId="19" applyFont="1" applyFill="1" applyBorder="1" applyAlignment="1">
      <alignment horizontal="center" wrapText="1" readingOrder="1"/>
    </xf>
    <xf numFmtId="0" fontId="19" fillId="13" borderId="8" xfId="19" applyFont="1" applyFill="1" applyBorder="1" applyAlignment="1">
      <alignment horizontal="center" wrapText="1" readingOrder="1"/>
    </xf>
    <xf numFmtId="0" fontId="36" fillId="0" borderId="12" xfId="19" applyBorder="1">
      <alignment readingOrder="1"/>
    </xf>
    <xf numFmtId="0" fontId="36" fillId="0" borderId="13" xfId="19" applyBorder="1">
      <alignment readingOrder="1"/>
    </xf>
    <xf numFmtId="0" fontId="36" fillId="0" borderId="14" xfId="19" applyBorder="1">
      <alignment readingOrder="1"/>
    </xf>
    <xf numFmtId="0" fontId="36" fillId="0" borderId="15" xfId="19" applyBorder="1">
      <alignment readingOrder="1"/>
    </xf>
    <xf numFmtId="0" fontId="36" fillId="0" borderId="0" xfId="19" applyBorder="1">
      <alignment readingOrder="1"/>
    </xf>
    <xf numFmtId="0" fontId="36" fillId="0" borderId="16" xfId="19" applyBorder="1">
      <alignment readingOrder="1"/>
    </xf>
    <xf numFmtId="0" fontId="36" fillId="0" borderId="17" xfId="19" applyBorder="1">
      <alignment readingOrder="1"/>
    </xf>
    <xf numFmtId="0" fontId="36" fillId="0" borderId="18" xfId="19" applyBorder="1">
      <alignment readingOrder="1"/>
    </xf>
    <xf numFmtId="0" fontId="36" fillId="0" borderId="19" xfId="19" applyBorder="1">
      <alignment readingOrder="1"/>
    </xf>
    <xf numFmtId="164" fontId="36" fillId="0" borderId="0" xfId="19" applyNumberFormat="1">
      <alignment readingOrder="1"/>
    </xf>
    <xf numFmtId="0" fontId="14" fillId="14" borderId="3" xfId="19" applyFont="1" applyFill="1" applyBorder="1" applyAlignment="1">
      <alignment horizontal="centerContinuous" wrapText="1" readingOrder="1"/>
    </xf>
    <xf numFmtId="0" fontId="14" fillId="14" borderId="5" xfId="19" applyFont="1" applyFill="1" applyBorder="1" applyAlignment="1">
      <alignment horizontal="centerContinuous" wrapText="1" readingOrder="1"/>
    </xf>
    <xf numFmtId="164" fontId="14" fillId="14" borderId="3" xfId="19" applyNumberFormat="1" applyFont="1" applyFill="1" applyBorder="1" applyAlignment="1">
      <alignment horizontal="centerContinuous" wrapText="1" readingOrder="1"/>
    </xf>
    <xf numFmtId="164" fontId="14" fillId="14" borderId="4" xfId="19" applyNumberFormat="1" applyFont="1" applyFill="1" applyBorder="1" applyAlignment="1">
      <alignment horizontal="centerContinuous" wrapText="1" readingOrder="1"/>
    </xf>
    <xf numFmtId="164" fontId="14" fillId="14" borderId="5" xfId="19" applyNumberFormat="1" applyFont="1" applyFill="1" applyBorder="1" applyAlignment="1">
      <alignment horizontal="centerContinuous" wrapText="1" readingOrder="1"/>
    </xf>
    <xf numFmtId="164" fontId="14" fillId="14" borderId="10" xfId="19" applyNumberFormat="1" applyFont="1" applyFill="1" applyBorder="1" applyAlignment="1">
      <alignment horizontal="center" wrapText="1" readingOrder="1"/>
    </xf>
    <xf numFmtId="0" fontId="14" fillId="11" borderId="1" xfId="19" applyFont="1" applyFill="1" applyBorder="1" applyAlignment="1">
      <alignment horizontal="center" wrapText="1" readingOrder="1"/>
    </xf>
    <xf numFmtId="0" fontId="14" fillId="11" borderId="8" xfId="19" applyFont="1" applyFill="1" applyBorder="1" applyAlignment="1">
      <alignment horizontal="center" wrapText="1" readingOrder="1"/>
    </xf>
    <xf numFmtId="164" fontId="14" fillId="11" borderId="8" xfId="19" applyNumberFormat="1" applyFont="1" applyFill="1" applyBorder="1" applyAlignment="1">
      <alignment horizontal="center" wrapText="1" readingOrder="1"/>
    </xf>
    <xf numFmtId="170" fontId="14" fillId="11" borderId="8" xfId="19" applyNumberFormat="1" applyFont="1" applyFill="1" applyBorder="1" applyAlignment="1">
      <alignment horizontal="center" wrapText="1" readingOrder="1"/>
    </xf>
    <xf numFmtId="164" fontId="20" fillId="0" borderId="0" xfId="19" applyNumberFormat="1" applyFont="1">
      <alignment readingOrder="1"/>
    </xf>
    <xf numFmtId="0" fontId="14" fillId="15" borderId="3" xfId="19" applyFont="1" applyFill="1" applyBorder="1" applyAlignment="1">
      <alignment horizontal="centerContinuous" wrapText="1" readingOrder="1"/>
    </xf>
    <xf numFmtId="0" fontId="14" fillId="15" borderId="4" xfId="19" applyFont="1" applyFill="1" applyBorder="1" applyAlignment="1">
      <alignment horizontal="centerContinuous" wrapText="1" readingOrder="1"/>
    </xf>
    <xf numFmtId="164" fontId="14" fillId="15" borderId="4" xfId="19" applyNumberFormat="1" applyFont="1" applyFill="1" applyBorder="1" applyAlignment="1">
      <alignment horizontal="centerContinuous" wrapText="1" readingOrder="1"/>
    </xf>
    <xf numFmtId="164" fontId="14" fillId="15" borderId="5" xfId="19" applyNumberFormat="1" applyFont="1" applyFill="1" applyBorder="1" applyAlignment="1">
      <alignment horizontal="centerContinuous" wrapText="1" readingOrder="1"/>
    </xf>
    <xf numFmtId="164" fontId="14" fillId="15" borderId="10" xfId="19" applyNumberFormat="1" applyFont="1" applyFill="1" applyBorder="1" applyAlignment="1">
      <alignment horizontal="center" wrapText="1" readingOrder="1"/>
    </xf>
    <xf numFmtId="164" fontId="14" fillId="15" borderId="3" xfId="19" applyNumberFormat="1" applyFont="1" applyFill="1" applyBorder="1" applyAlignment="1">
      <alignment horizontal="centerContinuous" wrapText="1" readingOrder="1"/>
    </xf>
    <xf numFmtId="0" fontId="3" fillId="0" borderId="0" xfId="19" applyFont="1">
      <alignment readingOrder="1"/>
    </xf>
    <xf numFmtId="164" fontId="3" fillId="0" borderId="0" xfId="19" applyNumberFormat="1" applyFont="1">
      <alignment readingOrder="1"/>
    </xf>
    <xf numFmtId="1" fontId="36" fillId="0" borderId="0" xfId="19" applyNumberFormat="1">
      <alignment readingOrder="1"/>
    </xf>
    <xf numFmtId="171" fontId="3" fillId="0" borderId="0" xfId="19" applyNumberFormat="1" applyFont="1">
      <alignment readingOrder="1"/>
    </xf>
    <xf numFmtId="171" fontId="36" fillId="0" borderId="0" xfId="19" applyNumberFormat="1">
      <alignment readingOrder="1"/>
    </xf>
    <xf numFmtId="171" fontId="20" fillId="0" borderId="0" xfId="19" applyNumberFormat="1" applyFont="1">
      <alignment readingOrder="1"/>
    </xf>
    <xf numFmtId="0" fontId="14" fillId="15" borderId="1" xfId="19" applyFont="1" applyFill="1" applyBorder="1" applyAlignment="1">
      <alignment horizontal="center" wrapText="1" readingOrder="1"/>
    </xf>
    <xf numFmtId="0" fontId="14" fillId="15" borderId="8" xfId="19" applyFont="1" applyFill="1" applyBorder="1" applyAlignment="1">
      <alignment horizontal="center" wrapText="1" readingOrder="1"/>
    </xf>
    <xf numFmtId="164" fontId="14" fillId="15" borderId="8" xfId="19" applyNumberFormat="1" applyFont="1" applyFill="1" applyBorder="1" applyAlignment="1">
      <alignment horizontal="center" wrapText="1" readingOrder="1"/>
    </xf>
    <xf numFmtId="164" fontId="14" fillId="15" borderId="20" xfId="19" applyNumberFormat="1" applyFont="1" applyFill="1" applyBorder="1" applyAlignment="1">
      <alignment horizontal="centerContinuous" wrapText="1" readingOrder="1"/>
    </xf>
    <xf numFmtId="164" fontId="14" fillId="15" borderId="21" xfId="19" applyNumberFormat="1" applyFont="1" applyFill="1" applyBorder="1" applyAlignment="1">
      <alignment horizontal="centerContinuous" wrapText="1" readingOrder="1"/>
    </xf>
    <xf numFmtId="0" fontId="37" fillId="0" borderId="0" xfId="19" applyFont="1"/>
    <xf numFmtId="0" fontId="2" fillId="0" borderId="0" xfId="19" applyFont="1">
      <alignment readingOrder="1"/>
    </xf>
    <xf numFmtId="168" fontId="0" fillId="0" borderId="0" xfId="16" applyNumberFormat="1" applyFont="1">
      <alignment readingOrder="1"/>
    </xf>
    <xf numFmtId="43" fontId="0" fillId="0" borderId="0" xfId="16" applyFont="1">
      <alignment readingOrder="1"/>
    </xf>
    <xf numFmtId="0" fontId="2" fillId="0" borderId="0" xfId="5">
      <alignment readingOrder="1"/>
    </xf>
    <xf numFmtId="0" fontId="3" fillId="21" borderId="0" xfId="5" applyFont="1" applyFill="1">
      <alignment readingOrder="1"/>
    </xf>
    <xf numFmtId="0" fontId="3" fillId="0" borderId="0" xfId="5" applyFont="1" applyAlignment="1">
      <alignment wrapText="1" readingOrder="1"/>
    </xf>
    <xf numFmtId="0" fontId="3" fillId="0" borderId="1" xfId="5" applyFont="1" applyBorder="1" applyAlignment="1">
      <alignment wrapText="1" readingOrder="1"/>
    </xf>
    <xf numFmtId="0" fontId="2" fillId="0" borderId="0" xfId="5" applyFont="1">
      <alignment readingOrder="1"/>
    </xf>
    <xf numFmtId="174" fontId="2" fillId="0" borderId="0" xfId="5" applyNumberFormat="1">
      <alignment readingOrder="1"/>
    </xf>
    <xf numFmtId="164" fontId="2" fillId="0" borderId="0" xfId="5" applyNumberFormat="1">
      <alignment readingOrder="1"/>
    </xf>
    <xf numFmtId="9" fontId="0" fillId="0" borderId="0" xfId="21" applyFont="1">
      <alignment readingOrder="1"/>
    </xf>
    <xf numFmtId="9" fontId="2" fillId="0" borderId="0" xfId="5" applyNumberFormat="1">
      <alignment readingOrder="1"/>
    </xf>
    <xf numFmtId="2" fontId="2" fillId="0" borderId="0" xfId="5" applyNumberFormat="1">
      <alignment readingOrder="1"/>
    </xf>
    <xf numFmtId="1" fontId="2" fillId="0" borderId="0" xfId="5" applyNumberFormat="1">
      <alignment readingOrder="1"/>
    </xf>
    <xf numFmtId="168" fontId="2" fillId="0" borderId="0" xfId="16" applyNumberFormat="1">
      <alignment readingOrder="1"/>
    </xf>
    <xf numFmtId="0" fontId="2" fillId="0" borderId="1" xfId="5" applyBorder="1">
      <alignment readingOrder="1"/>
    </xf>
    <xf numFmtId="0" fontId="38" fillId="0" borderId="1" xfId="19" applyFont="1" applyFill="1" applyBorder="1" applyAlignment="1">
      <alignment vertical="center"/>
    </xf>
    <xf numFmtId="168" fontId="2" fillId="0" borderId="0" xfId="5" applyNumberFormat="1">
      <alignment readingOrder="1"/>
    </xf>
    <xf numFmtId="0" fontId="2" fillId="0" borderId="0" xfId="5" applyFont="1" applyBorder="1">
      <alignment readingOrder="1"/>
    </xf>
    <xf numFmtId="168" fontId="0" fillId="0" borderId="0" xfId="16" applyNumberFormat="1" applyFont="1" applyBorder="1">
      <alignment readingOrder="1"/>
    </xf>
    <xf numFmtId="174" fontId="2" fillId="0" borderId="0" xfId="5" applyNumberFormat="1" applyBorder="1">
      <alignment readingOrder="1"/>
    </xf>
    <xf numFmtId="164" fontId="2" fillId="0" borderId="0" xfId="5" applyNumberFormat="1" applyBorder="1">
      <alignment readingOrder="1"/>
    </xf>
    <xf numFmtId="9" fontId="0" fillId="0" borderId="0" xfId="21" applyFont="1" applyBorder="1">
      <alignment readingOrder="1"/>
    </xf>
    <xf numFmtId="174" fontId="0" fillId="0" borderId="0" xfId="16" applyNumberFormat="1" applyFont="1" applyFill="1" applyBorder="1">
      <alignment readingOrder="1"/>
    </xf>
    <xf numFmtId="164" fontId="0" fillId="0" borderId="0" xfId="16" applyNumberFormat="1" applyFont="1" applyFill="1" applyBorder="1">
      <alignment readingOrder="1"/>
    </xf>
    <xf numFmtId="168" fontId="0" fillId="0" borderId="0" xfId="16" applyNumberFormat="1" applyFont="1" applyFill="1" applyBorder="1">
      <alignment readingOrder="1"/>
    </xf>
    <xf numFmtId="43" fontId="2" fillId="0" borderId="0" xfId="5" applyNumberFormat="1">
      <alignment readingOrder="1"/>
    </xf>
    <xf numFmtId="0" fontId="22" fillId="18" borderId="0" xfId="22" applyFont="1" applyFill="1"/>
    <xf numFmtId="3" fontId="2" fillId="0" borderId="0" xfId="5" applyNumberFormat="1">
      <alignment readingOrder="1"/>
    </xf>
    <xf numFmtId="0" fontId="39" fillId="0" borderId="0" xfId="23">
      <alignment readingOrder="1"/>
    </xf>
    <xf numFmtId="168" fontId="3" fillId="0" borderId="0" xfId="16" applyNumberFormat="1" applyFont="1">
      <alignment readingOrder="1"/>
    </xf>
    <xf numFmtId="168" fontId="2" fillId="0" borderId="0" xfId="16" applyNumberFormat="1" applyFont="1" applyAlignment="1">
      <alignment horizontal="center" readingOrder="1"/>
    </xf>
    <xf numFmtId="9" fontId="2" fillId="0" borderId="0" xfId="5" applyNumberFormat="1" applyFont="1">
      <alignment readingOrder="1"/>
    </xf>
    <xf numFmtId="11" fontId="2" fillId="0" borderId="0" xfId="5" applyNumberFormat="1">
      <alignment readingOrder="1"/>
    </xf>
    <xf numFmtId="0" fontId="3" fillId="0" borderId="1" xfId="5" applyFont="1" applyBorder="1">
      <alignment readingOrder="1"/>
    </xf>
    <xf numFmtId="168" fontId="0" fillId="0" borderId="1" xfId="16" applyNumberFormat="1" applyFont="1" applyBorder="1">
      <alignment readingOrder="1"/>
    </xf>
    <xf numFmtId="9" fontId="0" fillId="0" borderId="1" xfId="21" applyFont="1" applyBorder="1">
      <alignment readingOrder="1"/>
    </xf>
    <xf numFmtId="0" fontId="22" fillId="17" borderId="0" xfId="22" applyFont="1" applyFill="1"/>
    <xf numFmtId="0" fontId="5" fillId="0" borderId="0" xfId="22" applyFont="1"/>
    <xf numFmtId="0" fontId="5" fillId="0" borderId="1" xfId="22" applyFont="1" applyBorder="1"/>
    <xf numFmtId="168" fontId="5" fillId="0" borderId="1" xfId="22" applyNumberFormat="1" applyFont="1" applyBorder="1"/>
    <xf numFmtId="0" fontId="22" fillId="0" borderId="0" xfId="22" applyFont="1"/>
    <xf numFmtId="0" fontId="5" fillId="0" borderId="0" xfId="22" applyFont="1" applyAlignment="1">
      <alignment horizontal="center"/>
    </xf>
    <xf numFmtId="10" fontId="5" fillId="0" borderId="0" xfId="22" applyNumberFormat="1" applyFont="1"/>
    <xf numFmtId="0" fontId="40" fillId="0" borderId="22" xfId="22" quotePrefix="1" applyFont="1" applyBorder="1" applyAlignment="1">
      <alignment horizontal="center"/>
    </xf>
    <xf numFmtId="0" fontId="40" fillId="0" borderId="22" xfId="22" applyFont="1" applyBorder="1"/>
    <xf numFmtId="168" fontId="40" fillId="0" borderId="22" xfId="16" quotePrefix="1" applyNumberFormat="1" applyFont="1" applyBorder="1"/>
    <xf numFmtId="0" fontId="40" fillId="0" borderId="22" xfId="22" quotePrefix="1" applyFont="1" applyBorder="1"/>
    <xf numFmtId="175" fontId="5" fillId="0" borderId="0" xfId="22" applyNumberFormat="1" applyFont="1"/>
    <xf numFmtId="168" fontId="5" fillId="0" borderId="0" xfId="16" applyNumberFormat="1" applyFont="1"/>
    <xf numFmtId="9" fontId="5" fillId="0" borderId="0" xfId="22" applyNumberFormat="1" applyFont="1"/>
    <xf numFmtId="0" fontId="40" fillId="0" borderId="0" xfId="22" quotePrefix="1" applyFont="1" applyBorder="1" applyAlignment="1">
      <alignment horizontal="center"/>
    </xf>
    <xf numFmtId="0" fontId="40" fillId="0" borderId="0" xfId="22" applyFont="1" applyBorder="1"/>
    <xf numFmtId="168" fontId="40" fillId="0" borderId="0" xfId="16" quotePrefix="1" applyNumberFormat="1" applyFont="1" applyBorder="1"/>
    <xf numFmtId="0" fontId="40" fillId="0" borderId="0" xfId="22" quotePrefix="1" applyFont="1" applyBorder="1"/>
    <xf numFmtId="0" fontId="6" fillId="0" borderId="0" xfId="5" applyFont="1" applyAlignment="1">
      <alignment vertical="center" readingOrder="1"/>
    </xf>
    <xf numFmtId="0" fontId="5" fillId="0" borderId="0" xfId="22" quotePrefix="1" applyFont="1" applyAlignment="1">
      <alignment horizontal="center"/>
    </xf>
    <xf numFmtId="43" fontId="5" fillId="0" borderId="0" xfId="16" applyNumberFormat="1" applyFont="1"/>
    <xf numFmtId="0" fontId="5" fillId="0" borderId="0" xfId="22" quotePrefix="1" applyFont="1" applyBorder="1"/>
    <xf numFmtId="0" fontId="22" fillId="0" borderId="1" xfId="22" applyFont="1" applyBorder="1" applyAlignment="1">
      <alignment horizontal="right"/>
    </xf>
    <xf numFmtId="0" fontId="22" fillId="0" borderId="1" xfId="22" applyFont="1" applyBorder="1"/>
    <xf numFmtId="0" fontId="5" fillId="0" borderId="1" xfId="22" applyFont="1" applyBorder="1" applyAlignment="1">
      <alignment horizontal="right"/>
    </xf>
    <xf numFmtId="10" fontId="5" fillId="0" borderId="1" xfId="22" applyNumberFormat="1" applyFont="1" applyBorder="1"/>
    <xf numFmtId="0" fontId="40" fillId="0" borderId="0" xfId="22" applyFont="1" applyAlignment="1">
      <alignment horizontal="right"/>
    </xf>
    <xf numFmtId="10" fontId="40" fillId="0" borderId="0" xfId="22" applyNumberFormat="1" applyFont="1"/>
    <xf numFmtId="0" fontId="41" fillId="0" borderId="0" xfId="24" applyFont="1"/>
    <xf numFmtId="0" fontId="5" fillId="0" borderId="0" xfId="22" applyFont="1" applyAlignment="1">
      <alignment wrapText="1"/>
    </xf>
    <xf numFmtId="3" fontId="5" fillId="0" borderId="0" xfId="22" applyNumberFormat="1" applyFont="1"/>
    <xf numFmtId="0" fontId="40" fillId="0" borderId="0" xfId="22" applyFont="1" applyAlignment="1">
      <alignment wrapText="1"/>
    </xf>
    <xf numFmtId="175" fontId="40" fillId="0" borderId="0" xfId="22" applyNumberFormat="1" applyFont="1"/>
    <xf numFmtId="0" fontId="42" fillId="0" borderId="0" xfId="22" applyFont="1"/>
    <xf numFmtId="0" fontId="41" fillId="0" borderId="0" xfId="23" applyFont="1"/>
    <xf numFmtId="164" fontId="5" fillId="0" borderId="0" xfId="22" applyNumberFormat="1" applyFont="1"/>
    <xf numFmtId="9" fontId="40" fillId="0" borderId="0" xfId="22" applyNumberFormat="1" applyFont="1"/>
    <xf numFmtId="0" fontId="41" fillId="0" borderId="0" xfId="23" applyFont="1">
      <alignment readingOrder="1"/>
    </xf>
    <xf numFmtId="0" fontId="43" fillId="0" borderId="0" xfId="23" applyFont="1">
      <alignment readingOrder="1"/>
    </xf>
    <xf numFmtId="0" fontId="40" fillId="0" borderId="0" xfId="22" applyFont="1"/>
    <xf numFmtId="0" fontId="4" fillId="0" borderId="0" xfId="5" applyFont="1">
      <alignment readingOrder="1"/>
    </xf>
    <xf numFmtId="0" fontId="6" fillId="0" borderId="0" xfId="5" applyFont="1">
      <alignment readingOrder="1"/>
    </xf>
    <xf numFmtId="0" fontId="6" fillId="0" borderId="0" xfId="5" applyFont="1" applyAlignment="1">
      <alignment wrapText="1" readingOrder="1"/>
    </xf>
    <xf numFmtId="0" fontId="4" fillId="0" borderId="0" xfId="5" applyFont="1" applyAlignment="1">
      <alignment wrapText="1" readingOrder="1"/>
    </xf>
    <xf numFmtId="168" fontId="6" fillId="0" borderId="0" xfId="16" applyNumberFormat="1" applyFont="1">
      <alignment readingOrder="1"/>
    </xf>
    <xf numFmtId="2" fontId="6" fillId="0" borderId="0" xfId="5" applyNumberFormat="1" applyFont="1">
      <alignment readingOrder="1"/>
    </xf>
    <xf numFmtId="164" fontId="6" fillId="0" borderId="0" xfId="5" applyNumberFormat="1" applyFont="1">
      <alignment readingOrder="1"/>
    </xf>
    <xf numFmtId="0" fontId="44" fillId="0" borderId="0" xfId="5" applyFont="1">
      <alignment readingOrder="1"/>
    </xf>
    <xf numFmtId="168" fontId="44" fillId="0" borderId="0" xfId="16" applyNumberFormat="1" applyFont="1">
      <alignment readingOrder="1"/>
    </xf>
    <xf numFmtId="2" fontId="44" fillId="0" borderId="0" xfId="5" applyNumberFormat="1" applyFont="1">
      <alignment readingOrder="1"/>
    </xf>
    <xf numFmtId="164" fontId="44" fillId="0" borderId="0" xfId="5" applyNumberFormat="1" applyFont="1">
      <alignment readingOrder="1"/>
    </xf>
    <xf numFmtId="168" fontId="9" fillId="0" borderId="0" xfId="16" applyNumberFormat="1" applyFont="1">
      <alignment readingOrder="1"/>
    </xf>
    <xf numFmtId="0" fontId="45" fillId="0" borderId="0" xfId="5" applyFont="1" applyAlignment="1">
      <alignment wrapText="1" readingOrder="1"/>
    </xf>
    <xf numFmtId="0" fontId="6" fillId="0" borderId="0" xfId="5" applyFont="1" applyAlignment="1">
      <alignment vertical="center" wrapText="1" readingOrder="1"/>
    </xf>
    <xf numFmtId="1" fontId="5" fillId="0" borderId="0" xfId="22" applyNumberFormat="1" applyFont="1"/>
    <xf numFmtId="0" fontId="3" fillId="0" borderId="0" xfId="5" applyFont="1">
      <alignment readingOrder="1"/>
    </xf>
    <xf numFmtId="169" fontId="2" fillId="0" borderId="0" xfId="5" applyNumberFormat="1">
      <alignment readingOrder="1"/>
    </xf>
    <xf numFmtId="0" fontId="2" fillId="0" borderId="0" xfId="5" applyAlignment="1">
      <alignment horizontal="left" readingOrder="1"/>
    </xf>
    <xf numFmtId="0" fontId="3" fillId="4" borderId="0" xfId="5" applyFont="1" applyFill="1">
      <alignment readingOrder="1"/>
    </xf>
    <xf numFmtId="0" fontId="3" fillId="8" borderId="0" xfId="5" applyFont="1" applyFill="1">
      <alignment readingOrder="1"/>
    </xf>
    <xf numFmtId="0" fontId="2" fillId="0" borderId="29" xfId="5" applyFont="1" applyBorder="1" applyAlignment="1">
      <alignment horizontal="left" vertical="center" wrapText="1" readingOrder="1"/>
    </xf>
    <xf numFmtId="0" fontId="2" fillId="0" borderId="30" xfId="5" applyFont="1" applyBorder="1">
      <alignment readingOrder="1"/>
    </xf>
    <xf numFmtId="0" fontId="2" fillId="0" borderId="31" xfId="5" applyFont="1" applyBorder="1">
      <alignment readingOrder="1"/>
    </xf>
    <xf numFmtId="0" fontId="2" fillId="0" borderId="32" xfId="5" applyFont="1" applyBorder="1">
      <alignment readingOrder="1"/>
    </xf>
    <xf numFmtId="0" fontId="2" fillId="0" borderId="33" xfId="5" applyFont="1" applyBorder="1" applyAlignment="1">
      <alignment horizontal="left" vertical="center" wrapText="1" readingOrder="1"/>
    </xf>
    <xf numFmtId="0" fontId="2" fillId="0" borderId="8" xfId="5" applyFont="1" applyBorder="1">
      <alignment readingOrder="1"/>
    </xf>
    <xf numFmtId="0" fontId="2" fillId="0" borderId="1" xfId="5" applyFont="1" applyBorder="1">
      <alignment readingOrder="1"/>
    </xf>
    <xf numFmtId="0" fontId="2" fillId="0" borderId="34" xfId="5" applyFont="1" applyBorder="1">
      <alignment readingOrder="1"/>
    </xf>
    <xf numFmtId="0" fontId="3" fillId="0" borderId="33" xfId="5" applyFont="1" applyFill="1" applyBorder="1" applyAlignment="1">
      <alignment vertical="center" wrapText="1" readingOrder="1"/>
    </xf>
    <xf numFmtId="0" fontId="39" fillId="0" borderId="1" xfId="23" applyBorder="1">
      <alignment readingOrder="1"/>
    </xf>
    <xf numFmtId="0" fontId="39" fillId="0" borderId="34" xfId="23" applyBorder="1">
      <alignment readingOrder="1"/>
    </xf>
    <xf numFmtId="0" fontId="2" fillId="0" borderId="28" xfId="5" applyFont="1" applyFill="1" applyBorder="1" applyAlignment="1">
      <alignment wrapText="1" readingOrder="1"/>
    </xf>
    <xf numFmtId="0" fontId="2" fillId="0" borderId="0" xfId="5" applyFont="1" applyAlignment="1">
      <alignment wrapText="1" readingOrder="1"/>
    </xf>
    <xf numFmtId="0" fontId="2" fillId="0" borderId="0" xfId="5" applyAlignment="1">
      <alignment vertical="center" wrapText="1" readingOrder="1"/>
    </xf>
    <xf numFmtId="0" fontId="3" fillId="0" borderId="33" xfId="5" applyFont="1" applyBorder="1" applyAlignment="1">
      <alignment vertical="center" wrapText="1" readingOrder="1"/>
    </xf>
    <xf numFmtId="0" fontId="2" fillId="0" borderId="8" xfId="5" applyBorder="1" applyAlignment="1">
      <alignment horizontal="center" vertical="center" readingOrder="1"/>
    </xf>
    <xf numFmtId="0" fontId="2" fillId="0" borderId="1" xfId="5" applyBorder="1" applyAlignment="1">
      <alignment horizontal="center" vertical="center" readingOrder="1"/>
    </xf>
    <xf numFmtId="0" fontId="2" fillId="0" borderId="1" xfId="5" applyFont="1" applyBorder="1" applyAlignment="1">
      <alignment horizontal="center" vertical="center" readingOrder="1"/>
    </xf>
    <xf numFmtId="0" fontId="2" fillId="0" borderId="34" xfId="5" applyBorder="1" applyAlignment="1">
      <alignment horizontal="center" vertical="center" readingOrder="1"/>
    </xf>
    <xf numFmtId="0" fontId="2" fillId="0" borderId="8" xfId="5" applyFont="1" applyBorder="1" applyAlignment="1">
      <alignment horizontal="center" vertical="center" readingOrder="1"/>
    </xf>
    <xf numFmtId="0" fontId="2" fillId="0" borderId="34" xfId="5" applyFont="1" applyBorder="1" applyAlignment="1">
      <alignment horizontal="center" vertical="center" readingOrder="1"/>
    </xf>
    <xf numFmtId="0" fontId="2" fillId="0" borderId="8" xfId="5" applyBorder="1">
      <alignment readingOrder="1"/>
    </xf>
    <xf numFmtId="0" fontId="3" fillId="0" borderId="35" xfId="5" applyFont="1" applyBorder="1" applyAlignment="1">
      <alignment vertical="center" wrapText="1" readingOrder="1"/>
    </xf>
    <xf numFmtId="0" fontId="2" fillId="0" borderId="23" xfId="5" applyFont="1" applyBorder="1" applyAlignment="1">
      <alignment horizontal="center" vertical="center" wrapText="1" readingOrder="1"/>
    </xf>
    <xf numFmtId="0" fontId="2" fillId="0" borderId="7" xfId="5" applyFont="1" applyBorder="1" applyAlignment="1">
      <alignment horizontal="center" vertical="center" readingOrder="1"/>
    </xf>
    <xf numFmtId="0" fontId="2" fillId="0" borderId="36" xfId="5" applyFont="1" applyBorder="1" applyAlignment="1">
      <alignment horizontal="center" vertical="center" readingOrder="1"/>
    </xf>
    <xf numFmtId="0" fontId="3" fillId="0" borderId="37" xfId="5" applyFont="1" applyFill="1" applyBorder="1" applyAlignment="1">
      <alignment vertical="center" wrapText="1" readingOrder="1"/>
    </xf>
    <xf numFmtId="0" fontId="2" fillId="0" borderId="21" xfId="5" applyFont="1" applyFill="1" applyBorder="1" applyAlignment="1">
      <alignment wrapText="1" readingOrder="1"/>
    </xf>
    <xf numFmtId="0" fontId="2" fillId="0" borderId="38" xfId="5" applyFont="1" applyBorder="1" applyAlignment="1">
      <alignment wrapText="1" readingOrder="1"/>
    </xf>
    <xf numFmtId="0" fontId="2" fillId="0" borderId="38" xfId="5" applyBorder="1">
      <alignment readingOrder="1"/>
    </xf>
    <xf numFmtId="0" fontId="2" fillId="0" borderId="39" xfId="5" applyBorder="1">
      <alignment readingOrder="1"/>
    </xf>
    <xf numFmtId="0" fontId="3" fillId="0" borderId="0" xfId="5" applyFont="1" applyFill="1" applyBorder="1" applyAlignment="1">
      <alignment vertical="center" wrapText="1" readingOrder="1"/>
    </xf>
    <xf numFmtId="0" fontId="44" fillId="0" borderId="0" xfId="5" applyFont="1" applyAlignment="1">
      <alignment wrapText="1" readingOrder="1"/>
    </xf>
    <xf numFmtId="9" fontId="6" fillId="0" borderId="0" xfId="21" applyFont="1">
      <alignment readingOrder="1"/>
    </xf>
    <xf numFmtId="0" fontId="6" fillId="0" borderId="0" xfId="5" applyFont="1" applyAlignment="1">
      <alignment horizontal="left" vertical="center" readingOrder="1"/>
    </xf>
    <xf numFmtId="0" fontId="46" fillId="0" borderId="0" xfId="25" applyFont="1" applyBorder="1" applyAlignment="1">
      <alignment wrapText="1" readingOrder="1"/>
    </xf>
    <xf numFmtId="0" fontId="4" fillId="23" borderId="0" xfId="5" applyFont="1" applyFill="1">
      <alignment readingOrder="1"/>
    </xf>
    <xf numFmtId="0" fontId="4" fillId="4" borderId="1" xfId="5" applyFont="1" applyFill="1" applyBorder="1">
      <alignment readingOrder="1"/>
    </xf>
    <xf numFmtId="0" fontId="2" fillId="0" borderId="1" xfId="5" applyFont="1" applyFill="1" applyBorder="1">
      <alignment readingOrder="1"/>
    </xf>
    <xf numFmtId="0" fontId="6" fillId="0" borderId="1" xfId="5" applyFont="1" applyFill="1" applyBorder="1" applyAlignment="1">
      <alignment horizontal="center" readingOrder="1"/>
    </xf>
    <xf numFmtId="0" fontId="6" fillId="0" borderId="1" xfId="5" applyFont="1" applyBorder="1">
      <alignment readingOrder="1"/>
    </xf>
    <xf numFmtId="0" fontId="6" fillId="0" borderId="1" xfId="5" applyFont="1" applyBorder="1" applyAlignment="1">
      <alignment horizontal="center" readingOrder="1"/>
    </xf>
    <xf numFmtId="0" fontId="22" fillId="4" borderId="0" xfId="22" applyFont="1" applyFill="1"/>
    <xf numFmtId="0" fontId="22" fillId="0" borderId="1" xfId="22" applyFont="1" applyBorder="1" applyAlignment="1">
      <alignment wrapText="1"/>
    </xf>
    <xf numFmtId="1" fontId="5" fillId="0" borderId="1" xfId="22" applyNumberFormat="1" applyFont="1" applyBorder="1"/>
    <xf numFmtId="169" fontId="5" fillId="0" borderId="1" xfId="22" applyNumberFormat="1" applyFont="1" applyBorder="1"/>
    <xf numFmtId="177" fontId="5" fillId="0" borderId="1" xfId="22" applyNumberFormat="1" applyFont="1" applyBorder="1"/>
    <xf numFmtId="175" fontId="5" fillId="0" borderId="0" xfId="21" applyNumberFormat="1" applyFont="1"/>
    <xf numFmtId="0" fontId="5" fillId="0" borderId="0" xfId="22" applyFont="1" applyFill="1"/>
    <xf numFmtId="175" fontId="5" fillId="0" borderId="0" xfId="21" applyNumberFormat="1" applyFont="1" applyFill="1"/>
    <xf numFmtId="175" fontId="5" fillId="21" borderId="0" xfId="21" applyNumberFormat="1" applyFont="1" applyFill="1"/>
    <xf numFmtId="0" fontId="5" fillId="21" borderId="0" xfId="22" applyFont="1" applyFill="1"/>
    <xf numFmtId="0" fontId="5" fillId="0" borderId="0" xfId="22" applyFont="1" applyAlignment="1">
      <alignment horizontal="right"/>
    </xf>
    <xf numFmtId="0" fontId="5" fillId="0" borderId="0" xfId="22" applyFont="1" applyFill="1" applyAlignment="1"/>
    <xf numFmtId="0" fontId="6" fillId="0" borderId="0" xfId="5" applyFont="1" applyFill="1">
      <alignment readingOrder="1"/>
    </xf>
    <xf numFmtId="44" fontId="6" fillId="0" borderId="0" xfId="5" applyNumberFormat="1" applyFont="1">
      <alignment readingOrder="1"/>
    </xf>
    <xf numFmtId="44" fontId="4" fillId="0" borderId="0" xfId="26" applyFont="1" applyBorder="1" applyAlignment="1">
      <alignment horizontal="left"/>
    </xf>
    <xf numFmtId="0" fontId="6" fillId="0" borderId="0" xfId="5" applyFont="1"/>
    <xf numFmtId="0" fontId="22" fillId="19" borderId="1" xfId="5" applyFont="1" applyFill="1" applyBorder="1" applyAlignment="1">
      <alignment wrapText="1"/>
    </xf>
    <xf numFmtId="0" fontId="22" fillId="19" borderId="1" xfId="5" applyFont="1" applyFill="1" applyBorder="1" applyAlignment="1">
      <alignment horizontal="center" vertical="center" wrapText="1"/>
    </xf>
    <xf numFmtId="0" fontId="22" fillId="19" borderId="1" xfId="5" applyFont="1" applyFill="1" applyBorder="1" applyAlignment="1">
      <alignment horizontal="center" wrapText="1"/>
    </xf>
    <xf numFmtId="0" fontId="6" fillId="0" borderId="1" xfId="5" applyFont="1" applyFill="1" applyBorder="1" applyAlignment="1">
      <alignment vertical="center" wrapText="1"/>
    </xf>
    <xf numFmtId="44" fontId="47" fillId="0" borderId="1" xfId="27" applyNumberFormat="1" applyFont="1" applyFill="1" applyBorder="1" applyAlignment="1">
      <alignment horizontal="center" vertical="center" wrapText="1"/>
    </xf>
    <xf numFmtId="0" fontId="5" fillId="0" borderId="1" xfId="5" applyFont="1" applyBorder="1" applyAlignment="1">
      <alignment vertical="center" wrapText="1"/>
    </xf>
    <xf numFmtId="0" fontId="47" fillId="0" borderId="1" xfId="27" applyFont="1" applyFill="1" applyBorder="1" applyAlignment="1">
      <alignment vertical="center"/>
    </xf>
    <xf numFmtId="8" fontId="5" fillId="0" borderId="1" xfId="5" applyNumberFormat="1" applyFont="1" applyFill="1" applyBorder="1" applyAlignment="1">
      <alignment horizontal="left" vertical="center" wrapText="1"/>
    </xf>
    <xf numFmtId="43" fontId="47" fillId="0" borderId="1" xfId="16" applyFont="1" applyFill="1" applyBorder="1" applyAlignment="1">
      <alignment vertical="center" wrapText="1"/>
    </xf>
    <xf numFmtId="178" fontId="47" fillId="0" borderId="1" xfId="27" applyNumberFormat="1" applyFont="1" applyFill="1" applyBorder="1" applyAlignment="1">
      <alignment horizontal="center" vertical="center" wrapText="1"/>
    </xf>
    <xf numFmtId="179" fontId="6" fillId="0" borderId="1" xfId="5" applyNumberFormat="1" applyFont="1" applyFill="1" applyBorder="1" applyAlignment="1">
      <alignment horizontal="center" vertical="center" wrapText="1"/>
    </xf>
    <xf numFmtId="0" fontId="48" fillId="0" borderId="0" xfId="25" applyFont="1">
      <alignment readingOrder="1"/>
    </xf>
    <xf numFmtId="2" fontId="22" fillId="0" borderId="1" xfId="22" applyNumberFormat="1" applyFont="1" applyBorder="1"/>
    <xf numFmtId="9" fontId="5" fillId="0" borderId="1" xfId="21" applyFont="1" applyBorder="1"/>
    <xf numFmtId="0" fontId="49" fillId="0" borderId="0" xfId="25" applyFont="1">
      <alignment readingOrder="1"/>
    </xf>
    <xf numFmtId="0" fontId="22" fillId="0" borderId="0" xfId="22" applyFont="1" applyBorder="1"/>
    <xf numFmtId="9" fontId="5" fillId="0" borderId="0" xfId="21" applyFont="1" applyBorder="1"/>
    <xf numFmtId="0" fontId="5" fillId="0" borderId="0" xfId="22" applyFont="1" applyBorder="1"/>
    <xf numFmtId="179" fontId="22" fillId="0" borderId="1" xfId="22" applyNumberFormat="1" applyFont="1" applyBorder="1"/>
    <xf numFmtId="0" fontId="2" fillId="0" borderId="0" xfId="5" applyFont="1" applyFill="1" applyBorder="1">
      <alignment readingOrder="1"/>
    </xf>
    <xf numFmtId="179" fontId="2" fillId="0" borderId="0" xfId="5" applyNumberFormat="1">
      <alignment readingOrder="1"/>
    </xf>
    <xf numFmtId="0" fontId="2" fillId="0" borderId="12" xfId="5" applyFont="1" applyFill="1" applyBorder="1">
      <alignment readingOrder="1"/>
    </xf>
    <xf numFmtId="0" fontId="2" fillId="0" borderId="13" xfId="5" applyFill="1" applyBorder="1">
      <alignment readingOrder="1"/>
    </xf>
    <xf numFmtId="8" fontId="2" fillId="0" borderId="14" xfId="5" applyNumberFormat="1" applyFill="1" applyBorder="1">
      <alignment readingOrder="1"/>
    </xf>
    <xf numFmtId="0" fontId="2" fillId="0" borderId="0" xfId="5" applyFill="1">
      <alignment readingOrder="1"/>
    </xf>
    <xf numFmtId="0" fontId="2" fillId="0" borderId="17" xfId="5" applyFill="1" applyBorder="1" applyAlignment="1">
      <alignment horizontal="left" readingOrder="1"/>
    </xf>
    <xf numFmtId="0" fontId="3" fillId="0" borderId="18" xfId="5" applyFont="1" applyFill="1" applyBorder="1">
      <alignment readingOrder="1"/>
    </xf>
    <xf numFmtId="0" fontId="2" fillId="0" borderId="18" xfId="5" applyFill="1" applyBorder="1">
      <alignment readingOrder="1"/>
    </xf>
    <xf numFmtId="0" fontId="2" fillId="0" borderId="19" xfId="5" applyFill="1" applyBorder="1">
      <alignment readingOrder="1"/>
    </xf>
    <xf numFmtId="179" fontId="3" fillId="0" borderId="0" xfId="5" applyNumberFormat="1" applyFont="1">
      <alignment readingOrder="1"/>
    </xf>
    <xf numFmtId="0" fontId="2" fillId="0" borderId="0" xfId="5" applyAlignment="1">
      <alignment vertical="center" readingOrder="1"/>
    </xf>
    <xf numFmtId="0" fontId="3" fillId="23" borderId="0" xfId="5" applyFont="1" applyFill="1">
      <alignment readingOrder="1"/>
    </xf>
    <xf numFmtId="0" fontId="2" fillId="23" borderId="0" xfId="5" applyFill="1">
      <alignment readingOrder="1"/>
    </xf>
    <xf numFmtId="0" fontId="3" fillId="2" borderId="0" xfId="5" applyFont="1" applyFill="1">
      <alignment readingOrder="1"/>
    </xf>
    <xf numFmtId="0" fontId="3" fillId="18" borderId="0" xfId="5" applyFont="1" applyFill="1">
      <alignment readingOrder="1"/>
    </xf>
    <xf numFmtId="0" fontId="3" fillId="24" borderId="0" xfId="5" applyFont="1" applyFill="1">
      <alignment readingOrder="1"/>
    </xf>
    <xf numFmtId="0" fontId="3" fillId="25" borderId="0" xfId="5" applyFont="1" applyFill="1">
      <alignment readingOrder="1"/>
    </xf>
    <xf numFmtId="0" fontId="2" fillId="0" borderId="0" xfId="5" applyAlignment="1">
      <alignment wrapText="1" readingOrder="1"/>
    </xf>
    <xf numFmtId="173" fontId="2" fillId="0" borderId="0" xfId="5" applyNumberFormat="1">
      <alignment readingOrder="1"/>
    </xf>
    <xf numFmtId="180" fontId="2" fillId="0" borderId="0" xfId="5" applyNumberFormat="1">
      <alignment readingOrder="1"/>
    </xf>
    <xf numFmtId="181" fontId="2" fillId="0" borderId="0" xfId="5" applyNumberFormat="1">
      <alignment readingOrder="1"/>
    </xf>
    <xf numFmtId="0" fontId="2" fillId="26" borderId="0" xfId="5" applyFont="1" applyFill="1">
      <alignment readingOrder="1"/>
    </xf>
    <xf numFmtId="0" fontId="2" fillId="26" borderId="0" xfId="5" applyFill="1">
      <alignment readingOrder="1"/>
    </xf>
    <xf numFmtId="168" fontId="0" fillId="26" borderId="0" xfId="16" applyNumberFormat="1" applyFont="1" applyFill="1">
      <alignment readingOrder="1"/>
    </xf>
    <xf numFmtId="168" fontId="2" fillId="26" borderId="0" xfId="5" applyNumberFormat="1" applyFill="1">
      <alignment readingOrder="1"/>
    </xf>
    <xf numFmtId="173" fontId="2" fillId="26" borderId="0" xfId="5" applyNumberFormat="1" applyFill="1">
      <alignment readingOrder="1"/>
    </xf>
    <xf numFmtId="180" fontId="2" fillId="26" borderId="0" xfId="5" applyNumberFormat="1" applyFill="1">
      <alignment readingOrder="1"/>
    </xf>
    <xf numFmtId="164" fontId="2" fillId="26" borderId="0" xfId="5" applyNumberFormat="1" applyFill="1">
      <alignment readingOrder="1"/>
    </xf>
    <xf numFmtId="43" fontId="2" fillId="26" borderId="0" xfId="5" applyNumberFormat="1" applyFill="1">
      <alignment readingOrder="1"/>
    </xf>
    <xf numFmtId="174" fontId="2" fillId="26" borderId="0" xfId="5" applyNumberFormat="1" applyFill="1">
      <alignment readingOrder="1"/>
    </xf>
    <xf numFmtId="181" fontId="2" fillId="26" borderId="0" xfId="5" applyNumberFormat="1" applyFill="1">
      <alignment readingOrder="1"/>
    </xf>
    <xf numFmtId="0" fontId="3" fillId="22" borderId="0" xfId="5" applyFont="1" applyFill="1">
      <alignment readingOrder="1"/>
    </xf>
    <xf numFmtId="0" fontId="2" fillId="22" borderId="0" xfId="5" applyFont="1" applyFill="1">
      <alignment readingOrder="1"/>
    </xf>
    <xf numFmtId="0" fontId="2" fillId="22" borderId="0" xfId="5" applyFill="1">
      <alignment readingOrder="1"/>
    </xf>
    <xf numFmtId="0" fontId="10" fillId="0" borderId="0" xfId="5" applyFont="1" applyFill="1">
      <alignment readingOrder="1"/>
    </xf>
    <xf numFmtId="0" fontId="2" fillId="0" borderId="0" xfId="5" applyFont="1" applyFill="1">
      <alignment readingOrder="1"/>
    </xf>
    <xf numFmtId="0" fontId="3" fillId="19" borderId="0" xfId="5" applyFont="1" applyFill="1">
      <alignment readingOrder="1"/>
    </xf>
    <xf numFmtId="0" fontId="2" fillId="19" borderId="0" xfId="5" applyFill="1">
      <alignment readingOrder="1"/>
    </xf>
    <xf numFmtId="0" fontId="2" fillId="19" borderId="0" xfId="5" applyFont="1" applyFill="1">
      <alignment readingOrder="1"/>
    </xf>
    <xf numFmtId="0" fontId="2" fillId="18" borderId="0" xfId="5" applyFill="1">
      <alignment readingOrder="1"/>
    </xf>
    <xf numFmtId="0" fontId="14" fillId="9" borderId="26" xfId="3" applyFont="1" applyFill="1" applyBorder="1" applyAlignment="1">
      <alignment horizontal="center" wrapText="1"/>
    </xf>
    <xf numFmtId="0" fontId="14" fillId="9" borderId="2" xfId="5" applyFont="1" applyFill="1" applyBorder="1" applyAlignment="1">
      <alignment horizontal="center" wrapText="1"/>
    </xf>
    <xf numFmtId="0" fontId="14" fillId="9" borderId="27" xfId="3" applyFont="1" applyFill="1" applyBorder="1" applyAlignment="1">
      <alignment horizontal="center" wrapText="1"/>
    </xf>
    <xf numFmtId="0" fontId="2" fillId="24" borderId="0" xfId="5" applyFill="1">
      <alignment readingOrder="1"/>
    </xf>
    <xf numFmtId="9" fontId="0" fillId="24" borderId="0" xfId="21" applyFont="1" applyFill="1">
      <alignment readingOrder="1"/>
    </xf>
    <xf numFmtId="1" fontId="2" fillId="24" borderId="0" xfId="5" applyNumberFormat="1" applyFill="1">
      <alignment readingOrder="1"/>
    </xf>
    <xf numFmtId="164" fontId="2" fillId="24" borderId="0" xfId="5" applyNumberFormat="1" applyFill="1">
      <alignment readingOrder="1"/>
    </xf>
    <xf numFmtId="168" fontId="0" fillId="24" borderId="0" xfId="16" applyNumberFormat="1" applyFont="1" applyFill="1">
      <alignment readingOrder="1"/>
    </xf>
    <xf numFmtId="179" fontId="2" fillId="24" borderId="0" xfId="5" applyNumberFormat="1" applyFill="1">
      <alignment readingOrder="1"/>
    </xf>
    <xf numFmtId="179" fontId="0" fillId="24" borderId="0" xfId="26" applyNumberFormat="1" applyFont="1" applyFill="1">
      <alignment readingOrder="1"/>
    </xf>
    <xf numFmtId="0" fontId="2" fillId="24" borderId="0" xfId="5" applyFont="1" applyFill="1">
      <alignment readingOrder="1"/>
    </xf>
    <xf numFmtId="0" fontId="2" fillId="27" borderId="0" xfId="5" applyFill="1">
      <alignment readingOrder="1"/>
    </xf>
    <xf numFmtId="9" fontId="0" fillId="27" borderId="0" xfId="21" applyFont="1" applyFill="1">
      <alignment readingOrder="1"/>
    </xf>
    <xf numFmtId="1" fontId="2" fillId="27" borderId="0" xfId="5" applyNumberFormat="1" applyFill="1">
      <alignment readingOrder="1"/>
    </xf>
    <xf numFmtId="164" fontId="2" fillId="27" borderId="0" xfId="5" applyNumberFormat="1" applyFill="1">
      <alignment readingOrder="1"/>
    </xf>
    <xf numFmtId="168" fontId="0" fillId="27" borderId="0" xfId="16" applyNumberFormat="1" applyFont="1" applyFill="1">
      <alignment readingOrder="1"/>
    </xf>
    <xf numFmtId="179" fontId="2" fillId="27" borderId="0" xfId="5" applyNumberFormat="1" applyFill="1">
      <alignment readingOrder="1"/>
    </xf>
    <xf numFmtId="0" fontId="2" fillId="27" borderId="0" xfId="5" applyFont="1" applyFill="1">
      <alignment readingOrder="1"/>
    </xf>
    <xf numFmtId="179" fontId="0" fillId="27" borderId="0" xfId="26" applyNumberFormat="1" applyFont="1" applyFill="1">
      <alignment readingOrder="1"/>
    </xf>
    <xf numFmtId="3" fontId="3" fillId="0" borderId="0" xfId="5" applyNumberFormat="1" applyFont="1">
      <alignment readingOrder="1"/>
    </xf>
    <xf numFmtId="0" fontId="2" fillId="20" borderId="0" xfId="5" applyFill="1">
      <alignment readingOrder="1"/>
    </xf>
    <xf numFmtId="168" fontId="2" fillId="0" borderId="0" xfId="1" applyNumberFormat="1" applyFont="1">
      <alignment readingOrder="1"/>
    </xf>
    <xf numFmtId="0" fontId="2" fillId="0" borderId="24" xfId="5" applyBorder="1">
      <alignment readingOrder="1"/>
    </xf>
    <xf numFmtId="168" fontId="2" fillId="0" borderId="24" xfId="1" applyNumberFormat="1" applyFont="1" applyBorder="1">
      <alignment readingOrder="1"/>
    </xf>
    <xf numFmtId="0" fontId="26" fillId="0" borderId="0" xfId="15" applyAlignment="1" applyProtection="1">
      <alignment readingOrder="1"/>
    </xf>
    <xf numFmtId="0" fontId="70" fillId="50" borderId="49" xfId="0" applyFont="1" applyFill="1" applyBorder="1" applyAlignment="1">
      <alignment horizontal="center" wrapText="1"/>
    </xf>
    <xf numFmtId="0" fontId="70" fillId="50" borderId="50" xfId="0" applyFont="1" applyFill="1" applyBorder="1" applyAlignment="1">
      <alignment horizontal="center" wrapText="1"/>
    </xf>
    <xf numFmtId="0" fontId="69" fillId="0" borderId="48" xfId="0" applyFont="1" applyBorder="1" applyAlignment="1">
      <alignment wrapText="1"/>
    </xf>
    <xf numFmtId="0" fontId="26" fillId="0" borderId="48" xfId="15" applyBorder="1" applyAlignment="1" applyProtection="1">
      <alignment wrapText="1"/>
    </xf>
    <xf numFmtId="0" fontId="69" fillId="0" borderId="48" xfId="0" applyFont="1" applyBorder="1" applyAlignment="1">
      <alignment horizontal="right" wrapText="1"/>
    </xf>
    <xf numFmtId="3" fontId="69" fillId="0" borderId="48" xfId="0" applyNumberFormat="1" applyFont="1" applyBorder="1" applyAlignment="1">
      <alignment horizontal="right" wrapText="1"/>
    </xf>
    <xf numFmtId="6" fontId="69" fillId="0" borderId="48" xfId="0" applyNumberFormat="1" applyFont="1" applyBorder="1" applyAlignment="1">
      <alignment horizontal="right" wrapText="1"/>
    </xf>
    <xf numFmtId="168" fontId="0" fillId="0" borderId="0" xfId="1" applyNumberFormat="1" applyFont="1"/>
    <xf numFmtId="9" fontId="2" fillId="0" borderId="0" xfId="8" applyFont="1">
      <alignment readingOrder="1"/>
    </xf>
    <xf numFmtId="0" fontId="26" fillId="0" borderId="0" xfId="15" applyAlignment="1" applyProtection="1">
      <alignment wrapText="1"/>
    </xf>
    <xf numFmtId="0" fontId="0" fillId="0" borderId="0" xfId="0" applyAlignment="1">
      <alignment horizontal="center" wrapText="1"/>
    </xf>
    <xf numFmtId="0" fontId="26" fillId="0" borderId="0" xfId="15" applyAlignment="1" applyProtection="1">
      <alignment horizontal="center" wrapText="1"/>
    </xf>
    <xf numFmtId="3" fontId="0" fillId="0" borderId="0" xfId="0" applyNumberFormat="1" applyAlignment="1">
      <alignment horizontal="center" wrapText="1"/>
    </xf>
    <xf numFmtId="0" fontId="23" fillId="0" borderId="0" xfId="0" applyFont="1" applyAlignment="1">
      <alignment horizontal="center" vertical="center" wrapText="1"/>
    </xf>
    <xf numFmtId="0" fontId="26" fillId="0" borderId="0" xfId="15" applyAlignment="1" applyProtection="1">
      <alignment horizontal="center" vertical="center" wrapText="1"/>
    </xf>
    <xf numFmtId="0" fontId="0" fillId="0" borderId="1" xfId="0" applyBorder="1">
      <alignment readingOrder="1"/>
    </xf>
    <xf numFmtId="168" fontId="2" fillId="0" borderId="1" xfId="1" applyNumberFormat="1" applyFont="1" applyBorder="1">
      <alignment readingOrder="1"/>
    </xf>
    <xf numFmtId="0" fontId="21" fillId="0" borderId="1" xfId="0" applyFont="1" applyBorder="1">
      <alignment readingOrder="1"/>
    </xf>
    <xf numFmtId="168" fontId="2" fillId="0" borderId="1" xfId="5" applyNumberFormat="1" applyBorder="1">
      <alignment readingOrder="1"/>
    </xf>
    <xf numFmtId="0" fontId="2" fillId="21" borderId="0" xfId="5" applyFill="1">
      <alignment readingOrder="1"/>
    </xf>
    <xf numFmtId="0" fontId="2" fillId="0" borderId="0" xfId="19" applyFont="1" applyAlignment="1">
      <alignment vertical="center" readingOrder="1"/>
    </xf>
    <xf numFmtId="0" fontId="36" fillId="0" borderId="0" xfId="19" applyAlignment="1">
      <alignment vertical="center" readingOrder="1"/>
    </xf>
    <xf numFmtId="1" fontId="2" fillId="0" borderId="1" xfId="5" applyNumberFormat="1" applyBorder="1">
      <alignment readingOrder="1"/>
    </xf>
    <xf numFmtId="0" fontId="3" fillId="0" borderId="1" xfId="5" applyFont="1" applyBorder="1" applyAlignment="1">
      <alignment horizontal="center" readingOrder="1"/>
    </xf>
    <xf numFmtId="0" fontId="3" fillId="20" borderId="9" xfId="5" applyFont="1" applyFill="1" applyBorder="1">
      <alignment readingOrder="1"/>
    </xf>
    <xf numFmtId="0" fontId="3" fillId="20" borderId="10" xfId="5" applyFont="1" applyFill="1" applyBorder="1">
      <alignment readingOrder="1"/>
    </xf>
    <xf numFmtId="0" fontId="2" fillId="20" borderId="8" xfId="5" applyFill="1" applyBorder="1">
      <alignment readingOrder="1"/>
    </xf>
    <xf numFmtId="2" fontId="2" fillId="0" borderId="1" xfId="12" applyNumberFormat="1" applyFont="1" applyFill="1" applyBorder="1" applyAlignment="1">
      <alignment horizontal="center"/>
    </xf>
    <xf numFmtId="2" fontId="2" fillId="0" borderId="1" xfId="1" applyNumberFormat="1" applyFont="1" applyFill="1" applyBorder="1" applyAlignment="1">
      <alignment horizontal="center"/>
    </xf>
    <xf numFmtId="2" fontId="24" fillId="0" borderId="1" xfId="1" applyNumberFormat="1" applyFont="1" applyFill="1" applyBorder="1" applyAlignment="1">
      <alignment horizontal="center"/>
    </xf>
    <xf numFmtId="168" fontId="24" fillId="0" borderId="0" xfId="12" applyNumberFormat="1" applyFill="1" applyBorder="1"/>
    <xf numFmtId="0" fontId="2" fillId="20" borderId="1" xfId="12" applyFont="1" applyFill="1" applyBorder="1"/>
    <xf numFmtId="9" fontId="2" fillId="0" borderId="1" xfId="12" applyNumberFormat="1" applyFont="1" applyFill="1" applyBorder="1" applyAlignment="1">
      <alignment horizontal="center"/>
    </xf>
    <xf numFmtId="2" fontId="3" fillId="0" borderId="1" xfId="1" applyNumberFormat="1" applyFont="1" applyFill="1" applyBorder="1" applyAlignment="1">
      <alignment horizontal="center"/>
    </xf>
    <xf numFmtId="2" fontId="0" fillId="0" borderId="1" xfId="0" applyNumberFormat="1" applyFill="1" applyBorder="1" applyAlignment="1">
      <alignment horizontal="center"/>
    </xf>
    <xf numFmtId="0" fontId="0" fillId="20" borderId="1" xfId="0" applyFill="1" applyBorder="1"/>
    <xf numFmtId="1" fontId="2" fillId="0" borderId="0" xfId="8" applyNumberFormat="1" applyFont="1" applyFill="1" applyAlignment="1">
      <alignment horizontal="center" readingOrder="1"/>
    </xf>
    <xf numFmtId="1" fontId="0" fillId="0" borderId="0" xfId="1" applyNumberFormat="1" applyFont="1" applyAlignment="1">
      <alignment horizontal="center" readingOrder="1"/>
    </xf>
    <xf numFmtId="0" fontId="0" fillId="2" borderId="22" xfId="0" applyFill="1" applyBorder="1">
      <alignment readingOrder="1"/>
    </xf>
    <xf numFmtId="0" fontId="17" fillId="16" borderId="22" xfId="0" applyFont="1" applyFill="1" applyBorder="1">
      <alignment readingOrder="1"/>
    </xf>
    <xf numFmtId="0" fontId="17" fillId="16" borderId="23" xfId="0" applyFont="1" applyFill="1" applyBorder="1">
      <alignment readingOrder="1"/>
    </xf>
    <xf numFmtId="0" fontId="0" fillId="2" borderId="0" xfId="0" applyFill="1" applyBorder="1">
      <alignment readingOrder="1"/>
    </xf>
    <xf numFmtId="0" fontId="17" fillId="16" borderId="0" xfId="0" applyFont="1" applyFill="1" applyBorder="1">
      <alignment readingOrder="1"/>
    </xf>
    <xf numFmtId="0" fontId="17" fillId="16" borderId="28" xfId="0" applyFont="1" applyFill="1" applyBorder="1">
      <alignment readingOrder="1"/>
    </xf>
    <xf numFmtId="0" fontId="0" fillId="2" borderId="0" xfId="0" applyFill="1" applyBorder="1" applyAlignment="1">
      <alignment vertical="center" wrapText="1" readingOrder="1"/>
    </xf>
    <xf numFmtId="0" fontId="0" fillId="2" borderId="24" xfId="0" applyFill="1" applyBorder="1">
      <alignment readingOrder="1"/>
    </xf>
    <xf numFmtId="164" fontId="23" fillId="18" borderId="24" xfId="0" applyNumberFormat="1" applyFont="1" applyFill="1" applyBorder="1" applyAlignment="1">
      <alignment horizontal="center" readingOrder="1"/>
    </xf>
    <xf numFmtId="43" fontId="0" fillId="0" borderId="0" xfId="1" applyNumberFormat="1" applyFont="1" applyFill="1">
      <alignment readingOrder="1"/>
    </xf>
    <xf numFmtId="2" fontId="0" fillId="0" borderId="0" xfId="0" applyNumberFormat="1" applyAlignment="1">
      <alignment horizontal="left" readingOrder="1"/>
    </xf>
    <xf numFmtId="1" fontId="0" fillId="0" borderId="0" xfId="0" applyNumberFormat="1" applyAlignment="1">
      <alignment horizontal="center" readingOrder="1"/>
    </xf>
    <xf numFmtId="167" fontId="0" fillId="22" borderId="1" xfId="0" applyNumberFormat="1" applyFill="1" applyBorder="1" applyAlignment="1">
      <alignment horizontal="center" readingOrder="1"/>
    </xf>
    <xf numFmtId="164" fontId="0" fillId="22" borderId="1" xfId="0" applyNumberFormat="1" applyFill="1" applyBorder="1" applyAlignment="1">
      <alignment horizontal="center" readingOrder="1"/>
    </xf>
    <xf numFmtId="0" fontId="0" fillId="22" borderId="1" xfId="0" applyFill="1" applyBorder="1">
      <alignment readingOrder="1"/>
    </xf>
    <xf numFmtId="0" fontId="5" fillId="0" borderId="0" xfId="0" applyFont="1" applyAlignment="1">
      <alignment horizontal="right"/>
    </xf>
    <xf numFmtId="0" fontId="0" fillId="18" borderId="25" xfId="0" applyFill="1" applyBorder="1">
      <alignment readingOrder="1"/>
    </xf>
    <xf numFmtId="49" fontId="0" fillId="4" borderId="2" xfId="0" quotePrefix="1" applyNumberFormat="1" applyFill="1" applyBorder="1">
      <alignment readingOrder="1"/>
    </xf>
    <xf numFmtId="0" fontId="2" fillId="4" borderId="6" xfId="0" applyNumberFormat="1" applyFont="1" applyFill="1" applyBorder="1" applyAlignment="1">
      <alignment horizontal="left" vertical="center" wrapText="1" readingOrder="1"/>
    </xf>
    <xf numFmtId="0" fontId="2" fillId="4" borderId="22" xfId="0" applyNumberFormat="1" applyFont="1" applyFill="1" applyBorder="1" applyAlignment="1">
      <alignment horizontal="left" vertical="center" wrapText="1" readingOrder="1"/>
    </xf>
    <xf numFmtId="0" fontId="2" fillId="4" borderId="23" xfId="0" applyNumberFormat="1" applyFont="1" applyFill="1" applyBorder="1" applyAlignment="1">
      <alignment horizontal="left" vertical="center" wrapText="1" readingOrder="1"/>
    </xf>
    <xf numFmtId="0" fontId="2" fillId="4" borderId="27" xfId="0" applyNumberFormat="1" applyFont="1" applyFill="1" applyBorder="1" applyAlignment="1">
      <alignment horizontal="left" vertical="center" wrapText="1" readingOrder="1"/>
    </xf>
    <xf numFmtId="0" fontId="2" fillId="4" borderId="0" xfId="0" applyNumberFormat="1" applyFont="1" applyFill="1" applyBorder="1" applyAlignment="1">
      <alignment horizontal="left" vertical="center" wrapText="1" readingOrder="1"/>
    </xf>
    <xf numFmtId="0" fontId="2" fillId="4" borderId="28" xfId="0" applyNumberFormat="1" applyFont="1" applyFill="1" applyBorder="1" applyAlignment="1">
      <alignment horizontal="left" vertical="center" wrapText="1" readingOrder="1"/>
    </xf>
    <xf numFmtId="0" fontId="2" fillId="4" borderId="24" xfId="0" applyNumberFormat="1" applyFont="1" applyFill="1" applyBorder="1" applyAlignment="1">
      <alignment horizontal="left" vertical="center" wrapText="1" readingOrder="1"/>
    </xf>
    <xf numFmtId="0" fontId="2" fillId="4" borderId="25" xfId="0" applyNumberFormat="1" applyFon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xf numFmtId="0" fontId="2" fillId="0" borderId="0" xfId="19" applyFont="1" applyAlignment="1">
      <alignment horizontal="center" vertical="center" wrapText="1" readingOrder="1"/>
    </xf>
    <xf numFmtId="0" fontId="36" fillId="0" borderId="0" xfId="19" applyAlignment="1">
      <alignment horizontal="center" vertical="center" wrapText="1" readingOrder="1"/>
    </xf>
    <xf numFmtId="0" fontId="2" fillId="21" borderId="0" xfId="5" applyFont="1" applyFill="1" applyAlignment="1">
      <alignment horizontal="center" wrapText="1" readingOrder="1"/>
    </xf>
    <xf numFmtId="0" fontId="11" fillId="7" borderId="1" xfId="19" applyFont="1" applyFill="1" applyBorder="1" applyAlignment="1">
      <alignment horizontal="center"/>
    </xf>
    <xf numFmtId="0" fontId="3" fillId="0" borderId="1" xfId="19" applyFont="1" applyBorder="1" applyAlignment="1">
      <alignment horizontal="center"/>
    </xf>
    <xf numFmtId="0" fontId="26" fillId="0" borderId="0" xfId="15" applyAlignment="1" applyProtection="1">
      <alignment wrapText="1"/>
    </xf>
    <xf numFmtId="0" fontId="26" fillId="0" borderId="0" xfId="15" applyAlignment="1" applyProtection="1">
      <alignment horizontal="center" wrapText="1"/>
    </xf>
    <xf numFmtId="0" fontId="0" fillId="0" borderId="0" xfId="0" applyAlignment="1">
      <alignment wrapText="1"/>
    </xf>
    <xf numFmtId="3" fontId="0" fillId="0" borderId="0" xfId="0" applyNumberFormat="1" applyAlignment="1">
      <alignment horizontal="center" wrapText="1"/>
    </xf>
    <xf numFmtId="0" fontId="0" fillId="0" borderId="0" xfId="0" applyAlignment="1">
      <alignment horizontal="center" wrapText="1"/>
    </xf>
    <xf numFmtId="0" fontId="6" fillId="0" borderId="0" xfId="5" applyFont="1" applyAlignment="1">
      <alignment horizontal="left" vertical="center" wrapText="1" readingOrder="1"/>
    </xf>
    <xf numFmtId="0" fontId="70" fillId="50" borderId="49" xfId="0" applyFont="1" applyFill="1" applyBorder="1" applyAlignment="1">
      <alignment horizontal="center" wrapText="1"/>
    </xf>
    <xf numFmtId="0" fontId="70" fillId="50" borderId="50" xfId="0" applyFont="1" applyFill="1" applyBorder="1" applyAlignment="1">
      <alignment horizontal="center" wrapText="1"/>
    </xf>
    <xf numFmtId="0" fontId="2" fillId="0" borderId="0" xfId="5" applyFont="1" applyAlignment="1">
      <alignment horizontal="left" vertical="center" wrapText="1" readingOrder="1"/>
    </xf>
    <xf numFmtId="0" fontId="2" fillId="17" borderId="3" xfId="5" applyFont="1" applyFill="1" applyBorder="1" applyAlignment="1">
      <alignment horizontal="left" vertical="center" wrapText="1" readingOrder="1"/>
    </xf>
    <xf numFmtId="0" fontId="2" fillId="17" borderId="5" xfId="5" applyFont="1" applyFill="1" applyBorder="1" applyAlignment="1">
      <alignment horizontal="left" vertical="center" wrapText="1" readingOrder="1"/>
    </xf>
    <xf numFmtId="0" fontId="2" fillId="0" borderId="1" xfId="5" applyFont="1" applyBorder="1" applyAlignment="1">
      <alignment horizontal="center" vertical="center" wrapText="1" readingOrder="1"/>
    </xf>
    <xf numFmtId="0" fontId="2" fillId="0" borderId="34" xfId="5" applyFont="1" applyBorder="1" applyAlignment="1">
      <alignment horizontal="center" vertical="center" readingOrder="1"/>
    </xf>
    <xf numFmtId="0" fontId="4" fillId="0" borderId="0" xfId="5" applyFont="1" applyAlignment="1">
      <alignment horizontal="center" vertical="center" wrapText="1" readingOrder="1"/>
    </xf>
    <xf numFmtId="0" fontId="46" fillId="0" borderId="0" xfId="25" applyFont="1" applyBorder="1" applyAlignment="1">
      <alignment horizontal="left" wrapText="1" readingOrder="1"/>
    </xf>
    <xf numFmtId="0" fontId="6" fillId="0" borderId="1" xfId="5" applyFont="1" applyFill="1" applyBorder="1" applyAlignment="1">
      <alignment horizontal="center" vertical="center" wrapText="1"/>
    </xf>
    <xf numFmtId="0" fontId="2" fillId="0" borderId="0" xfId="5" applyFont="1" applyAlignment="1">
      <alignment horizontal="left" vertical="center" readingOrder="1"/>
    </xf>
    <xf numFmtId="0" fontId="2" fillId="0" borderId="27" xfId="5" applyBorder="1" applyAlignment="1">
      <alignment horizontal="left" vertical="center" wrapText="1" readingOrder="1"/>
    </xf>
    <xf numFmtId="0" fontId="2" fillId="0" borderId="0" xfId="5" applyBorder="1" applyAlignment="1">
      <alignment horizontal="left" vertical="center" wrapText="1" readingOrder="1"/>
    </xf>
    <xf numFmtId="0" fontId="11" fillId="7" borderId="1" xfId="5" applyFont="1" applyFill="1" applyBorder="1" applyAlignment="1">
      <alignment horizontal="center"/>
    </xf>
    <xf numFmtId="0" fontId="3" fillId="0" borderId="1" xfId="5" applyFont="1" applyBorder="1" applyAlignment="1">
      <alignment horizontal="center"/>
    </xf>
  </cellXfs>
  <cellStyles count="130">
    <cellStyle name="20% - Accent1 2" xfId="28"/>
    <cellStyle name="20% - Accent2 2" xfId="29"/>
    <cellStyle name="20% - Accent3 2" xfId="30"/>
    <cellStyle name="20% - Accent4 2" xfId="31"/>
    <cellStyle name="20% - Accent5 2" xfId="32"/>
    <cellStyle name="20% - Accent6 2" xfId="33"/>
    <cellStyle name="40% - Accent1 2" xfId="34"/>
    <cellStyle name="40% - Accent2 2" xfId="35"/>
    <cellStyle name="40% - Accent3 2" xfId="36"/>
    <cellStyle name="40% - Accent4 2" xfId="37"/>
    <cellStyle name="40% - Accent5 2" xfId="38"/>
    <cellStyle name="40% - Accent6 2" xfId="39"/>
    <cellStyle name="60% - Accent1 2" xfId="40"/>
    <cellStyle name="60% - Accent2 2" xfId="41"/>
    <cellStyle name="60% - Accent3 2" xfId="42"/>
    <cellStyle name="60% - Accent4 2" xfId="43"/>
    <cellStyle name="60% - Accent5 2" xfId="44"/>
    <cellStyle name="60% - Accent6 2" xfId="45"/>
    <cellStyle name="Accent1 2" xfId="46"/>
    <cellStyle name="Accent2 2" xfId="47"/>
    <cellStyle name="Accent3 2" xfId="48"/>
    <cellStyle name="Accent4 2" xfId="49"/>
    <cellStyle name="Accent5 2" xfId="50"/>
    <cellStyle name="Accent6 2" xfId="51"/>
    <cellStyle name="Bad 2" xfId="52"/>
    <cellStyle name="Calculation 2" xfId="53"/>
    <cellStyle name="Check Cell 2" xfId="54"/>
    <cellStyle name="Comma" xfId="1" builtinId="3"/>
    <cellStyle name="Comma 2" xfId="16"/>
    <cellStyle name="Comma 2 2" xfId="55"/>
    <cellStyle name="Comma 2 2 2" xfId="56"/>
    <cellStyle name="Comma 2 3" xfId="57"/>
    <cellStyle name="Comma 3" xfId="58"/>
    <cellStyle name="Comma 3 2" xfId="59"/>
    <cellStyle name="Comma 3 2 2" xfId="60"/>
    <cellStyle name="Comma 3 3" xfId="61"/>
    <cellStyle name="Comma 3 4" xfId="10"/>
    <cellStyle name="Currency 2" xfId="62"/>
    <cellStyle name="Currency 2 2" xfId="63"/>
    <cellStyle name="Currency 2 2 2" xfId="64"/>
    <cellStyle name="Currency 2 3" xfId="65"/>
    <cellStyle name="Currency 3" xfId="66"/>
    <cellStyle name="Currency 3 2" xfId="67"/>
    <cellStyle name="Currency 3 2 2" xfId="26"/>
    <cellStyle name="Currency 3 3" xfId="68"/>
    <cellStyle name="Currency 3 4" xfId="11"/>
    <cellStyle name="Data Field" xfId="69"/>
    <cellStyle name="Data Field 2" xfId="70"/>
    <cellStyle name="Data Field 2 2" xfId="71"/>
    <cellStyle name="Data Field 3" xfId="72"/>
    <cellStyle name="Data Name" xfId="73"/>
    <cellStyle name="Date/Time" xfId="74"/>
    <cellStyle name="Explanatory Text 2" xfId="75"/>
    <cellStyle name="Good 2" xfId="76"/>
    <cellStyle name="Heading" xfId="77"/>
    <cellStyle name="Heading 1 2" xfId="78"/>
    <cellStyle name="Heading 3 2" xfId="79"/>
    <cellStyle name="Heading 4 2" xfId="80"/>
    <cellStyle name="Hyperlink" xfId="15" builtinId="8"/>
    <cellStyle name="Hyperlink 2" xfId="23"/>
    <cellStyle name="Hyperlink 3" xfId="81"/>
    <cellStyle name="Hyperlink 4" xfId="24"/>
    <cellStyle name="Input 2" xfId="82"/>
    <cellStyle name="Linked Cell 2" xfId="83"/>
    <cellStyle name="Neutral 2" xfId="84"/>
    <cellStyle name="Normal" xfId="0" builtinId="0"/>
    <cellStyle name="Normal 10" xfId="85"/>
    <cellStyle name="Normal 11" xfId="86"/>
    <cellStyle name="Normal 12" xfId="87"/>
    <cellStyle name="Normal 13" xfId="5"/>
    <cellStyle name="Normal 13 2" xfId="88"/>
    <cellStyle name="Normal 14" xfId="89"/>
    <cellStyle name="Normal 15" xfId="90"/>
    <cellStyle name="Normal 16" xfId="22"/>
    <cellStyle name="Normal 2" xfId="17"/>
    <cellStyle name="Normal 2 2" xfId="91"/>
    <cellStyle name="Normal 2 2 2" xfId="92"/>
    <cellStyle name="Normal 2 2 2 2" xfId="93"/>
    <cellStyle name="Normal 2 2 3" xfId="94"/>
    <cellStyle name="Normal 2 3" xfId="95"/>
    <cellStyle name="Normal 2 3 2" xfId="96"/>
    <cellStyle name="Normal 2 4" xfId="97"/>
    <cellStyle name="Normal 2 4 2" xfId="25"/>
    <cellStyle name="Normal 2 5" xfId="98"/>
    <cellStyle name="Normal 2 6" xfId="99"/>
    <cellStyle name="Normal 3" xfId="6"/>
    <cellStyle name="Normal 3 2" xfId="100"/>
    <cellStyle name="Normal 3 2 2" xfId="101"/>
    <cellStyle name="Normal 3 3" xfId="27"/>
    <cellStyle name="Normal 4" xfId="19"/>
    <cellStyle name="Normal 4 2" xfId="102"/>
    <cellStyle name="Normal 4 3" xfId="103"/>
    <cellStyle name="Normal 4 4" xfId="9"/>
    <cellStyle name="Normal 5" xfId="104"/>
    <cellStyle name="Normal 5 2" xfId="105"/>
    <cellStyle name="Normal 6" xfId="106"/>
    <cellStyle name="Normal 7" xfId="107"/>
    <cellStyle name="Normal 7 2" xfId="108"/>
    <cellStyle name="Normal 8" xfId="109"/>
    <cellStyle name="Normal 8 2" xfId="110"/>
    <cellStyle name="Normal 9" xfId="111"/>
    <cellStyle name="Normal 9 2" xfId="112"/>
    <cellStyle name="Normal_EStarWASHERResTiersFY07v1_3_postJan07" xfId="20"/>
    <cellStyle name="Normal_MTDUCT" xfId="3"/>
    <cellStyle name="Normal_PC-ECMVAV-6p-D2" xfId="12"/>
    <cellStyle name="Normal_PC-HVACEQUIP-6P-D4" xfId="13"/>
    <cellStyle name="Normal_PC-LowPressureDist-D1" xfId="14"/>
    <cellStyle name="Normal_PC-LPDPackage-6P-D14" xfId="2"/>
    <cellStyle name="Normal_PC-PackRTOptimize-D1-6p-D2" xfId="7"/>
    <cellStyle name="Normal_ProCostFinAssumptions_Sector" xfId="4"/>
    <cellStyle name="Note 2" xfId="113"/>
    <cellStyle name="Output 2" xfId="114"/>
    <cellStyle name="Percent" xfId="8" builtinId="5"/>
    <cellStyle name="Percent 2" xfId="18"/>
    <cellStyle name="Percent 2 2" xfId="115"/>
    <cellStyle name="Percent 2 2 2" xfId="116"/>
    <cellStyle name="Percent 2 2 2 2" xfId="117"/>
    <cellStyle name="Percent 2 2 3" xfId="118"/>
    <cellStyle name="Percent 3" xfId="21"/>
    <cellStyle name="Percent 3 2" xfId="119"/>
    <cellStyle name="Percent 3 2 2" xfId="120"/>
    <cellStyle name="Percent 3 3" xfId="121"/>
    <cellStyle name="Percent 4" xfId="122"/>
    <cellStyle name="Percent 4 2" xfId="123"/>
    <cellStyle name="Percent 5" xfId="124"/>
    <cellStyle name="Title 2" xfId="125"/>
    <cellStyle name="Total 2" xfId="126"/>
    <cellStyle name="Warning Text 2" xfId="127"/>
    <cellStyle name="표준_ENERGY CONSUMP" xfId="128"/>
    <cellStyle name="常规_海外市场服务网站资料操作BOM" xfId="129"/>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Showerhead</a:t>
            </a:r>
            <a:r>
              <a:rPr lang="en-US" baseline="0"/>
              <a:t> Prices on Google Shopping, June 6, 2013</a:t>
            </a:r>
            <a:endParaRPr lang="en-US"/>
          </a:p>
        </c:rich>
      </c:tx>
      <c:spPr>
        <a:noFill/>
        <a:ln>
          <a:noFill/>
        </a:ln>
        <a:effectLst/>
      </c:spPr>
    </c:title>
    <c:plotArea>
      <c:layout/>
      <c:scatterChart>
        <c:scatterStyle val="lineMarker"/>
        <c:ser>
          <c:idx val="0"/>
          <c:order val="0"/>
          <c:tx>
            <c:strRef>
              <c:f>InstallRatesCostAndLifetime!$B$27</c:f>
              <c:strCache>
                <c:ptCount val="1"/>
                <c:pt idx="0">
                  <c:v>1.5 gpm</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InstallRatesCostAndLifetime!$A$28:$A$49</c:f>
              <c:numCache>
                <c:formatCode>General</c:formatCode>
                <c:ptCount val="22"/>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50</c:v>
                </c:pt>
                <c:pt idx="21">
                  <c:v>100</c:v>
                </c:pt>
              </c:numCache>
            </c:numRef>
          </c:xVal>
          <c:yVal>
            <c:numRef>
              <c:f>InstallRatesCostAndLifetime!$B$28:$B$49</c:f>
              <c:numCache>
                <c:formatCode>"$"#,##0.00</c:formatCode>
                <c:ptCount val="22"/>
                <c:pt idx="0">
                  <c:v>4</c:v>
                </c:pt>
                <c:pt idx="1">
                  <c:v>4.99</c:v>
                </c:pt>
                <c:pt idx="2">
                  <c:v>5</c:v>
                </c:pt>
                <c:pt idx="3">
                  <c:v>5.95</c:v>
                </c:pt>
                <c:pt idx="4">
                  <c:v>6</c:v>
                </c:pt>
                <c:pt idx="5">
                  <c:v>6.99</c:v>
                </c:pt>
                <c:pt idx="6">
                  <c:v>6.99</c:v>
                </c:pt>
                <c:pt idx="7">
                  <c:v>7.99</c:v>
                </c:pt>
                <c:pt idx="8">
                  <c:v>7.99</c:v>
                </c:pt>
                <c:pt idx="9">
                  <c:v>9.25</c:v>
                </c:pt>
                <c:pt idx="10">
                  <c:v>9.6199999999999992</c:v>
                </c:pt>
                <c:pt idx="11">
                  <c:v>9.99</c:v>
                </c:pt>
                <c:pt idx="12">
                  <c:v>9.99</c:v>
                </c:pt>
                <c:pt idx="13">
                  <c:v>10.97</c:v>
                </c:pt>
                <c:pt idx="14">
                  <c:v>10.99</c:v>
                </c:pt>
                <c:pt idx="15">
                  <c:v>12</c:v>
                </c:pt>
                <c:pt idx="16">
                  <c:v>12</c:v>
                </c:pt>
                <c:pt idx="17">
                  <c:v>13</c:v>
                </c:pt>
                <c:pt idx="18">
                  <c:v>12.98</c:v>
                </c:pt>
                <c:pt idx="19">
                  <c:v>13</c:v>
                </c:pt>
                <c:pt idx="20">
                  <c:v>25.95</c:v>
                </c:pt>
                <c:pt idx="21">
                  <c:v>49</c:v>
                </c:pt>
              </c:numCache>
            </c:numRef>
          </c:yVal>
        </c:ser>
        <c:ser>
          <c:idx val="1"/>
          <c:order val="1"/>
          <c:tx>
            <c:strRef>
              <c:f>InstallRatesCostAndLifetime!$C$27</c:f>
              <c:strCache>
                <c:ptCount val="1"/>
                <c:pt idx="0">
                  <c:v>1.75 gpm</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InstallRatesCostAndLifetime!$A$28:$A$49</c:f>
              <c:numCache>
                <c:formatCode>General</c:formatCode>
                <c:ptCount val="22"/>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50</c:v>
                </c:pt>
                <c:pt idx="21">
                  <c:v>100</c:v>
                </c:pt>
              </c:numCache>
            </c:numRef>
          </c:xVal>
          <c:yVal>
            <c:numRef>
              <c:f>InstallRatesCostAndLifetime!$C$28:$C$49</c:f>
              <c:numCache>
                <c:formatCode>"$"#,##0.00</c:formatCode>
                <c:ptCount val="22"/>
                <c:pt idx="0">
                  <c:v>4.32</c:v>
                </c:pt>
                <c:pt idx="1">
                  <c:v>5</c:v>
                </c:pt>
                <c:pt idx="2">
                  <c:v>5.98</c:v>
                </c:pt>
                <c:pt idx="3">
                  <c:v>6.99</c:v>
                </c:pt>
                <c:pt idx="4">
                  <c:v>7.56</c:v>
                </c:pt>
                <c:pt idx="5">
                  <c:v>7.59</c:v>
                </c:pt>
                <c:pt idx="6">
                  <c:v>8.1999999999999993</c:v>
                </c:pt>
                <c:pt idx="7">
                  <c:v>9.3800000000000008</c:v>
                </c:pt>
                <c:pt idx="8">
                  <c:v>9.9499999999999993</c:v>
                </c:pt>
                <c:pt idx="9">
                  <c:v>9.99</c:v>
                </c:pt>
                <c:pt idx="10">
                  <c:v>11.95</c:v>
                </c:pt>
                <c:pt idx="11">
                  <c:v>14</c:v>
                </c:pt>
                <c:pt idx="12">
                  <c:v>14.95</c:v>
                </c:pt>
                <c:pt idx="13">
                  <c:v>16</c:v>
                </c:pt>
                <c:pt idx="14">
                  <c:v>15.95</c:v>
                </c:pt>
                <c:pt idx="15">
                  <c:v>16</c:v>
                </c:pt>
                <c:pt idx="16">
                  <c:v>18</c:v>
                </c:pt>
                <c:pt idx="17">
                  <c:v>18</c:v>
                </c:pt>
                <c:pt idx="18">
                  <c:v>18.75</c:v>
                </c:pt>
                <c:pt idx="19">
                  <c:v>20.75</c:v>
                </c:pt>
                <c:pt idx="20">
                  <c:v>40</c:v>
                </c:pt>
                <c:pt idx="21">
                  <c:v>106</c:v>
                </c:pt>
              </c:numCache>
            </c:numRef>
          </c:yVal>
        </c:ser>
        <c:ser>
          <c:idx val="2"/>
          <c:order val="2"/>
          <c:tx>
            <c:strRef>
              <c:f>InstallRatesCostAndLifetime!$D$27</c:f>
              <c:strCache>
                <c:ptCount val="1"/>
                <c:pt idx="0">
                  <c:v>2 gpm</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InstallRatesCostAndLifetime!$A$28:$A$49</c:f>
              <c:numCache>
                <c:formatCode>General</c:formatCode>
                <c:ptCount val="22"/>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50</c:v>
                </c:pt>
                <c:pt idx="21">
                  <c:v>100</c:v>
                </c:pt>
              </c:numCache>
            </c:numRef>
          </c:xVal>
          <c:yVal>
            <c:numRef>
              <c:f>InstallRatesCostAndLifetime!$D$28:$D$49</c:f>
              <c:numCache>
                <c:formatCode>"$"#,##0.00</c:formatCode>
                <c:ptCount val="22"/>
                <c:pt idx="0">
                  <c:v>3.34</c:v>
                </c:pt>
                <c:pt idx="1">
                  <c:v>5</c:v>
                </c:pt>
                <c:pt idx="2">
                  <c:v>5.0999999999999996</c:v>
                </c:pt>
                <c:pt idx="3">
                  <c:v>5.18</c:v>
                </c:pt>
                <c:pt idx="4">
                  <c:v>5</c:v>
                </c:pt>
                <c:pt idx="5">
                  <c:v>5.33</c:v>
                </c:pt>
                <c:pt idx="6">
                  <c:v>5.71</c:v>
                </c:pt>
                <c:pt idx="7">
                  <c:v>6</c:v>
                </c:pt>
                <c:pt idx="8">
                  <c:v>7.83</c:v>
                </c:pt>
                <c:pt idx="9">
                  <c:v>8.33</c:v>
                </c:pt>
                <c:pt idx="10">
                  <c:v>10</c:v>
                </c:pt>
                <c:pt idx="11">
                  <c:v>11.9</c:v>
                </c:pt>
                <c:pt idx="12">
                  <c:v>12.92</c:v>
                </c:pt>
                <c:pt idx="13">
                  <c:v>12.98</c:v>
                </c:pt>
                <c:pt idx="14">
                  <c:v>12.99</c:v>
                </c:pt>
                <c:pt idx="15">
                  <c:v>13.71</c:v>
                </c:pt>
                <c:pt idx="16">
                  <c:v>13.95</c:v>
                </c:pt>
                <c:pt idx="17">
                  <c:v>15</c:v>
                </c:pt>
                <c:pt idx="18">
                  <c:v>15.6</c:v>
                </c:pt>
                <c:pt idx="19">
                  <c:v>16.38</c:v>
                </c:pt>
                <c:pt idx="20">
                  <c:v>44</c:v>
                </c:pt>
                <c:pt idx="21">
                  <c:v>75</c:v>
                </c:pt>
              </c:numCache>
            </c:numRef>
          </c:yVal>
        </c:ser>
        <c:ser>
          <c:idx val="3"/>
          <c:order val="3"/>
          <c:tx>
            <c:strRef>
              <c:f>InstallRatesCostAndLifetime!$E$27</c:f>
              <c:strCache>
                <c:ptCount val="1"/>
                <c:pt idx="0">
                  <c:v>2.5 gpm</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InstallRatesCostAndLifetime!$A$28:$A$49</c:f>
              <c:numCache>
                <c:formatCode>General</c:formatCode>
                <c:ptCount val="22"/>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50</c:v>
                </c:pt>
                <c:pt idx="21">
                  <c:v>100</c:v>
                </c:pt>
              </c:numCache>
            </c:numRef>
          </c:xVal>
          <c:yVal>
            <c:numRef>
              <c:f>InstallRatesCostAndLifetime!$E$28:$E$49</c:f>
              <c:numCache>
                <c:formatCode>"$"#,##0.00</c:formatCode>
                <c:ptCount val="22"/>
                <c:pt idx="0">
                  <c:v>2.68</c:v>
                </c:pt>
                <c:pt idx="1">
                  <c:v>2.95</c:v>
                </c:pt>
                <c:pt idx="2">
                  <c:v>3.11</c:v>
                </c:pt>
                <c:pt idx="3">
                  <c:v>4.25</c:v>
                </c:pt>
                <c:pt idx="4">
                  <c:v>4.6399999999999997</c:v>
                </c:pt>
                <c:pt idx="5">
                  <c:v>5.25</c:v>
                </c:pt>
                <c:pt idx="6">
                  <c:v>5.32</c:v>
                </c:pt>
                <c:pt idx="7">
                  <c:v>5.89</c:v>
                </c:pt>
                <c:pt idx="8">
                  <c:v>6.01</c:v>
                </c:pt>
                <c:pt idx="9">
                  <c:v>6.56</c:v>
                </c:pt>
                <c:pt idx="10">
                  <c:v>7.18</c:v>
                </c:pt>
                <c:pt idx="11">
                  <c:v>7.51</c:v>
                </c:pt>
                <c:pt idx="12">
                  <c:v>7.55</c:v>
                </c:pt>
                <c:pt idx="13">
                  <c:v>7.65</c:v>
                </c:pt>
                <c:pt idx="14">
                  <c:v>7.8</c:v>
                </c:pt>
                <c:pt idx="15">
                  <c:v>8.08</c:v>
                </c:pt>
                <c:pt idx="16">
                  <c:v>8.4700000000000006</c:v>
                </c:pt>
                <c:pt idx="17">
                  <c:v>8.65</c:v>
                </c:pt>
                <c:pt idx="18">
                  <c:v>8.99</c:v>
                </c:pt>
                <c:pt idx="19">
                  <c:v>9.99</c:v>
                </c:pt>
                <c:pt idx="20">
                  <c:v>25</c:v>
                </c:pt>
                <c:pt idx="21">
                  <c:v>59.95</c:v>
                </c:pt>
              </c:numCache>
            </c:numRef>
          </c:yVal>
        </c:ser>
        <c:axId val="531687296"/>
        <c:axId val="531701760"/>
      </c:scatterChart>
      <c:valAx>
        <c:axId val="531687296"/>
        <c:scaling>
          <c:orientation val="minMax"/>
          <c:max val="100"/>
          <c:min val="1"/>
        </c:scaling>
        <c:axPos val="b"/>
        <c:majorGridlines>
          <c:spPr>
            <a:ln w="9525" cap="flat" cmpd="sng" algn="ctr">
              <a:solidFill>
                <a:schemeClr val="tx1">
                  <a:lumMod val="15000"/>
                  <a:lumOff val="85000"/>
                </a:schemeClr>
              </a:solidFill>
              <a:round/>
            </a:ln>
            <a:effectLst/>
          </c:spPr>
        </c:majorGridlines>
        <c:numFmt formatCode="General" sourceLinked="1"/>
        <c:maj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1701760"/>
        <c:crosses val="autoZero"/>
        <c:crossBetween val="midCat"/>
        <c:majorUnit val="1"/>
      </c:valAx>
      <c:valAx>
        <c:axId val="531701760"/>
        <c:scaling>
          <c:orientation val="minMax"/>
        </c:scaling>
        <c:axPos val="l"/>
        <c:majorGridlines>
          <c:spPr>
            <a:ln w="9525" cap="flat" cmpd="sng" algn="ctr">
              <a:solidFill>
                <a:schemeClr val="tx1">
                  <a:lumMod val="15000"/>
                  <a:lumOff val="85000"/>
                </a:schemeClr>
              </a:solidFill>
              <a:round/>
            </a:ln>
            <a:effectLst/>
          </c:spPr>
        </c:majorGridlines>
        <c:numFmt formatCode="&quot;$&quot;#,##0" sourceLinked="0"/>
        <c:maj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1687296"/>
        <c:crosses val="autoZero"/>
        <c:crossBetween val="midCat"/>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344" l="0.70000000000000062" r="0.70000000000000062" t="0.75000000000000344"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20</xdr:row>
      <xdr:rowOff>19050</xdr:rowOff>
    </xdr:from>
    <xdr:to>
      <xdr:col>3</xdr:col>
      <xdr:colOff>457200</xdr:colOff>
      <xdr:row>29</xdr:row>
      <xdr:rowOff>38100</xdr:rowOff>
    </xdr:to>
    <xdr:pic>
      <xdr:nvPicPr>
        <xdr:cNvPr id="2" name="Picture 9" descr="SS-2010-09-02_08.50.07.png"/>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61925" y="7705725"/>
          <a:ext cx="3276600" cy="173355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37</xdr:row>
      <xdr:rowOff>95250</xdr:rowOff>
    </xdr:from>
    <xdr:to>
      <xdr:col>5</xdr:col>
      <xdr:colOff>381000</xdr:colOff>
      <xdr:row>43</xdr:row>
      <xdr:rowOff>190500</xdr:rowOff>
    </xdr:to>
    <xdr:pic>
      <xdr:nvPicPr>
        <xdr:cNvPr id="3" name="Picture 6" descr="SS-2010-08-10_15"/>
        <xdr:cNvPicPr>
          <a:picLocks noChangeAspect="1" noChangeArrowheads="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152400" y="11020425"/>
          <a:ext cx="4429125" cy="1238250"/>
        </a:xfrm>
        <a:prstGeom prst="rect">
          <a:avLst/>
        </a:prstGeom>
        <a:noFill/>
        <a:ln w="9525">
          <a:solidFill>
            <a:srgbClr val="00B050"/>
          </a:solidFill>
          <a:miter lim="800000"/>
          <a:headEnd/>
          <a:tailEnd/>
        </a:ln>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0</xdr:col>
      <xdr:colOff>0</xdr:colOff>
      <xdr:row>45</xdr:row>
      <xdr:rowOff>0</xdr:rowOff>
    </xdr:from>
    <xdr:to>
      <xdr:col>5</xdr:col>
      <xdr:colOff>714375</xdr:colOff>
      <xdr:row>49</xdr:row>
      <xdr:rowOff>123825</xdr:rowOff>
    </xdr:to>
    <xdr:pic>
      <xdr:nvPicPr>
        <xdr:cNvPr id="4" name="Picture 12" descr="SS-2010-09-01_10.25.50.png"/>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rcRect/>
        <a:stretch>
          <a:fillRect/>
        </a:stretch>
      </xdr:blipFill>
      <xdr:spPr bwMode="auto">
        <a:xfrm>
          <a:off x="0" y="13592175"/>
          <a:ext cx="4914900" cy="885825"/>
        </a:xfrm>
        <a:prstGeom prst="rect">
          <a:avLst/>
        </a:prstGeom>
        <a:noFill/>
        <a:ln w="9525">
          <a:solidFill>
            <a:srgbClr val="00B050"/>
          </a:solidFill>
          <a:miter lim="800000"/>
          <a:headEnd/>
          <a:tailEnd/>
        </a:ln>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0</xdr:col>
      <xdr:colOff>57150</xdr:colOff>
      <xdr:row>51</xdr:row>
      <xdr:rowOff>114300</xdr:rowOff>
    </xdr:from>
    <xdr:to>
      <xdr:col>5</xdr:col>
      <xdr:colOff>2400300</xdr:colOff>
      <xdr:row>67</xdr:row>
      <xdr:rowOff>161925</xdr:rowOff>
    </xdr:to>
    <xdr:pic>
      <xdr:nvPicPr>
        <xdr:cNvPr id="5" name="Picture 1"/>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rcRect/>
        <a:stretch>
          <a:fillRect/>
        </a:stretch>
      </xdr:blipFill>
      <xdr:spPr bwMode="auto">
        <a:xfrm>
          <a:off x="57150" y="14849475"/>
          <a:ext cx="6543675" cy="30956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123825</xdr:colOff>
      <xdr:row>39</xdr:row>
      <xdr:rowOff>28575</xdr:rowOff>
    </xdr:from>
    <xdr:to>
      <xdr:col>5</xdr:col>
      <xdr:colOff>66675</xdr:colOff>
      <xdr:row>67</xdr:row>
      <xdr:rowOff>180975</xdr:rowOff>
    </xdr:to>
    <xdr:pic>
      <xdr:nvPicPr>
        <xdr:cNvPr id="2" name="Picture 8"/>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3825" y="8029575"/>
          <a:ext cx="4876800" cy="54864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495921</xdr:colOff>
      <xdr:row>25</xdr:row>
      <xdr:rowOff>110780</xdr:rowOff>
    </xdr:from>
    <xdr:to>
      <xdr:col>9</xdr:col>
      <xdr:colOff>124239</xdr:colOff>
      <xdr:row>42</xdr:row>
      <xdr:rowOff>101255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nwcouncil.org/energy/rtf/measures/res/ResShowerheads_v2_1.xlsm"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Fitness%20Centers%20Survey"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 val="Com_Master_7P"/>
    </sheetNames>
    <definedNames>
      <definedName name="ACHIEV" refersTo="='ACHIEV'!$B$19:$Y$119"/>
      <definedName name="APPLIC" refersTo="='APPLIC'!$B$12:$X$112"/>
      <definedName name="BLDGTYPE" refersTo="='APPLIC'!$B$11:$U$11"/>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cell r="C11" t="str">
            <v>VCohort</v>
          </cell>
          <cell r="D11" t="str">
            <v>Measure Index Name</v>
          </cell>
          <cell r="E11" t="str">
            <v>Unit of Savings</v>
          </cell>
          <cell r="F11" t="str">
            <v>Measure Bundle Description</v>
          </cell>
          <cell r="G11" t="str">
            <v>Number of Measures in Bundle</v>
          </cell>
          <cell r="H11" t="str">
            <v>Descriptive Name</v>
          </cell>
          <cell r="I11" t="str">
            <v>Segment</v>
          </cell>
          <cell r="J11" t="str">
            <v>Savings Sources</v>
          </cell>
          <cell r="K11" t="str">
            <v>7P Technical Savings (aMW)</v>
          </cell>
          <cell r="L11" t="str">
            <v>Baseline</v>
          </cell>
          <cell r="M11" t="str">
            <v>Baseline Saturation</v>
          </cell>
          <cell r="N11" t="str">
            <v>Baseline Notes</v>
          </cell>
          <cell r="O11" t="str">
            <v>Cost Source</v>
          </cell>
          <cell r="P11" t="str">
            <v>Cost Notes</v>
          </cell>
          <cell r="Q11" t="str">
            <v>New from 6P</v>
          </cell>
          <cell r="R11" t="str">
            <v>6P Vintage</v>
          </cell>
          <cell r="S11" t="str">
            <v>Status</v>
          </cell>
          <cell r="T11" t="str">
            <v>Status notes</v>
          </cell>
          <cell r="U11" t="str">
            <v>Category</v>
          </cell>
        </row>
        <row r="12">
          <cell r="B12" t="str">
            <v>Compressed Air</v>
          </cell>
          <cell r="C12" t="str">
            <v>Retro</v>
          </cell>
          <cell r="D12" t="str">
            <v>Compressed Air-Retro</v>
          </cell>
          <cell r="E12" t="str">
            <v>kWh per HP BT</v>
          </cell>
          <cell r="F12" t="str">
            <v>Compressed Air Controls</v>
          </cell>
          <cell r="G12">
            <v>1</v>
          </cell>
          <cell r="H12" t="str">
            <v>Compressed Air Controls</v>
          </cell>
          <cell r="I12" t="str">
            <v>Some</v>
          </cell>
          <cell r="L12" t="str">
            <v>CBSA 2014</v>
          </cell>
          <cell r="Q12" t="str">
            <v>x</v>
          </cell>
          <cell r="R12" t="str">
            <v>N/A</v>
          </cell>
          <cell r="U12" t="str">
            <v>Compressed Air System Controls</v>
          </cell>
        </row>
        <row r="13">
          <cell r="B13" t="str">
            <v>Compressed Air</v>
          </cell>
          <cell r="C13" t="str">
            <v>NR</v>
          </cell>
          <cell r="D13" t="str">
            <v>Compressed Air-NR</v>
          </cell>
          <cell r="E13" t="str">
            <v>kWh per HP BT</v>
          </cell>
          <cell r="F13" t="str">
            <v>Compressed Air Improvements</v>
          </cell>
          <cell r="G13">
            <v>1</v>
          </cell>
          <cell r="H13" t="str">
            <v>Compressed Air Improvements</v>
          </cell>
          <cell r="I13" t="str">
            <v>Some</v>
          </cell>
          <cell r="L13" t="str">
            <v>CBSA 2014</v>
          </cell>
          <cell r="Q13" t="str">
            <v>x</v>
          </cell>
          <cell r="R13" t="str">
            <v>N/A</v>
          </cell>
          <cell r="U13" t="str">
            <v>Compressed Air System Improvements</v>
          </cell>
        </row>
        <row r="14">
          <cell r="B14" t="str">
            <v>Network PC Power Management</v>
          </cell>
          <cell r="C14" t="str">
            <v>Retro</v>
          </cell>
          <cell r="D14" t="str">
            <v>Network PC Power Management-Retro</v>
          </cell>
          <cell r="E14" t="str">
            <v>Count</v>
          </cell>
          <cell r="F14" t="str">
            <v>Control of a networked computer's advanced energy management systems</v>
          </cell>
          <cell r="G14">
            <v>1</v>
          </cell>
          <cell r="H14" t="str">
            <v>Network PC Power Management</v>
          </cell>
          <cell r="I14" t="str">
            <v>All</v>
          </cell>
          <cell r="L14" t="str">
            <v>CBSA 2014</v>
          </cell>
          <cell r="R14" t="str">
            <v>N/A</v>
          </cell>
          <cell r="U14" t="str">
            <v>Computer Technologies</v>
          </cell>
        </row>
        <row r="15">
          <cell r="B15" t="str">
            <v>Laptop</v>
          </cell>
          <cell r="C15" t="str">
            <v>NR</v>
          </cell>
          <cell r="D15" t="str">
            <v>Laptop-NR</v>
          </cell>
          <cell r="E15" t="str">
            <v>Count</v>
          </cell>
          <cell r="F15" t="str">
            <v>ENERGY STAR Laptops</v>
          </cell>
          <cell r="G15">
            <v>1</v>
          </cell>
          <cell r="H15" t="str">
            <v>ENERGY STAR Laptops</v>
          </cell>
          <cell r="I15" t="str">
            <v>All</v>
          </cell>
          <cell r="L15" t="str">
            <v>CBSA 2014</v>
          </cell>
          <cell r="R15" t="str">
            <v>N/A</v>
          </cell>
          <cell r="U15" t="str">
            <v>Computer Technologies</v>
          </cell>
        </row>
        <row r="16">
          <cell r="B16" t="str">
            <v>Smart Plug Power Strips</v>
          </cell>
          <cell r="C16" t="str">
            <v>Retro</v>
          </cell>
          <cell r="D16" t="str">
            <v>Smart Plug Power Strips-Retro</v>
          </cell>
          <cell r="E16" t="str">
            <v>Count</v>
          </cell>
          <cell r="F16" t="str">
            <v>Smart Plug Power Strips</v>
          </cell>
          <cell r="G16">
            <v>1</v>
          </cell>
          <cell r="H16" t="str">
            <v>Smart Plug Power Strips</v>
          </cell>
          <cell r="I16" t="str">
            <v>All</v>
          </cell>
          <cell r="L16" t="str">
            <v>CBSA 2014</v>
          </cell>
          <cell r="Q16" t="str">
            <v>x</v>
          </cell>
          <cell r="R16" t="str">
            <v>N/A</v>
          </cell>
          <cell r="U16" t="str">
            <v xml:space="preserve">Plug Load </v>
          </cell>
        </row>
        <row r="17">
          <cell r="B17" t="str">
            <v>Data Centers</v>
          </cell>
          <cell r="C17" t="str">
            <v>NR</v>
          </cell>
          <cell r="D17" t="str">
            <v>Data Centers-NR</v>
          </cell>
          <cell r="E17" t="str">
            <v>Count</v>
          </cell>
          <cell r="F17" t="str">
            <v xml:space="preserve">Data Centers; Virtualization, efficient servers, network gear, power supplies, and other measures at NR </v>
          </cell>
          <cell r="G17">
            <v>22</v>
          </cell>
          <cell r="H17" t="str">
            <v>Data Centers</v>
          </cell>
          <cell r="I17" t="str">
            <v>All</v>
          </cell>
          <cell r="L17" t="str">
            <v>CBSA 2014</v>
          </cell>
          <cell r="Q17" t="str">
            <v>x</v>
          </cell>
          <cell r="R17" t="str">
            <v>N/A</v>
          </cell>
          <cell r="U17" t="str">
            <v>Computer Technologies</v>
          </cell>
        </row>
        <row r="18">
          <cell r="B18" t="str">
            <v>Monitor</v>
          </cell>
          <cell r="C18" t="str">
            <v>NR</v>
          </cell>
          <cell r="D18" t="str">
            <v>Monitor-NR</v>
          </cell>
          <cell r="E18" t="str">
            <v>Count</v>
          </cell>
          <cell r="F18" t="str">
            <v>Commercial Computer Monitor</v>
          </cell>
          <cell r="G18">
            <v>1</v>
          </cell>
          <cell r="H18" t="str">
            <v>ENERGY STAR Monitor</v>
          </cell>
          <cell r="I18" t="str">
            <v>All</v>
          </cell>
          <cell r="L18" t="str">
            <v>Std Monitor</v>
          </cell>
          <cell r="R18" t="str">
            <v>N/A</v>
          </cell>
          <cell r="U18" t="str">
            <v>Computer Technologies</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Premium HVAC Equipment</v>
          </cell>
          <cell r="C22" t="str">
            <v>New</v>
          </cell>
          <cell r="D22" t="str">
            <v>Premium HVAC Equipment-New</v>
          </cell>
          <cell r="E22" t="str">
            <v>kWh per KSF BT</v>
          </cell>
          <cell r="F22" t="str">
            <v>HVAC equipment more efficient than applicable code or standard practice</v>
          </cell>
          <cell r="G22">
            <v>4</v>
          </cell>
          <cell r="H22" t="str">
            <v>Premium HVAC Equipment</v>
          </cell>
          <cell r="I22" t="str">
            <v>All</v>
          </cell>
          <cell r="L22" t="str">
            <v>CBSA 2014</v>
          </cell>
          <cell r="R22" t="str">
            <v>PRE/POST 2006</v>
          </cell>
          <cell r="U22" t="str">
            <v>HVAC System Improvements</v>
          </cell>
        </row>
        <row r="23">
          <cell r="B23" t="str">
            <v>Premium HVAC Equipment</v>
          </cell>
          <cell r="C23" t="str">
            <v>NR</v>
          </cell>
          <cell r="D23" t="str">
            <v>Premium HVAC Equipment-NR</v>
          </cell>
          <cell r="E23" t="str">
            <v>kWh per KSF BT</v>
          </cell>
          <cell r="F23" t="str">
            <v>HVAC equipment more efficient than applicable code or standard practice</v>
          </cell>
          <cell r="G23">
            <v>4</v>
          </cell>
          <cell r="H23" t="str">
            <v>Premium HVAC Equipment</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Glass</v>
          </cell>
          <cell r="C26" t="str">
            <v>Retro</v>
          </cell>
          <cell r="D26" t="str">
            <v>Glass-Retro</v>
          </cell>
          <cell r="E26" t="str">
            <v>kWh per KSF BT</v>
          </cell>
          <cell r="F26" t="str">
            <v>Windows and glazing more efficiecnt that code or standard practice</v>
          </cell>
          <cell r="G26">
            <v>3</v>
          </cell>
          <cell r="H26" t="str">
            <v>Windows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Low Pressure Distribution Complex HVAC</v>
          </cell>
          <cell r="C37" t="str">
            <v>New</v>
          </cell>
          <cell r="D37" t="str">
            <v>Low Pressure Distribution Complex HVAC-New</v>
          </cell>
          <cell r="E37" t="str">
            <v>kWh per KSF BT</v>
          </cell>
          <cell r="F37" t="str">
            <v>Dedicated Outside Air or Underfloor Air distribution systems in buildings with complex HVAC systems</v>
          </cell>
          <cell r="G37">
            <v>2</v>
          </cell>
          <cell r="H37" t="str">
            <v>Low Pressure Distribution Complex HVAC</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ECM-VAV</v>
          </cell>
          <cell r="C73" t="str">
            <v>New</v>
          </cell>
          <cell r="D73" t="str">
            <v>ECM-VAV-New</v>
          </cell>
          <cell r="E73" t="str">
            <v>kWh per KSF BT</v>
          </cell>
          <cell r="F73" t="str">
            <v>Electically Commutated Motors on Variable Air Volume Boxes</v>
          </cell>
          <cell r="G73">
            <v>1</v>
          </cell>
          <cell r="H73" t="str">
            <v>ECM Motors on Variable Air Volume Boxes</v>
          </cell>
          <cell r="I73" t="str">
            <v>All</v>
          </cell>
          <cell r="L73" t="str">
            <v>CBSA 2014</v>
          </cell>
          <cell r="R73" t="str">
            <v>PRE/POST 2006</v>
          </cell>
          <cell r="U73" t="str">
            <v>Motors</v>
          </cell>
        </row>
        <row r="74">
          <cell r="B74" t="str">
            <v>ECM-VAV</v>
          </cell>
          <cell r="C74" t="str">
            <v>NR</v>
          </cell>
          <cell r="D74" t="str">
            <v>ECM-VAV-NR</v>
          </cell>
          <cell r="E74" t="str">
            <v>kWh per KSF BT</v>
          </cell>
          <cell r="F74" t="str">
            <v>Electically Commutated Motors on Variable Air Volume Boxes</v>
          </cell>
          <cell r="G74">
            <v>1</v>
          </cell>
          <cell r="H74" t="str">
            <v>ECM Motors on Variable Air Volume Boxes</v>
          </cell>
          <cell r="I74" t="str">
            <v>All</v>
          </cell>
          <cell r="L74" t="str">
            <v>CBSA 2014</v>
          </cell>
          <cell r="R74" t="str">
            <v>PRE/POST 2006</v>
          </cell>
          <cell r="U74" t="str">
            <v>Motors</v>
          </cell>
        </row>
        <row r="75">
          <cell r="B75" t="str">
            <v>Pool pumps</v>
          </cell>
          <cell r="C75" t="str">
            <v>Retro</v>
          </cell>
          <cell r="D75" t="str">
            <v>Pool pumps-Retro</v>
          </cell>
          <cell r="E75" t="str">
            <v>Count</v>
          </cell>
          <cell r="F75" t="str">
            <v>Pool pumps</v>
          </cell>
          <cell r="G75">
            <v>1</v>
          </cell>
          <cell r="H75" t="str">
            <v>Pool pumps</v>
          </cell>
          <cell r="I75" t="str">
            <v>Some</v>
          </cell>
          <cell r="L75" t="str">
            <v>CBSA 2014</v>
          </cell>
          <cell r="Q75" t="str">
            <v>x</v>
          </cell>
          <cell r="R75" t="str">
            <v>N/A</v>
          </cell>
          <cell r="U75" t="str">
            <v>Pool System Improvements</v>
          </cell>
        </row>
        <row r="76">
          <cell r="B76" t="str">
            <v>MotorsRewind</v>
          </cell>
          <cell r="C76" t="str">
            <v>New</v>
          </cell>
          <cell r="D76" t="str">
            <v>MotorsRewind-New</v>
          </cell>
          <cell r="E76" t="str">
            <v>Count</v>
          </cell>
          <cell r="F76" t="str">
            <v>Motors - Rewind</v>
          </cell>
          <cell r="G76">
            <v>1</v>
          </cell>
          <cell r="H76" t="str">
            <v>Motors - Rewind</v>
          </cell>
          <cell r="I76" t="str">
            <v>All</v>
          </cell>
          <cell r="L76" t="str">
            <v>CBSA 2014</v>
          </cell>
          <cell r="Q76" t="str">
            <v>x</v>
          </cell>
          <cell r="R76" t="str">
            <v>N/A</v>
          </cell>
          <cell r="U76" t="str">
            <v>Motors</v>
          </cell>
        </row>
        <row r="77">
          <cell r="B77" t="str">
            <v>MotorsRewind</v>
          </cell>
          <cell r="C77" t="str">
            <v>NR</v>
          </cell>
          <cell r="D77" t="str">
            <v>MotorsRewind-NR</v>
          </cell>
          <cell r="E77" t="str">
            <v>Count</v>
          </cell>
          <cell r="F77" t="str">
            <v>Motors - Rewind</v>
          </cell>
          <cell r="G77">
            <v>1</v>
          </cell>
          <cell r="H77" t="str">
            <v>Motors - Rewind</v>
          </cell>
          <cell r="I77" t="str">
            <v>All</v>
          </cell>
          <cell r="L77" t="str">
            <v>CBSA 2014</v>
          </cell>
          <cell r="Q77" t="str">
            <v>x</v>
          </cell>
          <cell r="R77" t="str">
            <v>N/A</v>
          </cell>
          <cell r="U77" t="str">
            <v>Motors</v>
          </cell>
        </row>
        <row r="78">
          <cell r="B78" t="str">
            <v>Municipal Sewage Treatment</v>
          </cell>
          <cell r="C78" t="str">
            <v>Retro</v>
          </cell>
          <cell r="D78" t="str">
            <v>Municipal Sewage Treatment-Retro</v>
          </cell>
          <cell r="E78" t="str">
            <v>MGD Flow</v>
          </cell>
          <cell r="F78" t="str">
            <v>Suite of measures for sewage treatment</v>
          </cell>
          <cell r="G78">
            <v>10</v>
          </cell>
          <cell r="H78" t="str">
            <v>Municipal Sewage Treatment</v>
          </cell>
          <cell r="I78" t="str">
            <v>Non-Building</v>
          </cell>
          <cell r="J78" t="str">
            <v>BACGEN</v>
          </cell>
          <cell r="L78" t="str">
            <v>2013 EPA Flow rates</v>
          </cell>
          <cell r="M78" t="str">
            <v>Achievements</v>
          </cell>
          <cell r="O78" t="str">
            <v>6P+ETO data</v>
          </cell>
          <cell r="R78" t="str">
            <v>N/A</v>
          </cell>
          <cell r="S78" t="str">
            <v>V1</v>
          </cell>
          <cell r="T78" t="str">
            <v>More data coming from NEEA</v>
          </cell>
          <cell r="U78" t="str">
            <v>Process Loads System Improvements</v>
          </cell>
        </row>
        <row r="79">
          <cell r="B79" t="str">
            <v>Municipal Water Supply</v>
          </cell>
          <cell r="C79" t="str">
            <v>Retro</v>
          </cell>
          <cell r="D79" t="str">
            <v>Municipal Water Supply-Retro</v>
          </cell>
          <cell r="E79" t="str">
            <v>MGD Flow</v>
          </cell>
          <cell r="F79" t="str">
            <v>Suite of measures for water supply systems</v>
          </cell>
          <cell r="G79">
            <v>5</v>
          </cell>
          <cell r="H79" t="str">
            <v>Municipal Water Supply</v>
          </cell>
          <cell r="I79" t="str">
            <v>Non-Building</v>
          </cell>
          <cell r="J79" t="str">
            <v>BACGEN</v>
          </cell>
          <cell r="L79" t="str">
            <v>2013 EPA Flow rates</v>
          </cell>
          <cell r="M79" t="str">
            <v>Achievements</v>
          </cell>
          <cell r="O79" t="str">
            <v>6P+ETO data</v>
          </cell>
          <cell r="R79" t="str">
            <v>N/A</v>
          </cell>
          <cell r="S79" t="str">
            <v>V1</v>
          </cell>
          <cell r="T79" t="str">
            <v>More data coming from NEEA</v>
          </cell>
          <cell r="U79" t="str">
            <v>Process Loads System Improvements</v>
          </cell>
        </row>
        <row r="80">
          <cell r="B80" t="str">
            <v>Engine Generator Block Heaters</v>
          </cell>
          <cell r="C80" t="str">
            <v>Retro</v>
          </cell>
          <cell r="D80" t="str">
            <v>Engine Generator Block Heaters-Retro</v>
          </cell>
          <cell r="E80" t="str">
            <v>Count</v>
          </cell>
          <cell r="F80" t="str">
            <v>Engine Generator Block Heaters (for standby generators)</v>
          </cell>
          <cell r="G80">
            <v>1</v>
          </cell>
          <cell r="H80" t="str">
            <v>Engine Generator Block Heaters</v>
          </cell>
          <cell r="I80" t="str">
            <v>All</v>
          </cell>
          <cell r="L80" t="str">
            <v>No Control</v>
          </cell>
          <cell r="Q80" t="str">
            <v>x</v>
          </cell>
          <cell r="R80" t="str">
            <v>N/A</v>
          </cell>
          <cell r="U80" t="str">
            <v>Process Loads System Controls</v>
          </cell>
        </row>
        <row r="81">
          <cell r="B81" t="str">
            <v>Grocery Refrigeration Bundle</v>
          </cell>
          <cell r="C81" t="str">
            <v>Retro</v>
          </cell>
          <cell r="D81" t="str">
            <v>Grocery Refrigeration Bundle-Retro</v>
          </cell>
          <cell r="E81" t="str">
            <v>kWh per KSF BT</v>
          </cell>
          <cell r="F81" t="str">
            <v>Grocery store refrigeration measures</v>
          </cell>
          <cell r="G81">
            <v>12</v>
          </cell>
          <cell r="H81" t="str">
            <v>Grocery Refrigeration Bundle</v>
          </cell>
          <cell r="I81" t="str">
            <v>Grocery</v>
          </cell>
          <cell r="L81" t="str">
            <v>CBSA 2014</v>
          </cell>
          <cell r="R81" t="str">
            <v>N/A</v>
          </cell>
          <cell r="U81" t="str">
            <v>Refrigeration System Improvements</v>
          </cell>
        </row>
        <row r="82">
          <cell r="B82" t="str">
            <v>Packaged Refrigeration Equipment</v>
          </cell>
          <cell r="C82" t="str">
            <v>New</v>
          </cell>
          <cell r="D82" t="str">
            <v>Packaged Refrigeration Equipment-New</v>
          </cell>
          <cell r="E82" t="str">
            <v>Count</v>
          </cell>
          <cell r="F82" t="str">
            <v>Efficient refrigerators and freezers, beverage merchandizers, ice makers and vending machines</v>
          </cell>
          <cell r="G82">
            <v>20</v>
          </cell>
          <cell r="H82" t="str">
            <v>Packaged Refrigeration Equipment</v>
          </cell>
          <cell r="I82" t="str">
            <v>Grocery</v>
          </cell>
          <cell r="L82" t="str">
            <v>CBSA 2014</v>
          </cell>
          <cell r="R82" t="str">
            <v>N/A</v>
          </cell>
          <cell r="U82" t="str">
            <v>Packaged Refrigeration</v>
          </cell>
        </row>
        <row r="83">
          <cell r="B83" t="str">
            <v>Appliances - Freezers</v>
          </cell>
          <cell r="C83" t="str">
            <v>NR</v>
          </cell>
          <cell r="D83" t="str">
            <v>Appliances - Freezers-NR</v>
          </cell>
          <cell r="E83" t="str">
            <v>Count</v>
          </cell>
          <cell r="F83" t="str">
            <v>Residential freezers in commercial buildings</v>
          </cell>
          <cell r="G83">
            <v>1</v>
          </cell>
          <cell r="H83" t="str">
            <v>Appliances - Freezers</v>
          </cell>
          <cell r="I83" t="str">
            <v>All</v>
          </cell>
          <cell r="L83" t="str">
            <v>Fed Std 2014</v>
          </cell>
          <cell r="Q83" t="str">
            <v>x</v>
          </cell>
          <cell r="R83" t="str">
            <v>N/A</v>
          </cell>
          <cell r="U83" t="str">
            <v>Refrigeration System Improvements</v>
          </cell>
        </row>
        <row r="84">
          <cell r="B84" t="str">
            <v>Appliances - Refrigerators</v>
          </cell>
          <cell r="C84" t="str">
            <v>NR</v>
          </cell>
          <cell r="D84" t="str">
            <v>Appliances - Refrigerators-NR</v>
          </cell>
          <cell r="E84" t="str">
            <v>Count</v>
          </cell>
          <cell r="F84" t="str">
            <v>Residential refrigerators in commercial buildings</v>
          </cell>
          <cell r="G84">
            <v>1</v>
          </cell>
          <cell r="H84" t="str">
            <v>Appliances - Refrigerators</v>
          </cell>
          <cell r="I84" t="str">
            <v>All</v>
          </cell>
          <cell r="L84" t="str">
            <v>Fed Std 2014</v>
          </cell>
          <cell r="Q84" t="str">
            <v>x</v>
          </cell>
          <cell r="R84" t="str">
            <v>N/A</v>
          </cell>
          <cell r="U84" t="str">
            <v>Refrigeration System Improvements</v>
          </cell>
        </row>
        <row r="85">
          <cell r="B85" t="str">
            <v>Water Cooler Controls</v>
          </cell>
          <cell r="C85" t="str">
            <v>NR</v>
          </cell>
          <cell r="D85" t="str">
            <v>Water Cooler Controls-NR</v>
          </cell>
          <cell r="E85" t="str">
            <v>Count</v>
          </cell>
          <cell r="F85" t="str">
            <v>Water Cooler Controls</v>
          </cell>
          <cell r="G85">
            <v>1</v>
          </cell>
          <cell r="H85" t="str">
            <v>Water Cooler Controls</v>
          </cell>
          <cell r="I85" t="str">
            <v>Some</v>
          </cell>
          <cell r="L85" t="str">
            <v>Uncontrolled</v>
          </cell>
          <cell r="Q85" t="str">
            <v>x</v>
          </cell>
          <cell r="R85" t="str">
            <v>N/A</v>
          </cell>
          <cell r="U85" t="str">
            <v>Refrigeration System Controls</v>
          </cell>
        </row>
        <row r="86">
          <cell r="B86" t="str">
            <v>WHTanks</v>
          </cell>
          <cell r="C86" t="str">
            <v>New</v>
          </cell>
          <cell r="D86" t="str">
            <v>WHTanks-New</v>
          </cell>
          <cell r="E86" t="str">
            <v>Count</v>
          </cell>
          <cell r="F86" t="str">
            <v>Clotheswashers more efficient than federal standard</v>
          </cell>
          <cell r="H86" t="str">
            <v>DHW - Efficient Tanks</v>
          </cell>
          <cell r="I86" t="str">
            <v>Some</v>
          </cell>
          <cell r="L86" t="str">
            <v>CBSA 2014</v>
          </cell>
          <cell r="R86" t="str">
            <v>N/A</v>
          </cell>
          <cell r="U86" t="str">
            <v>Water Using Devices</v>
          </cell>
        </row>
        <row r="87">
          <cell r="B87" t="str">
            <v>WHTanks</v>
          </cell>
          <cell r="C87" t="str">
            <v>NR</v>
          </cell>
          <cell r="D87" t="str">
            <v>WHTanks-NR</v>
          </cell>
          <cell r="E87" t="str">
            <v>Count</v>
          </cell>
          <cell r="F87" t="str">
            <v>Efficient Residential water heaters in commercial buildings</v>
          </cell>
          <cell r="G87">
            <v>1</v>
          </cell>
          <cell r="H87" t="str">
            <v>DHW - Efficient Tanks</v>
          </cell>
          <cell r="I87" t="str">
            <v>All</v>
          </cell>
          <cell r="L87" t="str">
            <v>CBSA 2014</v>
          </cell>
          <cell r="Q87" t="str">
            <v>x</v>
          </cell>
          <cell r="R87" t="str">
            <v>N/A</v>
          </cell>
          <cell r="U87" t="str">
            <v>Water Heaters</v>
          </cell>
        </row>
        <row r="88">
          <cell r="B88" t="str">
            <v>Appliances - Clothes Washers</v>
          </cell>
          <cell r="C88" t="str">
            <v>NR</v>
          </cell>
          <cell r="D88" t="str">
            <v>Appliances - Clothes Washers-NR</v>
          </cell>
          <cell r="E88" t="str">
            <v>Count</v>
          </cell>
          <cell r="F88" t="str">
            <v>Efficient residential clothes washers in commercial buildings</v>
          </cell>
          <cell r="G88">
            <v>1</v>
          </cell>
          <cell r="H88" t="str">
            <v>Appliances - Clothes Washers</v>
          </cell>
          <cell r="I88" t="str">
            <v>Some</v>
          </cell>
          <cell r="L88" t="str">
            <v>CBSA 2014</v>
          </cell>
          <cell r="Q88" t="str">
            <v>x</v>
          </cell>
          <cell r="R88" t="str">
            <v>N/A</v>
          </cell>
          <cell r="U88" t="str">
            <v>Water Using Devices</v>
          </cell>
        </row>
        <row r="89">
          <cell r="B89" t="str">
            <v>Showerheads</v>
          </cell>
          <cell r="C89" t="str">
            <v>Retro</v>
          </cell>
          <cell r="D89" t="str">
            <v>Showerheads-Retro</v>
          </cell>
          <cell r="E89" t="str">
            <v>Count</v>
          </cell>
          <cell r="F89" t="str">
            <v>Efficient showerheads</v>
          </cell>
          <cell r="G89">
            <v>1</v>
          </cell>
          <cell r="H89" t="str">
            <v>DHW - Showerheads</v>
          </cell>
          <cell r="I89" t="str">
            <v>Some</v>
          </cell>
          <cell r="L89" t="str">
            <v>2.5 GPM</v>
          </cell>
          <cell r="Q89" t="str">
            <v>x</v>
          </cell>
          <cell r="R89" t="str">
            <v>N/A</v>
          </cell>
          <cell r="U89" t="str">
            <v>Water Using Devices</v>
          </cell>
        </row>
        <row r="90">
          <cell r="B90" t="str">
            <v>Water Heating - GFHX</v>
          </cell>
          <cell r="C90" t="str">
            <v>New</v>
          </cell>
          <cell r="D90" t="str">
            <v>Water Heating - GFHX-New</v>
          </cell>
          <cell r="E90" t="str">
            <v>Count</v>
          </cell>
          <cell r="F90" t="str">
            <v>Drain water heat recovery in new mulitfaimly applications</v>
          </cell>
          <cell r="G90">
            <v>1</v>
          </cell>
          <cell r="H90" t="str">
            <v>Water Heating - GFHX</v>
          </cell>
          <cell r="I90" t="str">
            <v>All</v>
          </cell>
          <cell r="L90" t="str">
            <v>No Heat Recovery</v>
          </cell>
          <cell r="Q90" t="str">
            <v>x</v>
          </cell>
          <cell r="R90" t="str">
            <v>N/A</v>
          </cell>
          <cell r="U90" t="str">
            <v>Water Using Devices</v>
          </cell>
        </row>
        <row r="91">
          <cell r="B91" t="str">
            <v>Demand Control Circulating system DHW</v>
          </cell>
          <cell r="C91" t="str">
            <v>Retro</v>
          </cell>
          <cell r="D91" t="str">
            <v>Demand Control Circulating system DHW-Retro</v>
          </cell>
          <cell r="E91" t="str">
            <v>kWh per KSF BT</v>
          </cell>
          <cell r="F91" t="str">
            <v>Demand Control Circulating system DHW</v>
          </cell>
          <cell r="G91">
            <v>1</v>
          </cell>
          <cell r="H91" t="str">
            <v>Demand Control Circulating system DHW</v>
          </cell>
          <cell r="I91" t="str">
            <v>Some</v>
          </cell>
          <cell r="L91" t="str">
            <v>CBSA 2014</v>
          </cell>
          <cell r="Q91" t="str">
            <v>x</v>
          </cell>
          <cell r="R91" t="str">
            <v>N/A</v>
          </cell>
          <cell r="U91" t="str">
            <v>Water Using Devices</v>
          </cell>
        </row>
        <row r="92">
          <cell r="B92" t="str">
            <v>Central HPWH MF</v>
          </cell>
          <cell r="C92" t="str">
            <v>Retro</v>
          </cell>
          <cell r="D92" t="str">
            <v>Central HPWH MF-Retro</v>
          </cell>
          <cell r="E92" t="str">
            <v>Count</v>
          </cell>
          <cell r="F92" t="str">
            <v>Central HPWH MF</v>
          </cell>
          <cell r="G92">
            <v>1</v>
          </cell>
          <cell r="H92" t="str">
            <v>Central HPWH MF</v>
          </cell>
          <cell r="I92" t="str">
            <v>Multifamily</v>
          </cell>
          <cell r="L92" t="str">
            <v>CBSA 2014</v>
          </cell>
          <cell r="Q92" t="str">
            <v>x</v>
          </cell>
          <cell r="R92" t="str">
            <v>N/A</v>
          </cell>
          <cell r="U92" t="str">
            <v>Water Heaters</v>
          </cell>
        </row>
        <row r="93">
          <cell r="B93" t="str">
            <v>Ultra Low Energy Building</v>
          </cell>
          <cell r="C93" t="str">
            <v>New</v>
          </cell>
          <cell r="D93" t="str">
            <v>Ultra Low Energy Building-New</v>
          </cell>
          <cell r="E93" t="str">
            <v>kWh per KSF BT</v>
          </cell>
          <cell r="F93" t="str">
            <v>Multiple measures applied in integrated design practice</v>
          </cell>
          <cell r="G93">
            <v>13</v>
          </cell>
          <cell r="H93" t="str">
            <v>Ultra Low Energy Building</v>
          </cell>
          <cell r="I93" t="str">
            <v>Some</v>
          </cell>
          <cell r="L93" t="str">
            <v>Code</v>
          </cell>
          <cell r="R93" t="str">
            <v>POST2006</v>
          </cell>
          <cell r="U93" t="str">
            <v>Whole Bldg/Meter Level System Improvements</v>
          </cell>
        </row>
        <row r="94">
          <cell r="B94" t="str">
            <v>Low Power LF Lamps</v>
          </cell>
          <cell r="C94" t="str">
            <v>NR</v>
          </cell>
          <cell r="D94" t="str">
            <v>Low Power LF Lamps-NR</v>
          </cell>
          <cell r="E94" t="str">
            <v>lamp</v>
          </cell>
          <cell r="F94" t="str">
            <v>Shift mix of 32W, 28W and 25W lamps towards low watt lamps</v>
          </cell>
          <cell r="G94">
            <v>2</v>
          </cell>
          <cell r="H94" t="str">
            <v>High Performance Low Power Fluorescent Lamps</v>
          </cell>
          <cell r="I94" t="str">
            <v>All</v>
          </cell>
          <cell r="L94" t="str">
            <v>Federal GSFL 2014</v>
          </cell>
          <cell r="Q94" t="str">
            <v>x</v>
          </cell>
          <cell r="R94" t="str">
            <v>N/A</v>
          </cell>
          <cell r="U94" t="str">
            <v>Lamps/Ballasts/Fixtures</v>
          </cell>
        </row>
        <row r="100">
          <cell r="B100" t="str">
            <v>Category_Name</v>
          </cell>
          <cell r="C100" t="str">
            <v>TAP_Name</v>
          </cell>
        </row>
        <row r="101">
          <cell r="B101" t="str">
            <v>Compressed Air System Controls</v>
          </cell>
          <cell r="C101" t="str">
            <v>Compressed Air Control Improvements (non-VFD)</v>
          </cell>
        </row>
        <row r="102">
          <cell r="B102" t="str">
            <v>Compressed Air System Improvements</v>
          </cell>
          <cell r="C102" t="str">
            <v>Compressed Air Control Improvements (VFD)</v>
          </cell>
        </row>
        <row r="103">
          <cell r="B103" t="str">
            <v>Computer Technologies</v>
          </cell>
          <cell r="C103" t="str">
            <v>Compressed Air System Compressor Improvements (non-VFD)</v>
          </cell>
        </row>
        <row r="104">
          <cell r="B104" t="str">
            <v>Cooking</v>
          </cell>
          <cell r="C104" t="str">
            <v>Compressed Air System Compressor Improvements (VFD)</v>
          </cell>
        </row>
        <row r="105">
          <cell r="B105" t="str">
            <v>Delamping</v>
          </cell>
          <cell r="C105" t="str">
            <v>Compressed Air System Demand Side Improvements</v>
          </cell>
        </row>
        <row r="106">
          <cell r="B106" t="str">
            <v>Elevators</v>
          </cell>
          <cell r="C106" t="str">
            <v>Compressed Air System Dryer Improvements</v>
          </cell>
        </row>
        <row r="107">
          <cell r="B107" t="str">
            <v>Envelope</v>
          </cell>
          <cell r="C107" t="str">
            <v>Compressed Air System Regulation Improvements</v>
          </cell>
        </row>
        <row r="108">
          <cell r="B108" t="str">
            <v>Escalators</v>
          </cell>
          <cell r="C108" t="str">
            <v>Compressed Air System Storage Improvements</v>
          </cell>
        </row>
        <row r="109">
          <cell r="B109" t="str">
            <v>Heat Recovery</v>
          </cell>
          <cell r="C109" t="str">
            <v>Compressed Air System Supply Side Improvements</v>
          </cell>
        </row>
        <row r="110">
          <cell r="B110" t="str">
            <v>HVAC System Controls</v>
          </cell>
          <cell r="C110" t="str">
            <v>Compressors</v>
          </cell>
        </row>
        <row r="111">
          <cell r="B111" t="str">
            <v>HVAC System Improvements</v>
          </cell>
          <cell r="C111" t="str">
            <v>Heat Recovery Improvements</v>
          </cell>
        </row>
        <row r="112">
          <cell r="B112" t="str">
            <v>Lamps/Ballasts/Fixtures</v>
          </cell>
          <cell r="C112" t="str">
            <v>Network Computer Power Management</v>
          </cell>
        </row>
        <row r="113">
          <cell r="B113" t="str">
            <v>Lighting Controls</v>
          </cell>
          <cell r="C113" t="str">
            <v>Power Supplies</v>
          </cell>
        </row>
        <row r="114">
          <cell r="B114" t="str">
            <v>Motors</v>
          </cell>
          <cell r="C114" t="str">
            <v>Server Virtualization/Load Reduction</v>
          </cell>
        </row>
        <row r="115">
          <cell r="B115" t="str">
            <v>Motors/Drives Controls</v>
          </cell>
          <cell r="C115" t="str">
            <v>Servers</v>
          </cell>
        </row>
        <row r="116">
          <cell r="B116" t="str">
            <v>Packaged Refrigeration</v>
          </cell>
          <cell r="C116" t="str">
            <v>Power Strips</v>
          </cell>
        </row>
        <row r="117">
          <cell r="B117" t="str">
            <v xml:space="preserve">Plug Load </v>
          </cell>
          <cell r="C117" t="str">
            <v>Cooking Equipment</v>
          </cell>
        </row>
        <row r="118">
          <cell r="B118" t="str">
            <v>Pool System Improvements</v>
          </cell>
          <cell r="C118" t="str">
            <v>Electric Combination Ovens</v>
          </cell>
        </row>
        <row r="119">
          <cell r="B119" t="str">
            <v>Process Loads System Controls</v>
          </cell>
          <cell r="C119" t="str">
            <v>Electric Commercial Steam Cookers</v>
          </cell>
        </row>
      </sheetData>
      <sheetData sheetId="2">
        <row r="4">
          <cell r="H4">
            <v>2035</v>
          </cell>
        </row>
        <row r="11">
          <cell r="B11" t="str">
            <v>Measure Index Name</v>
          </cell>
          <cell r="C11" t="str">
            <v>File Link</v>
          </cell>
          <cell r="D11" t="str">
            <v>Supply Curve Worksheet</v>
          </cell>
          <cell r="E11" t="str">
            <v>Lost Opp</v>
          </cell>
          <cell r="F11" t="str">
            <v>Descriptive Name</v>
          </cell>
          <cell r="G11" t="str">
            <v>Most Recent Substantive Update</v>
          </cell>
          <cell r="H11" t="str">
            <v>Cumulative Technically  Achievable Savings in 2035 in MWa</v>
          </cell>
          <cell r="I11" t="str">
            <v>aMW in New Building Non Plug Load</v>
          </cell>
          <cell r="J11" t="str">
            <v>Comparable Estimate for 6th Plan</v>
          </cell>
          <cell r="K11" t="str">
            <v>Comparable Estimate for 6th Plan (Pasted Values)</v>
          </cell>
          <cell r="L11" t="str">
            <v>Final Check for Draft Plan</v>
          </cell>
          <cell r="O11" t="str">
            <v>Analyst</v>
          </cell>
          <cell r="P11" t="str">
            <v>Comments Reviewed &amp; Updates Complete</v>
          </cell>
          <cell r="Q11" t="str">
            <v>Run ProCost with Final Inputs (Gas)</v>
          </cell>
          <cell r="R11" t="str">
            <v>Check/Repair RPM Links</v>
          </cell>
          <cell r="S11" t="str">
            <v>SC Curve to Auto High/Low Forecast</v>
          </cell>
          <cell r="T11" t="str">
            <v>SC Curve measure references linked to MList</v>
          </cell>
          <cell r="U11" t="str">
            <v>Check Linked Files and Range Names.  Correct link to ComMaster</v>
          </cell>
        </row>
        <row r="12">
          <cell r="B12" t="str">
            <v>Compressed Air-Retro</v>
          </cell>
          <cell r="C12" t="str">
            <v>COM-CompressedAir-7P_V2.xlsm</v>
          </cell>
          <cell r="F12" t="str">
            <v>Compressed Air Controls</v>
          </cell>
          <cell r="H12">
            <v>3.2238288305372076</v>
          </cell>
          <cell r="I12">
            <v>0</v>
          </cell>
          <cell r="J12">
            <v>3.2238288305372076</v>
          </cell>
          <cell r="K12" t="str">
            <v/>
          </cell>
          <cell r="O12" t="str">
            <v>ks</v>
          </cell>
        </row>
        <row r="13">
          <cell r="B13" t="str">
            <v>Compressed Air-NR</v>
          </cell>
          <cell r="C13" t="str">
            <v>COM-CompressedAir-7P_V2.xlsm</v>
          </cell>
          <cell r="F13" t="str">
            <v>Compressed Air Improvements</v>
          </cell>
          <cell r="H13">
            <v>1.0195557332307676</v>
          </cell>
          <cell r="I13">
            <v>0</v>
          </cell>
          <cell r="J13">
            <v>1.0195557332307676</v>
          </cell>
          <cell r="K13" t="str">
            <v/>
          </cell>
          <cell r="O13" t="str">
            <v>ks</v>
          </cell>
        </row>
        <row r="14">
          <cell r="B14" t="str">
            <v>Network PC Power Management-Retro</v>
          </cell>
          <cell r="C14" t="str">
            <v>dropped for 7p</v>
          </cell>
          <cell r="F14" t="str">
            <v>Network PC Power Management</v>
          </cell>
          <cell r="J14">
            <v>0</v>
          </cell>
          <cell r="K14">
            <v>72.717466539008427</v>
          </cell>
        </row>
        <row r="15">
          <cell r="B15" t="str">
            <v>Laptop-NR</v>
          </cell>
          <cell r="C15" t="str">
            <v>COM-Computers-7P_V1.xlsx</v>
          </cell>
          <cell r="F15" t="str">
            <v>ENERGY STAR Laptops</v>
          </cell>
          <cell r="H15">
            <v>3.9941361655064203</v>
          </cell>
          <cell r="I15">
            <v>0</v>
          </cell>
          <cell r="J15">
            <v>3.9941361655064203</v>
          </cell>
          <cell r="K15">
            <v>129.97956115621164</v>
          </cell>
          <cell r="O15" t="str">
            <v>tj</v>
          </cell>
        </row>
        <row r="16">
          <cell r="B16" t="str">
            <v>Smart Plug Power Strips-Retro</v>
          </cell>
          <cell r="C16" t="str">
            <v>COM-Powerstrips-7P_v3.xlsm</v>
          </cell>
          <cell r="F16" t="str">
            <v>Smart Plug Power Strips</v>
          </cell>
          <cell r="H16">
            <v>46.672185845920254</v>
          </cell>
          <cell r="I16">
            <v>0</v>
          </cell>
          <cell r="J16">
            <v>46.672185845920254</v>
          </cell>
          <cell r="K16" t="str">
            <v/>
          </cell>
          <cell r="O16" t="str">
            <v>ks</v>
          </cell>
        </row>
        <row r="17">
          <cell r="B17" t="str">
            <v>Data Centers-NR</v>
          </cell>
          <cell r="C17" t="str">
            <v>Com-DataCenters-7P_V4.xlsx</v>
          </cell>
          <cell r="F17" t="str">
            <v>Data Centers</v>
          </cell>
          <cell r="G17">
            <v>42057</v>
          </cell>
          <cell r="H17">
            <v>261.31837015129264</v>
          </cell>
          <cell r="I17">
            <v>0</v>
          </cell>
          <cell r="J17">
            <v>261.31837015129264</v>
          </cell>
          <cell r="K17" t="str">
            <v/>
          </cell>
          <cell r="O17" t="str">
            <v>cg</v>
          </cell>
          <cell r="R17">
            <v>42069</v>
          </cell>
          <cell r="T17">
            <v>42069</v>
          </cell>
        </row>
        <row r="18">
          <cell r="B18" t="str">
            <v>Monitor-NR</v>
          </cell>
          <cell r="C18" t="str">
            <v>COM-Computers-7P_V1.xlsx</v>
          </cell>
          <cell r="F18" t="str">
            <v>ENERGY STAR Monitor</v>
          </cell>
          <cell r="H18">
            <v>24.336936136177435</v>
          </cell>
          <cell r="I18">
            <v>0</v>
          </cell>
          <cell r="J18">
            <v>24.336936136177435</v>
          </cell>
          <cell r="K18" t="str">
            <v/>
          </cell>
          <cell r="O18" t="str">
            <v>tj</v>
          </cell>
        </row>
        <row r="19">
          <cell r="B19" t="str">
            <v>Desktop-NR</v>
          </cell>
          <cell r="C19" t="str">
            <v>COM-Computers-7P_V1.xlsx</v>
          </cell>
          <cell r="F19" t="str">
            <v>ENERGY STAR Desktop</v>
          </cell>
          <cell r="H19">
            <v>55.8193241357245</v>
          </cell>
          <cell r="I19">
            <v>0</v>
          </cell>
          <cell r="J19">
            <v>55.8193241357245</v>
          </cell>
          <cell r="K19" t="str">
            <v/>
          </cell>
          <cell r="O19" t="str">
            <v>tj</v>
          </cell>
        </row>
        <row r="20">
          <cell r="B20" t="str">
            <v>Pre-Rinse Spray Valve-Retro</v>
          </cell>
          <cell r="C20" t="str">
            <v>COM-PreRinseSpray-7P_V2.xlsm</v>
          </cell>
          <cell r="F20" t="str">
            <v>Pre-Rinse Spray Valve</v>
          </cell>
          <cell r="H20">
            <v>0.97671631632425404</v>
          </cell>
          <cell r="I20">
            <v>0</v>
          </cell>
          <cell r="J20">
            <v>6.3907640383945719</v>
          </cell>
          <cell r="K20">
            <v>1.8020364840570837</v>
          </cell>
          <cell r="O20" t="str">
            <v>ks</v>
          </cell>
        </row>
        <row r="21">
          <cell r="B21" t="str">
            <v>Cooking Equipment-NR</v>
          </cell>
          <cell r="C21" t="str">
            <v>COM-Cooking-7P_V4.xlsm</v>
          </cell>
          <cell r="F21" t="str">
            <v>Cooking Equipment</v>
          </cell>
          <cell r="H21">
            <v>66.300435443908256</v>
          </cell>
          <cell r="I21">
            <v>0</v>
          </cell>
          <cell r="J21">
            <v>35.293413394978195</v>
          </cell>
          <cell r="K21">
            <v>31.83672767383753</v>
          </cell>
          <cell r="O21" t="str">
            <v>ks</v>
          </cell>
        </row>
        <row r="22">
          <cell r="B22" t="str">
            <v>Premium HVAC Equipment-New</v>
          </cell>
          <cell r="C22" t="str">
            <v>dropped for 7p Stds</v>
          </cell>
          <cell r="F22" t="str">
            <v>Premium HVAC Equipment</v>
          </cell>
          <cell r="H22">
            <v>0</v>
          </cell>
          <cell r="J22">
            <v>0</v>
          </cell>
          <cell r="K22">
            <v>7.3598915362035227</v>
          </cell>
        </row>
        <row r="23">
          <cell r="B23" t="str">
            <v>Premium HVAC Equipment-NR</v>
          </cell>
          <cell r="C23" t="str">
            <v>dropped for 7p Stds</v>
          </cell>
          <cell r="F23" t="str">
            <v>Premium HVAC Equipment</v>
          </cell>
          <cell r="H23">
            <v>0</v>
          </cell>
          <cell r="J23">
            <v>0</v>
          </cell>
          <cell r="K23">
            <v>28.437885955279242</v>
          </cell>
        </row>
        <row r="24">
          <cell r="B24" t="str">
            <v>Glass-New</v>
          </cell>
          <cell r="C24" t="str">
            <v>dropped for 7p - codes</v>
          </cell>
          <cell r="F24" t="str">
            <v>Windows</v>
          </cell>
          <cell r="J24">
            <v>0</v>
          </cell>
          <cell r="K24">
            <v>3.1359227208655991</v>
          </cell>
        </row>
        <row r="25">
          <cell r="B25" t="str">
            <v>Glass-NR</v>
          </cell>
          <cell r="C25" t="str">
            <v>dropped for 7p - codes</v>
          </cell>
          <cell r="F25" t="str">
            <v>Windows</v>
          </cell>
          <cell r="J25">
            <v>0</v>
          </cell>
          <cell r="K25">
            <v>7.2056124298919988</v>
          </cell>
        </row>
        <row r="26">
          <cell r="B26" t="str">
            <v>Glass-Retro</v>
          </cell>
          <cell r="C26" t="str">
            <v>see secondary glazing</v>
          </cell>
          <cell r="F26" t="str">
            <v>Windows</v>
          </cell>
          <cell r="J26">
            <v>0</v>
          </cell>
          <cell r="K26">
            <v>20.889312946804694</v>
          </cell>
        </row>
        <row r="27">
          <cell r="B27" t="str">
            <v>Advanced Rooftop Controller-New</v>
          </cell>
          <cell r="F27" t="str">
            <v>Advanced Rooftop Controller</v>
          </cell>
          <cell r="J27">
            <v>0</v>
          </cell>
          <cell r="K27" t="str">
            <v/>
          </cell>
          <cell r="O27" t="str">
            <v>ks</v>
          </cell>
        </row>
        <row r="28">
          <cell r="B28" t="str">
            <v>Advanced Rooftop Controller-NR</v>
          </cell>
          <cell r="F28" t="str">
            <v>Advanced Rooftop Controller</v>
          </cell>
          <cell r="J28">
            <v>0</v>
          </cell>
          <cell r="K28" t="str">
            <v/>
          </cell>
          <cell r="O28" t="str">
            <v>ks</v>
          </cell>
        </row>
        <row r="29">
          <cell r="B29" t="str">
            <v>Advanced Rooftop Controller-Retro</v>
          </cell>
          <cell r="C29" t="str">
            <v>Com-RooftopController-7P_V4.xlsm</v>
          </cell>
          <cell r="F29" t="str">
            <v>Advanced Rooftop Controller</v>
          </cell>
          <cell r="H29">
            <v>119.37282587197582</v>
          </cell>
          <cell r="I29">
            <v>0</v>
          </cell>
          <cell r="J29">
            <v>119.37282587197582</v>
          </cell>
          <cell r="K29" t="str">
            <v/>
          </cell>
          <cell r="O29" t="str">
            <v>ks</v>
          </cell>
        </row>
        <row r="30">
          <cell r="B30" t="str">
            <v>Variable Speed Chiller-New</v>
          </cell>
          <cell r="F30" t="str">
            <v>Variable Speed Chiller</v>
          </cell>
          <cell r="J30">
            <v>0</v>
          </cell>
          <cell r="K30">
            <v>1.1125921894779771</v>
          </cell>
        </row>
        <row r="31">
          <cell r="B31" t="str">
            <v>Variable Speed Chiller-NR</v>
          </cell>
          <cell r="F31" t="str">
            <v>Variable Speed Chiller</v>
          </cell>
          <cell r="J31">
            <v>0</v>
          </cell>
          <cell r="K31">
            <v>12.287439737441444</v>
          </cell>
        </row>
        <row r="32">
          <cell r="B32" t="str">
            <v>Commercial EM-New</v>
          </cell>
          <cell r="F32" t="str">
            <v>Commercial Energy Management For Complex systems</v>
          </cell>
          <cell r="J32">
            <v>0</v>
          </cell>
          <cell r="K32">
            <v>9.3003260024451517</v>
          </cell>
        </row>
        <row r="33">
          <cell r="B33" t="str">
            <v>Commercial EM-NR</v>
          </cell>
          <cell r="F33" t="str">
            <v>Commercial Energy Management For Complex systems</v>
          </cell>
          <cell r="J33">
            <v>0</v>
          </cell>
          <cell r="K33">
            <v>0</v>
          </cell>
          <cell r="O33" t="str">
            <v>ks</v>
          </cell>
        </row>
        <row r="34">
          <cell r="B34" t="str">
            <v>Commercial EM-Retro</v>
          </cell>
          <cell r="C34" t="str">
            <v>COM-EM-Retro-7P_V3.xlsm</v>
          </cell>
          <cell r="F34" t="str">
            <v>Commercial Energy Management For Complex systems</v>
          </cell>
          <cell r="H34">
            <v>76.986931526097095</v>
          </cell>
          <cell r="I34">
            <v>11.548039728914564</v>
          </cell>
          <cell r="J34">
            <v>28.430557997918477</v>
          </cell>
          <cell r="K34">
            <v>120.33075078506094</v>
          </cell>
          <cell r="O34" t="str">
            <v>ks</v>
          </cell>
        </row>
        <row r="35">
          <cell r="B35" t="str">
            <v>Evaporative Assist Cooling-New</v>
          </cell>
          <cell r="C35" t="str">
            <v>dropped for 7p - no data</v>
          </cell>
          <cell r="F35" t="str">
            <v>Evaporative Assist Cooling</v>
          </cell>
          <cell r="J35">
            <v>0</v>
          </cell>
          <cell r="K35">
            <v>0</v>
          </cell>
        </row>
        <row r="36">
          <cell r="B36" t="str">
            <v>Evaporative Assist Cooling-NR</v>
          </cell>
          <cell r="C36" t="str">
            <v>dropped for 7p - no data</v>
          </cell>
          <cell r="F36" t="str">
            <v>Evaporative Assist Cooling</v>
          </cell>
          <cell r="J36">
            <v>0</v>
          </cell>
          <cell r="K36">
            <v>0</v>
          </cell>
        </row>
        <row r="37">
          <cell r="B37" t="str">
            <v>Low Pressure Distribution Complex HVAC-New</v>
          </cell>
          <cell r="C37" t="str">
            <v>COM-Economizer-7P_v1.xlsm</v>
          </cell>
          <cell r="F37" t="str">
            <v>Low Pressure Distribution Complex HVAC</v>
          </cell>
          <cell r="H37">
            <v>26.426181974293137</v>
          </cell>
          <cell r="J37">
            <v>0</v>
          </cell>
          <cell r="K37">
            <v>5.9129303419382238</v>
          </cell>
        </row>
        <row r="38">
          <cell r="B38" t="str">
            <v>Demand Control Ventilation-New</v>
          </cell>
          <cell r="F38" t="str">
            <v>Demand Control Ventilation</v>
          </cell>
          <cell r="J38">
            <v>0</v>
          </cell>
          <cell r="K38">
            <v>3.7806867212698152</v>
          </cell>
          <cell r="O38" t="str">
            <v>ks</v>
          </cell>
        </row>
        <row r="39">
          <cell r="B39" t="str">
            <v>Demand Control Ventilation-NR</v>
          </cell>
          <cell r="F39" t="str">
            <v>Demand Control Ventilation</v>
          </cell>
          <cell r="J39">
            <v>0</v>
          </cell>
          <cell r="K39">
            <v>3.1208141189685712</v>
          </cell>
          <cell r="O39" t="str">
            <v>ks</v>
          </cell>
        </row>
        <row r="40">
          <cell r="B40" t="str">
            <v>Demand Control Ventilation-Retro</v>
          </cell>
          <cell r="C40" t="str">
            <v>Com-DCV-7P_V2.xlsm</v>
          </cell>
          <cell r="F40" t="str">
            <v>Demand Control Ventilation</v>
          </cell>
          <cell r="H40">
            <v>28.430557997918477</v>
          </cell>
          <cell r="I40">
            <v>0</v>
          </cell>
          <cell r="J40">
            <v>28.430557997918477</v>
          </cell>
          <cell r="K40">
            <v>18.586994736156402</v>
          </cell>
          <cell r="O40" t="str">
            <v>ks</v>
          </cell>
        </row>
        <row r="41">
          <cell r="B41" t="str">
            <v>Premium Fume Hood-NR</v>
          </cell>
          <cell r="C41" t="str">
            <v>COM-FumeHood-7P_V1.xlsm</v>
          </cell>
          <cell r="F41" t="str">
            <v>Premium Fume Hood</v>
          </cell>
          <cell r="H41">
            <v>3.8878892674922914</v>
          </cell>
          <cell r="I41">
            <v>0</v>
          </cell>
          <cell r="J41">
            <v>3.8878892674922914</v>
          </cell>
          <cell r="K41">
            <v>19.625784442962761</v>
          </cell>
          <cell r="O41" t="str">
            <v>ks</v>
          </cell>
        </row>
        <row r="42">
          <cell r="B42" t="str">
            <v>DCV Restaurant Hood-Retro</v>
          </cell>
          <cell r="F42" t="str">
            <v>DCV Restaurant Hood</v>
          </cell>
          <cell r="J42">
            <v>0</v>
          </cell>
          <cell r="K42">
            <v>5.2084283011879595</v>
          </cell>
          <cell r="O42" t="str">
            <v>ks</v>
          </cell>
        </row>
        <row r="43">
          <cell r="B43" t="str">
            <v>DCV Parking Garage-Retro</v>
          </cell>
          <cell r="C43" t="str">
            <v>COM-DCV-Garage-7P_V3.xlsm</v>
          </cell>
          <cell r="F43" t="str">
            <v>DCV Parking Garage</v>
          </cell>
          <cell r="H43">
            <v>12.888276850646843</v>
          </cell>
          <cell r="J43">
            <v>12.888276850646843</v>
          </cell>
          <cell r="K43">
            <v>0</v>
          </cell>
          <cell r="O43" t="str">
            <v>ks</v>
          </cell>
        </row>
        <row r="44">
          <cell r="B44" t="str">
            <v>Weatherization - School-Retro</v>
          </cell>
          <cell r="F44" t="str">
            <v>Weatherization - School</v>
          </cell>
          <cell r="J44">
            <v>0</v>
          </cell>
          <cell r="K44" t="str">
            <v/>
          </cell>
        </row>
        <row r="45">
          <cell r="B45" t="str">
            <v>Energy Recovery Ventilator-NR</v>
          </cell>
          <cell r="C45" t="str">
            <v>dropped for 7p - too expensive</v>
          </cell>
          <cell r="F45" t="str">
            <v>Heat Recovery Ventilation</v>
          </cell>
          <cell r="J45">
            <v>0</v>
          </cell>
          <cell r="K45" t="str">
            <v/>
          </cell>
        </row>
        <row r="46">
          <cell r="B46" t="str">
            <v>AC Heat Recovery for Water Heating-NR</v>
          </cell>
          <cell r="C46" t="str">
            <v>dropped for 7p</v>
          </cell>
          <cell r="F46" t="str">
            <v>AC Heat Recovery for Water Heating</v>
          </cell>
          <cell r="J46">
            <v>0</v>
          </cell>
          <cell r="K46" t="str">
            <v/>
          </cell>
        </row>
        <row r="47">
          <cell r="B47" t="str">
            <v>Room Occupancy Sensors in Lodging-Retro</v>
          </cell>
          <cell r="C47" t="str">
            <v>dropped for 7p</v>
          </cell>
          <cell r="F47" t="str">
            <v>Room Occupancy Sensors in Lodging</v>
          </cell>
          <cell r="J47">
            <v>0</v>
          </cell>
          <cell r="K47" t="str">
            <v/>
          </cell>
        </row>
        <row r="48">
          <cell r="B48" t="str">
            <v>Chiller - chilled water retrofit-Retro</v>
          </cell>
          <cell r="F48" t="str">
            <v>Chiller - chilled water retrofit</v>
          </cell>
          <cell r="J48">
            <v>0</v>
          </cell>
          <cell r="K48" t="str">
            <v/>
          </cell>
        </row>
        <row r="49">
          <cell r="B49" t="str">
            <v>Chiller - equip retrofits-Retro</v>
          </cell>
          <cell r="F49" t="str">
            <v>Chiller - equip retrofits</v>
          </cell>
          <cell r="J49">
            <v>0</v>
          </cell>
          <cell r="K49" t="str">
            <v/>
          </cell>
        </row>
        <row r="50">
          <cell r="B50" t="str">
            <v>Pool Blankets-Retro</v>
          </cell>
          <cell r="F50" t="str">
            <v>Pool Blankets</v>
          </cell>
          <cell r="J50">
            <v>0</v>
          </cell>
          <cell r="K50" t="str">
            <v/>
          </cell>
        </row>
        <row r="51">
          <cell r="B51" t="str">
            <v>Web-Enabled Thermostats-Retro</v>
          </cell>
          <cell r="F51" t="str">
            <v>Web-Enabled Thermostats</v>
          </cell>
          <cell r="J51">
            <v>0</v>
          </cell>
          <cell r="K51" t="str">
            <v/>
          </cell>
        </row>
        <row r="52">
          <cell r="B52" t="str">
            <v>Garage CO2 ventilation-Retro</v>
          </cell>
          <cell r="C52" t="str">
            <v>see com-dcv-garage</v>
          </cell>
          <cell r="F52" t="str">
            <v>Garage CO2 ventilation</v>
          </cell>
          <cell r="J52">
            <v>0</v>
          </cell>
          <cell r="K52" t="str">
            <v/>
          </cell>
          <cell r="O52" t="str">
            <v>ks</v>
          </cell>
        </row>
        <row r="53">
          <cell r="B53" t="str">
            <v>Circ Pump ECM and drive-Retro</v>
          </cell>
          <cell r="F53" t="str">
            <v>Circ Pump ECM and drive</v>
          </cell>
          <cell r="J53">
            <v>0</v>
          </cell>
          <cell r="K53" t="str">
            <v/>
          </cell>
        </row>
        <row r="54">
          <cell r="B54" t="str">
            <v>VRF-New</v>
          </cell>
          <cell r="C54" t="str">
            <v>COM-VRF-7P_V5.xlsm</v>
          </cell>
          <cell r="F54" t="str">
            <v>Variable Refrigerant Flow</v>
          </cell>
          <cell r="H54">
            <v>61.089028709904269</v>
          </cell>
          <cell r="I54">
            <v>61.089028709904269</v>
          </cell>
          <cell r="J54">
            <v>61.089028709904269</v>
          </cell>
          <cell r="K54" t="str">
            <v/>
          </cell>
          <cell r="O54" t="str">
            <v>ks</v>
          </cell>
        </row>
        <row r="55">
          <cell r="B55" t="str">
            <v>VRF-Retro</v>
          </cell>
          <cell r="C55" t="str">
            <v>COM-VRF-7P_V5.xlsm</v>
          </cell>
          <cell r="F55" t="str">
            <v>Variable Refrigerant Flow</v>
          </cell>
          <cell r="H55">
            <v>31.395155521232557</v>
          </cell>
          <cell r="J55">
            <v>31.395155521232557</v>
          </cell>
          <cell r="K55" t="str">
            <v/>
          </cell>
          <cell r="O55" t="str">
            <v>ks</v>
          </cell>
        </row>
        <row r="56">
          <cell r="B56" t="str">
            <v>Evaporator Roof Top HVAC-Retro</v>
          </cell>
          <cell r="C56" t="str">
            <v>dropped for 7p</v>
          </cell>
          <cell r="F56" t="str">
            <v>Evaporator Roof Top HVAC</v>
          </cell>
          <cell r="J56">
            <v>0</v>
          </cell>
          <cell r="K56" t="str">
            <v/>
          </cell>
        </row>
        <row r="57">
          <cell r="B57" t="str">
            <v>Secondary Glazing Systems-Retro</v>
          </cell>
          <cell r="C57" t="str">
            <v>Com-WindowSGS-7P_V3.xlsx</v>
          </cell>
          <cell r="F57" t="str">
            <v>Secondary Glazing Systems</v>
          </cell>
          <cell r="G57">
            <v>42063</v>
          </cell>
          <cell r="H57">
            <v>40.390797895321441</v>
          </cell>
          <cell r="J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42070</v>
          </cell>
          <cell r="H58">
            <v>77.032036868890003</v>
          </cell>
          <cell r="I58">
            <v>77.032036868890003</v>
          </cell>
          <cell r="J58">
            <v>77.032036868890003</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42070</v>
          </cell>
          <cell r="H59">
            <v>256.22418009705746</v>
          </cell>
          <cell r="J59">
            <v>256.22418009705746</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42070</v>
          </cell>
          <cell r="H60">
            <v>124.10713009112848</v>
          </cell>
          <cell r="J60">
            <v>124.10713009112848</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J61">
            <v>0</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J62">
            <v>0</v>
          </cell>
          <cell r="K62">
            <v>3.1006916194307825</v>
          </cell>
          <cell r="O62" t="str">
            <v>cg</v>
          </cell>
          <cell r="R62">
            <v>42069</v>
          </cell>
          <cell r="T62">
            <v>42069</v>
          </cell>
        </row>
        <row r="63">
          <cell r="B63" t="str">
            <v>Perimeter Daylighting Controls Advanced-NR</v>
          </cell>
          <cell r="F63" t="str">
            <v>Daylighting with Windows</v>
          </cell>
          <cell r="J63">
            <v>0</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J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J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J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J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Com-Streetlight-7P_V8.xlsx</v>
          </cell>
          <cell r="F68" t="str">
            <v>Street and Roadway Lighting</v>
          </cell>
          <cell r="G68">
            <v>42070</v>
          </cell>
          <cell r="H68">
            <v>6.6186035002887751</v>
          </cell>
          <cell r="J68">
            <v>6.6186035002887751</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Com-Streetlight-7P_V8.xlsx</v>
          </cell>
          <cell r="F69" t="str">
            <v>Street and Roadway Lighting</v>
          </cell>
          <cell r="G69">
            <v>42070</v>
          </cell>
          <cell r="H69">
            <v>54.214701088024171</v>
          </cell>
          <cell r="J69">
            <v>54.214701088024171</v>
          </cell>
          <cell r="K69">
            <v>35.768242090251178</v>
          </cell>
          <cell r="O69" t="str">
            <v>cg</v>
          </cell>
          <cell r="P69">
            <v>42069</v>
          </cell>
          <cell r="Q69">
            <v>42069</v>
          </cell>
          <cell r="R69">
            <v>42069</v>
          </cell>
          <cell r="T69">
            <v>42069</v>
          </cell>
          <cell r="U69">
            <v>42069</v>
          </cell>
        </row>
        <row r="70">
          <cell r="B70" t="str">
            <v>Parking Lighting-New</v>
          </cell>
          <cell r="F70" t="str">
            <v>Parking Lighting</v>
          </cell>
          <cell r="I70">
            <v>0</v>
          </cell>
          <cell r="J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42064</v>
          </cell>
          <cell r="H71">
            <v>8.5168591321761209</v>
          </cell>
          <cell r="J71">
            <v>8.5168591321761209</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42064</v>
          </cell>
          <cell r="H72">
            <v>11.858348727423326</v>
          </cell>
          <cell r="J72">
            <v>11.858348727423326</v>
          </cell>
          <cell r="K72" t="str">
            <v/>
          </cell>
          <cell r="O72" t="str">
            <v>cg</v>
          </cell>
          <cell r="R72">
            <v>42069</v>
          </cell>
          <cell r="T72">
            <v>42069</v>
          </cell>
        </row>
        <row r="73">
          <cell r="B73" t="str">
            <v>ECM-VAV-New</v>
          </cell>
          <cell r="C73" t="str">
            <v>COM-ECM-VAV-7P_V2.xlsm</v>
          </cell>
          <cell r="F73" t="str">
            <v>ECM Motors on Variable Air Volume Boxes</v>
          </cell>
          <cell r="H73">
            <v>6.3907640383945719</v>
          </cell>
          <cell r="I73">
            <v>6.3907640383945719</v>
          </cell>
          <cell r="J73">
            <v>6.3907640383945719</v>
          </cell>
          <cell r="K73">
            <v>2.5095329434297415</v>
          </cell>
          <cell r="O73" t="str">
            <v>ks</v>
          </cell>
        </row>
        <row r="74">
          <cell r="B74" t="str">
            <v>ECM-VAV-NR</v>
          </cell>
          <cell r="C74" t="str">
            <v>COM-ECM-VAV-7P_V2.xlsm</v>
          </cell>
          <cell r="F74" t="str">
            <v>ECM Motors on Variable Air Volume Boxes</v>
          </cell>
          <cell r="H74">
            <v>27.229691418576945</v>
          </cell>
          <cell r="J74">
            <v>27.229691418576945</v>
          </cell>
          <cell r="K74">
            <v>8.5068284449929461</v>
          </cell>
          <cell r="O74" t="str">
            <v>ks</v>
          </cell>
        </row>
        <row r="75">
          <cell r="B75" t="str">
            <v>Pool pumps-Retro</v>
          </cell>
          <cell r="C75" t="str">
            <v>dropped for 7p</v>
          </cell>
          <cell r="F75" t="str">
            <v>Pool pumps</v>
          </cell>
          <cell r="J75">
            <v>0</v>
          </cell>
          <cell r="K75" t="str">
            <v/>
          </cell>
        </row>
        <row r="76">
          <cell r="B76" t="str">
            <v>MotorsRewind-New</v>
          </cell>
          <cell r="C76" t="str">
            <v>COM-MotorsRewind-7P_v1.xlsm</v>
          </cell>
          <cell r="F76" t="str">
            <v>Motors - Rewind</v>
          </cell>
          <cell r="H76">
            <v>0.59897056594621811</v>
          </cell>
          <cell r="I76">
            <v>0.59897056594621811</v>
          </cell>
          <cell r="J76">
            <v>0.59897056594621811</v>
          </cell>
          <cell r="K76" t="str">
            <v/>
          </cell>
          <cell r="O76" t="str">
            <v>ks</v>
          </cell>
        </row>
        <row r="77">
          <cell r="B77" t="str">
            <v>MotorsRewind-NR</v>
          </cell>
          <cell r="C77" t="str">
            <v>COM-MotorsRewind-7P_v1.xlsm</v>
          </cell>
          <cell r="F77" t="str">
            <v>Motors - Rewind</v>
          </cell>
          <cell r="H77">
            <v>2.6079890407215234</v>
          </cell>
          <cell r="J77">
            <v>2.6079890407215234</v>
          </cell>
          <cell r="K77" t="str">
            <v/>
          </cell>
          <cell r="O77" t="str">
            <v>ks</v>
          </cell>
        </row>
        <row r="78">
          <cell r="B78" t="str">
            <v>Municipal Sewage Treatment-Retro</v>
          </cell>
          <cell r="C78" t="str">
            <v>COM-Wastewater-7P_V4.xlsm</v>
          </cell>
          <cell r="D78" t="str">
            <v>SC_Retro</v>
          </cell>
          <cell r="E78" t="str">
            <v>Retro</v>
          </cell>
          <cell r="F78" t="str">
            <v>Municipal Sewage Treatment</v>
          </cell>
          <cell r="H78">
            <v>35.293413394978195</v>
          </cell>
          <cell r="J78">
            <v>35.293413394978195</v>
          </cell>
          <cell r="K78">
            <v>35.639494471243012</v>
          </cell>
          <cell r="O78" t="str">
            <v>ks</v>
          </cell>
        </row>
        <row r="79">
          <cell r="B79" t="str">
            <v>Municipal Water Supply-Retro</v>
          </cell>
          <cell r="C79" t="str">
            <v>COM-WaterSupply-7P_V4.xlsm</v>
          </cell>
          <cell r="D79" t="str">
            <v>SC_Retro</v>
          </cell>
          <cell r="E79" t="str">
            <v>Retro</v>
          </cell>
          <cell r="F79" t="str">
            <v>Municipal Water Supply</v>
          </cell>
          <cell r="H79">
            <v>14.07904856503921</v>
          </cell>
          <cell r="J79">
            <v>14.07904856503921</v>
          </cell>
          <cell r="K79">
            <v>13.786942026010605</v>
          </cell>
          <cell r="O79" t="str">
            <v>ks</v>
          </cell>
        </row>
        <row r="80">
          <cell r="B80" t="str">
            <v>Engine Generator Block Heaters-Retro</v>
          </cell>
          <cell r="C80" t="str">
            <v>dropped for 7p</v>
          </cell>
          <cell r="F80" t="str">
            <v>Engine Generator Block Heaters</v>
          </cell>
          <cell r="J80">
            <v>0</v>
          </cell>
          <cell r="K80" t="str">
            <v/>
          </cell>
        </row>
        <row r="81">
          <cell r="B81" t="str">
            <v>Grocery Refrigeration Bundle-Retro</v>
          </cell>
          <cell r="C81" t="str">
            <v>Com-Grocery-7P_V5p.xlsx</v>
          </cell>
          <cell r="F81" t="str">
            <v>Grocery Refrigeration Bundle</v>
          </cell>
          <cell r="G81">
            <v>42064</v>
          </cell>
          <cell r="H81">
            <v>63.534810180973587</v>
          </cell>
          <cell r="J81">
            <v>63.534810180973587</v>
          </cell>
          <cell r="K81">
            <v>85.641041401934004</v>
          </cell>
          <cell r="O81" t="str">
            <v>cg</v>
          </cell>
          <cell r="R81">
            <v>42069</v>
          </cell>
          <cell r="T81">
            <v>42069</v>
          </cell>
        </row>
        <row r="82">
          <cell r="B82" t="str">
            <v>Packaged Refrigeration Equipment-New</v>
          </cell>
          <cell r="C82" t="str">
            <v>dropped for 7p - stds</v>
          </cell>
          <cell r="F82" t="str">
            <v>Packaged Refrigeration Equipment</v>
          </cell>
          <cell r="J82">
            <v>0</v>
          </cell>
          <cell r="K82">
            <v>49.431909921506794</v>
          </cell>
        </row>
        <row r="83">
          <cell r="B83" t="str">
            <v>Appliances - Freezers-NR</v>
          </cell>
          <cell r="F83" t="str">
            <v>Appliances - Freezers</v>
          </cell>
          <cell r="J83">
            <v>0</v>
          </cell>
          <cell r="K83" t="str">
            <v/>
          </cell>
        </row>
        <row r="84">
          <cell r="B84" t="str">
            <v>Appliances - Refrigerators-NR</v>
          </cell>
          <cell r="F84" t="str">
            <v>Appliances - Refrigerators</v>
          </cell>
          <cell r="J84">
            <v>0</v>
          </cell>
          <cell r="K84" t="str">
            <v/>
          </cell>
        </row>
        <row r="85">
          <cell r="B85" t="str">
            <v>Water Cooler Controls-NR</v>
          </cell>
          <cell r="C85" t="str">
            <v>Com-WaterCooler-7P_V3.xlsx</v>
          </cell>
          <cell r="F85" t="str">
            <v>Water Cooler Controls</v>
          </cell>
          <cell r="G85">
            <v>42063</v>
          </cell>
          <cell r="H85">
            <v>13.180394293600866</v>
          </cell>
          <cell r="J85">
            <v>13.180394293600866</v>
          </cell>
          <cell r="K85" t="str">
            <v/>
          </cell>
          <cell r="O85" t="str">
            <v>cg</v>
          </cell>
          <cell r="R85">
            <v>42069</v>
          </cell>
          <cell r="T85">
            <v>42069</v>
          </cell>
        </row>
        <row r="86">
          <cell r="B86" t="str">
            <v>WHTanks-New</v>
          </cell>
          <cell r="C86" t="str">
            <v>COM-WHTanks-7p_v4.xlsm</v>
          </cell>
          <cell r="F86" t="str">
            <v>DHW - Efficient Tanks</v>
          </cell>
          <cell r="H86">
            <v>0.49370461821151984</v>
          </cell>
          <cell r="I86">
            <v>0.49370461821151984</v>
          </cell>
          <cell r="J86">
            <v>0.49370461821151984</v>
          </cell>
          <cell r="K86">
            <v>0</v>
          </cell>
          <cell r="O86" t="str">
            <v>ks</v>
          </cell>
        </row>
        <row r="87">
          <cell r="B87" t="str">
            <v>WHTanks-NR</v>
          </cell>
          <cell r="C87" t="str">
            <v>COM-WHTanks-7p_v4.xlsm</v>
          </cell>
          <cell r="F87" t="str">
            <v>DHW - Efficient Tanks</v>
          </cell>
          <cell r="H87">
            <v>2.0446577325813005</v>
          </cell>
          <cell r="J87">
            <v>2.0446577325813005</v>
          </cell>
          <cell r="K87" t="str">
            <v/>
          </cell>
          <cell r="O87" t="str">
            <v>ks</v>
          </cell>
        </row>
        <row r="88">
          <cell r="B88" t="str">
            <v>Appliances - Clothes Washers-NR</v>
          </cell>
          <cell r="F88" t="str">
            <v>Appliances - Clothes Washers</v>
          </cell>
          <cell r="J88">
            <v>0</v>
          </cell>
          <cell r="K88" t="str">
            <v/>
          </cell>
        </row>
        <row r="89">
          <cell r="B89" t="str">
            <v>Showerheads-Retro</v>
          </cell>
          <cell r="C89" t="str">
            <v>COM-Showerhead-7P_v2.xlsm</v>
          </cell>
          <cell r="F89" t="str">
            <v>DHW - Showerheads</v>
          </cell>
          <cell r="H89">
            <v>3.7216771353503777</v>
          </cell>
          <cell r="J89">
            <v>3.7216771353503777</v>
          </cell>
          <cell r="K89" t="str">
            <v/>
          </cell>
          <cell r="O89" t="str">
            <v>ks</v>
          </cell>
        </row>
        <row r="90">
          <cell r="B90" t="str">
            <v>Water Heating - GFHX-New</v>
          </cell>
          <cell r="C90" t="str">
            <v>dropped for 7p</v>
          </cell>
          <cell r="F90" t="str">
            <v>Water Heating - GFHX</v>
          </cell>
          <cell r="J90">
            <v>0</v>
          </cell>
          <cell r="K90" t="str">
            <v/>
          </cell>
        </row>
        <row r="91">
          <cell r="B91" t="str">
            <v>Demand Control Circulating system DHW-Retro</v>
          </cell>
          <cell r="C91" t="str">
            <v>dropped for 7p</v>
          </cell>
          <cell r="F91" t="str">
            <v>Demand Control Circulating system DHW</v>
          </cell>
          <cell r="J91">
            <v>0</v>
          </cell>
          <cell r="K91" t="str">
            <v/>
          </cell>
        </row>
        <row r="92">
          <cell r="B92" t="str">
            <v>Central HPWH MF-Retro</v>
          </cell>
          <cell r="F92" t="str">
            <v>Central HPWH MF</v>
          </cell>
          <cell r="J92">
            <v>0</v>
          </cell>
          <cell r="K92" t="str">
            <v/>
          </cell>
        </row>
        <row r="93">
          <cell r="B93" t="str">
            <v>Ultra Low Energy Building-New</v>
          </cell>
          <cell r="F93" t="str">
            <v>Ultra Low Energy Building</v>
          </cell>
          <cell r="J93">
            <v>7</v>
          </cell>
          <cell r="K93">
            <v>57.012696990717721</v>
          </cell>
          <cell r="O93" t="str">
            <v>cg</v>
          </cell>
          <cell r="R93">
            <v>42069</v>
          </cell>
          <cell r="T93">
            <v>42069</v>
          </cell>
        </row>
        <row r="94">
          <cell r="B94" t="str">
            <v>Low Power LF Lamps-NR</v>
          </cell>
          <cell r="C94" t="str">
            <v>Com-HPLowPowerGSFL-7P_V5.xlsx</v>
          </cell>
          <cell r="F94" t="str">
            <v>High Perf Low Power Fluorescent Lamp PPA</v>
          </cell>
          <cell r="G94">
            <v>42057</v>
          </cell>
          <cell r="H94">
            <v>40.479721787784023</v>
          </cell>
          <cell r="O94" t="str">
            <v>cg</v>
          </cell>
          <cell r="P94">
            <v>42070</v>
          </cell>
          <cell r="Q94">
            <v>42070</v>
          </cell>
          <cell r="R94">
            <v>42069</v>
          </cell>
          <cell r="T94">
            <v>42069</v>
          </cell>
          <cell r="U94">
            <v>42070</v>
          </cell>
        </row>
        <row r="96">
          <cell r="B96" t="str">
            <v>From 6P not in 7P</v>
          </cell>
        </row>
        <row r="97">
          <cell r="B97" t="str">
            <v>Signage-New</v>
          </cell>
          <cell r="C97" t="str">
            <v>dropped for 7p</v>
          </cell>
          <cell r="J97">
            <v>0</v>
          </cell>
          <cell r="K97">
            <v>1.1088142099641565</v>
          </cell>
        </row>
        <row r="98">
          <cell r="B98" t="str">
            <v>Signage-NR</v>
          </cell>
          <cell r="C98" t="str">
            <v>dropped for 7p</v>
          </cell>
          <cell r="J98">
            <v>0</v>
          </cell>
          <cell r="K98">
            <v>5.6760557940938234</v>
          </cell>
        </row>
        <row r="99">
          <cell r="B99" t="str">
            <v>Exit Signs-NR</v>
          </cell>
          <cell r="C99" t="str">
            <v>dropped for 7p</v>
          </cell>
          <cell r="H99">
            <v>741</v>
          </cell>
          <cell r="J99">
            <v>27.229691418576945</v>
          </cell>
          <cell r="K99">
            <v>4.88794421832577</v>
          </cell>
        </row>
        <row r="100">
          <cell r="B100" t="str">
            <v>Roof Insulation-NR</v>
          </cell>
          <cell r="C100" t="str">
            <v>dropped for 7p</v>
          </cell>
          <cell r="J100">
            <v>40.390797895321441</v>
          </cell>
          <cell r="K100">
            <v>24.79389803241914</v>
          </cell>
        </row>
        <row r="101">
          <cell r="B101" t="str">
            <v>Package Roof Top Optimization and Repair-New</v>
          </cell>
          <cell r="C101" t="str">
            <v>These will be added back into list when completed</v>
          </cell>
          <cell r="J101">
            <v>0</v>
          </cell>
          <cell r="K101">
            <v>4.3297471414332787</v>
          </cell>
        </row>
        <row r="102">
          <cell r="B102" t="str">
            <v>Package Roof Top Optimization and Repair-NR</v>
          </cell>
          <cell r="C102" t="str">
            <v>These will be added back into list when completed</v>
          </cell>
          <cell r="J102">
            <v>0</v>
          </cell>
          <cell r="K102">
            <v>8.0798753943758364</v>
          </cell>
        </row>
        <row r="103">
          <cell r="B103" t="str">
            <v>Package Roof Top Optimization and Repair-Retro</v>
          </cell>
          <cell r="C103" t="str">
            <v>These will be added back into list when completed</v>
          </cell>
          <cell r="J103">
            <v>76.986931526097095</v>
          </cell>
          <cell r="K103">
            <v>13.993833635474468</v>
          </cell>
        </row>
        <row r="104">
          <cell r="B104" t="str">
            <v>Computer Servers and IT-Retro</v>
          </cell>
          <cell r="C104" t="str">
            <v>See data centers</v>
          </cell>
        </row>
        <row r="105">
          <cell r="B105" t="str">
            <v>Low Pressure Distribution Complex HVAC-New</v>
          </cell>
          <cell r="F105" t="str">
            <v>Low Pressure Distribution Complex HVAC</v>
          </cell>
        </row>
        <row r="107">
          <cell r="B107" t="str">
            <v>Considered by not included in 7P</v>
          </cell>
        </row>
        <row r="108">
          <cell r="B108" t="str">
            <v>Energy Recovery Ventilator-NR</v>
          </cell>
          <cell r="C108" t="str">
            <v>dropped for 7p - too expensive</v>
          </cell>
        </row>
        <row r="109">
          <cell r="B109" t="str">
            <v>AC Heat Recovery for Water Heating-NR</v>
          </cell>
          <cell r="C109" t="str">
            <v>dropped for 7p</v>
          </cell>
        </row>
        <row r="110">
          <cell r="B110" t="str">
            <v>Room Occupancy Sensors in Lodging-Retro</v>
          </cell>
          <cell r="C110" t="str">
            <v>dropped for 7p</v>
          </cell>
          <cell r="D110" t="str">
            <v>dropped for 7p</v>
          </cell>
          <cell r="E110" t="str">
            <v>dropped for 7p</v>
          </cell>
          <cell r="F110" t="str">
            <v>dropped for 7p</v>
          </cell>
        </row>
        <row r="111">
          <cell r="B111" t="str">
            <v>Commercial Clothes Washers-New</v>
          </cell>
          <cell r="C111" t="str">
            <v>dropped for 7p</v>
          </cell>
          <cell r="D111" t="str">
            <v>dropped for 7p</v>
          </cell>
          <cell r="E111" t="str">
            <v>dropped for 7p</v>
          </cell>
          <cell r="F111" t="str">
            <v>dropped for 7p</v>
          </cell>
        </row>
        <row r="112">
          <cell r="B112" t="str">
            <v>Switched Reluctance/Permanent Magnet Motors-Retro</v>
          </cell>
          <cell r="C112" t="str">
            <v>see ecm-vav - could be expanded to other applications</v>
          </cell>
          <cell r="F112" t="str">
            <v>Switched Reluctance/Permanent Magnet Motors</v>
          </cell>
          <cell r="J112">
            <v>155</v>
          </cell>
          <cell r="L112" t="str">
            <v>power supplies</v>
          </cell>
        </row>
        <row r="113">
          <cell r="B113">
            <v>0</v>
          </cell>
          <cell r="F113">
            <v>0</v>
          </cell>
          <cell r="L113" t="str">
            <v>Computers (in ICE)</v>
          </cell>
        </row>
        <row r="114">
          <cell r="L114" t="str">
            <v>Monitors (in ICE)</v>
          </cell>
        </row>
      </sheetData>
      <sheetData sheetId="3">
        <row r="9">
          <cell r="C9">
            <v>0</v>
          </cell>
        </row>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V19">
            <v>0</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V20">
            <v>0</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V21">
            <v>0</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V22">
            <v>0</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V23">
            <v>0</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V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V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V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V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V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V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V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V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V32">
            <v>0</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V33">
            <v>0</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V34">
            <v>0</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V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V36">
            <v>0</v>
          </cell>
          <cell r="X36">
            <v>0</v>
          </cell>
          <cell r="Y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X37">
            <v>0</v>
          </cell>
          <cell r="Y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V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V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V40">
            <v>0</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V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V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V44">
            <v>0</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V45">
            <v>0</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V46">
            <v>0</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V47">
            <v>0</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V48">
            <v>0</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V49">
            <v>0</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V50">
            <v>0</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V51">
            <v>0</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V52">
            <v>0</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V53">
            <v>0</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V54">
            <v>0</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V55">
            <v>0</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V56">
            <v>0</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V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V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V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V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V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V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V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V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V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V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V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V68">
            <v>0</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V69">
            <v>0</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V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V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V72">
            <v>0</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V75">
            <v>0</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U76">
            <v>0</v>
          </cell>
          <cell r="V76">
            <v>0</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U77">
            <v>0</v>
          </cell>
          <cell r="V77">
            <v>0</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V78">
            <v>0</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V79">
            <v>0</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U80">
            <v>0</v>
          </cell>
          <cell r="V80">
            <v>0</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V83">
            <v>0</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V84">
            <v>0</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V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V88">
            <v>0</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V89">
            <v>0</v>
          </cell>
          <cell r="W89">
            <v>0</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V90">
            <v>0</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V91">
            <v>0</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V92">
            <v>0</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U94">
            <v>0</v>
          </cell>
          <cell r="V94">
            <v>0</v>
          </cell>
          <cell r="X94">
            <v>1</v>
          </cell>
          <cell r="Y94">
            <v>1</v>
          </cell>
        </row>
        <row r="95">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X95">
            <v>0</v>
          </cell>
        </row>
        <row r="96">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X96">
            <v>0</v>
          </cell>
        </row>
        <row r="97">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X97">
            <v>0</v>
          </cell>
        </row>
        <row r="98">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X98">
            <v>0</v>
          </cell>
        </row>
        <row r="99">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X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X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X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X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row>
        <row r="112">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row>
      </sheetData>
      <sheetData sheetId="4">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t="str">
            <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t="str">
            <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0.1</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0.9</v>
          </cell>
          <cell r="V15" t="str">
            <v>NEEA Sales data</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0.4</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t="str">
            <v>ESTAR Server 9% (+), Virtualization 20%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0.55000000000000004</v>
          </cell>
          <cell r="V18" t="str">
            <v>ENERGY STAR USD Summary Report _2013</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Premium HVAC Equipment-New</v>
          </cell>
          <cell r="C22">
            <v>0.1</v>
          </cell>
          <cell r="D22">
            <v>0.1</v>
          </cell>
          <cell r="E22">
            <v>0.1</v>
          </cell>
          <cell r="F22">
            <v>0.1</v>
          </cell>
          <cell r="G22">
            <v>0.1</v>
          </cell>
          <cell r="H22">
            <v>0.1</v>
          </cell>
          <cell r="I22">
            <v>0.1</v>
          </cell>
          <cell r="J22">
            <v>0.1</v>
          </cell>
          <cell r="K22">
            <v>0.1</v>
          </cell>
          <cell r="L22">
            <v>0.1</v>
          </cell>
          <cell r="M22">
            <v>0.1</v>
          </cell>
          <cell r="N22">
            <v>0.1</v>
          </cell>
          <cell r="O22">
            <v>0.1</v>
          </cell>
          <cell r="P22">
            <v>0.1</v>
          </cell>
          <cell r="Q22">
            <v>0.1</v>
          </cell>
          <cell r="R22">
            <v>0.1</v>
          </cell>
          <cell r="S22">
            <v>0.1</v>
          </cell>
          <cell r="T22">
            <v>0.1</v>
          </cell>
          <cell r="U22">
            <v>0</v>
          </cell>
        </row>
        <row r="23">
          <cell r="B23" t="str">
            <v>Premium HVAC Equipment-NR</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0.1</v>
          </cell>
          <cell r="R23">
            <v>0.1</v>
          </cell>
          <cell r="S23">
            <v>0.1</v>
          </cell>
          <cell r="T23">
            <v>0.1</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Low Pressure Distribution Complex HVAC-New</v>
          </cell>
          <cell r="C37">
            <v>0.1</v>
          </cell>
          <cell r="D37">
            <v>0.1</v>
          </cell>
          <cell r="E37">
            <v>0.1</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0.05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From modified DOE:  See IntLightComp</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ECM-VAV-New</v>
          </cell>
          <cell r="C73">
            <v>0.4</v>
          </cell>
          <cell r="D73">
            <v>0.3</v>
          </cell>
          <cell r="E73">
            <v>0.1</v>
          </cell>
          <cell r="F73">
            <v>0.1</v>
          </cell>
          <cell r="G73">
            <v>0.1</v>
          </cell>
          <cell r="H73">
            <v>0.1</v>
          </cell>
          <cell r="I73">
            <v>0.4</v>
          </cell>
          <cell r="J73">
            <v>0.1</v>
          </cell>
          <cell r="K73">
            <v>0.4</v>
          </cell>
          <cell r="L73">
            <v>0.1</v>
          </cell>
          <cell r="M73">
            <v>0.1</v>
          </cell>
          <cell r="N73">
            <v>0.1</v>
          </cell>
          <cell r="O73">
            <v>0.1</v>
          </cell>
          <cell r="P73">
            <v>0.1</v>
          </cell>
          <cell r="Q73">
            <v>0.4</v>
          </cell>
          <cell r="R73">
            <v>0.1</v>
          </cell>
          <cell r="S73">
            <v>0.1</v>
          </cell>
          <cell r="T73">
            <v>0.4</v>
          </cell>
          <cell r="U73">
            <v>0</v>
          </cell>
        </row>
        <row r="74">
          <cell r="B74" t="str">
            <v>ECM-VAV-NR</v>
          </cell>
          <cell r="C74">
            <v>0.2</v>
          </cell>
          <cell r="D74">
            <v>0.2</v>
          </cell>
          <cell r="E74">
            <v>0.1</v>
          </cell>
          <cell r="F74">
            <v>0.1</v>
          </cell>
          <cell r="G74">
            <v>0.1</v>
          </cell>
          <cell r="H74">
            <v>0.1</v>
          </cell>
          <cell r="I74">
            <v>0.2</v>
          </cell>
          <cell r="J74">
            <v>0.1</v>
          </cell>
          <cell r="K74">
            <v>0.2</v>
          </cell>
          <cell r="L74">
            <v>0.1</v>
          </cell>
          <cell r="M74">
            <v>0.1</v>
          </cell>
          <cell r="N74">
            <v>0.1</v>
          </cell>
          <cell r="O74">
            <v>0.1</v>
          </cell>
          <cell r="P74">
            <v>0.1</v>
          </cell>
          <cell r="Q74">
            <v>0.2</v>
          </cell>
          <cell r="R74">
            <v>0.1</v>
          </cell>
          <cell r="S74">
            <v>0.1</v>
          </cell>
          <cell r="T74">
            <v>0.2</v>
          </cell>
          <cell r="U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t="str">
            <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t="str">
            <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t="str">
            <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t="str">
            <v>Baseline saturation in measure workbook</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t="str">
            <v>Baseline saturation in measure workbook</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0.05</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t="str">
            <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t="str">
            <v>Baseline saturation in measure workbook.  Multiple measures</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0.1</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t="str">
            <v/>
          </cell>
        </row>
        <row r="89">
          <cell r="B89" t="str">
            <v>Showerheads-Retro</v>
          </cell>
          <cell r="C89">
            <v>0.2</v>
          </cell>
          <cell r="D89">
            <v>0.2</v>
          </cell>
          <cell r="E89">
            <v>0.2</v>
          </cell>
          <cell r="F89">
            <v>0.2</v>
          </cell>
          <cell r="G89">
            <v>0.2</v>
          </cell>
          <cell r="H89">
            <v>0.2</v>
          </cell>
          <cell r="I89">
            <v>0.2</v>
          </cell>
          <cell r="J89">
            <v>0.2</v>
          </cell>
          <cell r="K89">
            <v>0.2</v>
          </cell>
          <cell r="L89">
            <v>0.2</v>
          </cell>
          <cell r="M89">
            <v>0.2</v>
          </cell>
          <cell r="N89">
            <v>0.2</v>
          </cell>
          <cell r="O89">
            <v>0.2</v>
          </cell>
          <cell r="P89">
            <v>0.2</v>
          </cell>
          <cell r="Q89">
            <v>0.2</v>
          </cell>
          <cell r="R89">
            <v>0.2</v>
          </cell>
          <cell r="S89">
            <v>0.2</v>
          </cell>
          <cell r="T89">
            <v>0.2</v>
          </cell>
          <cell r="U89" t="str">
            <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Central HPWH MF-Retro</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t="str">
            <v/>
          </cell>
        </row>
        <row r="93">
          <cell r="B93" t="str">
            <v>Ultra Low Energy Building-New</v>
          </cell>
          <cell r="C93">
            <v>0.08</v>
          </cell>
          <cell r="D93">
            <v>0.04</v>
          </cell>
          <cell r="E93">
            <v>0</v>
          </cell>
          <cell r="F93">
            <v>0.08</v>
          </cell>
          <cell r="G93">
            <v>0</v>
          </cell>
          <cell r="H93">
            <v>0</v>
          </cell>
          <cell r="I93">
            <v>0.02</v>
          </cell>
          <cell r="J93">
            <v>0.3</v>
          </cell>
          <cell r="K93">
            <v>0.15</v>
          </cell>
          <cell r="L93">
            <v>0</v>
          </cell>
          <cell r="M93">
            <v>0</v>
          </cell>
          <cell r="N93">
            <v>0</v>
          </cell>
          <cell r="O93">
            <v>0</v>
          </cell>
          <cell r="P93">
            <v>0.02</v>
          </cell>
          <cell r="Q93">
            <v>0.1</v>
          </cell>
          <cell r="R93">
            <v>0.05</v>
          </cell>
          <cell r="S93">
            <v>0.02</v>
          </cell>
          <cell r="T93">
            <v>0.02</v>
          </cell>
          <cell r="U93">
            <v>0</v>
          </cell>
        </row>
        <row r="94">
          <cell r="B94" t="str">
            <v>Low Power LF Lamps-NR</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V94" t="str">
            <v>In workbook. Uses market average mix of lpow watt from sales data</v>
          </cell>
        </row>
      </sheetData>
      <sheetData sheetId="5">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t="str">
            <v>_PRE2013</v>
          </cell>
          <cell r="D12" t="str">
            <v>_PRE2013</v>
          </cell>
          <cell r="E12" t="str">
            <v>_PRE2013</v>
          </cell>
          <cell r="F12" t="str">
            <v>_PRE2013</v>
          </cell>
          <cell r="G12" t="str">
            <v>_PRE2013</v>
          </cell>
          <cell r="H12" t="str">
            <v>_PRE2013</v>
          </cell>
          <cell r="I12" t="str">
            <v>_PRE2013</v>
          </cell>
          <cell r="J12" t="str">
            <v>_PRE2013</v>
          </cell>
          <cell r="K12" t="str">
            <v>_PRE2013</v>
          </cell>
          <cell r="L12" t="str">
            <v>_PRE2013</v>
          </cell>
          <cell r="M12" t="str">
            <v>_PRE2013</v>
          </cell>
          <cell r="N12" t="str">
            <v>_PRE2013</v>
          </cell>
          <cell r="O12" t="str">
            <v>_PRE2013</v>
          </cell>
          <cell r="P12" t="str">
            <v>_PRE2013</v>
          </cell>
          <cell r="Q12" t="str">
            <v>_PRE2013</v>
          </cell>
          <cell r="R12" t="str">
            <v>_PRE2013</v>
          </cell>
          <cell r="S12" t="str">
            <v>_PRE2013</v>
          </cell>
          <cell r="T12" t="str">
            <v>_PRE2013</v>
          </cell>
          <cell r="W12" t="str">
            <v>_PRE2013</v>
          </cell>
          <cell r="X12" t="str">
            <v>Retro</v>
          </cell>
        </row>
        <row r="13">
          <cell r="B13" t="str">
            <v>Compressed Air-NR</v>
          </cell>
          <cell r="C13" t="str">
            <v>_PRE2013</v>
          </cell>
          <cell r="D13" t="str">
            <v>_PRE2013</v>
          </cell>
          <cell r="E13" t="str">
            <v>_PRE2013</v>
          </cell>
          <cell r="F13" t="str">
            <v>_PRE2013</v>
          </cell>
          <cell r="G13" t="str">
            <v>_PRE2013</v>
          </cell>
          <cell r="H13" t="str">
            <v>_PRE2013</v>
          </cell>
          <cell r="I13" t="str">
            <v>_PRE2013</v>
          </cell>
          <cell r="J13" t="str">
            <v>_PRE2013</v>
          </cell>
          <cell r="K13" t="str">
            <v>_PRE2013</v>
          </cell>
          <cell r="L13" t="str">
            <v>_PRE2013</v>
          </cell>
          <cell r="M13" t="str">
            <v>_PRE2013</v>
          </cell>
          <cell r="N13" t="str">
            <v>_PRE2013</v>
          </cell>
          <cell r="O13" t="str">
            <v>_PRE2013</v>
          </cell>
          <cell r="P13" t="str">
            <v>_PRE2013</v>
          </cell>
          <cell r="Q13" t="str">
            <v>_PRE2013</v>
          </cell>
          <cell r="R13" t="str">
            <v>_PRE2013</v>
          </cell>
          <cell r="S13" t="str">
            <v>_PRE2013</v>
          </cell>
          <cell r="T13" t="str">
            <v>_PRE2013</v>
          </cell>
          <cell r="W13" t="str">
            <v>_PRE2013</v>
          </cell>
          <cell r="X13" t="str">
            <v>NR</v>
          </cell>
        </row>
        <row r="14">
          <cell r="B14" t="str">
            <v>Network PC Power Management-Retro</v>
          </cell>
          <cell r="C14" t="str">
            <v>_PRE2013</v>
          </cell>
          <cell r="D14" t="str">
            <v>_PRE2013</v>
          </cell>
          <cell r="E14" t="str">
            <v>_PRE2013</v>
          </cell>
          <cell r="F14" t="str">
            <v>_PRE2013</v>
          </cell>
          <cell r="G14" t="str">
            <v>_PRE2013</v>
          </cell>
          <cell r="H14" t="str">
            <v>_PRE2013</v>
          </cell>
          <cell r="I14" t="str">
            <v>_PRE2013</v>
          </cell>
          <cell r="J14" t="str">
            <v>_PRE2013</v>
          </cell>
          <cell r="K14" t="str">
            <v>_PRE2013</v>
          </cell>
          <cell r="L14" t="str">
            <v>_PRE2013</v>
          </cell>
          <cell r="M14" t="str">
            <v>_PRE2013</v>
          </cell>
          <cell r="N14" t="str">
            <v>_PRE2013</v>
          </cell>
          <cell r="O14" t="str">
            <v>_PRE2013</v>
          </cell>
          <cell r="P14" t="str">
            <v>_PRE2013</v>
          </cell>
          <cell r="Q14" t="str">
            <v>_PRE2013</v>
          </cell>
          <cell r="R14" t="str">
            <v>_PRE2013</v>
          </cell>
          <cell r="S14" t="str">
            <v>_PRE2013</v>
          </cell>
          <cell r="T14" t="str">
            <v>_PRE2013</v>
          </cell>
          <cell r="W14" t="str">
            <v>_PRE2013</v>
          </cell>
          <cell r="X14" t="str">
            <v>Retro</v>
          </cell>
        </row>
        <row r="15">
          <cell r="B15" t="str">
            <v>Laptop-NR</v>
          </cell>
          <cell r="C15" t="str">
            <v>_PRE2013</v>
          </cell>
          <cell r="D15" t="str">
            <v>_PRE2013</v>
          </cell>
          <cell r="E15" t="str">
            <v>_PRE2013</v>
          </cell>
          <cell r="F15" t="str">
            <v>_PRE2013</v>
          </cell>
          <cell r="G15" t="str">
            <v>_PRE2013</v>
          </cell>
          <cell r="H15" t="str">
            <v>_PRE2013</v>
          </cell>
          <cell r="I15" t="str">
            <v>_PRE2013</v>
          </cell>
          <cell r="J15" t="str">
            <v>_PRE2013</v>
          </cell>
          <cell r="K15" t="str">
            <v>_PRE2013</v>
          </cell>
          <cell r="L15" t="str">
            <v>_PRE2013</v>
          </cell>
          <cell r="M15" t="str">
            <v>_PRE2013</v>
          </cell>
          <cell r="N15" t="str">
            <v>_PRE2013</v>
          </cell>
          <cell r="O15" t="str">
            <v>_PRE2013</v>
          </cell>
          <cell r="P15" t="str">
            <v>_PRE2013</v>
          </cell>
          <cell r="Q15" t="str">
            <v>_PRE2013</v>
          </cell>
          <cell r="R15" t="str">
            <v>_PRE2013</v>
          </cell>
          <cell r="S15" t="str">
            <v>_PRE2013</v>
          </cell>
          <cell r="T15" t="str">
            <v>_PRE2013</v>
          </cell>
          <cell r="W15" t="str">
            <v>_PRE2013</v>
          </cell>
          <cell r="X15" t="str">
            <v>NR</v>
          </cell>
        </row>
        <row r="16">
          <cell r="B16" t="str">
            <v>Smart Plug Power Strips-Retro</v>
          </cell>
          <cell r="C16" t="str">
            <v>_PRE2013</v>
          </cell>
          <cell r="D16" t="str">
            <v>_PRE2013</v>
          </cell>
          <cell r="E16" t="str">
            <v>_PRE2013</v>
          </cell>
          <cell r="F16" t="str">
            <v>_PRE2013</v>
          </cell>
          <cell r="G16" t="str">
            <v>_PRE2013</v>
          </cell>
          <cell r="H16" t="str">
            <v>_PRE2013</v>
          </cell>
          <cell r="I16" t="str">
            <v>_PRE2013</v>
          </cell>
          <cell r="J16" t="str">
            <v>_PRE2013</v>
          </cell>
          <cell r="K16" t="str">
            <v>_PRE2013</v>
          </cell>
          <cell r="L16" t="str">
            <v>_PRE2013</v>
          </cell>
          <cell r="M16" t="str">
            <v>_PRE2013</v>
          </cell>
          <cell r="N16" t="str">
            <v>_PRE2013</v>
          </cell>
          <cell r="O16" t="str">
            <v>_PRE2013</v>
          </cell>
          <cell r="P16" t="str">
            <v>_PRE2013</v>
          </cell>
          <cell r="Q16" t="str">
            <v>_PRE2013</v>
          </cell>
          <cell r="R16" t="str">
            <v>_PRE2013</v>
          </cell>
          <cell r="S16" t="str">
            <v>_PRE2013</v>
          </cell>
          <cell r="T16" t="str">
            <v>_PRE2013</v>
          </cell>
          <cell r="W16" t="str">
            <v>_PRE2013</v>
          </cell>
          <cell r="X16" t="str">
            <v>Retro</v>
          </cell>
        </row>
        <row r="17">
          <cell r="B17" t="str">
            <v>Data Centers-NR</v>
          </cell>
          <cell r="C17" t="str">
            <v>_PRE2013</v>
          </cell>
          <cell r="D17" t="str">
            <v>_PRE2013</v>
          </cell>
          <cell r="E17" t="str">
            <v>_PRE2013</v>
          </cell>
          <cell r="F17" t="str">
            <v>_PRE2013</v>
          </cell>
          <cell r="G17" t="str">
            <v>_PRE2013</v>
          </cell>
          <cell r="H17" t="str">
            <v>_PRE2013</v>
          </cell>
          <cell r="I17" t="str">
            <v>_PRE2013</v>
          </cell>
          <cell r="J17" t="str">
            <v>_PRE2013</v>
          </cell>
          <cell r="K17" t="str">
            <v>_PRE2013</v>
          </cell>
          <cell r="L17" t="str">
            <v>_PRE2013</v>
          </cell>
          <cell r="M17" t="str">
            <v>_PRE2013</v>
          </cell>
          <cell r="N17" t="str">
            <v>_PRE2013</v>
          </cell>
          <cell r="O17" t="str">
            <v>_PRE2013</v>
          </cell>
          <cell r="P17" t="str">
            <v>_PRE2013</v>
          </cell>
          <cell r="Q17" t="str">
            <v>_PRE2013</v>
          </cell>
          <cell r="R17" t="str">
            <v>_PRE2013</v>
          </cell>
          <cell r="S17" t="str">
            <v>_PRE2013</v>
          </cell>
          <cell r="T17" t="str">
            <v>_PRE2013</v>
          </cell>
          <cell r="W17" t="str">
            <v>_PRE2013</v>
          </cell>
          <cell r="X17" t="str">
            <v>NR</v>
          </cell>
        </row>
        <row r="18">
          <cell r="B18" t="str">
            <v>Monitor-NR</v>
          </cell>
          <cell r="C18" t="str">
            <v>_PRE2013</v>
          </cell>
          <cell r="D18" t="str">
            <v>_PRE2013</v>
          </cell>
          <cell r="E18" t="str">
            <v>_PRE2013</v>
          </cell>
          <cell r="F18" t="str">
            <v>_PRE2013</v>
          </cell>
          <cell r="G18" t="str">
            <v>_PRE2013</v>
          </cell>
          <cell r="H18" t="str">
            <v>_PRE2013</v>
          </cell>
          <cell r="I18" t="str">
            <v>_PRE2013</v>
          </cell>
          <cell r="J18" t="str">
            <v>_PRE2013</v>
          </cell>
          <cell r="K18" t="str">
            <v>_PRE2013</v>
          </cell>
          <cell r="L18" t="str">
            <v>_PRE2013</v>
          </cell>
          <cell r="M18" t="str">
            <v>_PRE2013</v>
          </cell>
          <cell r="N18" t="str">
            <v>_PRE2013</v>
          </cell>
          <cell r="O18" t="str">
            <v>_PRE2013</v>
          </cell>
          <cell r="P18" t="str">
            <v>_PRE2013</v>
          </cell>
          <cell r="Q18" t="str">
            <v>_PRE2013</v>
          </cell>
          <cell r="R18" t="str">
            <v>_PRE2013</v>
          </cell>
          <cell r="S18" t="str">
            <v>_PRE2013</v>
          </cell>
          <cell r="T18" t="str">
            <v>_PRE2013</v>
          </cell>
          <cell r="W18" t="str">
            <v>_PRE2013</v>
          </cell>
          <cell r="X18" t="str">
            <v>NR</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Premium HVAC Equipment-New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Premium HVAC Equipment-NR</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NR</v>
          </cell>
          <cell r="Y23" t="str">
            <v>POST2013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Glass-Retro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Low Pressure Distribution Complex HVAC-New</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New</v>
          </cell>
          <cell r="Y37" t="str">
            <v>POST2013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Bi-Level Stairwell Lighting-NR</v>
          </cell>
          <cell r="C72" t="str">
            <v>_PRE2013</v>
          </cell>
          <cell r="D72" t="str">
            <v>_PRE2013</v>
          </cell>
          <cell r="E72" t="str">
            <v>_PRE2013</v>
          </cell>
          <cell r="F72" t="str">
            <v>_PRE2013</v>
          </cell>
          <cell r="G72" t="str">
            <v>_PRE2013</v>
          </cell>
          <cell r="H72" t="str">
            <v>_PRE2013</v>
          </cell>
          <cell r="I72" t="str">
            <v>_PRE2013</v>
          </cell>
          <cell r="J72" t="str">
            <v>_PRE2013</v>
          </cell>
          <cell r="K72" t="str">
            <v>_PRE2013</v>
          </cell>
          <cell r="L72" t="str">
            <v>_PRE2013</v>
          </cell>
          <cell r="M72" t="str">
            <v>_PRE2013</v>
          </cell>
          <cell r="N72" t="str">
            <v>_PRE2013</v>
          </cell>
          <cell r="O72" t="str">
            <v>_PRE2013</v>
          </cell>
          <cell r="P72" t="str">
            <v>_PRE2013</v>
          </cell>
          <cell r="Q72" t="str">
            <v>_PRE2013</v>
          </cell>
          <cell r="R72" t="str">
            <v>_PRE2013</v>
          </cell>
          <cell r="S72" t="str">
            <v>_PRE2013</v>
          </cell>
          <cell r="T72" t="str">
            <v>_PRE2013</v>
          </cell>
          <cell r="W72" t="str">
            <v>_PRE2013</v>
          </cell>
          <cell r="X72" t="str">
            <v>NR</v>
          </cell>
          <cell r="Y72" t="str">
            <v>POST2013</v>
          </cell>
        </row>
        <row r="73">
          <cell r="B73" t="str">
            <v>ECM-VAV-New</v>
          </cell>
          <cell r="C73" t="str">
            <v>POST2013</v>
          </cell>
          <cell r="D73" t="str">
            <v>POST2013</v>
          </cell>
          <cell r="E73" t="str">
            <v>POST2013</v>
          </cell>
          <cell r="F73" t="str">
            <v>POST2013</v>
          </cell>
          <cell r="G73" t="str">
            <v>POST2013</v>
          </cell>
          <cell r="H73" t="str">
            <v>POST2013</v>
          </cell>
          <cell r="I73" t="str">
            <v>POST2013</v>
          </cell>
          <cell r="J73" t="str">
            <v>POST2013</v>
          </cell>
          <cell r="K73" t="str">
            <v>POST2013</v>
          </cell>
          <cell r="L73" t="str">
            <v>POST2013</v>
          </cell>
          <cell r="M73" t="str">
            <v>POST2013</v>
          </cell>
          <cell r="N73" t="str">
            <v>POST2013</v>
          </cell>
          <cell r="O73" t="str">
            <v>POST2013</v>
          </cell>
          <cell r="P73" t="str">
            <v>POST2013</v>
          </cell>
          <cell r="Q73" t="str">
            <v>POST2013</v>
          </cell>
          <cell r="R73" t="str">
            <v>POST2013</v>
          </cell>
          <cell r="S73" t="str">
            <v>POST2013</v>
          </cell>
          <cell r="T73" t="str">
            <v>POST2013</v>
          </cell>
          <cell r="W73" t="str">
            <v>POST2013</v>
          </cell>
          <cell r="X73" t="str">
            <v>New</v>
          </cell>
          <cell r="Y73" t="str">
            <v>POST2013</v>
          </cell>
        </row>
        <row r="74">
          <cell r="B74" t="str">
            <v>ECM-VAV-NR</v>
          </cell>
          <cell r="C74" t="str">
            <v>POST2013</v>
          </cell>
          <cell r="D74" t="str">
            <v>POST2013</v>
          </cell>
          <cell r="E74" t="str">
            <v>POST2013</v>
          </cell>
          <cell r="F74" t="str">
            <v>POST2013</v>
          </cell>
          <cell r="G74" t="str">
            <v>POST2013</v>
          </cell>
          <cell r="H74" t="str">
            <v>POST2013</v>
          </cell>
          <cell r="I74" t="str">
            <v>POST2013</v>
          </cell>
          <cell r="J74" t="str">
            <v>POST2013</v>
          </cell>
          <cell r="K74" t="str">
            <v>POST2013</v>
          </cell>
          <cell r="L74" t="str">
            <v>POST2013</v>
          </cell>
          <cell r="M74" t="str">
            <v>POST2013</v>
          </cell>
          <cell r="N74" t="str">
            <v>POST2013</v>
          </cell>
          <cell r="O74" t="str">
            <v>POST2013</v>
          </cell>
          <cell r="P74" t="str">
            <v>POST2013</v>
          </cell>
          <cell r="Q74" t="str">
            <v>POST2013</v>
          </cell>
          <cell r="R74" t="str">
            <v>POST2013</v>
          </cell>
          <cell r="S74" t="str">
            <v>POST2013</v>
          </cell>
          <cell r="T74" t="str">
            <v>POST2013</v>
          </cell>
          <cell r="W74" t="str">
            <v>POST2013</v>
          </cell>
          <cell r="X74" t="str">
            <v>NR</v>
          </cell>
          <cell r="Y74" t="str">
            <v>POST2013</v>
          </cell>
        </row>
        <row r="75">
          <cell r="B75" t="str">
            <v>Pool pumps-Retro</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Retro</v>
          </cell>
          <cell r="Y75" t="str">
            <v>_PRE2013</v>
          </cell>
        </row>
        <row r="76">
          <cell r="B76" t="str">
            <v>MotorsRewind-New</v>
          </cell>
          <cell r="C76" t="str">
            <v>_PRE2013</v>
          </cell>
          <cell r="D76" t="str">
            <v>_PRE2013</v>
          </cell>
          <cell r="E76" t="str">
            <v>_PRE2013</v>
          </cell>
          <cell r="F76" t="str">
            <v>_PRE2013</v>
          </cell>
          <cell r="G76" t="str">
            <v>_PRE2013</v>
          </cell>
          <cell r="H76" t="str">
            <v>_PRE2013</v>
          </cell>
          <cell r="I76" t="str">
            <v>_PRE2013</v>
          </cell>
          <cell r="J76" t="str">
            <v>_PRE2013</v>
          </cell>
          <cell r="K76" t="str">
            <v>_PRE2013</v>
          </cell>
          <cell r="L76" t="str">
            <v>_PRE2013</v>
          </cell>
          <cell r="M76" t="str">
            <v>_PRE2013</v>
          </cell>
          <cell r="N76" t="str">
            <v>_PRE2013</v>
          </cell>
          <cell r="O76" t="str">
            <v>_PRE2013</v>
          </cell>
          <cell r="P76" t="str">
            <v>_PRE2013</v>
          </cell>
          <cell r="Q76" t="str">
            <v>_PRE2013</v>
          </cell>
          <cell r="R76" t="str">
            <v>_PRE2013</v>
          </cell>
          <cell r="S76" t="str">
            <v>_PRE2013</v>
          </cell>
          <cell r="T76" t="str">
            <v>_PRE2013</v>
          </cell>
          <cell r="W76" t="str">
            <v>_PRE2013</v>
          </cell>
          <cell r="X76" t="str">
            <v>New</v>
          </cell>
          <cell r="Y76" t="str">
            <v>POST2013</v>
          </cell>
        </row>
        <row r="77">
          <cell r="B77" t="str">
            <v>MotorsRewind-NR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Municipal Sewage Treatment-Retro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Municipal Water Supply-Retro</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Retro</v>
          </cell>
          <cell r="Y79" t="str">
            <v>_PRE2013</v>
          </cell>
        </row>
        <row r="80">
          <cell r="B80" t="str">
            <v>Engine Generator Block Heaters-Retro</v>
          </cell>
          <cell r="C80" t="str">
            <v>_PRE2013</v>
          </cell>
          <cell r="D80" t="str">
            <v>_PRE2013</v>
          </cell>
          <cell r="E80" t="str">
            <v>_PRE2013</v>
          </cell>
          <cell r="F80" t="str">
            <v>_PRE2013</v>
          </cell>
          <cell r="G80" t="str">
            <v>_PRE2013</v>
          </cell>
          <cell r="H80" t="str">
            <v>_PRE2013</v>
          </cell>
          <cell r="I80" t="str">
            <v>_PRE2013</v>
          </cell>
          <cell r="J80" t="str">
            <v>_PRE2013</v>
          </cell>
          <cell r="K80" t="str">
            <v>_PRE2013</v>
          </cell>
          <cell r="L80" t="str">
            <v>_PRE2013</v>
          </cell>
          <cell r="M80" t="str">
            <v>_PRE2013</v>
          </cell>
          <cell r="N80" t="str">
            <v>_PRE2013</v>
          </cell>
          <cell r="O80" t="str">
            <v>_PRE2013</v>
          </cell>
          <cell r="P80" t="str">
            <v>_PRE2013</v>
          </cell>
          <cell r="Q80" t="str">
            <v>_PRE2013</v>
          </cell>
          <cell r="R80" t="str">
            <v>_PRE2013</v>
          </cell>
          <cell r="S80" t="str">
            <v>_PRE2013</v>
          </cell>
          <cell r="T80" t="str">
            <v>_PRE2013</v>
          </cell>
          <cell r="W80" t="str">
            <v>_PRE2013</v>
          </cell>
          <cell r="X80" t="str">
            <v>Retro</v>
          </cell>
          <cell r="Y80" t="str">
            <v>_PRE2013</v>
          </cell>
        </row>
        <row r="81">
          <cell r="B81" t="str">
            <v>Grocery Refrigeration Bundle-Retro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Packaged Refrigeration Equipment-New</v>
          </cell>
          <cell r="C82" t="str">
            <v>POST2013</v>
          </cell>
          <cell r="D82" t="str">
            <v>POST2013</v>
          </cell>
          <cell r="E82" t="str">
            <v>POST2013</v>
          </cell>
          <cell r="F82" t="str">
            <v>POST2013</v>
          </cell>
          <cell r="G82" t="str">
            <v>POST2013</v>
          </cell>
          <cell r="H82" t="str">
            <v>POST2013</v>
          </cell>
          <cell r="I82" t="str">
            <v>POST2013</v>
          </cell>
          <cell r="J82" t="str">
            <v>POST2013</v>
          </cell>
          <cell r="K82" t="str">
            <v>POST2013</v>
          </cell>
          <cell r="L82" t="str">
            <v>POST2013</v>
          </cell>
          <cell r="M82" t="str">
            <v>POST2013</v>
          </cell>
          <cell r="N82" t="str">
            <v>POST2013</v>
          </cell>
          <cell r="O82" t="str">
            <v>POST2013</v>
          </cell>
          <cell r="P82" t="str">
            <v>POST2013</v>
          </cell>
          <cell r="Q82" t="str">
            <v>POST2013</v>
          </cell>
          <cell r="R82" t="str">
            <v>POST2013</v>
          </cell>
          <cell r="S82" t="str">
            <v>POST2013</v>
          </cell>
          <cell r="T82" t="str">
            <v>POST2013</v>
          </cell>
          <cell r="W82" t="str">
            <v>POST2013</v>
          </cell>
          <cell r="X82" t="str">
            <v>New</v>
          </cell>
          <cell r="Y82" t="str">
            <v>POST2013</v>
          </cell>
        </row>
        <row r="83">
          <cell r="B83" t="str">
            <v>Appliances - Freezers-NR</v>
          </cell>
          <cell r="C83" t="str">
            <v>POST2013</v>
          </cell>
          <cell r="D83" t="str">
            <v>POST2013</v>
          </cell>
          <cell r="E83" t="str">
            <v>POST2013</v>
          </cell>
          <cell r="F83" t="str">
            <v>POST2013</v>
          </cell>
          <cell r="G83" t="str">
            <v>POST2013</v>
          </cell>
          <cell r="H83" t="str">
            <v>POST2013</v>
          </cell>
          <cell r="I83" t="str">
            <v>POST2013</v>
          </cell>
          <cell r="J83" t="str">
            <v>POST2013</v>
          </cell>
          <cell r="K83" t="str">
            <v>POST2013</v>
          </cell>
          <cell r="L83" t="str">
            <v>POST2013</v>
          </cell>
          <cell r="M83" t="str">
            <v>POST2013</v>
          </cell>
          <cell r="N83" t="str">
            <v>POST2013</v>
          </cell>
          <cell r="O83" t="str">
            <v>POST2013</v>
          </cell>
          <cell r="P83" t="str">
            <v>POST2013</v>
          </cell>
          <cell r="Q83" t="str">
            <v>POST2013</v>
          </cell>
          <cell r="R83" t="str">
            <v>POST2013</v>
          </cell>
          <cell r="S83" t="str">
            <v>POST2013</v>
          </cell>
          <cell r="T83" t="str">
            <v>POST2013</v>
          </cell>
          <cell r="W83" t="str">
            <v>POST2013</v>
          </cell>
          <cell r="X83" t="str">
            <v>NR</v>
          </cell>
          <cell r="Y83" t="str">
            <v>POST2013</v>
          </cell>
        </row>
        <row r="84">
          <cell r="B84" t="str">
            <v>Appliances - Refrigerators-NR</v>
          </cell>
          <cell r="C84" t="str">
            <v>POST2013</v>
          </cell>
          <cell r="D84" t="str">
            <v>POST2013</v>
          </cell>
          <cell r="E84" t="str">
            <v>POST2013</v>
          </cell>
          <cell r="F84" t="str">
            <v>POST2013</v>
          </cell>
          <cell r="G84" t="str">
            <v>POST2013</v>
          </cell>
          <cell r="H84" t="str">
            <v>POST2013</v>
          </cell>
          <cell r="I84" t="str">
            <v>POST2013</v>
          </cell>
          <cell r="J84" t="str">
            <v>POST2013</v>
          </cell>
          <cell r="K84" t="str">
            <v>POST2013</v>
          </cell>
          <cell r="L84" t="str">
            <v>POST2013</v>
          </cell>
          <cell r="M84" t="str">
            <v>POST2013</v>
          </cell>
          <cell r="N84" t="str">
            <v>POST2013</v>
          </cell>
          <cell r="O84" t="str">
            <v>POST2013</v>
          </cell>
          <cell r="P84" t="str">
            <v>POST2013</v>
          </cell>
          <cell r="Q84" t="str">
            <v>POST2013</v>
          </cell>
          <cell r="R84" t="str">
            <v>POST2013</v>
          </cell>
          <cell r="S84" t="str">
            <v>POST2013</v>
          </cell>
          <cell r="T84" t="str">
            <v>POST2013</v>
          </cell>
          <cell r="W84" t="str">
            <v>POST2013</v>
          </cell>
          <cell r="X84" t="str">
            <v>NR</v>
          </cell>
          <cell r="Y84" t="str">
            <v>POST2013</v>
          </cell>
        </row>
        <row r="85">
          <cell r="B85" t="str">
            <v>Water Cooler Controls-NR</v>
          </cell>
          <cell r="C85" t="str">
            <v>_PRE2013</v>
          </cell>
          <cell r="D85" t="str">
            <v>_PRE2013</v>
          </cell>
          <cell r="E85" t="str">
            <v>_PRE2013</v>
          </cell>
          <cell r="F85" t="str">
            <v>_PRE2013</v>
          </cell>
          <cell r="G85" t="str">
            <v>_PRE2013</v>
          </cell>
          <cell r="H85" t="str">
            <v>_PRE2013</v>
          </cell>
          <cell r="I85" t="str">
            <v>_PRE2013</v>
          </cell>
          <cell r="J85" t="str">
            <v>_PRE2013</v>
          </cell>
          <cell r="K85" t="str">
            <v>_PRE2013</v>
          </cell>
          <cell r="L85" t="str">
            <v>_PRE2013</v>
          </cell>
          <cell r="M85" t="str">
            <v>_PRE2013</v>
          </cell>
          <cell r="N85" t="str">
            <v>_PRE2013</v>
          </cell>
          <cell r="O85" t="str">
            <v>_PRE2013</v>
          </cell>
          <cell r="P85" t="str">
            <v>_PRE2013</v>
          </cell>
          <cell r="Q85" t="str">
            <v>_PRE2013</v>
          </cell>
          <cell r="R85" t="str">
            <v>_PRE2013</v>
          </cell>
          <cell r="S85" t="str">
            <v>_PRE2013</v>
          </cell>
          <cell r="T85" t="str">
            <v>_PRE2013</v>
          </cell>
          <cell r="W85" t="str">
            <v>_PRE2013</v>
          </cell>
          <cell r="X85" t="str">
            <v>NR</v>
          </cell>
          <cell r="Y85" t="str">
            <v>POST2013</v>
          </cell>
        </row>
        <row r="86">
          <cell r="B86" t="str">
            <v>WHTanks-New</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New</v>
          </cell>
          <cell r="Y86" t="str">
            <v>POST2013</v>
          </cell>
        </row>
        <row r="87">
          <cell r="B87" t="str">
            <v>WHTanks-NR</v>
          </cell>
          <cell r="C87" t="str">
            <v>_PRE2013</v>
          </cell>
          <cell r="D87" t="str">
            <v>_PRE2013</v>
          </cell>
          <cell r="E87" t="str">
            <v>_PRE2013</v>
          </cell>
          <cell r="F87" t="str">
            <v>_PRE2013</v>
          </cell>
          <cell r="G87" t="str">
            <v>_PRE2013</v>
          </cell>
          <cell r="H87" t="str">
            <v>_PRE2013</v>
          </cell>
          <cell r="I87" t="str">
            <v>_PRE2013</v>
          </cell>
          <cell r="J87" t="str">
            <v>_PRE2013</v>
          </cell>
          <cell r="K87" t="str">
            <v>_PRE2013</v>
          </cell>
          <cell r="L87" t="str">
            <v>_PRE2013</v>
          </cell>
          <cell r="M87" t="str">
            <v>_PRE2013</v>
          </cell>
          <cell r="N87" t="str">
            <v>_PRE2013</v>
          </cell>
          <cell r="O87" t="str">
            <v>_PRE2013</v>
          </cell>
          <cell r="P87" t="str">
            <v>_PRE2013</v>
          </cell>
          <cell r="Q87" t="str">
            <v>_PRE2013</v>
          </cell>
          <cell r="R87" t="str">
            <v>_PRE2013</v>
          </cell>
          <cell r="S87" t="str">
            <v>_PRE2013</v>
          </cell>
          <cell r="T87" t="str">
            <v>_PRE2013</v>
          </cell>
          <cell r="W87" t="str">
            <v>_PRE2013</v>
          </cell>
          <cell r="X87" t="str">
            <v>NR</v>
          </cell>
          <cell r="Y87" t="str">
            <v>POST2013</v>
          </cell>
        </row>
        <row r="88">
          <cell r="B88" t="str">
            <v>Appliances - Clothes Washers-NR</v>
          </cell>
          <cell r="C88" t="str">
            <v>POST2013</v>
          </cell>
          <cell r="D88" t="str">
            <v>POST2013</v>
          </cell>
          <cell r="E88" t="str">
            <v>POST2013</v>
          </cell>
          <cell r="F88" t="str">
            <v>POST2013</v>
          </cell>
          <cell r="G88" t="str">
            <v>POST2013</v>
          </cell>
          <cell r="H88" t="str">
            <v>POST2013</v>
          </cell>
          <cell r="I88" t="str">
            <v>POST2013</v>
          </cell>
          <cell r="J88" t="str">
            <v>POST2013</v>
          </cell>
          <cell r="K88" t="str">
            <v>POST2013</v>
          </cell>
          <cell r="L88" t="str">
            <v>POST2013</v>
          </cell>
          <cell r="M88" t="str">
            <v>POST2013</v>
          </cell>
          <cell r="N88" t="str">
            <v>POST2013</v>
          </cell>
          <cell r="O88" t="str">
            <v>POST2013</v>
          </cell>
          <cell r="P88" t="str">
            <v>POST2013</v>
          </cell>
          <cell r="Q88" t="str">
            <v>POST2013</v>
          </cell>
          <cell r="R88" t="str">
            <v>POST2013</v>
          </cell>
          <cell r="S88" t="str">
            <v>POST2013</v>
          </cell>
          <cell r="T88" t="str">
            <v>POST2013</v>
          </cell>
          <cell r="W88" t="str">
            <v>POST2013</v>
          </cell>
          <cell r="X88" t="str">
            <v>NR</v>
          </cell>
          <cell r="Y88" t="str">
            <v>POST2013</v>
          </cell>
        </row>
        <row r="89">
          <cell r="B89" t="str">
            <v>Showerheads-Retro</v>
          </cell>
          <cell r="C89" t="str">
            <v>_PRE2013</v>
          </cell>
          <cell r="D89" t="str">
            <v>_PRE2013</v>
          </cell>
          <cell r="E89" t="str">
            <v>_PRE2013</v>
          </cell>
          <cell r="F89" t="str">
            <v>_PRE2013</v>
          </cell>
          <cell r="G89" t="str">
            <v>_PRE2013</v>
          </cell>
          <cell r="H89" t="str">
            <v>_PRE2013</v>
          </cell>
          <cell r="I89" t="str">
            <v>_PRE2013</v>
          </cell>
          <cell r="J89" t="str">
            <v>_PRE2013</v>
          </cell>
          <cell r="K89" t="str">
            <v>_PRE2013</v>
          </cell>
          <cell r="L89" t="str">
            <v>_PRE2013</v>
          </cell>
          <cell r="M89" t="str">
            <v>_PRE2013</v>
          </cell>
          <cell r="N89" t="str">
            <v>_PRE2013</v>
          </cell>
          <cell r="O89" t="str">
            <v>_PRE2013</v>
          </cell>
          <cell r="P89" t="str">
            <v>_PRE2013</v>
          </cell>
          <cell r="Q89" t="str">
            <v>_PRE2013</v>
          </cell>
          <cell r="R89" t="str">
            <v>_PRE2013</v>
          </cell>
          <cell r="S89" t="str">
            <v>_PRE2013</v>
          </cell>
          <cell r="T89" t="str">
            <v>_PRE2013</v>
          </cell>
          <cell r="W89" t="str">
            <v>_PRE2013</v>
          </cell>
          <cell r="X89" t="str">
            <v>Retro</v>
          </cell>
          <cell r="Y89" t="str">
            <v>_PRE2013</v>
          </cell>
        </row>
        <row r="90">
          <cell r="B90" t="str">
            <v>Water Heating - GFHX-New</v>
          </cell>
          <cell r="C90" t="str">
            <v>POST2013</v>
          </cell>
          <cell r="D90" t="str">
            <v>POST2013</v>
          </cell>
          <cell r="E90" t="str">
            <v>POST2013</v>
          </cell>
          <cell r="F90" t="str">
            <v>POST2013</v>
          </cell>
          <cell r="G90" t="str">
            <v>POST2013</v>
          </cell>
          <cell r="H90" t="str">
            <v>POST2013</v>
          </cell>
          <cell r="I90" t="str">
            <v>POST2013</v>
          </cell>
          <cell r="J90" t="str">
            <v>POST2013</v>
          </cell>
          <cell r="K90" t="str">
            <v>POST2013</v>
          </cell>
          <cell r="L90" t="str">
            <v>POST2013</v>
          </cell>
          <cell r="M90" t="str">
            <v>POST2013</v>
          </cell>
          <cell r="N90" t="str">
            <v>POST2013</v>
          </cell>
          <cell r="O90" t="str">
            <v>POST2013</v>
          </cell>
          <cell r="P90" t="str">
            <v>POST2013</v>
          </cell>
          <cell r="Q90" t="str">
            <v>POST2013</v>
          </cell>
          <cell r="R90" t="str">
            <v>POST2013</v>
          </cell>
          <cell r="S90" t="str">
            <v>POST2013</v>
          </cell>
          <cell r="T90" t="str">
            <v>POST2013</v>
          </cell>
          <cell r="W90" t="str">
            <v>POST2013</v>
          </cell>
          <cell r="X90" t="str">
            <v>New</v>
          </cell>
          <cell r="Y90" t="str">
            <v>POST2013</v>
          </cell>
        </row>
        <row r="91">
          <cell r="B91" t="str">
            <v>Demand Control Circulating system DHW-Retro</v>
          </cell>
          <cell r="C91" t="str">
            <v>_PRE2013</v>
          </cell>
          <cell r="D91" t="str">
            <v>_PRE2013</v>
          </cell>
          <cell r="E91" t="str">
            <v>_PRE2013</v>
          </cell>
          <cell r="F91" t="str">
            <v>_PRE2013</v>
          </cell>
          <cell r="G91" t="str">
            <v>_PRE2013</v>
          </cell>
          <cell r="H91" t="str">
            <v>_PRE2013</v>
          </cell>
          <cell r="I91" t="str">
            <v>_PRE2013</v>
          </cell>
          <cell r="J91" t="str">
            <v>_PRE2013</v>
          </cell>
          <cell r="K91" t="str">
            <v>_PRE2013</v>
          </cell>
          <cell r="L91" t="str">
            <v>_PRE2013</v>
          </cell>
          <cell r="M91" t="str">
            <v>_PRE2013</v>
          </cell>
          <cell r="N91" t="str">
            <v>_PRE2013</v>
          </cell>
          <cell r="O91" t="str">
            <v>_PRE2013</v>
          </cell>
          <cell r="P91" t="str">
            <v>_PRE2013</v>
          </cell>
          <cell r="Q91" t="str">
            <v>_PRE2013</v>
          </cell>
          <cell r="R91" t="str">
            <v>_PRE2013</v>
          </cell>
          <cell r="S91" t="str">
            <v>_PRE2013</v>
          </cell>
          <cell r="T91" t="str">
            <v>_PRE2013</v>
          </cell>
          <cell r="W91" t="str">
            <v>_PRE2013</v>
          </cell>
          <cell r="X91" t="str">
            <v>Retro</v>
          </cell>
          <cell r="Y91" t="str">
            <v>_PRE2013</v>
          </cell>
        </row>
        <row r="92">
          <cell r="B92" t="str">
            <v>Central HPWH MF-Retro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Ultra Low Energy Building-New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Low Power LF Lamps-NR</v>
          </cell>
          <cell r="C94" t="str">
            <v>_PRE2013</v>
          </cell>
          <cell r="D94" t="str">
            <v>_PRE2013</v>
          </cell>
          <cell r="W94" t="str">
            <v>_PRE2013</v>
          </cell>
          <cell r="X94" t="str">
            <v>Retro</v>
          </cell>
          <cell r="Y94" t="str">
            <v>_PRE2013</v>
          </cell>
        </row>
      </sheetData>
      <sheetData sheetId="6">
        <row r="10">
          <cell r="B10">
            <v>0</v>
          </cell>
        </row>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0.25</v>
          </cell>
          <cell r="V15">
            <v>0</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0.2</v>
          </cell>
          <cell r="V16">
            <v>0</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v>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0.2</v>
          </cell>
          <cell r="V18">
            <v>0</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0.25</v>
          </cell>
          <cell r="V19">
            <v>0</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v>
          </cell>
          <cell r="V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0.08</v>
          </cell>
          <cell r="V21">
            <v>0</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cell r="U27">
            <v>0</v>
          </cell>
          <cell r="V27">
            <v>0</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cell r="U28">
            <v>0</v>
          </cell>
          <cell r="V28">
            <v>0</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cell r="U29">
            <v>0</v>
          </cell>
          <cell r="V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cell r="U32">
            <v>0</v>
          </cell>
          <cell r="V32">
            <v>0</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cell r="U33">
            <v>0</v>
          </cell>
          <cell r="V33">
            <v>0</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cell r="U34">
            <v>0</v>
          </cell>
          <cell r="V34">
            <v>0</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B40" t="str">
            <v>Demand Control Ventilation-Retro</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cell r="V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0.25</v>
          </cell>
          <cell r="V45">
            <v>0</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B54" t="str">
            <v>VRF-New</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U65">
            <v>0</v>
          </cell>
          <cell r="V65" t="str">
            <v>Fixture or Ballast Replacement Cycle</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0.2</v>
          </cell>
          <cell r="V66" t="str">
            <v xml:space="preserve">5-year cycle (lamp cycle) for luminiares requiring bucket truck.  </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0.2</v>
          </cell>
          <cell r="V67" t="str">
            <v>20-Year Fixture Life from CBSA REN RATE</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0.2</v>
          </cell>
          <cell r="V68" t="str">
            <v>Five year cycle for streetlight relamp (DOE &amp; Tarioffs)</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0.2</v>
          </cell>
          <cell r="V69" t="str">
            <v>Five year cycle for streetlight relamp (DOE &amp; Tarioffs)</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B73" t="str">
            <v>ECM-VAV-New</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B74" t="str">
            <v>ECM-VAV-NR</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B89" t="str">
            <v>Showerheads-Retro</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B92" t="str">
            <v>Central HPWH MF-Retro</v>
          </cell>
        </row>
        <row r="93">
          <cell r="B93" t="str">
            <v>Ultra Low Energy Building-New</v>
          </cell>
        </row>
        <row r="94">
          <cell r="B94" t="str">
            <v>Low Power LF Lamps-NR</v>
          </cell>
        </row>
      </sheetData>
      <sheetData sheetId="7">
        <row r="11">
          <cell r="C11" t="str">
            <v>LO1Slow</v>
          </cell>
          <cell r="D11">
            <v>2.5643970768378654E-3</v>
          </cell>
          <cell r="E11">
            <v>7.6904586297764643E-3</v>
          </cell>
          <cell r="F11">
            <v>1.6792013047419844E-2</v>
          </cell>
          <cell r="G11">
            <v>3.15969387774655E-2</v>
          </cell>
          <cell r="H11">
            <v>5.406874819795171E-2</v>
          </cell>
          <cell r="I11">
            <v>8.6253181011834101E-2</v>
          </cell>
          <cell r="J11">
            <v>0.1300328481838382</v>
          </cell>
          <cell r="K11">
            <v>0.18678710893858319</v>
          </cell>
          <cell r="L11">
            <v>0.2569823480072907</v>
          </cell>
          <cell r="M11">
            <v>0.33975920985004748</v>
          </cell>
          <cell r="N11">
            <v>0.43262946935754232</v>
          </cell>
          <cell r="O11">
            <v>0.53142594003645804</v>
          </cell>
          <cell r="P11">
            <v>0.63063487292644704</v>
          </cell>
          <cell r="Q11">
            <v>0.7241560234206913</v>
          </cell>
          <cell r="R11">
            <v>0.80638203131755359</v>
          </cell>
          <cell r="S11">
            <v>0.87331559734491926</v>
          </cell>
          <cell r="T11">
            <v>0.92334516248836807</v>
          </cell>
          <cell r="U11">
            <v>0.95737002770730018</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7">
          <cell r="B17">
            <v>0</v>
          </cell>
          <cell r="C17">
            <v>0</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cell r="X19">
            <v>0</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cell r="X20">
            <v>0</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cell r="X21">
            <v>0</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cell r="X22">
            <v>0</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cell r="X23">
            <v>0</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cell r="X24">
            <v>0</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cell r="X25">
            <v>0</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cell r="X26">
            <v>0</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cell r="X27">
            <v>0</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cell r="X28">
            <v>0</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cell r="X29">
            <v>0</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cell r="X30">
            <v>0</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cell r="X31">
            <v>0</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cell r="X32">
            <v>0</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cell r="X33">
            <v>0</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cell r="X34">
            <v>0</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cell r="X35">
            <v>0</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cell r="X36">
            <v>0</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cell r="X37">
            <v>0</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cell r="X38">
            <v>0</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cell r="X39">
            <v>0</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cell r="X40">
            <v>0</v>
          </cell>
        </row>
        <row r="41">
          <cell r="A41" t="str">
            <v>HVAC</v>
          </cell>
          <cell r="B41" t="str">
            <v>Commercial EM-Retro</v>
          </cell>
          <cell r="C41" t="str">
            <v>RetroEven20</v>
          </cell>
          <cell r="D41">
            <v>0.05</v>
          </cell>
          <cell r="E41">
            <v>0.05</v>
          </cell>
          <cell r="F41">
            <v>0.05</v>
          </cell>
          <cell r="G41">
            <v>0.05</v>
          </cell>
          <cell r="H41">
            <v>0.05</v>
          </cell>
          <cell r="I41">
            <v>0.05</v>
          </cell>
          <cell r="J41">
            <v>0.05</v>
          </cell>
          <cell r="K41">
            <v>0.05</v>
          </cell>
          <cell r="L41">
            <v>0.05</v>
          </cell>
          <cell r="M41">
            <v>0.05</v>
          </cell>
          <cell r="N41">
            <v>0.05</v>
          </cell>
          <cell r="O41">
            <v>0.05</v>
          </cell>
          <cell r="P41">
            <v>0.05</v>
          </cell>
          <cell r="Q41">
            <v>0.05</v>
          </cell>
          <cell r="R41">
            <v>0.05</v>
          </cell>
          <cell r="S41">
            <v>0.05</v>
          </cell>
          <cell r="T41">
            <v>0.05</v>
          </cell>
          <cell r="U41">
            <v>0.05</v>
          </cell>
          <cell r="V41">
            <v>0.05</v>
          </cell>
          <cell r="W41">
            <v>0.05</v>
          </cell>
          <cell r="X41">
            <v>0</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cell r="X42">
            <v>0</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cell r="X43">
            <v>0</v>
          </cell>
        </row>
        <row r="44">
          <cell r="A44" t="str">
            <v>HVAC</v>
          </cell>
          <cell r="B44" t="str">
            <v>Low Pressure Distribution Complex HVAC-New</v>
          </cell>
          <cell r="C44" t="str">
            <v>LO1Slow</v>
          </cell>
          <cell r="D44">
            <v>2.5643970768378654E-3</v>
          </cell>
          <cell r="E44">
            <v>7.6904586297764643E-3</v>
          </cell>
          <cell r="F44">
            <v>1.6792013047419844E-2</v>
          </cell>
          <cell r="G44">
            <v>3.15969387774655E-2</v>
          </cell>
          <cell r="H44">
            <v>5.406874819795171E-2</v>
          </cell>
          <cell r="I44">
            <v>8.6253181011834101E-2</v>
          </cell>
          <cell r="J44">
            <v>0.1300328481838382</v>
          </cell>
          <cell r="K44">
            <v>0.18678710893858319</v>
          </cell>
          <cell r="L44">
            <v>0.2569823480072907</v>
          </cell>
          <cell r="M44">
            <v>0.33975920985004748</v>
          </cell>
          <cell r="N44">
            <v>0.43262946935754232</v>
          </cell>
          <cell r="O44">
            <v>0.53142594003645804</v>
          </cell>
          <cell r="P44">
            <v>0.63063487292644704</v>
          </cell>
          <cell r="Q44">
            <v>0.7241560234206913</v>
          </cell>
          <cell r="R44">
            <v>0.80638203131755359</v>
          </cell>
          <cell r="S44">
            <v>0.87331559734491926</v>
          </cell>
          <cell r="T44">
            <v>0.92334516248836807</v>
          </cell>
          <cell r="U44">
            <v>0.95737002770730018</v>
          </cell>
          <cell r="V44">
            <v>0.97821608704807483</v>
          </cell>
          <cell r="W44">
            <v>0.98821608704807484</v>
          </cell>
          <cell r="X44">
            <v>0</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cell r="X45">
            <v>0</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cell r="X46">
            <v>0</v>
          </cell>
        </row>
        <row r="47">
          <cell r="A47" t="str">
            <v>HVAC</v>
          </cell>
          <cell r="B47" t="str">
            <v>Demand Control Ventilation-Retro</v>
          </cell>
          <cell r="C47" t="str">
            <v>RetroEven20</v>
          </cell>
          <cell r="D47">
            <v>0.05</v>
          </cell>
          <cell r="E47">
            <v>0.05</v>
          </cell>
          <cell r="F47">
            <v>0.05</v>
          </cell>
          <cell r="G47">
            <v>0.05</v>
          </cell>
          <cell r="H47">
            <v>0.05</v>
          </cell>
          <cell r="I47">
            <v>0.05</v>
          </cell>
          <cell r="J47">
            <v>0.05</v>
          </cell>
          <cell r="K47">
            <v>0.05</v>
          </cell>
          <cell r="L47">
            <v>0.05</v>
          </cell>
          <cell r="M47">
            <v>0.05</v>
          </cell>
          <cell r="N47">
            <v>0.05</v>
          </cell>
          <cell r="O47">
            <v>0.05</v>
          </cell>
          <cell r="P47">
            <v>0.05</v>
          </cell>
          <cell r="Q47">
            <v>0.05</v>
          </cell>
          <cell r="R47">
            <v>0.05</v>
          </cell>
          <cell r="S47">
            <v>0.05</v>
          </cell>
          <cell r="T47">
            <v>0.05</v>
          </cell>
          <cell r="U47">
            <v>0.05</v>
          </cell>
          <cell r="V47">
            <v>0.05</v>
          </cell>
          <cell r="W47">
            <v>0.05</v>
          </cell>
          <cell r="X47">
            <v>0</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cell r="X48">
            <v>0</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cell r="X49">
            <v>0</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cell r="X50">
            <v>0</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cell r="X51">
            <v>0</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cell r="X52">
            <v>0</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cell r="X53">
            <v>0</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cell r="X54">
            <v>0</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cell r="X55">
            <v>0</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cell r="X56">
            <v>0</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cell r="X57">
            <v>0</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cell r="X58">
            <v>0</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cell r="X59">
            <v>0</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cell r="X60">
            <v>0</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cell r="X61">
            <v>0</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cell r="X62">
            <v>0</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cell r="X63">
            <v>0</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cell r="X64">
            <v>0</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cell r="X65">
            <v>0</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cell r="X66">
            <v>0</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cell r="X67">
            <v>0</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cell r="X68">
            <v>0</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cell r="X69">
            <v>0</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cell r="X70">
            <v>0</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cell r="X71">
            <v>0</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cell r="X72">
            <v>0</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cell r="X73">
            <v>0</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cell r="X74">
            <v>0</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cell r="X75">
            <v>0</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cell r="X76">
            <v>0</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cell r="X77">
            <v>0</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cell r="X78">
            <v>0</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cell r="X79">
            <v>0</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cell r="X80">
            <v>0</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cell r="X81">
            <v>0</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cell r="X82">
            <v>0</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cell r="X83">
            <v>0</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cell r="X84">
            <v>0</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cell r="X85">
            <v>0</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cell r="X86">
            <v>0</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cell r="X87">
            <v>0</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cell r="X88">
            <v>0</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cell r="X89">
            <v>0</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cell r="X90">
            <v>0</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cell r="X91">
            <v>0</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cell r="X92">
            <v>0</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cell r="X93">
            <v>0</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cell r="X94">
            <v>0</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cell r="X95">
            <v>0</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cell r="X96">
            <v>0</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cell r="X97">
            <v>0</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cell r="X98">
            <v>0</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cell r="X99">
            <v>0</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cell r="X100">
            <v>0</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cell r="X101">
            <v>0</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v>0</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v>0</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cell r="X104">
            <v>0</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v>0</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v>0</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v>0</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v>0</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cell r="X109">
            <v>0</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v>0</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v>0</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v>0</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v>0</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v>0</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v>0</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v>0</v>
          </cell>
        </row>
      </sheetData>
      <sheetData sheetId="8">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row>
        <row r="13">
          <cell r="B13" t="str">
            <v>Compressed Air-NR</v>
          </cell>
        </row>
        <row r="14">
          <cell r="B14" t="str">
            <v>Network PC Power Management-Retro</v>
          </cell>
        </row>
        <row r="15">
          <cell r="B15" t="str">
            <v>Laptop-NR</v>
          </cell>
        </row>
        <row r="16">
          <cell r="B16" t="str">
            <v>Smart Plug Power Strips-Retro</v>
          </cell>
        </row>
        <row r="17">
          <cell r="B17" t="str">
            <v>Data Centers-NR</v>
          </cell>
        </row>
        <row r="18">
          <cell r="B18" t="str">
            <v>Monitor-NR</v>
          </cell>
        </row>
        <row r="19">
          <cell r="B19" t="str">
            <v>Desktop-NR</v>
          </cell>
        </row>
        <row r="20">
          <cell r="B20" t="str">
            <v>Pre-Rinse Spray Valve-Retro</v>
          </cell>
        </row>
        <row r="21">
          <cell r="B21" t="str">
            <v>Cooking Equipment-NR</v>
          </cell>
        </row>
        <row r="22">
          <cell r="B22" t="str">
            <v>Premium HVAC Equipment-New</v>
          </cell>
        </row>
        <row r="23">
          <cell r="B23" t="str">
            <v>Premium HVAC Equipment-NR</v>
          </cell>
        </row>
        <row r="24">
          <cell r="B24" t="str">
            <v>Glass-New</v>
          </cell>
        </row>
        <row r="25">
          <cell r="B25" t="str">
            <v>Glass-NR</v>
          </cell>
        </row>
        <row r="26">
          <cell r="B26" t="str">
            <v>Glass-Retro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Low Pressure Distribution Complex HVAC-New</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row>
        <row r="79">
          <cell r="B79" t="str">
            <v>Municipal Water Supply-Retro</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cell r="C93">
            <v>0.95</v>
          </cell>
          <cell r="D93">
            <v>0.19999999999999996</v>
          </cell>
          <cell r="E93">
            <v>0.19999999999999996</v>
          </cell>
          <cell r="F93">
            <v>0.75</v>
          </cell>
          <cell r="G93">
            <v>0.75</v>
          </cell>
          <cell r="H93">
            <v>0.75</v>
          </cell>
          <cell r="I93">
            <v>0.75</v>
          </cell>
          <cell r="J93">
            <v>0.19999999999999996</v>
          </cell>
          <cell r="K93">
            <v>0.19999999999999996</v>
          </cell>
          <cell r="L93">
            <v>0.99</v>
          </cell>
          <cell r="M93">
            <v>0.95</v>
          </cell>
          <cell r="N93">
            <v>0.95</v>
          </cell>
          <cell r="O93">
            <v>0.75</v>
          </cell>
          <cell r="P93">
            <v>0.30000000000000004</v>
          </cell>
          <cell r="Q93">
            <v>0.95</v>
          </cell>
          <cell r="R93">
            <v>0.19999999999999996</v>
          </cell>
          <cell r="S93">
            <v>0.75</v>
          </cell>
          <cell r="T93">
            <v>0.19999999999999996</v>
          </cell>
        </row>
        <row r="94">
          <cell r="B94" t="str">
            <v>Low Power LF Lamps-NR</v>
          </cell>
        </row>
      </sheetData>
      <sheetData sheetId="9">
        <row r="11">
          <cell r="B11" t="str">
            <v>LO12Med</v>
          </cell>
          <cell r="C11">
            <v>0.10937459468255628</v>
          </cell>
          <cell r="D11">
            <v>0.21874918936511256</v>
          </cell>
          <cell r="E11">
            <v>0.32812378404766884</v>
          </cell>
          <cell r="F11">
            <v>0.43749837873022512</v>
          </cell>
          <cell r="G11">
            <v>0.5468729734127814</v>
          </cell>
          <cell r="H11">
            <v>0.64531010862708205</v>
          </cell>
          <cell r="I11">
            <v>0.7240598167985226</v>
          </cell>
          <cell r="J11">
            <v>0.78705958333567505</v>
          </cell>
          <cell r="K11">
            <v>0.83745939656539703</v>
          </cell>
          <cell r="L11">
            <v>0.87777924714917455</v>
          </cell>
          <cell r="M11">
            <v>0.91003512761619654</v>
          </cell>
          <cell r="N11">
            <v>0.93583983198981413</v>
          </cell>
          <cell r="O11">
            <v>0.9564835954887082</v>
          </cell>
          <cell r="P11">
            <v>0.97299860628782353</v>
          </cell>
          <cell r="Q11">
            <v>0.9862106149271157</v>
          </cell>
          <cell r="R11">
            <v>0.99678022183854953</v>
          </cell>
          <cell r="S11">
            <v>0.99685231466234414</v>
          </cell>
          <cell r="T11">
            <v>0.99687806209941365</v>
          </cell>
          <cell r="U11">
            <v>0.99688683963477831</v>
          </cell>
        </row>
        <row r="12">
          <cell r="B12" t="str">
            <v>LO5Med</v>
          </cell>
          <cell r="C12">
            <v>4.2999999999999997E-2</v>
          </cell>
          <cell r="D12">
            <v>9.5797142280278316E-2</v>
          </cell>
          <cell r="E12">
            <v>0.16040539374775648</v>
          </cell>
          <cell r="F12">
            <v>0.23540539374775649</v>
          </cell>
          <cell r="G12">
            <v>0.32095239121809005</v>
          </cell>
          <cell r="H12">
            <v>0.42096711425629652</v>
          </cell>
          <cell r="I12">
            <v>0.53068481860864725</v>
          </cell>
          <cell r="J12">
            <v>0.642769203728351</v>
          </cell>
          <cell r="K12">
            <v>0.74839528535557953</v>
          </cell>
          <cell r="L12">
            <v>0.83918984935345187</v>
          </cell>
          <cell r="M12">
            <v>0.90945051634530116</v>
          </cell>
          <cell r="N12">
            <v>0.9576688767502457</v>
          </cell>
          <cell r="O12">
            <v>0.9865231113648858</v>
          </cell>
          <cell r="P12">
            <v>1.0012970762896924</v>
          </cell>
          <cell r="Q12">
            <v>1.0076356106578106</v>
          </cell>
          <cell r="R12">
            <v>1.0098624683774413</v>
          </cell>
          <cell r="S12">
            <v>1.0104871783970797</v>
          </cell>
          <cell r="T12">
            <v>1.010623336815976</v>
          </cell>
          <cell r="U12">
            <v>1.0106457174525985</v>
          </cell>
          <cell r="V12">
            <v>1.0106484038909742</v>
          </cell>
        </row>
        <row r="13">
          <cell r="B13" t="str">
            <v>LO1Slow</v>
          </cell>
          <cell r="C13">
            <v>2.5643970768378654E-3</v>
          </cell>
          <cell r="D13">
            <v>7.6904586297764643E-3</v>
          </cell>
          <cell r="E13">
            <v>1.6792013047419844E-2</v>
          </cell>
          <cell r="F13">
            <v>3.15969387774655E-2</v>
          </cell>
          <cell r="G13">
            <v>5.406874819795171E-2</v>
          </cell>
          <cell r="H13">
            <v>8.6253181011834101E-2</v>
          </cell>
          <cell r="I13">
            <v>0.1300328481838382</v>
          </cell>
          <cell r="J13">
            <v>0.18678710893858319</v>
          </cell>
          <cell r="K13">
            <v>0.2569823480072907</v>
          </cell>
          <cell r="L13">
            <v>0.33975920985004748</v>
          </cell>
          <cell r="M13">
            <v>0.43262946935754232</v>
          </cell>
          <cell r="N13">
            <v>0.53142594003645804</v>
          </cell>
          <cell r="O13">
            <v>0.63063487292644704</v>
          </cell>
          <cell r="P13">
            <v>0.7241560234206913</v>
          </cell>
          <cell r="Q13">
            <v>0.80638203131755359</v>
          </cell>
          <cell r="R13">
            <v>0.87331559734491926</v>
          </cell>
          <cell r="S13">
            <v>0.92334516248836807</v>
          </cell>
          <cell r="T13">
            <v>0.95737002770730018</v>
          </cell>
          <cell r="U13">
            <v>0.97821608704807483</v>
          </cell>
          <cell r="V13">
            <v>0.98821608704807484</v>
          </cell>
        </row>
        <row r="14">
          <cell r="B14" t="str">
            <v>LO50Fast</v>
          </cell>
          <cell r="C14">
            <v>0.45</v>
          </cell>
          <cell r="D14">
            <v>0.66</v>
          </cell>
          <cell r="E14">
            <v>0.8</v>
          </cell>
          <cell r="F14">
            <v>0.89</v>
          </cell>
          <cell r="G14">
            <v>0.94954036260972652</v>
          </cell>
          <cell r="H14">
            <v>0.97931054391458994</v>
          </cell>
          <cell r="I14">
            <v>0.99254173560564019</v>
          </cell>
          <cell r="J14">
            <v>0.99783421228206048</v>
          </cell>
          <cell r="K14">
            <v>0.99975874925530417</v>
          </cell>
          <cell r="L14">
            <v>1.0004002615797187</v>
          </cell>
          <cell r="M14">
            <v>1.0005976499872309</v>
          </cell>
          <cell r="N14">
            <v>1.0006540466750915</v>
          </cell>
          <cell r="O14">
            <v>1.0006690857918545</v>
          </cell>
          <cell r="P14">
            <v>1.000672845571045</v>
          </cell>
          <cell r="Q14">
            <v>1.0006737302249724</v>
          </cell>
          <cell r="R14">
            <v>1.0006739268147338</v>
          </cell>
          <cell r="S14">
            <v>1.0006739682020522</v>
          </cell>
          <cell r="T14">
            <v>1.0006739764795158</v>
          </cell>
          <cell r="U14">
            <v>1.0006739780561755</v>
          </cell>
          <cell r="V14">
            <v>1.0006739783428409</v>
          </cell>
        </row>
        <row r="15">
          <cell r="B15" t="str">
            <v>LO20Fast</v>
          </cell>
          <cell r="C15">
            <v>0.22119921692859512</v>
          </cell>
          <cell r="D15">
            <v>0.37624232795148943</v>
          </cell>
          <cell r="E15">
            <v>0.48357361352878442</v>
          </cell>
          <cell r="F15">
            <v>0.56716330278444227</v>
          </cell>
          <cell r="G15">
            <v>0.64040048266456928</v>
          </cell>
          <cell r="H15">
            <v>0.70377511937632964</v>
          </cell>
          <cell r="I15">
            <v>0.7580669577441127</v>
          </cell>
          <cell r="J15">
            <v>0.80419335000071168</v>
          </cell>
          <cell r="K15">
            <v>0.84311022627788457</v>
          </cell>
          <cell r="L15">
            <v>0.87575014259103623</v>
          </cell>
          <cell r="M15">
            <v>0.90298584871682319</v>
          </cell>
          <cell r="N15">
            <v>0.92419703797508856</v>
          </cell>
          <cell r="O15">
            <v>0.94071632877930145</v>
          </cell>
          <cell r="P15">
            <v>0.95358156539340677</v>
          </cell>
          <cell r="Q15">
            <v>0.96360102174287088</v>
          </cell>
          <cell r="R15">
            <v>0.97140418219378311</v>
          </cell>
          <cell r="S15">
            <v>0.97748128966338554</v>
          </cell>
          <cell r="T15">
            <v>0.98221414571952104</v>
          </cell>
          <cell r="U15">
            <v>0.98590009772220355</v>
          </cell>
          <cell r="V15">
            <v>0.98877072002825628</v>
          </cell>
        </row>
        <row r="16">
          <cell r="B16" t="str">
            <v>LOEven20</v>
          </cell>
          <cell r="C16">
            <v>0.05</v>
          </cell>
          <cell r="D16">
            <v>0.1</v>
          </cell>
          <cell r="E16">
            <v>0.15000000000000002</v>
          </cell>
          <cell r="F16">
            <v>0.2</v>
          </cell>
          <cell r="G16">
            <v>0.25</v>
          </cell>
          <cell r="H16">
            <v>0.3</v>
          </cell>
          <cell r="I16">
            <v>0.35</v>
          </cell>
          <cell r="J16">
            <v>0.39999999999999997</v>
          </cell>
          <cell r="K16">
            <v>0.44999999999999996</v>
          </cell>
          <cell r="L16">
            <v>0.49999999999999994</v>
          </cell>
          <cell r="M16">
            <v>0.54999999999999993</v>
          </cell>
          <cell r="N16">
            <v>0.6</v>
          </cell>
          <cell r="O16">
            <v>0.65</v>
          </cell>
          <cell r="P16">
            <v>0.70000000000000007</v>
          </cell>
          <cell r="Q16">
            <v>0.75000000000000011</v>
          </cell>
          <cell r="R16">
            <v>0.80000000000000016</v>
          </cell>
          <cell r="S16">
            <v>0.8500000000000002</v>
          </cell>
          <cell r="T16">
            <v>0.90000000000000024</v>
          </cell>
          <cell r="U16">
            <v>0.95000000000000029</v>
          </cell>
          <cell r="V16">
            <v>1.0000000000000002</v>
          </cell>
        </row>
        <row r="17">
          <cell r="B17" t="str">
            <v>LOMax60</v>
          </cell>
          <cell r="C17">
            <v>0.01</v>
          </cell>
          <cell r="D17">
            <v>2.98E-2</v>
          </cell>
          <cell r="E17">
            <v>5.8906E-2</v>
          </cell>
          <cell r="F17">
            <v>9.6549759999999998E-2</v>
          </cell>
          <cell r="G17">
            <v>0.14172227199999998</v>
          </cell>
          <cell r="H17">
            <v>0.19035800991999999</v>
          </cell>
          <cell r="I17">
            <v>0.2362377226912</v>
          </cell>
          <cell r="J17">
            <v>0.279517585072032</v>
          </cell>
          <cell r="K17">
            <v>0.32034492191795017</v>
          </cell>
          <cell r="L17">
            <v>0.35885870967593297</v>
          </cell>
          <cell r="M17">
            <v>0.39519004946096342</v>
          </cell>
          <cell r="N17">
            <v>0.42946261332484215</v>
          </cell>
          <cell r="O17">
            <v>0.46179306523643443</v>
          </cell>
          <cell r="P17">
            <v>0.49229145820636983</v>
          </cell>
          <cell r="Q17">
            <v>0.5210616089080089</v>
          </cell>
          <cell r="R17">
            <v>0.54820145106988838</v>
          </cell>
          <cell r="S17">
            <v>0.57380336884259475</v>
          </cell>
          <cell r="T17">
            <v>0.59795451127484767</v>
          </cell>
          <cell r="U17">
            <v>0.62073708896927293</v>
          </cell>
          <cell r="V17">
            <v>0.6422286539276808</v>
          </cell>
        </row>
        <row r="18">
          <cell r="B18" t="str">
            <v>LO3Slow</v>
          </cell>
          <cell r="C18">
            <v>5.5320496977002724E-3</v>
          </cell>
          <cell r="D18">
            <v>1.4227918344261844E-2</v>
          </cell>
          <cell r="E18">
            <v>3.1619655637384989E-2</v>
          </cell>
          <cell r="F18">
            <v>6.2055195900350503E-2</v>
          </cell>
          <cell r="G18">
            <v>0.10939936964274129</v>
          </cell>
          <cell r="H18">
            <v>0.17568121288208835</v>
          </cell>
          <cell r="I18">
            <v>0.26003992245943919</v>
          </cell>
          <cell r="J18">
            <v>0.3584584169663485</v>
          </cell>
          <cell r="K18">
            <v>0.46444756489686617</v>
          </cell>
          <cell r="L18">
            <v>0.57043671282738384</v>
          </cell>
          <cell r="M18">
            <v>0.66935991756253377</v>
          </cell>
          <cell r="N18">
            <v>0.75591772170578986</v>
          </cell>
          <cell r="O18">
            <v>0.82720061923553012</v>
          </cell>
          <cell r="P18">
            <v>0.88264287286977261</v>
          </cell>
          <cell r="Q18">
            <v>0.92349505975816193</v>
          </cell>
          <cell r="R18">
            <v>0.95209159058003434</v>
          </cell>
          <cell r="S18">
            <v>0.97115594446128262</v>
          </cell>
          <cell r="T18">
            <v>0.98328780602207699</v>
          </cell>
          <cell r="U18">
            <v>0.99067241740690848</v>
          </cell>
          <cell r="V18">
            <v>0.99498010738139331</v>
          </cell>
        </row>
      </sheetData>
      <sheetData sheetId="10">
        <row r="11">
          <cell r="B11" t="str">
            <v>Compressed Air-NR</v>
          </cell>
          <cell r="C11" t="str">
            <v>LPD baseline to minimum of code or 1995-2001 practice.</v>
          </cell>
        </row>
        <row r="12">
          <cell r="B12" t="str">
            <v>Network PC Power Management-Retro</v>
          </cell>
          <cell r="C12" t="str">
            <v>LPD baseline to minimum of code or 1995-2001 practice</v>
          </cell>
          <cell r="F12" t="str">
            <v>OR FloorA%REG</v>
          </cell>
          <cell r="G12">
            <v>0.22</v>
          </cell>
          <cell r="H12">
            <v>0.22</v>
          </cell>
          <cell r="I12">
            <v>0.22</v>
          </cell>
          <cell r="J12">
            <v>0.33</v>
          </cell>
          <cell r="K12">
            <v>0.33</v>
          </cell>
          <cell r="L12">
            <v>0.33</v>
          </cell>
          <cell r="M12">
            <v>0.33</v>
          </cell>
          <cell r="N12">
            <v>0.15</v>
          </cell>
          <cell r="O12">
            <v>0.15</v>
          </cell>
          <cell r="P12">
            <v>0.42</v>
          </cell>
          <cell r="Q12">
            <v>0.17</v>
          </cell>
          <cell r="R12">
            <v>0.17</v>
          </cell>
          <cell r="S12">
            <v>0.35</v>
          </cell>
          <cell r="T12">
            <v>0.38</v>
          </cell>
          <cell r="U12">
            <v>0.25</v>
          </cell>
          <cell r="V12">
            <v>0.24</v>
          </cell>
          <cell r="W12">
            <v>0.24</v>
          </cell>
          <cell r="X12">
            <v>0.21</v>
          </cell>
        </row>
        <row r="13">
          <cell r="B13" t="str">
            <v>Laptop-NR</v>
          </cell>
          <cell r="C13" t="str">
            <v>Assume code ballasts in baseline retrofit</v>
          </cell>
          <cell r="F13" t="str">
            <v>Frac Floor w &gt;30% ww ratio</v>
          </cell>
          <cell r="G13">
            <v>0.5</v>
          </cell>
          <cell r="H13">
            <v>0.5</v>
          </cell>
          <cell r="I13">
            <v>0.5</v>
          </cell>
          <cell r="J13">
            <v>0</v>
          </cell>
          <cell r="K13">
            <v>0</v>
          </cell>
          <cell r="L13">
            <v>0.5</v>
          </cell>
          <cell r="M13">
            <v>0</v>
          </cell>
          <cell r="N13">
            <v>0.4</v>
          </cell>
          <cell r="O13">
            <v>0.4</v>
          </cell>
          <cell r="P13">
            <v>0</v>
          </cell>
          <cell r="Q13">
            <v>0.05</v>
          </cell>
          <cell r="R13">
            <v>0</v>
          </cell>
          <cell r="S13">
            <v>0.5</v>
          </cell>
          <cell r="T13">
            <v>0.5</v>
          </cell>
          <cell r="U13">
            <v>0.5</v>
          </cell>
          <cell r="V13">
            <v>0.5</v>
          </cell>
          <cell r="W13">
            <v>0.5</v>
          </cell>
          <cell r="X13">
            <v>0.2</v>
          </cell>
        </row>
        <row r="14">
          <cell r="B14" t="str">
            <v>Smart Plug Power Strips-Retro</v>
          </cell>
          <cell r="F14" t="str">
            <v>OR FloorA Exceed Code</v>
          </cell>
          <cell r="G14">
            <v>0.11</v>
          </cell>
          <cell r="H14">
            <v>0.11</v>
          </cell>
          <cell r="I14">
            <v>0.11</v>
          </cell>
          <cell r="J14">
            <v>0.33</v>
          </cell>
          <cell r="K14">
            <v>0.33</v>
          </cell>
          <cell r="L14">
            <v>0.16500000000000001</v>
          </cell>
          <cell r="M14">
            <v>0.33</v>
          </cell>
          <cell r="N14">
            <v>0.09</v>
          </cell>
          <cell r="O14">
            <v>0.09</v>
          </cell>
          <cell r="P14">
            <v>0.42</v>
          </cell>
          <cell r="Q14">
            <v>0.1615</v>
          </cell>
          <cell r="R14">
            <v>0.17</v>
          </cell>
          <cell r="S14">
            <v>0.17499999999999999</v>
          </cell>
          <cell r="T14">
            <v>0.19</v>
          </cell>
          <cell r="U14">
            <v>0.125</v>
          </cell>
          <cell r="V14">
            <v>0.12</v>
          </cell>
          <cell r="W14">
            <v>0.12</v>
          </cell>
          <cell r="X14">
            <v>0.16800000000000001</v>
          </cell>
        </row>
        <row r="15">
          <cell r="B15" t="e">
            <v>#REF!</v>
          </cell>
          <cell r="C15" t="str">
            <v>Account for smoke hatch in baseline</v>
          </cell>
        </row>
        <row r="16">
          <cell r="B16" t="e">
            <v>#REF!</v>
          </cell>
          <cell r="F16" t="str">
            <v>WA FloorA%REG</v>
          </cell>
          <cell r="G16">
            <v>0.72</v>
          </cell>
          <cell r="H16">
            <v>0.72</v>
          </cell>
          <cell r="I16">
            <v>0.72</v>
          </cell>
          <cell r="J16">
            <v>0.61</v>
          </cell>
          <cell r="K16">
            <v>0.61</v>
          </cell>
          <cell r="L16">
            <v>0.61</v>
          </cell>
          <cell r="M16">
            <v>0.61</v>
          </cell>
          <cell r="N16">
            <v>0.68</v>
          </cell>
          <cell r="O16">
            <v>0.68</v>
          </cell>
          <cell r="P16">
            <v>0.49</v>
          </cell>
          <cell r="Q16">
            <v>0.62</v>
          </cell>
          <cell r="R16">
            <v>0.62</v>
          </cell>
          <cell r="S16">
            <v>0.56000000000000005</v>
          </cell>
          <cell r="T16">
            <v>0.49</v>
          </cell>
          <cell r="U16">
            <v>0.56000000000000005</v>
          </cell>
          <cell r="V16">
            <v>0.59</v>
          </cell>
          <cell r="W16">
            <v>0.6</v>
          </cell>
          <cell r="X16">
            <v>0.67</v>
          </cell>
        </row>
        <row r="17">
          <cell r="B17" t="str">
            <v>Data Centers-NR</v>
          </cell>
          <cell r="C17" t="str">
            <v>Only fraction beyond switching in code baseline OR</v>
          </cell>
          <cell r="F17" t="str">
            <v>Fraction with ElecHt</v>
          </cell>
          <cell r="G17">
            <v>9.379008321141083E-2</v>
          </cell>
          <cell r="H17">
            <v>5.7141018201974592E-2</v>
          </cell>
          <cell r="I17">
            <v>6.3540893141458221E-2</v>
          </cell>
          <cell r="J17">
            <v>0.52114684573848291</v>
          </cell>
          <cell r="K17">
            <v>0.64094486042254439</v>
          </cell>
          <cell r="L17">
            <v>0.56159710090996928</v>
          </cell>
          <cell r="M17">
            <v>0.19952525247533903</v>
          </cell>
          <cell r="N17">
            <v>0.22286467137317267</v>
          </cell>
          <cell r="O17">
            <v>0.15885643507420852</v>
          </cell>
          <cell r="P17">
            <v>0.52114684573848291</v>
          </cell>
          <cell r="Q17">
            <v>1.5377816133020691E-2</v>
          </cell>
          <cell r="R17">
            <v>0</v>
          </cell>
          <cell r="S17">
            <v>5.5212362541074519E-2</v>
          </cell>
          <cell r="T17">
            <v>0.34342063041492848</v>
          </cell>
          <cell r="U17">
            <v>0.10311447532768504</v>
          </cell>
          <cell r="V17">
            <v>5.6083613809662864E-3</v>
          </cell>
          <cell r="W17">
            <v>5.6083613809662864E-3</v>
          </cell>
          <cell r="X17">
            <v>0.24031041917780901</v>
          </cell>
        </row>
        <row r="18">
          <cell r="B18" t="str">
            <v>Monitor-NR</v>
          </cell>
          <cell r="C18" t="str">
            <v>Only fraction beyond switching in code baseline OR</v>
          </cell>
          <cell r="F18" t="str">
            <v>Frac Meet Elec Ht Code</v>
          </cell>
          <cell r="G18">
            <v>0.5</v>
          </cell>
          <cell r="H18">
            <v>0.5</v>
          </cell>
          <cell r="I18">
            <v>0.5</v>
          </cell>
          <cell r="J18">
            <v>0.9</v>
          </cell>
          <cell r="K18">
            <v>0.9</v>
          </cell>
          <cell r="L18">
            <v>0.9</v>
          </cell>
          <cell r="M18">
            <v>0.5</v>
          </cell>
          <cell r="N18">
            <v>0.5</v>
          </cell>
          <cell r="O18">
            <v>0.5</v>
          </cell>
          <cell r="P18">
            <v>0.9</v>
          </cell>
          <cell r="Q18">
            <v>0.9</v>
          </cell>
          <cell r="R18">
            <v>0.9</v>
          </cell>
          <cell r="S18">
            <v>0.9</v>
          </cell>
          <cell r="T18">
            <v>0.9</v>
          </cell>
          <cell r="U18">
            <v>0.5</v>
          </cell>
          <cell r="V18">
            <v>0.5</v>
          </cell>
          <cell r="W18">
            <v>0.5</v>
          </cell>
          <cell r="X18">
            <v>0.9</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Premium HVAC Equipment-New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Premium HVAC Equipment-NR</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Glass-Retro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Low Pressure Distribution Complex HVAC-New</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row>
        <row r="14">
          <cell r="B14" t="str">
            <v>POST2013</v>
          </cell>
          <cell r="C14" t="str">
            <v>Office</v>
          </cell>
          <cell r="D14">
            <v>0</v>
          </cell>
          <cell r="E14">
            <v>0</v>
          </cell>
          <cell r="F14" t="str">
            <v>Retail</v>
          </cell>
          <cell r="G14">
            <v>0</v>
          </cell>
          <cell r="H14">
            <v>0</v>
          </cell>
          <cell r="I14">
            <v>0</v>
          </cell>
          <cell r="J14" t="str">
            <v>School</v>
          </cell>
          <cell r="K14">
            <v>0</v>
          </cell>
          <cell r="L14" t="str">
            <v>Warehouse</v>
          </cell>
          <cell r="M14" t="str">
            <v>Grocery</v>
          </cell>
          <cell r="N14">
            <v>0</v>
          </cell>
          <cell r="O14" t="str">
            <v>Restaurant</v>
          </cell>
          <cell r="P14" t="str">
            <v>Lodging</v>
          </cell>
          <cell r="Q14" t="str">
            <v>Health</v>
          </cell>
          <cell r="R14">
            <v>0</v>
          </cell>
          <cell r="S14" t="str">
            <v>Assembly</v>
          </cell>
          <cell r="T14" t="str">
            <v>Other</v>
          </cell>
        </row>
        <row r="15">
          <cell r="B15" t="str">
            <v>FloorA%ACT</v>
          </cell>
          <cell r="C15">
            <v>0.23374291413554329</v>
          </cell>
          <cell r="D15">
            <v>0</v>
          </cell>
          <cell r="E15">
            <v>0</v>
          </cell>
          <cell r="F15">
            <v>0.16379453573805774</v>
          </cell>
          <cell r="G15">
            <v>0</v>
          </cell>
          <cell r="H15">
            <v>0</v>
          </cell>
          <cell r="I15">
            <v>0</v>
          </cell>
          <cell r="J15">
            <v>8.8639553331737689E-2</v>
          </cell>
          <cell r="K15">
            <v>0</v>
          </cell>
          <cell r="L15">
            <v>9.6266945662747766E-2</v>
          </cell>
          <cell r="M15">
            <v>2.0434554153352484E-2</v>
          </cell>
          <cell r="N15">
            <v>0</v>
          </cell>
          <cell r="O15">
            <v>1.255060122823257E-2</v>
          </cell>
          <cell r="P15">
            <v>5.5794347273117245E-2</v>
          </cell>
          <cell r="Q15">
            <v>7.398534349162611E-2</v>
          </cell>
          <cell r="R15">
            <v>0</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D23">
            <v>0</v>
          </cell>
          <cell r="E23">
            <v>0</v>
          </cell>
          <cell r="F23">
            <v>0.86075287434919978</v>
          </cell>
          <cell r="G23">
            <v>0</v>
          </cell>
          <cell r="H23">
            <v>0</v>
          </cell>
          <cell r="I23">
            <v>0</v>
          </cell>
          <cell r="J23">
            <v>0.87263881668019661</v>
          </cell>
          <cell r="K23">
            <v>0</v>
          </cell>
          <cell r="L23">
            <v>0.18162271351024481</v>
          </cell>
          <cell r="M23">
            <v>0.897277257424139</v>
          </cell>
          <cell r="N23">
            <v>0</v>
          </cell>
          <cell r="O23">
            <v>0.99999997512427186</v>
          </cell>
          <cell r="P23">
            <v>0.94438859080377269</v>
          </cell>
          <cell r="Q23">
            <v>0.89616933002437993</v>
          </cell>
          <cell r="R23">
            <v>0</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D25">
            <v>0</v>
          </cell>
          <cell r="E25">
            <v>0</v>
          </cell>
          <cell r="F25">
            <v>0.78455381811533043</v>
          </cell>
          <cell r="G25">
            <v>0</v>
          </cell>
          <cell r="H25">
            <v>0</v>
          </cell>
          <cell r="I25">
            <v>0</v>
          </cell>
          <cell r="J25">
            <v>0.36953195539995587</v>
          </cell>
          <cell r="K25">
            <v>0</v>
          </cell>
          <cell r="L25">
            <v>0.35</v>
          </cell>
          <cell r="M25">
            <v>0.90000000000000013</v>
          </cell>
          <cell r="N25">
            <v>0</v>
          </cell>
          <cell r="O25">
            <v>0.95</v>
          </cell>
          <cell r="P25">
            <v>0.5</v>
          </cell>
          <cell r="Q25">
            <v>0.45832204515370584</v>
          </cell>
          <cell r="R25">
            <v>0</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D27">
            <v>0</v>
          </cell>
          <cell r="E27">
            <v>0</v>
          </cell>
          <cell r="F27">
            <v>6.2181060258327321E-2</v>
          </cell>
          <cell r="G27">
            <v>0</v>
          </cell>
          <cell r="H27">
            <v>0</v>
          </cell>
          <cell r="I27">
            <v>0</v>
          </cell>
          <cell r="J27">
            <v>0.75664862673331257</v>
          </cell>
          <cell r="K27">
            <v>0</v>
          </cell>
          <cell r="L27">
            <v>0.10310000000000001</v>
          </cell>
          <cell r="M27">
            <v>0.11560000000000001</v>
          </cell>
          <cell r="N27">
            <v>0</v>
          </cell>
          <cell r="O27">
            <v>0.11560000000000001</v>
          </cell>
          <cell r="P27">
            <v>0.32380000000000003</v>
          </cell>
          <cell r="Q27">
            <v>0.83345440239005475</v>
          </cell>
          <cell r="R27">
            <v>0</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D29">
            <v>0</v>
          </cell>
          <cell r="E29">
            <v>0</v>
          </cell>
          <cell r="F29">
            <v>2.3808219851502894E-3</v>
          </cell>
          <cell r="G29">
            <v>0</v>
          </cell>
          <cell r="H29">
            <v>0</v>
          </cell>
          <cell r="I29">
            <v>0</v>
          </cell>
          <cell r="J29">
            <v>0.30214896654996692</v>
          </cell>
          <cell r="K29">
            <v>0</v>
          </cell>
          <cell r="L29">
            <v>0</v>
          </cell>
          <cell r="M29">
            <v>0</v>
          </cell>
          <cell r="N29">
            <v>0</v>
          </cell>
          <cell r="O29">
            <v>0</v>
          </cell>
          <cell r="P29">
            <v>0</v>
          </cell>
          <cell r="Q29">
            <v>0.42833559096925883</v>
          </cell>
          <cell r="R29">
            <v>0</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B61">
            <v>0</v>
          </cell>
          <cell r="C61" t="str">
            <v>Office</v>
          </cell>
          <cell r="D61" t="str">
            <v>Office</v>
          </cell>
          <cell r="E61" t="str">
            <v>Office</v>
          </cell>
          <cell r="F61" t="str">
            <v>Retail/Service</v>
          </cell>
          <cell r="G61" t="str">
            <v>Retail/Service</v>
          </cell>
          <cell r="H61" t="str">
            <v>Retail/Service</v>
          </cell>
          <cell r="I61" t="str">
            <v>Retail/Service</v>
          </cell>
          <cell r="J61">
            <v>0</v>
          </cell>
          <cell r="K61">
            <v>0</v>
          </cell>
          <cell r="L61">
            <v>0</v>
          </cell>
          <cell r="M61" t="str">
            <v>Grocery</v>
          </cell>
          <cell r="N61" t="str">
            <v>Grocery</v>
          </cell>
          <cell r="O61">
            <v>0</v>
          </cell>
          <cell r="P61">
            <v>0</v>
          </cell>
          <cell r="Q61">
            <v>0</v>
          </cell>
          <cell r="R61">
            <v>0</v>
          </cell>
          <cell r="S61">
            <v>0</v>
          </cell>
          <cell r="T61">
            <v>0</v>
          </cell>
          <cell r="Y61" t="str">
            <v>Average of msf.pnw.frac</v>
          </cell>
        </row>
        <row r="62">
          <cell r="B62" t="str">
            <v>_PRE2013</v>
          </cell>
          <cell r="C62" t="str">
            <v>Office</v>
          </cell>
          <cell r="D62">
            <v>0</v>
          </cell>
          <cell r="E62">
            <v>0</v>
          </cell>
          <cell r="F62" t="str">
            <v>Retail/Service</v>
          </cell>
          <cell r="G62">
            <v>0</v>
          </cell>
          <cell r="H62">
            <v>0</v>
          </cell>
          <cell r="I62">
            <v>0</v>
          </cell>
          <cell r="J62" t="str">
            <v>School</v>
          </cell>
          <cell r="K62">
            <v>0</v>
          </cell>
          <cell r="L62" t="str">
            <v>Warehouse</v>
          </cell>
          <cell r="M62" t="str">
            <v>Grocery</v>
          </cell>
          <cell r="N62">
            <v>0</v>
          </cell>
          <cell r="O62" t="str">
            <v>Restaurant</v>
          </cell>
          <cell r="P62" t="str">
            <v>Lodging</v>
          </cell>
          <cell r="Q62" t="str">
            <v>Health</v>
          </cell>
          <cell r="R62">
            <v>0</v>
          </cell>
          <cell r="S62" t="str">
            <v>Assembly</v>
          </cell>
          <cell r="T62" t="str">
            <v>Other</v>
          </cell>
          <cell r="Y62" t="str">
            <v>Row Labels</v>
          </cell>
        </row>
        <row r="63">
          <cell r="B63" t="str">
            <v>FloorA%ACT</v>
          </cell>
          <cell r="C63">
            <v>0.21925891959556321</v>
          </cell>
          <cell r="D63">
            <v>0</v>
          </cell>
          <cell r="E63">
            <v>0</v>
          </cell>
          <cell r="F63">
            <v>0.170463671983236</v>
          </cell>
          <cell r="G63">
            <v>0</v>
          </cell>
          <cell r="H63">
            <v>0</v>
          </cell>
          <cell r="I63">
            <v>0</v>
          </cell>
          <cell r="J63">
            <v>0.11027533939050128</v>
          </cell>
          <cell r="K63">
            <v>0</v>
          </cell>
          <cell r="L63">
            <v>0.13203580856943528</v>
          </cell>
          <cell r="M63">
            <v>2.3026138677721724E-2</v>
          </cell>
          <cell r="N63">
            <v>0</v>
          </cell>
          <cell r="O63">
            <v>1.5835296654172451E-2</v>
          </cell>
          <cell r="P63">
            <v>5.1068065124091046E-2</v>
          </cell>
          <cell r="Q63">
            <v>6.8347557000163706E-2</v>
          </cell>
          <cell r="R63">
            <v>0</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D71">
            <v>0</v>
          </cell>
          <cell r="E71">
            <v>0</v>
          </cell>
          <cell r="F71">
            <v>0.74176230846303148</v>
          </cell>
          <cell r="G71">
            <v>0</v>
          </cell>
          <cell r="H71">
            <v>0</v>
          </cell>
          <cell r="I71">
            <v>0</v>
          </cell>
          <cell r="J71">
            <v>0.7142495586900468</v>
          </cell>
          <cell r="K71">
            <v>0</v>
          </cell>
          <cell r="L71">
            <v>0.23</v>
          </cell>
          <cell r="M71">
            <v>0.8973671844904727</v>
          </cell>
          <cell r="N71">
            <v>0</v>
          </cell>
          <cell r="O71">
            <v>0.96</v>
          </cell>
          <cell r="P71">
            <v>0.88</v>
          </cell>
          <cell r="Q71">
            <v>0.88824220129049314</v>
          </cell>
          <cell r="R71">
            <v>0</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D73">
            <v>0</v>
          </cell>
          <cell r="E73">
            <v>0</v>
          </cell>
          <cell r="F73">
            <v>0.63256057960735712</v>
          </cell>
          <cell r="G73">
            <v>0</v>
          </cell>
          <cell r="H73">
            <v>0</v>
          </cell>
          <cell r="I73">
            <v>0</v>
          </cell>
          <cell r="J73">
            <v>0.33750430289294164</v>
          </cell>
          <cell r="K73">
            <v>0</v>
          </cell>
          <cell r="L73">
            <v>0.31046750131883327</v>
          </cell>
          <cell r="M73">
            <v>0.90000000000000013</v>
          </cell>
          <cell r="N73">
            <v>0</v>
          </cell>
          <cell r="O73">
            <v>0.76718515286285394</v>
          </cell>
          <cell r="P73">
            <v>0.41303161997673743</v>
          </cell>
          <cell r="Q73">
            <v>0.49902981576861571</v>
          </cell>
          <cell r="R73">
            <v>0</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D75">
            <v>0</v>
          </cell>
          <cell r="E75">
            <v>0</v>
          </cell>
          <cell r="F75">
            <v>5.0679867043271966E-2</v>
          </cell>
          <cell r="G75">
            <v>0</v>
          </cell>
          <cell r="H75">
            <v>0</v>
          </cell>
          <cell r="I75">
            <v>0</v>
          </cell>
          <cell r="J75">
            <v>0.45710103517657202</v>
          </cell>
          <cell r="K75">
            <v>0</v>
          </cell>
          <cell r="L75">
            <v>5.6541361272701172E-2</v>
          </cell>
          <cell r="M75">
            <v>8.7372210868686184E-2</v>
          </cell>
          <cell r="N75">
            <v>0</v>
          </cell>
          <cell r="O75">
            <v>5.746308592387158E-2</v>
          </cell>
          <cell r="P75">
            <v>0.3949582335084047</v>
          </cell>
          <cell r="Q75">
            <v>0.5613264299674231</v>
          </cell>
          <cell r="R75">
            <v>0</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D77">
            <v>0</v>
          </cell>
          <cell r="E77">
            <v>0</v>
          </cell>
          <cell r="F77">
            <v>0.01</v>
          </cell>
          <cell r="G77">
            <v>0</v>
          </cell>
          <cell r="H77">
            <v>0</v>
          </cell>
          <cell r="I77">
            <v>0</v>
          </cell>
          <cell r="J77">
            <v>0.11</v>
          </cell>
          <cell r="K77">
            <v>0</v>
          </cell>
          <cell r="L77">
            <v>0</v>
          </cell>
          <cell r="M77">
            <v>0</v>
          </cell>
          <cell r="N77">
            <v>0</v>
          </cell>
          <cell r="O77">
            <v>0</v>
          </cell>
          <cell r="P77">
            <v>0.04</v>
          </cell>
          <cell r="Q77">
            <v>0.21527670664708273</v>
          </cell>
          <cell r="R77">
            <v>0</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0.76153165389450173</v>
          </cell>
          <cell r="D89">
            <v>0.30073914524177386</v>
          </cell>
          <cell r="E89">
            <v>1.1359292164334371</v>
          </cell>
          <cell r="F89">
            <v>0.6263769264185407</v>
          </cell>
          <cell r="G89">
            <v>5.9822174868305114</v>
          </cell>
          <cell r="H89">
            <v>0.14273935163045462</v>
          </cell>
          <cell r="I89">
            <v>1.788329150005399</v>
          </cell>
          <cell r="J89">
            <v>0.87933859533450087</v>
          </cell>
          <cell r="K89">
            <v>0.87302047036538133</v>
          </cell>
          <cell r="L89">
            <v>0.54576541658209587</v>
          </cell>
          <cell r="M89">
            <v>0.76125181103107264</v>
          </cell>
          <cell r="N89">
            <v>1.2711829434238073</v>
          </cell>
          <cell r="O89">
            <v>0.77847937636462106</v>
          </cell>
          <cell r="P89">
            <v>0.79264014660550641</v>
          </cell>
          <cell r="Q89">
            <v>0.56873556010588189</v>
          </cell>
          <cell r="R89">
            <v>0.97419410677203033</v>
          </cell>
          <cell r="S89">
            <v>0.34099838347588574</v>
          </cell>
          <cell r="T89">
            <v>0.74814105584849844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sheetData>
      <sheetData sheetId="12">
        <row r="11">
          <cell r="B11" t="str">
            <v>Large Ret</v>
          </cell>
          <cell r="M11">
            <v>31.55076</v>
          </cell>
          <cell r="N11">
            <v>9.4201798094731004E-3</v>
          </cell>
        </row>
        <row r="12">
          <cell r="B12" t="str">
            <v>Medium Ret</v>
          </cell>
          <cell r="M12">
            <v>346.19952999999998</v>
          </cell>
          <cell r="N12">
            <v>0.10336555514209726</v>
          </cell>
          <cell r="V12" t="str">
            <v>Medium Ret</v>
          </cell>
          <cell r="W12">
            <v>346199530</v>
          </cell>
          <cell r="X12">
            <v>0.10336555514209725</v>
          </cell>
        </row>
        <row r="13">
          <cell r="B13" t="str">
            <v>Small Ret</v>
          </cell>
          <cell r="M13">
            <v>59.225870599999993</v>
          </cell>
          <cell r="N13">
            <v>1.7683198453051097E-2</v>
          </cell>
          <cell r="V13" t="str">
            <v>Small Ret</v>
          </cell>
          <cell r="W13">
            <v>59225870.599999994</v>
          </cell>
          <cell r="X13">
            <v>1.768319845305109E-2</v>
          </cell>
        </row>
        <row r="14">
          <cell r="B14" t="str">
            <v>School K-12</v>
          </cell>
          <cell r="M14">
            <v>245.35316429999997</v>
          </cell>
          <cell r="N14">
            <v>7.3255633922263544E-2</v>
          </cell>
          <cell r="V14" t="str">
            <v>School K-12</v>
          </cell>
          <cell r="W14">
            <v>245353164.29999998</v>
          </cell>
          <cell r="X14">
            <v>7.325563392226353E-2</v>
          </cell>
        </row>
        <row r="15">
          <cell r="B15" t="str">
            <v>University</v>
          </cell>
          <cell r="M15">
            <v>123.989124</v>
          </cell>
          <cell r="N15">
            <v>3.701970546823774E-2</v>
          </cell>
          <cell r="V15" t="str">
            <v>University</v>
          </cell>
          <cell r="W15">
            <v>123989124</v>
          </cell>
          <cell r="X15">
            <v>3.7019705468237733E-2</v>
          </cell>
        </row>
        <row r="16">
          <cell r="B16" t="str">
            <v>Warehouse</v>
          </cell>
          <cell r="M16">
            <v>442.22405430000003</v>
          </cell>
          <cell r="N16">
            <v>0.13203580856943528</v>
          </cell>
          <cell r="V16" t="str">
            <v>Warehouse</v>
          </cell>
          <cell r="W16">
            <v>442224054.30000001</v>
          </cell>
          <cell r="X16">
            <v>0.13203580856943525</v>
          </cell>
        </row>
        <row r="17">
          <cell r="B17" t="str">
            <v>Supermarket</v>
          </cell>
          <cell r="M17">
            <v>65.429751400000001</v>
          </cell>
          <cell r="N17">
            <v>1.9535504789016944E-2</v>
          </cell>
          <cell r="V17" t="str">
            <v>Supermarket</v>
          </cell>
          <cell r="W17">
            <v>65429751.399999999</v>
          </cell>
          <cell r="X17">
            <v>1.9535504789016941E-2</v>
          </cell>
        </row>
        <row r="18">
          <cell r="B18" t="str">
            <v>MiniMart</v>
          </cell>
          <cell r="M18">
            <v>11.691088099999998</v>
          </cell>
          <cell r="N18">
            <v>3.4906338887047794E-3</v>
          </cell>
          <cell r="V18" t="str">
            <v>MiniMart</v>
          </cell>
          <cell r="W18">
            <v>11691088.099999998</v>
          </cell>
          <cell r="X18">
            <v>3.4906338887047785E-3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cell r="C11">
            <v>6</v>
          </cell>
        </row>
        <row r="12">
          <cell r="B12" t="str">
            <v>Cooling Saturation as percent of Floor Area in Building Type</v>
          </cell>
          <cell r="C12">
            <v>7</v>
          </cell>
        </row>
        <row r="13">
          <cell r="B13" t="str">
            <v>Cooling Saturation as percent of Floor Area in Activity Type</v>
          </cell>
          <cell r="C13">
            <v>8</v>
          </cell>
        </row>
        <row r="14">
          <cell r="B14" t="str">
            <v>Package Roof Top Units as percentage of Building Type</v>
          </cell>
          <cell r="C14">
            <v>9</v>
          </cell>
        </row>
        <row r="15">
          <cell r="B15" t="str">
            <v>Package Roof Top Units as percentage of Activity Type</v>
          </cell>
          <cell r="C15">
            <v>10</v>
          </cell>
        </row>
        <row r="16">
          <cell r="B16" t="str">
            <v>Built-Up Systems as percentage of Building Type</v>
          </cell>
          <cell r="C16">
            <v>11</v>
          </cell>
        </row>
        <row r="17">
          <cell r="B17" t="str">
            <v>Built-Up Systems as percentage of Activity Type</v>
          </cell>
          <cell r="C17">
            <v>12</v>
          </cell>
        </row>
        <row r="18">
          <cell r="B18" t="str">
            <v>Multi-Zone VAV System as percentage of Building Type</v>
          </cell>
          <cell r="C18">
            <v>13</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cell r="C11" t="str">
            <v>School K-12</v>
          </cell>
          <cell r="D11" t="str">
            <v>School K-12</v>
          </cell>
          <cell r="E11" t="str">
            <v>Any</v>
          </cell>
          <cell r="F11" t="str">
            <v>K-12</v>
          </cell>
          <cell r="G11" t="str">
            <v>Any</v>
          </cell>
          <cell r="H11" t="str">
            <v>Any</v>
          </cell>
        </row>
        <row r="12">
          <cell r="B12" t="str">
            <v>School</v>
          </cell>
          <cell r="C12" t="str">
            <v>University</v>
          </cell>
          <cell r="D12" t="str">
            <v>University</v>
          </cell>
          <cell r="E12" t="str">
            <v>Any</v>
          </cell>
          <cell r="F12" t="str">
            <v>University</v>
          </cell>
          <cell r="G12" t="str">
            <v>Any</v>
          </cell>
          <cell r="H12" t="str">
            <v>Any</v>
          </cell>
        </row>
        <row r="13">
          <cell r="B13" t="str">
            <v>Warehouse</v>
          </cell>
          <cell r="C13" t="str">
            <v>Warehouse</v>
          </cell>
          <cell r="D13" t="str">
            <v>Warehouse</v>
          </cell>
          <cell r="E13" t="str">
            <v>Any</v>
          </cell>
          <cell r="F13" t="str">
            <v>Warehouse</v>
          </cell>
          <cell r="G13" t="str">
            <v>Any</v>
          </cell>
          <cell r="H13" t="str">
            <v>Any</v>
          </cell>
        </row>
        <row r="14">
          <cell r="B14" t="str">
            <v>Retail Food Sales</v>
          </cell>
          <cell r="C14" t="str">
            <v>Supermarket</v>
          </cell>
          <cell r="D14" t="str">
            <v>Supermarket</v>
          </cell>
          <cell r="E14" t="str">
            <v>&gt; 5000</v>
          </cell>
          <cell r="F14" t="str">
            <v>Supermarket</v>
          </cell>
          <cell r="G14" t="str">
            <v>&gt; 5000</v>
          </cell>
          <cell r="H14" t="str">
            <v>Any</v>
          </cell>
        </row>
        <row r="15">
          <cell r="B15" t="str">
            <v>Retail Food Sales</v>
          </cell>
          <cell r="C15" t="str">
            <v>MiniMart</v>
          </cell>
          <cell r="D15" t="str">
            <v>MiniMart</v>
          </cell>
          <cell r="E15" t="str">
            <v>&lt; 5000</v>
          </cell>
          <cell r="F15" t="str">
            <v>MiniMart</v>
          </cell>
          <cell r="G15" t="str">
            <v>&lt; 5000</v>
          </cell>
          <cell r="H15" t="str">
            <v>Any</v>
          </cell>
        </row>
        <row r="16">
          <cell r="B16" t="str">
            <v>Restaurant</v>
          </cell>
          <cell r="C16" t="str">
            <v>Restaurant</v>
          </cell>
          <cell r="D16" t="str">
            <v>Restaurant</v>
          </cell>
          <cell r="E16" t="str">
            <v>Any</v>
          </cell>
          <cell r="F16" t="str">
            <v>Restaurant</v>
          </cell>
          <cell r="G16" t="str">
            <v>Any</v>
          </cell>
          <cell r="H16" t="str">
            <v>Any</v>
          </cell>
        </row>
        <row r="17">
          <cell r="B17" t="str">
            <v>Lodging</v>
          </cell>
          <cell r="C17" t="str">
            <v>Lodging</v>
          </cell>
          <cell r="D17" t="str">
            <v>Lodging</v>
          </cell>
          <cell r="E17" t="str">
            <v>Any</v>
          </cell>
          <cell r="F17" t="str">
            <v>Lodging</v>
          </cell>
          <cell r="G17" t="str">
            <v>Any</v>
          </cell>
          <cell r="H17" t="str">
            <v>Any</v>
          </cell>
        </row>
        <row r="18">
          <cell r="B18" t="str">
            <v>Health Care</v>
          </cell>
          <cell r="C18" t="str">
            <v>Hospital</v>
          </cell>
          <cell r="D18" t="str">
            <v>Hospital</v>
          </cell>
          <cell r="E18" t="str">
            <v>Any</v>
          </cell>
          <cell r="F18" t="str">
            <v>Hospital</v>
          </cell>
          <cell r="G18" t="str">
            <v>Any</v>
          </cell>
          <cell r="H18"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4">
          <cell r="C4" t="str">
            <v>PRE2002</v>
          </cell>
        </row>
        <row r="11">
          <cell r="C11" t="str">
            <v>POST2013</v>
          </cell>
          <cell r="D11" t="str">
            <v>Com_Master_7P.xlsm!POST2013</v>
          </cell>
        </row>
        <row r="12">
          <cell r="C12" t="str">
            <v>_PRE2013</v>
          </cell>
          <cell r="D12" t="str">
            <v>Com_Master_7P.xlsm!_PRE2013</v>
          </cell>
        </row>
      </sheetData>
      <sheetData sheetId="16">
        <row r="11">
          <cell r="B11" t="e">
            <v>#REF!</v>
          </cell>
          <cell r="C11" t="e">
            <v>#REF!</v>
          </cell>
          <cell r="D11" t="e">
            <v>#REF!</v>
          </cell>
          <cell r="E11" t="e">
            <v>#REF!</v>
          </cell>
          <cell r="F11" t="e">
            <v>#REF!</v>
          </cell>
          <cell r="G11" t="e">
            <v>#REF!</v>
          </cell>
          <cell r="H11" t="e">
            <v>#REF!</v>
          </cell>
          <cell r="I11" t="e">
            <v>#REF!</v>
          </cell>
          <cell r="J11" t="e">
            <v>#REF!</v>
          </cell>
          <cell r="K11" t="e">
            <v>#REF!</v>
          </cell>
          <cell r="L11" t="e">
            <v>#REF!</v>
          </cell>
          <cell r="M11" t="e">
            <v>#REF!</v>
          </cell>
          <cell r="N11" t="e">
            <v>#REF!</v>
          </cell>
          <cell r="O11" t="e">
            <v>#REF!</v>
          </cell>
          <cell r="P11" t="e">
            <v>#REF!</v>
          </cell>
          <cell r="Q11" t="e">
            <v>#REF!</v>
          </cell>
          <cell r="R11" t="e">
            <v>#REF!</v>
          </cell>
          <cell r="S11" t="e">
            <v>#REF!</v>
          </cell>
          <cell r="T11" t="e">
            <v>#REF!</v>
          </cell>
          <cell r="U11" t="e">
            <v>#REF!</v>
          </cell>
        </row>
        <row r="12">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row>
        <row r="13">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row>
        <row r="14">
          <cell r="B14" t="e">
            <v>#REF!</v>
          </cell>
          <cell r="C14" t="e">
            <v>#REF!</v>
          </cell>
          <cell r="F14" t="e">
            <v>#REF!</v>
          </cell>
          <cell r="J14" t="e">
            <v>#REF!</v>
          </cell>
          <cell r="L14" t="e">
            <v>#REF!</v>
          </cell>
          <cell r="M14" t="e">
            <v>#REF!</v>
          </cell>
          <cell r="O14" t="e">
            <v>#REF!</v>
          </cell>
          <cell r="P14" t="e">
            <v>#REF!</v>
          </cell>
          <cell r="Q14" t="e">
            <v>#REF!</v>
          </cell>
          <cell r="S14" t="e">
            <v>#REF!</v>
          </cell>
          <cell r="T14" t="e">
            <v>#REF!</v>
          </cell>
          <cell r="U14" t="e">
            <v>#REF!</v>
          </cell>
        </row>
        <row r="15">
          <cell r="B15" t="e">
            <v>#REF!</v>
          </cell>
          <cell r="C15" t="e">
            <v>#REF!</v>
          </cell>
          <cell r="D15" t="e">
            <v>#REF!</v>
          </cell>
          <cell r="E15" t="e">
            <v>#REF!</v>
          </cell>
          <cell r="F15" t="e">
            <v>#REF!</v>
          </cell>
          <cell r="G15" t="e">
            <v>#REF!</v>
          </cell>
          <cell r="H15" t="e">
            <v>#REF!</v>
          </cell>
          <cell r="I15" t="e">
            <v>#REF!</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row>
        <row r="16">
          <cell r="B16" t="e">
            <v>#REF!</v>
          </cell>
          <cell r="C16" t="e">
            <v>#REF!</v>
          </cell>
          <cell r="F16" t="e">
            <v>#REF!</v>
          </cell>
          <cell r="J16" t="e">
            <v>#REF!</v>
          </cell>
          <cell r="L16" t="e">
            <v>#REF!</v>
          </cell>
          <cell r="M16" t="e">
            <v>#REF!</v>
          </cell>
          <cell r="O16" t="e">
            <v>#REF!</v>
          </cell>
          <cell r="P16" t="e">
            <v>#REF!</v>
          </cell>
          <cell r="Q16" t="e">
            <v>#REF!</v>
          </cell>
          <cell r="S16" t="e">
            <v>#REF!</v>
          </cell>
          <cell r="T16" t="e">
            <v>#REF!</v>
          </cell>
          <cell r="U16" t="e">
            <v>#REF!</v>
          </cell>
        </row>
        <row r="18">
          <cell r="C18" t="e">
            <v>#REF!</v>
          </cell>
          <cell r="D18" t="e">
            <v>#REF!</v>
          </cell>
          <cell r="E18" t="e">
            <v>#REF!</v>
          </cell>
          <cell r="F18" t="e">
            <v>#REF!</v>
          </cell>
          <cell r="G18" t="e">
            <v>#REF!</v>
          </cell>
          <cell r="H18" t="e">
            <v>#REF!</v>
          </cell>
          <cell r="I18" t="e">
            <v>#REF!</v>
          </cell>
          <cell r="J18" t="e">
            <v>#REF!</v>
          </cell>
          <cell r="K18" t="e">
            <v>#REF!</v>
          </cell>
          <cell r="L18" t="e">
            <v>#REF!</v>
          </cell>
          <cell r="M18" t="e">
            <v>#REF!</v>
          </cell>
          <cell r="N18" t="e">
            <v>#REF!</v>
          </cell>
          <cell r="O18" t="e">
            <v>#REF!</v>
          </cell>
          <cell r="P18" t="e">
            <v>#REF!</v>
          </cell>
          <cell r="Q18" t="e">
            <v>#REF!</v>
          </cell>
          <cell r="R18" t="e">
            <v>#REF!</v>
          </cell>
          <cell r="S18" t="e">
            <v>#REF!</v>
          </cell>
          <cell r="T18"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sheetData>
      <sheetData sheetId="17">
        <row r="11">
          <cell r="B11" t="str">
            <v>Water Using Devices</v>
          </cell>
          <cell r="C11" t="str">
            <v>Pre-Rinse Spray Valve</v>
          </cell>
          <cell r="D11" t="str">
            <v>Pre-Rinse Spray Valve</v>
          </cell>
          <cell r="E11" t="str">
            <v>CBSA 2014</v>
          </cell>
          <cell r="F11" t="str">
            <v>Some</v>
          </cell>
          <cell r="H11" t="str">
            <v>Retro</v>
          </cell>
          <cell r="I11">
            <v>0</v>
          </cell>
        </row>
        <row r="12">
          <cell r="B12" t="str">
            <v>Cooking</v>
          </cell>
          <cell r="C12" t="str">
            <v>Cooking Equipment</v>
          </cell>
          <cell r="D12" t="str">
            <v>Cooking Equipment</v>
          </cell>
          <cell r="E12" t="str">
            <v>CBSA 2014</v>
          </cell>
          <cell r="F12" t="str">
            <v>All</v>
          </cell>
          <cell r="H12" t="str">
            <v>NR</v>
          </cell>
          <cell r="I12">
            <v>0</v>
          </cell>
        </row>
        <row r="13">
          <cell r="B13" t="str">
            <v>HVAC System Improvements</v>
          </cell>
          <cell r="C13" t="str">
            <v>Premium HVAC Equipment</v>
          </cell>
          <cell r="D13" t="str">
            <v>Premium HVAC Equipment</v>
          </cell>
          <cell r="E13" t="str">
            <v>CBSA 2014</v>
          </cell>
          <cell r="F13" t="str">
            <v>All</v>
          </cell>
          <cell r="H13" t="str">
            <v>New</v>
          </cell>
          <cell r="I13">
            <v>0</v>
          </cell>
        </row>
        <row r="14">
          <cell r="B14" t="str">
            <v>HVAC System Improvements</v>
          </cell>
          <cell r="C14" t="str">
            <v>Premium HVAC Equipment</v>
          </cell>
          <cell r="D14" t="str">
            <v>Premium HVAC Equipment</v>
          </cell>
          <cell r="E14" t="str">
            <v>CBSA 2014</v>
          </cell>
          <cell r="F14" t="str">
            <v>All</v>
          </cell>
          <cell r="H14" t="str">
            <v>New</v>
          </cell>
          <cell r="I14">
            <v>0</v>
          </cell>
        </row>
        <row r="15">
          <cell r="B15" t="str">
            <v>Envelope</v>
          </cell>
          <cell r="C15" t="str">
            <v>Glass</v>
          </cell>
          <cell r="D15" t="str">
            <v>Windows</v>
          </cell>
          <cell r="E15" t="str">
            <v>CBSA 2014</v>
          </cell>
          <cell r="F15" t="str">
            <v>All</v>
          </cell>
          <cell r="H15" t="str">
            <v>New</v>
          </cell>
          <cell r="I15">
            <v>0</v>
          </cell>
        </row>
        <row r="16">
          <cell r="B16" t="str">
            <v>Envelope</v>
          </cell>
          <cell r="C16" t="str">
            <v>Glass</v>
          </cell>
          <cell r="D16" t="str">
            <v>Windows</v>
          </cell>
          <cell r="E16" t="str">
            <v>CBSA 2014</v>
          </cell>
          <cell r="F16" t="str">
            <v>All</v>
          </cell>
          <cell r="H16" t="str">
            <v>New</v>
          </cell>
          <cell r="I16">
            <v>0</v>
          </cell>
        </row>
        <row r="17">
          <cell r="B17" t="str">
            <v>Envelope</v>
          </cell>
          <cell r="C17" t="str">
            <v>Glass</v>
          </cell>
          <cell r="D17" t="str">
            <v>Windows</v>
          </cell>
          <cell r="E17" t="str">
            <v>CBSA 2014</v>
          </cell>
          <cell r="F17" t="str">
            <v>All</v>
          </cell>
          <cell r="H17" t="str">
            <v>New</v>
          </cell>
          <cell r="I17">
            <v>0</v>
          </cell>
        </row>
        <row r="18">
          <cell r="B18" t="str">
            <v>HVAC System Improvements</v>
          </cell>
          <cell r="C18" t="str">
            <v>Advanced Rooftop Controller</v>
          </cell>
          <cell r="D18" t="str">
            <v>Advanced Rooftop Controller</v>
          </cell>
          <cell r="E18" t="str">
            <v>CBSA 2014</v>
          </cell>
          <cell r="F18" t="str">
            <v>Most</v>
          </cell>
          <cell r="H18" t="str">
            <v>New</v>
          </cell>
          <cell r="I18">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str">
            <v>HVAC System Improvements</v>
          </cell>
          <cell r="C28" t="str">
            <v>Low Pressure Distribution Complex HVAC</v>
          </cell>
          <cell r="D28" t="str">
            <v>Low Pressure Distribution Complex HVAC</v>
          </cell>
          <cell r="E28" t="str">
            <v>CBSA 2014</v>
          </cell>
          <cell r="F28" t="str">
            <v>Some</v>
          </cell>
          <cell r="H28" t="str">
            <v>New</v>
          </cell>
          <cell r="I28">
            <v>0</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cell r="C11">
            <v>0.22184609974487568</v>
          </cell>
          <cell r="D11">
            <v>0.77815390025512432</v>
          </cell>
          <cell r="E11">
            <v>1</v>
          </cell>
          <cell r="G11" t="str">
            <v>Assembly</v>
          </cell>
          <cell r="H11">
            <v>0.47962038771740423</v>
          </cell>
          <cell r="I11">
            <v>0.52037961228259577</v>
          </cell>
          <cell r="J11">
            <v>1</v>
          </cell>
          <cell r="L11">
            <v>0.10640191237323121</v>
          </cell>
          <cell r="M11">
            <v>0.77815390025512432</v>
          </cell>
          <cell r="N11">
            <v>0.11544418737164447</v>
          </cell>
          <cell r="O11">
            <v>1</v>
          </cell>
        </row>
        <row r="12">
          <cell r="B12" t="str">
            <v>Grocery</v>
          </cell>
          <cell r="C12">
            <v>0.19141181754336017</v>
          </cell>
          <cell r="D12">
            <v>0.80858818245663977</v>
          </cell>
          <cell r="E12">
            <v>1</v>
          </cell>
          <cell r="G12" t="str">
            <v>Grocery</v>
          </cell>
          <cell r="H12">
            <v>0.38592097461312147</v>
          </cell>
          <cell r="I12">
            <v>0.61407902538687853</v>
          </cell>
          <cell r="J12">
            <v>1</v>
          </cell>
          <cell r="L12">
            <v>7.3869835178802537E-2</v>
          </cell>
          <cell r="M12">
            <v>0.80858818245663977</v>
          </cell>
          <cell r="N12">
            <v>0.11754198236455764</v>
          </cell>
          <cell r="O12">
            <v>0.99999999999999989</v>
          </cell>
        </row>
        <row r="13">
          <cell r="B13" t="str">
            <v>Lodging</v>
          </cell>
          <cell r="C13">
            <v>0.75058251470213166</v>
          </cell>
          <cell r="D13">
            <v>0.24941748529786834</v>
          </cell>
          <cell r="E13">
            <v>1</v>
          </cell>
          <cell r="G13" t="str">
            <v>Lodging</v>
          </cell>
          <cell r="H13">
            <v>0.59526013213262075</v>
          </cell>
          <cell r="I13">
            <v>0.40473986786737931</v>
          </cell>
          <cell r="J13">
            <v>1</v>
          </cell>
          <cell r="L13">
            <v>0.44679184687802564</v>
          </cell>
          <cell r="M13">
            <v>0.24941748529786834</v>
          </cell>
          <cell r="N13">
            <v>0.30379066782410608</v>
          </cell>
          <cell r="O13">
            <v>1</v>
          </cell>
        </row>
        <row r="14">
          <cell r="B14" t="str">
            <v>Office</v>
          </cell>
          <cell r="C14">
            <v>0.51635908187299928</v>
          </cell>
          <cell r="D14">
            <v>0.48364091812700072</v>
          </cell>
          <cell r="E14">
            <v>1</v>
          </cell>
          <cell r="G14" t="str">
            <v>Office</v>
          </cell>
          <cell r="H14">
            <v>0.45565580415878149</v>
          </cell>
          <cell r="I14">
            <v>0.54434419584121851</v>
          </cell>
          <cell r="J14">
            <v>1</v>
          </cell>
          <cell r="L14">
            <v>0.23528201268553159</v>
          </cell>
          <cell r="M14">
            <v>0.48364091812700072</v>
          </cell>
          <cell r="N14">
            <v>0.28107706918746772</v>
          </cell>
          <cell r="O14">
            <v>1</v>
          </cell>
        </row>
        <row r="15">
          <cell r="B15" t="str">
            <v>Other</v>
          </cell>
          <cell r="C15">
            <v>0.27428395672737665</v>
          </cell>
          <cell r="D15">
            <v>0.7257160432726234</v>
          </cell>
          <cell r="E15">
            <v>1</v>
          </cell>
          <cell r="G15" t="str">
            <v>Other</v>
          </cell>
          <cell r="H15">
            <v>0.6175903960921354</v>
          </cell>
          <cell r="I15">
            <v>0.38240960390786466</v>
          </cell>
          <cell r="J15">
            <v>1</v>
          </cell>
          <cell r="L15">
            <v>0.16939513747697868</v>
          </cell>
          <cell r="M15">
            <v>0.7257160432726234</v>
          </cell>
          <cell r="N15">
            <v>0.104888819250398</v>
          </cell>
          <cell r="O15">
            <v>1</v>
          </cell>
        </row>
        <row r="16">
          <cell r="B16" t="str">
            <v>Residential Care</v>
          </cell>
          <cell r="C16">
            <v>0.59443378738060659</v>
          </cell>
          <cell r="D16">
            <v>0.40556621261939335</v>
          </cell>
          <cell r="E16">
            <v>1</v>
          </cell>
          <cell r="G16" t="str">
            <v>Residential Care</v>
          </cell>
          <cell r="H16">
            <v>0.57173215680136025</v>
          </cell>
          <cell r="I16">
            <v>0.42826784319863981</v>
          </cell>
          <cell r="J16">
            <v>1</v>
          </cell>
          <cell r="L16">
            <v>0.33985691133471541</v>
          </cell>
          <cell r="M16">
            <v>0.40556621261939335</v>
          </cell>
          <cell r="N16">
            <v>0.25457687604589124</v>
          </cell>
          <cell r="O16">
            <v>1</v>
          </cell>
        </row>
        <row r="17">
          <cell r="B17" t="str">
            <v>Restaurant</v>
          </cell>
          <cell r="C17">
            <v>0.20634715054031719</v>
          </cell>
          <cell r="D17">
            <v>0.79365284945968273</v>
          </cell>
          <cell r="E17">
            <v>1</v>
          </cell>
          <cell r="G17" t="str">
            <v>Restaurant</v>
          </cell>
          <cell r="H17">
            <v>0.1456310681449533</v>
          </cell>
          <cell r="I17">
            <v>0.8543689318550467</v>
          </cell>
          <cell r="J17">
            <v>1</v>
          </cell>
          <cell r="L17">
            <v>3.0050555941853869E-2</v>
          </cell>
          <cell r="M17">
            <v>0.79365284945968273</v>
          </cell>
          <cell r="N17">
            <v>0.17629659459846331</v>
          </cell>
          <cell r="O17">
            <v>1</v>
          </cell>
        </row>
        <row r="18">
          <cell r="B18" t="str">
            <v>Retail/Service</v>
          </cell>
          <cell r="C18">
            <v>0.17516537112508487</v>
          </cell>
          <cell r="D18">
            <v>0.8248346288749151</v>
          </cell>
          <cell r="E18">
            <v>1</v>
          </cell>
          <cell r="G18" t="str">
            <v>Retail/Service</v>
          </cell>
          <cell r="H18">
            <v>0.63140923348225164</v>
          </cell>
          <cell r="I18">
            <v>0.3685907665177483</v>
          </cell>
          <cell r="J18">
            <v>1</v>
          </cell>
          <cell r="L18">
            <v>0.11060103271472398</v>
          </cell>
          <cell r="M18">
            <v>0.8248346288749151</v>
          </cell>
          <cell r="N18">
            <v>6.4564338410360883E-2</v>
          </cell>
          <cell r="O18">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sheetData>
      <sheetData sheetId="19">
        <row r="11">
          <cell r="B11">
            <v>2.0434554153352484E-2</v>
          </cell>
        </row>
        <row r="12">
          <cell r="B12">
            <v>3.1863582040406999E-2</v>
          </cell>
        </row>
        <row r="13">
          <cell r="B13">
            <v>5.5794347273117245E-2</v>
          </cell>
        </row>
        <row r="14">
          <cell r="B14">
            <v>0.23374291413554329</v>
          </cell>
        </row>
        <row r="15">
          <cell r="B15">
            <v>0.12270755891365608</v>
          </cell>
        </row>
        <row r="16">
          <cell r="B16">
            <v>4.2121761451219118E-2</v>
          </cell>
        </row>
        <row r="17">
          <cell r="B17">
            <v>1.255060122823257E-2</v>
          </cell>
        </row>
        <row r="18">
          <cell r="B18">
            <v>0.16379453573805774</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sheetData>
      <sheetData sheetId="20">
        <row r="11">
          <cell r="B11" t="str">
            <v>Compressed Air</v>
          </cell>
          <cell r="C11" t="str">
            <v>Compressed Air System Improvements</v>
          </cell>
          <cell r="D11" t="str">
            <v>Compressors</v>
          </cell>
        </row>
        <row r="12">
          <cell r="B12" t="str">
            <v>Compressed Air</v>
          </cell>
          <cell r="C12" t="str">
            <v>Compressed Air System Improvements</v>
          </cell>
          <cell r="D12" t="str">
            <v>Interactive Compressed Air System Supply/Demand Improvements</v>
          </cell>
        </row>
        <row r="13">
          <cell r="B13" t="str">
            <v>Compressed Air</v>
          </cell>
          <cell r="C13" t="str">
            <v>Heat Recovery</v>
          </cell>
          <cell r="D13" t="str">
            <v>Heat Recovery Improvements</v>
          </cell>
        </row>
        <row r="14">
          <cell r="B14" t="str">
            <v>HVAC</v>
          </cell>
          <cell r="C14" t="str">
            <v>HVAC System Improvements</v>
          </cell>
          <cell r="D14" t="str">
            <v>Interactive HVAC System Improvements</v>
          </cell>
        </row>
        <row r="15">
          <cell r="B15" t="str">
            <v>Irrigation</v>
          </cell>
          <cell r="C15" t="str">
            <v>Center Pivot System and Equipment</v>
          </cell>
          <cell r="D15" t="str">
            <v>Center Pivot Conversions</v>
          </cell>
        </row>
        <row r="16">
          <cell r="B16" t="str">
            <v>Irrigation</v>
          </cell>
          <cell r="C16" t="str">
            <v>Center Pivot System and Equipment</v>
          </cell>
          <cell r="D16" t="str">
            <v>Reduce System Friction Head</v>
          </cell>
        </row>
        <row r="17">
          <cell r="B17" t="str">
            <v>Irrigation</v>
          </cell>
          <cell r="C17" t="str">
            <v>Center Pivot System and Equipment</v>
          </cell>
          <cell r="D17" t="str">
            <v xml:space="preserve">Reduce System Friction Head </v>
          </cell>
        </row>
        <row r="18">
          <cell r="B18" t="str">
            <v>Irrigation</v>
          </cell>
          <cell r="C18" t="str">
            <v>Center Pivot System and Equipment</v>
          </cell>
          <cell r="D18" t="str">
            <v>Reduce System Leakage</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sheetData>
      <sheetData sheetId="2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Case)"/>
      <sheetName val="Pop Forecast (Base Case)"/>
      <sheetName val="Pop Forecast (Low Case)"/>
      <sheetName val="DEI (Base Case)"/>
      <sheetName val="Dairy Forecast (Base Case)"/>
      <sheetName val="Dairy Forecast (Low)"/>
      <sheetName val="Dairy Forecast (High)"/>
      <sheetName val="EV Forecast (Base Case)"/>
      <sheetName val="EV Forecast (Low)"/>
      <sheetName val="EV Forecast (High)"/>
      <sheetName val="7P Forecasts D2"/>
      <sheetName val="Pop Forecast (High)"/>
      <sheetName val="Pop Forecast (Low)"/>
      <sheetName val="Region Load (Base Case)"/>
      <sheetName val="Region Load (High)"/>
      <sheetName val="Region Load (Low)"/>
      <sheetName val="DataCenter Forecast (Base Case)"/>
      <sheetName val="DataCenter Forecast (High)"/>
      <sheetName val="DataCenter Forecast (Low)"/>
    </sheetNames>
    <definedNames>
      <definedName name="rng_ForecastColumnLookup" refersTo="='Forecast Switchboard'!$H$20:$AE$20"/>
      <definedName name="rng_ForecastRowLookup" refersTo="='Forecast Switchboard'!$G$21:$G$501"/>
      <definedName name="switch_ForecastScenario" refersTo="='Forecast Switchboard'!$H$3"/>
      <definedName name="switch_ForecastState" refersTo="='Forecast Switchboard'!$H$4"/>
      <definedName name="tbl_Forecast" refersTo="='Forecast Switchboard'!$H$21:$AE$501"/>
    </definedNames>
    <sheetDataSet>
      <sheetData sheetId="0"/>
      <sheetData sheetId="1">
        <row r="3">
          <cell r="H3" t="str">
            <v>Base</v>
          </cell>
        </row>
        <row r="4">
          <cell r="H4" t="str">
            <v>Region</v>
          </cell>
        </row>
        <row r="20">
          <cell r="H20" t="str">
            <v>Sector</v>
          </cell>
          <cell r="I20" t="str">
            <v>Building/Industry Type</v>
          </cell>
          <cell r="J20" t="str">
            <v>Vintage / Subcategory</v>
          </cell>
          <cell r="K20" t="str">
            <v>Forecast Units</v>
          </cell>
          <cell r="L20">
            <v>2016</v>
          </cell>
          <cell r="M20">
            <v>2017</v>
          </cell>
          <cell r="N20">
            <v>2018</v>
          </cell>
          <cell r="O20">
            <v>2019</v>
          </cell>
          <cell r="P20">
            <v>2020</v>
          </cell>
          <cell r="Q20">
            <v>2021</v>
          </cell>
          <cell r="R20">
            <v>2022</v>
          </cell>
          <cell r="S20">
            <v>2023</v>
          </cell>
          <cell r="T20">
            <v>2024</v>
          </cell>
          <cell r="U20">
            <v>2025</v>
          </cell>
          <cell r="V20">
            <v>2026</v>
          </cell>
          <cell r="W20">
            <v>2027</v>
          </cell>
          <cell r="X20">
            <v>2028</v>
          </cell>
          <cell r="Y20">
            <v>2029</v>
          </cell>
          <cell r="Z20">
            <v>2030</v>
          </cell>
          <cell r="AA20">
            <v>2031</v>
          </cell>
          <cell r="AB20">
            <v>2032</v>
          </cell>
          <cell r="AC20">
            <v>2033</v>
          </cell>
          <cell r="AD20">
            <v>2034</v>
          </cell>
          <cell r="AE20">
            <v>2035</v>
          </cell>
        </row>
        <row r="21">
          <cell r="G21" t="str">
            <v>RegionSingle FamilyNew</v>
          </cell>
          <cell r="H21" t="str">
            <v>Res</v>
          </cell>
          <cell r="I21" t="str">
            <v>Single Family</v>
          </cell>
          <cell r="J21" t="str">
            <v>New</v>
          </cell>
          <cell r="K21" t="str">
            <v>Buildings</v>
          </cell>
          <cell r="L21">
            <v>62685.758999999998</v>
          </cell>
          <cell r="M21">
            <v>59961.781000000003</v>
          </cell>
          <cell r="N21">
            <v>56834.012000000002</v>
          </cell>
          <cell r="O21">
            <v>54985.192999999999</v>
          </cell>
          <cell r="P21">
            <v>53507.474000000002</v>
          </cell>
          <cell r="Q21">
            <v>50982.05</v>
          </cell>
          <cell r="R21">
            <v>49561.669000000002</v>
          </cell>
          <cell r="S21">
            <v>49324.517999999996</v>
          </cell>
          <cell r="T21">
            <v>48815.77</v>
          </cell>
          <cell r="U21">
            <v>49683.252</v>
          </cell>
          <cell r="V21">
            <v>50030.137000000002</v>
          </cell>
          <cell r="W21">
            <v>49387.762999999999</v>
          </cell>
          <cell r="X21">
            <v>48079.345999999998</v>
          </cell>
          <cell r="Y21">
            <v>48129.050999999999</v>
          </cell>
          <cell r="Z21">
            <v>48690.569000000003</v>
          </cell>
          <cell r="AA21">
            <v>48482.864000000001</v>
          </cell>
          <cell r="AB21">
            <v>46879.000999999997</v>
          </cell>
          <cell r="AC21">
            <v>46798.777999999998</v>
          </cell>
          <cell r="AD21">
            <v>46917.627</v>
          </cell>
          <cell r="AE21">
            <v>47236.144999999997</v>
          </cell>
        </row>
        <row r="22">
          <cell r="G22" t="str">
            <v>RegionMultifamily - Low RiseNew</v>
          </cell>
          <cell r="H22" t="str">
            <v>Res</v>
          </cell>
          <cell r="I22" t="str">
            <v>Multifamily - Low Rise</v>
          </cell>
          <cell r="J22" t="str">
            <v>New</v>
          </cell>
          <cell r="K22" t="str">
            <v>Buildings</v>
          </cell>
          <cell r="L22">
            <v>23280.347100904564</v>
          </cell>
          <cell r="M22">
            <v>23017.418106038647</v>
          </cell>
          <cell r="N22">
            <v>22811.60852767331</v>
          </cell>
          <cell r="O22">
            <v>22085.916378202593</v>
          </cell>
          <cell r="P22">
            <v>20817.853908138593</v>
          </cell>
          <cell r="Q22">
            <v>20070.279329962508</v>
          </cell>
          <cell r="R22">
            <v>19887.831284331631</v>
          </cell>
          <cell r="S22">
            <v>20257.583209811291</v>
          </cell>
          <cell r="T22">
            <v>20750.368029493613</v>
          </cell>
          <cell r="U22">
            <v>21314.334279744231</v>
          </cell>
          <cell r="V22">
            <v>21403.286239774712</v>
          </cell>
          <cell r="W22">
            <v>21409.137516518917</v>
          </cell>
          <cell r="X22">
            <v>21443.358292282628</v>
          </cell>
          <cell r="Y22">
            <v>21209.865626522758</v>
          </cell>
          <cell r="Z22">
            <v>20954.17798283829</v>
          </cell>
          <cell r="AA22">
            <v>20525.44023202754</v>
          </cell>
          <cell r="AB22">
            <v>20175.505597554071</v>
          </cell>
          <cell r="AC22">
            <v>19919.723927484571</v>
          </cell>
          <cell r="AD22">
            <v>19536.194066416414</v>
          </cell>
          <cell r="AE22">
            <v>19462.287131015248</v>
          </cell>
        </row>
        <row r="23">
          <cell r="G23" t="str">
            <v>RegionMultifamily - High RiseNew</v>
          </cell>
          <cell r="H23" t="str">
            <v>Res</v>
          </cell>
          <cell r="I23" t="str">
            <v>Multifamily - High Rise</v>
          </cell>
          <cell r="J23" t="str">
            <v>New</v>
          </cell>
          <cell r="K23" t="str">
            <v>Buildings</v>
          </cell>
          <cell r="L23">
            <v>5226.2387411561367</v>
          </cell>
          <cell r="M23">
            <v>5239.95312759432</v>
          </cell>
          <cell r="N23">
            <v>5271.2612760989568</v>
          </cell>
          <cell r="O23">
            <v>4985.883552972361</v>
          </cell>
          <cell r="P23">
            <v>4608.5912035798974</v>
          </cell>
          <cell r="Q23">
            <v>4509.6375960361838</v>
          </cell>
          <cell r="R23">
            <v>4481.760351096189</v>
          </cell>
          <cell r="S23">
            <v>4621.8312800578688</v>
          </cell>
          <cell r="T23">
            <v>4700.9782942419988</v>
          </cell>
          <cell r="U23">
            <v>4828.2391631488581</v>
          </cell>
          <cell r="V23">
            <v>4790.0249139778334</v>
          </cell>
          <cell r="W23">
            <v>4782.0649962402858</v>
          </cell>
          <cell r="X23">
            <v>4748.3908346265653</v>
          </cell>
          <cell r="Y23">
            <v>4733.4823682495089</v>
          </cell>
          <cell r="Z23">
            <v>4698.697177079107</v>
          </cell>
          <cell r="AA23">
            <v>4599.2987885998937</v>
          </cell>
          <cell r="AB23">
            <v>4526.3104216428001</v>
          </cell>
          <cell r="AC23">
            <v>4422.0600452822764</v>
          </cell>
          <cell r="AD23">
            <v>4405.182362066379</v>
          </cell>
          <cell r="AE23">
            <v>4385.1136986120664</v>
          </cell>
        </row>
        <row r="24">
          <cell r="G24" t="str">
            <v>RegionManufacturedNew</v>
          </cell>
          <cell r="H24" t="str">
            <v>Res</v>
          </cell>
          <cell r="I24" t="str">
            <v>Manufactured</v>
          </cell>
          <cell r="J24" t="str">
            <v>New</v>
          </cell>
          <cell r="K24" t="str">
            <v>Buildings</v>
          </cell>
          <cell r="L24">
            <v>1869.5754050925925</v>
          </cell>
          <cell r="M24">
            <v>1881.796305941358</v>
          </cell>
          <cell r="N24">
            <v>1949.1340235982509</v>
          </cell>
          <cell r="O24">
            <v>2021.1963608646258</v>
          </cell>
          <cell r="P24">
            <v>1959.5061710087307</v>
          </cell>
          <cell r="Q24">
            <v>1928.5764356212967</v>
          </cell>
          <cell r="R24">
            <v>1934.9641170211423</v>
          </cell>
          <cell r="S24">
            <v>1945.862235675901</v>
          </cell>
          <cell r="T24">
            <v>1956.539890631658</v>
          </cell>
          <cell r="U24">
            <v>1957.7742018038925</v>
          </cell>
          <cell r="V24">
            <v>1947.2038419604366</v>
          </cell>
          <cell r="W24">
            <v>1945.153453785721</v>
          </cell>
          <cell r="X24">
            <v>1947.9162901464586</v>
          </cell>
          <cell r="Y24">
            <v>1950.0749856673444</v>
          </cell>
          <cell r="Z24">
            <v>1950.7771106659191</v>
          </cell>
          <cell r="AA24">
            <v>1949.8166473382953</v>
          </cell>
          <cell r="AB24">
            <v>1948.4903882606959</v>
          </cell>
          <cell r="AC24">
            <v>1948.7048126440727</v>
          </cell>
          <cell r="AD24">
            <v>1949.296705787131</v>
          </cell>
          <cell r="AE24">
            <v>1949.5267750605763</v>
          </cell>
        </row>
        <row r="25">
          <cell r="G25" t="str">
            <v>RegionSingle FamilyExisting</v>
          </cell>
          <cell r="H25" t="str">
            <v>Res</v>
          </cell>
          <cell r="I25" t="str">
            <v>Single Family</v>
          </cell>
          <cell r="J25" t="str">
            <v>Existing</v>
          </cell>
          <cell r="K25" t="str">
            <v>Buildings</v>
          </cell>
          <cell r="L25">
            <v>4203528.2719999999</v>
          </cell>
          <cell r="M25">
            <v>4193982.9785983553</v>
          </cell>
          <cell r="N25">
            <v>4184459.3604704877</v>
          </cell>
          <cell r="O25">
            <v>4174957.36839659</v>
          </cell>
          <cell r="P25">
            <v>4165476.9532686244</v>
          </cell>
          <cell r="Q25">
            <v>4156018.0660900641</v>
          </cell>
          <cell r="R25">
            <v>4146580.6579756448</v>
          </cell>
          <cell r="S25">
            <v>4137164.6801511091</v>
          </cell>
          <cell r="T25">
            <v>4127770.0839529554</v>
          </cell>
          <cell r="U25">
            <v>4118396.8208281873</v>
          </cell>
          <cell r="V25">
            <v>4109044.8423340586</v>
          </cell>
          <cell r="W25">
            <v>4099714.1001378288</v>
          </cell>
          <cell r="X25">
            <v>4090404.5460165106</v>
          </cell>
          <cell r="Y25">
            <v>4081116.1318566194</v>
          </cell>
          <cell r="Z25">
            <v>4071848.8096539262</v>
          </cell>
          <cell r="AA25">
            <v>4062602.5315132081</v>
          </cell>
          <cell r="AB25">
            <v>4053377.2496480034</v>
          </cell>
          <cell r="AC25">
            <v>4044172.9163803621</v>
          </cell>
          <cell r="AD25">
            <v>4034989.4841406001</v>
          </cell>
          <cell r="AE25">
            <v>4025826.9054670548</v>
          </cell>
        </row>
        <row r="26">
          <cell r="G26" t="str">
            <v>RegionMultifamily - Low RiseExisting</v>
          </cell>
          <cell r="H26" t="str">
            <v>Res</v>
          </cell>
          <cell r="I26" t="str">
            <v>Multifamily - Low Rise</v>
          </cell>
          <cell r="J26" t="str">
            <v>Existing</v>
          </cell>
          <cell r="K26" t="str">
            <v>Buildings</v>
          </cell>
          <cell r="L26">
            <v>926243.25609262148</v>
          </cell>
          <cell r="M26">
            <v>924139.92640956037</v>
          </cell>
          <cell r="N26">
            <v>922041.3730050053</v>
          </cell>
          <cell r="O26">
            <v>919947.58503289847</v>
          </cell>
          <cell r="P26">
            <v>917858.55167181045</v>
          </cell>
          <cell r="Q26">
            <v>915774.26212488639</v>
          </cell>
          <cell r="R26">
            <v>913694.70561978838</v>
          </cell>
          <cell r="S26">
            <v>911619.87140864041</v>
          </cell>
          <cell r="T26">
            <v>909549.74876797362</v>
          </cell>
          <cell r="U26">
            <v>907484.32699866977</v>
          </cell>
          <cell r="V26">
            <v>905423.59542590659</v>
          </cell>
          <cell r="W26">
            <v>903367.54339910217</v>
          </cell>
          <cell r="X26">
            <v>901316.16029185988</v>
          </cell>
          <cell r="Y26">
            <v>899269.43550191447</v>
          </cell>
          <cell r="Z26">
            <v>897227.35845107585</v>
          </cell>
          <cell r="AA26">
            <v>895189.9185851753</v>
          </cell>
          <cell r="AB26">
            <v>893157.10537401051</v>
          </cell>
          <cell r="AC26">
            <v>891128.90831129183</v>
          </cell>
          <cell r="AD26">
            <v>889105.31691458682</v>
          </cell>
          <cell r="AE26">
            <v>887086.32072526717</v>
          </cell>
        </row>
        <row r="27">
          <cell r="G27" t="str">
            <v>RegionMultifamily - High RiseExisting</v>
          </cell>
          <cell r="H27" t="str">
            <v>Res</v>
          </cell>
          <cell r="I27" t="str">
            <v>Multifamily - High Rise</v>
          </cell>
          <cell r="J27" t="str">
            <v>Existing</v>
          </cell>
          <cell r="K27" t="str">
            <v>Buildings</v>
          </cell>
          <cell r="L27">
            <v>211180.07985625503</v>
          </cell>
          <cell r="M27">
            <v>210700.52836963299</v>
          </cell>
          <cell r="N27">
            <v>210222.06585706791</v>
          </cell>
          <cell r="O27">
            <v>209744.68984569819</v>
          </cell>
          <cell r="P27">
            <v>209268.39786827751</v>
          </cell>
          <cell r="Q27">
            <v>208793.18746316229</v>
          </cell>
          <cell r="R27">
            <v>208319.05617429892</v>
          </cell>
          <cell r="S27">
            <v>207846.00155121088</v>
          </cell>
          <cell r="T27">
            <v>207374.0211489865</v>
          </cell>
          <cell r="U27">
            <v>206903.11252826577</v>
          </cell>
          <cell r="V27">
            <v>206433.27325522827</v>
          </cell>
          <cell r="W27">
            <v>205964.50090158021</v>
          </cell>
          <cell r="X27">
            <v>205496.79304454199</v>
          </cell>
          <cell r="Y27">
            <v>205030.14726683579</v>
          </cell>
          <cell r="Z27">
            <v>204564.56115667295</v>
          </cell>
          <cell r="AA27">
            <v>204100.03230774152</v>
          </cell>
          <cell r="AB27">
            <v>203636.55831919383</v>
          </cell>
          <cell r="AC27">
            <v>203174.13679563423</v>
          </cell>
          <cell r="AD27">
            <v>202712.76534710638</v>
          </cell>
          <cell r="AE27">
            <v>202252.44158908122</v>
          </cell>
        </row>
        <row r="28">
          <cell r="G28" t="str">
            <v>RegionManufacturedExisting</v>
          </cell>
          <cell r="H28" t="str">
            <v>Res</v>
          </cell>
          <cell r="I28" t="str">
            <v>Manufactured</v>
          </cell>
          <cell r="J28" t="str">
            <v>Existing</v>
          </cell>
          <cell r="K28" t="str">
            <v>Buildings</v>
          </cell>
          <cell r="L28">
            <v>572006.3278356482</v>
          </cell>
          <cell r="M28">
            <v>565893.30394507048</v>
          </cell>
          <cell r="N28">
            <v>559845.60985814757</v>
          </cell>
          <cell r="O28">
            <v>553862.54739615123</v>
          </cell>
          <cell r="P28">
            <v>547943.42584177968</v>
          </cell>
          <cell r="Q28">
            <v>542087.56185941794</v>
          </cell>
          <cell r="R28">
            <v>536294.27941624937</v>
          </cell>
          <cell r="S28">
            <v>530562.90970421082</v>
          </cell>
          <cell r="T28">
            <v>524892.79106278194</v>
          </cell>
          <cell r="U28">
            <v>519283.26890259917</v>
          </cell>
          <cell r="V28">
            <v>513733.69562988722</v>
          </cell>
          <cell r="W28">
            <v>508243.4305716962</v>
          </cell>
          <cell r="X28">
            <v>502811.8399019395</v>
          </cell>
          <cell r="Y28">
            <v>497438.2965682213</v>
          </cell>
          <cell r="Z28">
            <v>492122.18021944637</v>
          </cell>
          <cell r="AA28">
            <v>486862.87713420321</v>
          </cell>
          <cell r="AB28">
            <v>481659.78014991269</v>
          </cell>
          <cell r="AC28">
            <v>476512.28859273402</v>
          </cell>
          <cell r="AD28">
            <v>471419.80820821953</v>
          </cell>
          <cell r="AE28">
            <v>466381.75109271082</v>
          </cell>
        </row>
        <row r="29">
          <cell r="G29" t="str">
            <v>RegionLarge OffNew</v>
          </cell>
          <cell r="H29" t="str">
            <v>Com</v>
          </cell>
          <cell r="I29" t="str">
            <v>Large Off</v>
          </cell>
          <cell r="J29" t="str">
            <v>New</v>
          </cell>
          <cell r="K29" t="str">
            <v>Millions SqFt</v>
          </cell>
          <cell r="L29">
            <v>7.8066550111953834</v>
          </cell>
          <cell r="M29">
            <v>5.9496992573140863</v>
          </cell>
          <cell r="N29">
            <v>5.890903545908837</v>
          </cell>
          <cell r="O29">
            <v>6.8915688291332424</v>
          </cell>
          <cell r="P29">
            <v>6.6410191533148355</v>
          </cell>
          <cell r="Q29">
            <v>5.4382226791221893</v>
          </cell>
          <cell r="R29">
            <v>6.9236851515846078</v>
          </cell>
          <cell r="S29">
            <v>6.040566884985755</v>
          </cell>
          <cell r="T29">
            <v>5.8620040343764588</v>
          </cell>
          <cell r="U29">
            <v>6.6048352977963205</v>
          </cell>
          <cell r="V29">
            <v>6.6081856774849808</v>
          </cell>
          <cell r="W29">
            <v>7.2276230030590352</v>
          </cell>
          <cell r="X29">
            <v>7.9321378463678132</v>
          </cell>
          <cell r="Y29">
            <v>7.2590370336019197</v>
          </cell>
          <cell r="Z29">
            <v>7.9122271387396417</v>
          </cell>
          <cell r="AA29">
            <v>7.7623340380974311</v>
          </cell>
          <cell r="AB29">
            <v>7.6402299023279152</v>
          </cell>
          <cell r="AC29">
            <v>7.1724831299946894</v>
          </cell>
          <cell r="AD29">
            <v>7.0810470955732994</v>
          </cell>
          <cell r="AE29">
            <v>7.4281005850341701</v>
          </cell>
        </row>
        <row r="30">
          <cell r="G30" t="str">
            <v>RegionMedium OffNew</v>
          </cell>
          <cell r="H30" t="str">
            <v>Com</v>
          </cell>
          <cell r="I30" t="str">
            <v>Medium Off</v>
          </cell>
          <cell r="J30" t="str">
            <v>New</v>
          </cell>
          <cell r="K30" t="str">
            <v>Millions SqFt</v>
          </cell>
          <cell r="L30">
            <v>6.3306892326899415</v>
          </cell>
          <cell r="M30">
            <v>4.6245517962703104</v>
          </cell>
          <cell r="N30">
            <v>4.6954401235311058</v>
          </cell>
          <cell r="O30">
            <v>5.5561738496820645</v>
          </cell>
          <cell r="P30">
            <v>5.2903315868283292</v>
          </cell>
          <cell r="Q30">
            <v>4.0954748538564614</v>
          </cell>
          <cell r="R30">
            <v>5.6166455086822502</v>
          </cell>
          <cell r="S30">
            <v>4.8928421056079552</v>
          </cell>
          <cell r="T30">
            <v>4.6489885594062974</v>
          </cell>
          <cell r="U30">
            <v>5.3600762751998365</v>
          </cell>
          <cell r="V30">
            <v>5.3451061612370649</v>
          </cell>
          <cell r="W30">
            <v>5.7169042762389006</v>
          </cell>
          <cell r="X30">
            <v>6.1644080859749115</v>
          </cell>
          <cell r="Y30">
            <v>5.8003829082546376</v>
          </cell>
          <cell r="Z30">
            <v>6.4331999103991837</v>
          </cell>
          <cell r="AA30">
            <v>6.1077443299386847</v>
          </cell>
          <cell r="AB30">
            <v>6.3133258324543373</v>
          </cell>
          <cell r="AC30">
            <v>5.5403053352108875</v>
          </cell>
          <cell r="AD30">
            <v>5.5266028757425794</v>
          </cell>
          <cell r="AE30">
            <v>5.9833355534459063</v>
          </cell>
        </row>
        <row r="31">
          <cell r="G31" t="str">
            <v>RegionSmall OffNew</v>
          </cell>
          <cell r="H31" t="str">
            <v>Com</v>
          </cell>
          <cell r="I31" t="str">
            <v>Small Off</v>
          </cell>
          <cell r="J31" t="str">
            <v>New</v>
          </cell>
          <cell r="K31" t="str">
            <v>Millions SqFt</v>
          </cell>
          <cell r="L31">
            <v>1.6621196768024407</v>
          </cell>
          <cell r="M31">
            <v>1.2170657423442173</v>
          </cell>
          <cell r="N31">
            <v>1.2444333527444498</v>
          </cell>
          <cell r="O31">
            <v>1.4586094503549032</v>
          </cell>
          <cell r="P31">
            <v>1.4004070058555529</v>
          </cell>
          <cell r="Q31">
            <v>1.0787722980410579</v>
          </cell>
          <cell r="R31">
            <v>1.4747976167420549</v>
          </cell>
          <cell r="S31">
            <v>1.2896357804774434</v>
          </cell>
          <cell r="T31">
            <v>1.2239291307589197</v>
          </cell>
          <cell r="U31">
            <v>1.4012443744673324</v>
          </cell>
          <cell r="V31">
            <v>1.3991315932028052</v>
          </cell>
          <cell r="W31">
            <v>1.4996248899933684</v>
          </cell>
          <cell r="X31">
            <v>1.6197763904689295</v>
          </cell>
          <cell r="Y31">
            <v>1.5187400891362097</v>
          </cell>
          <cell r="Z31">
            <v>1.6890757136254622</v>
          </cell>
          <cell r="AA31">
            <v>1.5972356158259797</v>
          </cell>
          <cell r="AB31">
            <v>1.640465747141107</v>
          </cell>
          <cell r="AC31">
            <v>1.4565955217811706</v>
          </cell>
          <cell r="AD31">
            <v>1.4531741906643101</v>
          </cell>
          <cell r="AE31">
            <v>1.5648660344158036</v>
          </cell>
        </row>
        <row r="32">
          <cell r="G32" t="str">
            <v>RegionXLarge RetNew</v>
          </cell>
          <cell r="H32" t="str">
            <v>Com</v>
          </cell>
          <cell r="I32" t="str">
            <v>XLarge Ret</v>
          </cell>
          <cell r="J32" t="str">
            <v>New</v>
          </cell>
          <cell r="K32" t="str">
            <v>Millions SqFt</v>
          </cell>
          <cell r="L32">
            <v>1.799418169017593</v>
          </cell>
          <cell r="M32">
            <v>1.485755176968429</v>
          </cell>
          <cell r="N32">
            <v>0.89794362681754358</v>
          </cell>
          <cell r="O32">
            <v>0.91201694404352718</v>
          </cell>
          <cell r="P32">
            <v>0.85125423267540556</v>
          </cell>
          <cell r="Q32">
            <v>0.73204497427617965</v>
          </cell>
          <cell r="R32">
            <v>0.73428349109996394</v>
          </cell>
          <cell r="S32">
            <v>0.71341173425108251</v>
          </cell>
          <cell r="T32">
            <v>0.89455902577447755</v>
          </cell>
          <cell r="U32">
            <v>1.032083805968905</v>
          </cell>
          <cell r="V32">
            <v>1.0963398187475875</v>
          </cell>
          <cell r="W32">
            <v>1.617287860192538</v>
          </cell>
          <cell r="X32">
            <v>1.8239074921539626</v>
          </cell>
          <cell r="Y32">
            <v>1.6267354909009817</v>
          </cell>
          <cell r="Z32">
            <v>1.5970323938843554</v>
          </cell>
          <cell r="AA32">
            <v>1.5393396581386409</v>
          </cell>
          <cell r="AB32">
            <v>1.2960530677092543</v>
          </cell>
          <cell r="AC32">
            <v>1.3176455108269955</v>
          </cell>
          <cell r="AD32">
            <v>1.2469979474733393</v>
          </cell>
          <cell r="AE32">
            <v>1.3540449607593745</v>
          </cell>
        </row>
        <row r="33">
          <cell r="G33" t="str">
            <v>RegionLarge RetNew</v>
          </cell>
          <cell r="H33" t="str">
            <v>Com</v>
          </cell>
          <cell r="I33" t="str">
            <v>Large Ret</v>
          </cell>
          <cell r="J33" t="str">
            <v>New</v>
          </cell>
          <cell r="K33" t="str">
            <v>Millions SqFt</v>
          </cell>
          <cell r="L33">
            <v>0.71960427219664069</v>
          </cell>
          <cell r="M33">
            <v>0.59647847099566831</v>
          </cell>
          <cell r="N33">
            <v>0.36611838042447359</v>
          </cell>
          <cell r="O33">
            <v>0.3731768350638246</v>
          </cell>
          <cell r="P33">
            <v>0.34504559304633386</v>
          </cell>
          <cell r="Q33">
            <v>0.2928623587115301</v>
          </cell>
          <cell r="R33">
            <v>0.29376294298921468</v>
          </cell>
          <cell r="S33">
            <v>0.28416308329236456</v>
          </cell>
          <cell r="T33">
            <v>0.36455471421578001</v>
          </cell>
          <cell r="U33">
            <v>0.42646627810709853</v>
          </cell>
          <cell r="V33">
            <v>0.44956380488737768</v>
          </cell>
          <cell r="W33">
            <v>0.65213839834683018</v>
          </cell>
          <cell r="X33">
            <v>0.73353807331773047</v>
          </cell>
          <cell r="Y33">
            <v>0.65560780242911365</v>
          </cell>
          <cell r="Z33">
            <v>0.64604928436358278</v>
          </cell>
          <cell r="AA33">
            <v>0.62178261445398098</v>
          </cell>
          <cell r="AB33">
            <v>0.52554853465709617</v>
          </cell>
          <cell r="AC33">
            <v>0.53266253778165396</v>
          </cell>
          <cell r="AD33">
            <v>0.50454130308386236</v>
          </cell>
          <cell r="AE33">
            <v>0.54553111610891503</v>
          </cell>
        </row>
        <row r="34">
          <cell r="G34" t="str">
            <v>RegionMedium RetNew</v>
          </cell>
          <cell r="H34" t="str">
            <v>Com</v>
          </cell>
          <cell r="I34" t="str">
            <v>Medium Ret</v>
          </cell>
          <cell r="J34" t="str">
            <v>New</v>
          </cell>
          <cell r="K34" t="str">
            <v>Millions SqFt</v>
          </cell>
          <cell r="L34">
            <v>2.7275899469990224</v>
          </cell>
          <cell r="M34">
            <v>2.2451802625726844</v>
          </cell>
          <cell r="N34">
            <v>1.3846551620328988</v>
          </cell>
          <cell r="O34">
            <v>1.414332931216091</v>
          </cell>
          <cell r="P34">
            <v>1.3048976182463843</v>
          </cell>
          <cell r="Q34">
            <v>1.1035456427042536</v>
          </cell>
          <cell r="R34">
            <v>1.0932193385059683</v>
          </cell>
          <cell r="S34">
            <v>1.0602010304011045</v>
          </cell>
          <cell r="T34">
            <v>1.3687417218066935</v>
          </cell>
          <cell r="U34">
            <v>1.6102119957699914</v>
          </cell>
          <cell r="V34">
            <v>1.7014476793012303</v>
          </cell>
          <cell r="W34">
            <v>2.4475448442766612</v>
          </cell>
          <cell r="X34">
            <v>2.7642584104961641</v>
          </cell>
          <cell r="Y34">
            <v>2.4645092385842489</v>
          </cell>
          <cell r="Z34">
            <v>2.435211674558635</v>
          </cell>
          <cell r="AA34">
            <v>2.3436666024455817</v>
          </cell>
          <cell r="AB34">
            <v>1.9970991421399598</v>
          </cell>
          <cell r="AC34">
            <v>2.0220850932468024</v>
          </cell>
          <cell r="AD34">
            <v>1.9074632582746243</v>
          </cell>
          <cell r="AE34">
            <v>2.0633846520749657</v>
          </cell>
        </row>
        <row r="35">
          <cell r="G35" t="str">
            <v>RegionSmall RetNew</v>
          </cell>
          <cell r="H35" t="str">
            <v>Com</v>
          </cell>
          <cell r="I35" t="str">
            <v>Small Ret</v>
          </cell>
          <cell r="J35" t="str">
            <v>New</v>
          </cell>
          <cell r="K35" t="str">
            <v>Millions SqFt</v>
          </cell>
          <cell r="L35">
            <v>0.86249938561661099</v>
          </cell>
          <cell r="M35">
            <v>0.71243811393533818</v>
          </cell>
          <cell r="N35">
            <v>0.43988135050703958</v>
          </cell>
          <cell r="O35">
            <v>0.44879648252082133</v>
          </cell>
          <cell r="P35">
            <v>0.41374173801952452</v>
          </cell>
          <cell r="Q35">
            <v>0.34301620014224921</v>
          </cell>
          <cell r="R35">
            <v>0.33946657261656726</v>
          </cell>
          <cell r="S35">
            <v>0.32965754978673117</v>
          </cell>
          <cell r="T35">
            <v>0.43689232903555525</v>
          </cell>
          <cell r="U35">
            <v>0.51886957722704219</v>
          </cell>
          <cell r="V35">
            <v>0.54817313334918127</v>
          </cell>
          <cell r="W35">
            <v>0.77969532117377649</v>
          </cell>
          <cell r="X35">
            <v>0.87858644381951334</v>
          </cell>
          <cell r="Y35">
            <v>0.78420074698109388</v>
          </cell>
          <cell r="Z35">
            <v>0.77728841592354081</v>
          </cell>
          <cell r="AA35">
            <v>0.74886674252534069</v>
          </cell>
          <cell r="AB35">
            <v>0.63964179951326661</v>
          </cell>
          <cell r="AC35">
            <v>0.64714740319049269</v>
          </cell>
          <cell r="AD35">
            <v>0.61166389038687663</v>
          </cell>
          <cell r="AE35">
            <v>0.66242443593788758</v>
          </cell>
        </row>
        <row r="36">
          <cell r="G36" t="str">
            <v>RegionSchool K-12New</v>
          </cell>
          <cell r="H36" t="str">
            <v>Com</v>
          </cell>
          <cell r="I36" t="str">
            <v>School K-12</v>
          </cell>
          <cell r="J36" t="str">
            <v>New</v>
          </cell>
          <cell r="K36" t="str">
            <v>Millions SqFt</v>
          </cell>
          <cell r="L36">
            <v>0.49337113702797691</v>
          </cell>
          <cell r="M36">
            <v>1.1029723159217257</v>
          </cell>
          <cell r="N36">
            <v>0.94992456965043459</v>
          </cell>
          <cell r="O36">
            <v>0.71720701164062661</v>
          </cell>
          <cell r="P36">
            <v>0.7442281187428561</v>
          </cell>
          <cell r="Q36">
            <v>0.85140099810585501</v>
          </cell>
          <cell r="R36">
            <v>0.99139466996200198</v>
          </cell>
          <cell r="S36">
            <v>1.5014629353162949</v>
          </cell>
          <cell r="T36">
            <v>1.8697826256608596</v>
          </cell>
          <cell r="U36">
            <v>1.6452707482432332</v>
          </cell>
          <cell r="V36">
            <v>1.6753181172445872</v>
          </cell>
          <cell r="W36">
            <v>1.7943041099264481</v>
          </cell>
          <cell r="X36">
            <v>1.8624299937819393</v>
          </cell>
          <cell r="Y36">
            <v>1.7489264522150836</v>
          </cell>
          <cell r="Z36">
            <v>1.7975598556031414</v>
          </cell>
          <cell r="AA36">
            <v>1.6195220459723754</v>
          </cell>
          <cell r="AB36">
            <v>1.8221433074925411</v>
          </cell>
          <cell r="AC36">
            <v>1.6336676691608698</v>
          </cell>
          <cell r="AD36">
            <v>1.7826242149357872</v>
          </cell>
          <cell r="AE36">
            <v>1.6891002859244486</v>
          </cell>
        </row>
        <row r="37">
          <cell r="G37" t="str">
            <v>RegionUniversityNew</v>
          </cell>
          <cell r="H37" t="str">
            <v>Com</v>
          </cell>
          <cell r="I37" t="str">
            <v>University</v>
          </cell>
          <cell r="J37" t="str">
            <v>New</v>
          </cell>
          <cell r="K37" t="str">
            <v>Millions SqFt</v>
          </cell>
          <cell r="L37">
            <v>0.2800209986196866</v>
          </cell>
          <cell r="M37">
            <v>0.29719871383536939</v>
          </cell>
          <cell r="N37">
            <v>0.58203115602335975</v>
          </cell>
          <cell r="O37">
            <v>0.83189457735737737</v>
          </cell>
          <cell r="P37">
            <v>0.66610454718876777</v>
          </cell>
          <cell r="Q37">
            <v>0.73648247778559484</v>
          </cell>
          <cell r="R37">
            <v>0.64334185638367225</v>
          </cell>
          <cell r="S37">
            <v>0.97289424291238524</v>
          </cell>
          <cell r="T37">
            <v>1.1820978013224126</v>
          </cell>
          <cell r="U37">
            <v>1.1785313924254113</v>
          </cell>
          <cell r="V37">
            <v>1.2952038876416079</v>
          </cell>
          <cell r="W37">
            <v>1.3229243736280945</v>
          </cell>
          <cell r="X37">
            <v>1.422909455419719</v>
          </cell>
          <cell r="Y37">
            <v>1.4430187909981058</v>
          </cell>
          <cell r="Z37">
            <v>1.2923971403480323</v>
          </cell>
          <cell r="AA37">
            <v>1.1785050733908478</v>
          </cell>
          <cell r="AB37">
            <v>1.3433889489273994</v>
          </cell>
          <cell r="AC37">
            <v>1.2265545990556588</v>
          </cell>
          <cell r="AD37">
            <v>1.2571458643971927</v>
          </cell>
          <cell r="AE37">
            <v>1.2979913333963795</v>
          </cell>
        </row>
        <row r="38">
          <cell r="G38" t="str">
            <v>RegionWarehouseNew</v>
          </cell>
          <cell r="H38" t="str">
            <v>Com</v>
          </cell>
          <cell r="I38" t="str">
            <v>Warehouse</v>
          </cell>
          <cell r="J38" t="str">
            <v>New</v>
          </cell>
          <cell r="K38" t="str">
            <v>Millions SqFt</v>
          </cell>
          <cell r="L38">
            <v>7.6586609772993617</v>
          </cell>
          <cell r="M38">
            <v>7.5774552212762423</v>
          </cell>
          <cell r="N38">
            <v>5.6453939930651131</v>
          </cell>
          <cell r="O38">
            <v>4.800793231843981</v>
          </cell>
          <cell r="P38">
            <v>3.5881391412601156</v>
          </cell>
          <cell r="Q38">
            <v>3.1529819033971824</v>
          </cell>
          <cell r="R38">
            <v>4.0691744688008198</v>
          </cell>
          <cell r="S38">
            <v>4.5400289951106014</v>
          </cell>
          <cell r="T38">
            <v>4.8555474587969272</v>
          </cell>
          <cell r="U38">
            <v>4.6966359797376018</v>
          </cell>
          <cell r="V38">
            <v>4.8557170740974245</v>
          </cell>
          <cell r="W38">
            <v>4.451750056135543</v>
          </cell>
          <cell r="X38">
            <v>3.8657972013430704</v>
          </cell>
          <cell r="Y38">
            <v>3.9817445148405937</v>
          </cell>
          <cell r="Z38">
            <v>3.9951806948216846</v>
          </cell>
          <cell r="AA38">
            <v>4.4738164673360306</v>
          </cell>
          <cell r="AB38">
            <v>4.2737219736102183</v>
          </cell>
          <cell r="AC38">
            <v>4.0870251812551333</v>
          </cell>
          <cell r="AD38">
            <v>4.137725578117939</v>
          </cell>
          <cell r="AE38">
            <v>3.6922064696454697</v>
          </cell>
        </row>
        <row r="39">
          <cell r="G39" t="str">
            <v>RegionSupermarketNew</v>
          </cell>
          <cell r="H39" t="str">
            <v>Com</v>
          </cell>
          <cell r="I39" t="str">
            <v>Supermarket</v>
          </cell>
          <cell r="J39" t="str">
            <v>New</v>
          </cell>
          <cell r="K39" t="str">
            <v>Millions SqFt</v>
          </cell>
          <cell r="L39">
            <v>0.38924897939746522</v>
          </cell>
          <cell r="M39">
            <v>0.34341311895347121</v>
          </cell>
          <cell r="N39">
            <v>0.29927348040561341</v>
          </cell>
          <cell r="O39">
            <v>0.29688874456634085</v>
          </cell>
          <cell r="P39">
            <v>0.29379933994281465</v>
          </cell>
          <cell r="Q39">
            <v>0.29041766271303127</v>
          </cell>
          <cell r="R39">
            <v>0.28614144770449462</v>
          </cell>
          <cell r="S39">
            <v>0.28163861967746157</v>
          </cell>
          <cell r="T39">
            <v>0.27688800876616482</v>
          </cell>
          <cell r="U39">
            <v>0.27357754310134663</v>
          </cell>
          <cell r="V39">
            <v>0.27063184585003941</v>
          </cell>
          <cell r="W39">
            <v>0.26801411864303953</v>
          </cell>
          <cell r="X39">
            <v>0.26660240614409092</v>
          </cell>
          <cell r="Y39">
            <v>0.25138198684402913</v>
          </cell>
          <cell r="Z39">
            <v>0.26455339135243683</v>
          </cell>
          <cell r="AA39">
            <v>0.26299167309250365</v>
          </cell>
          <cell r="AB39">
            <v>0.26140909607327911</v>
          </cell>
          <cell r="AC39">
            <v>0.25947687815142023</v>
          </cell>
          <cell r="AD39">
            <v>0.25750619496776178</v>
          </cell>
          <cell r="AE39">
            <v>0.25562560804995926</v>
          </cell>
        </row>
        <row r="40">
          <cell r="G40" t="str">
            <v>RegionMiniMartNew</v>
          </cell>
          <cell r="H40" t="str">
            <v>Com</v>
          </cell>
          <cell r="I40" t="str">
            <v>MiniMart</v>
          </cell>
          <cell r="J40" t="str">
            <v>New</v>
          </cell>
          <cell r="K40" t="str">
            <v>Millions SqFt</v>
          </cell>
          <cell r="L40">
            <v>0.19765540078516197</v>
          </cell>
          <cell r="M40">
            <v>0.18600542935034625</v>
          </cell>
          <cell r="N40">
            <v>9.5760802585072302E-2</v>
          </cell>
          <cell r="O40">
            <v>0.10062051473914659</v>
          </cell>
          <cell r="P40">
            <v>8.5646792534183808E-2</v>
          </cell>
          <cell r="Q40">
            <v>6.5415041923045286E-2</v>
          </cell>
          <cell r="R40">
            <v>5.7242996146950373E-2</v>
          </cell>
          <cell r="S40">
            <v>5.5087150941189433E-2</v>
          </cell>
          <cell r="T40">
            <v>7.3916214299540497E-2</v>
          </cell>
          <cell r="U40">
            <v>9.2056169088318471E-2</v>
          </cell>
          <cell r="V40">
            <v>0.10393709432109566</v>
          </cell>
          <cell r="W40">
            <v>0.15172170448022598</v>
          </cell>
          <cell r="X40">
            <v>0.15706997726929292</v>
          </cell>
          <cell r="Y40">
            <v>0.14510580631504899</v>
          </cell>
          <cell r="Z40">
            <v>0.15272706829792246</v>
          </cell>
          <cell r="AA40">
            <v>0.14104647748606622</v>
          </cell>
          <cell r="AB40">
            <v>0.11700741064540764</v>
          </cell>
          <cell r="AC40">
            <v>0.1200067315077773</v>
          </cell>
          <cell r="AD40">
            <v>0.11457442878633581</v>
          </cell>
          <cell r="AE40">
            <v>0.1211768182439132</v>
          </cell>
        </row>
        <row r="41">
          <cell r="G41" t="str">
            <v>RegionRestaurantNew</v>
          </cell>
          <cell r="H41" t="str">
            <v>Com</v>
          </cell>
          <cell r="I41" t="str">
            <v>Restaurant</v>
          </cell>
          <cell r="J41" t="str">
            <v>New</v>
          </cell>
          <cell r="K41" t="str">
            <v>Millions SqFt</v>
          </cell>
          <cell r="L41">
            <v>0.46894871790011039</v>
          </cell>
          <cell r="M41">
            <v>0.47387410836125871</v>
          </cell>
          <cell r="N41">
            <v>0.45144590813821411</v>
          </cell>
          <cell r="O41">
            <v>0.4505136151455652</v>
          </cell>
          <cell r="P41">
            <v>0.44778046039172248</v>
          </cell>
          <cell r="Q41">
            <v>0.44523396067124349</v>
          </cell>
          <cell r="R41">
            <v>0.44273536313864043</v>
          </cell>
          <cell r="S41">
            <v>0.4399078135546039</v>
          </cell>
          <cell r="T41">
            <v>0.43708606600163591</v>
          </cell>
          <cell r="U41">
            <v>0.43513915585550955</v>
          </cell>
          <cell r="V41">
            <v>0.43580404899906589</v>
          </cell>
          <cell r="W41">
            <v>0.59161866303702282</v>
          </cell>
          <cell r="X41">
            <v>0.66467702134516005</v>
          </cell>
          <cell r="Y41">
            <v>0.65353995366480533</v>
          </cell>
          <cell r="Z41">
            <v>0.676060915960916</v>
          </cell>
          <cell r="AA41">
            <v>0.70559825286541389</v>
          </cell>
          <cell r="AB41">
            <v>0.63206878506691044</v>
          </cell>
          <cell r="AC41">
            <v>0.63726309269471215</v>
          </cell>
          <cell r="AD41">
            <v>0.5828366650853003</v>
          </cell>
          <cell r="AE41">
            <v>0.63928201324113043</v>
          </cell>
        </row>
        <row r="42">
          <cell r="G42" t="str">
            <v>RegionLodgingNew</v>
          </cell>
          <cell r="H42" t="str">
            <v>Com</v>
          </cell>
          <cell r="I42" t="str">
            <v>Lodging</v>
          </cell>
          <cell r="J42" t="str">
            <v>New</v>
          </cell>
          <cell r="K42" t="str">
            <v>Millions SqFt</v>
          </cell>
          <cell r="L42">
            <v>1.0326774321313152</v>
          </cell>
          <cell r="M42">
            <v>1.0158776160943388</v>
          </cell>
          <cell r="N42">
            <v>0.74304915446037911</v>
          </cell>
          <cell r="O42">
            <v>0.76054102414226543</v>
          </cell>
          <cell r="P42">
            <v>0.65616402459427536</v>
          </cell>
          <cell r="Q42">
            <v>0.62755023267601961</v>
          </cell>
          <cell r="R42">
            <v>0.61023293273354484</v>
          </cell>
          <cell r="S42">
            <v>0.60571699788717037</v>
          </cell>
          <cell r="T42">
            <v>0.65097903457434547</v>
          </cell>
          <cell r="U42">
            <v>0.69319811486407867</v>
          </cell>
          <cell r="V42">
            <v>0.78843795894088464</v>
          </cell>
          <cell r="W42">
            <v>1.3645659476947984</v>
          </cell>
          <cell r="X42">
            <v>1.6032227373726178</v>
          </cell>
          <cell r="Y42">
            <v>1.6412696995684901</v>
          </cell>
          <cell r="Z42">
            <v>1.670283030615213</v>
          </cell>
          <cell r="AA42">
            <v>1.755661848186447</v>
          </cell>
          <cell r="AB42">
            <v>1.4871375295645746</v>
          </cell>
          <cell r="AC42">
            <v>1.4400033906080374</v>
          </cell>
          <cell r="AD42">
            <v>1.3499648074414823</v>
          </cell>
          <cell r="AE42">
            <v>1.4487057151095009</v>
          </cell>
        </row>
        <row r="43">
          <cell r="G43" t="str">
            <v>RegionHospitalNew</v>
          </cell>
          <cell r="H43" t="str">
            <v>Com</v>
          </cell>
          <cell r="I43" t="str">
            <v>Hospital</v>
          </cell>
          <cell r="J43" t="str">
            <v>New</v>
          </cell>
          <cell r="K43" t="str">
            <v>Millions SqFt</v>
          </cell>
          <cell r="L43">
            <v>4.1336070304911159</v>
          </cell>
          <cell r="M43">
            <v>3.5601449453189118</v>
          </cell>
          <cell r="N43">
            <v>3.2007770264658664</v>
          </cell>
          <cell r="O43">
            <v>2.6531465767673241</v>
          </cell>
          <cell r="P43">
            <v>1.8730082465149496</v>
          </cell>
          <cell r="Q43">
            <v>1.6467285324389391</v>
          </cell>
          <cell r="R43">
            <v>1.5196240263467067</v>
          </cell>
          <cell r="S43">
            <v>1.3328145698119136</v>
          </cell>
          <cell r="T43">
            <v>1.3372342578617185</v>
          </cell>
          <cell r="U43">
            <v>1.4086686461757902</v>
          </cell>
          <cell r="V43">
            <v>1.6725933548501446</v>
          </cell>
          <cell r="W43">
            <v>2.0158466086985318</v>
          </cell>
          <cell r="X43">
            <v>2.3033709594417431</v>
          </cell>
          <cell r="Y43">
            <v>2.063930246052466</v>
          </cell>
          <cell r="Z43">
            <v>1.9880083370090949</v>
          </cell>
          <cell r="AA43">
            <v>1.9342270452860566</v>
          </cell>
          <cell r="AB43">
            <v>1.774507966199161</v>
          </cell>
          <cell r="AC43">
            <v>1.6723841845019074</v>
          </cell>
          <cell r="AD43">
            <v>1.5414284807799123</v>
          </cell>
          <cell r="AE43">
            <v>1.5563040522680198</v>
          </cell>
        </row>
        <row r="44">
          <cell r="G44" t="str">
            <v>RegionResidential CareNew</v>
          </cell>
          <cell r="H44" t="str">
            <v>Com</v>
          </cell>
          <cell r="I44" t="str">
            <v>Residential Care</v>
          </cell>
          <cell r="J44" t="str">
            <v>New</v>
          </cell>
          <cell r="K44" t="str">
            <v>Millions SqFt</v>
          </cell>
          <cell r="L44">
            <v>4.5029406937179912</v>
          </cell>
          <cell r="M44">
            <v>4.0786070344439063</v>
          </cell>
          <cell r="N44">
            <v>3.5919834720533679</v>
          </cell>
          <cell r="O44">
            <v>3.0400934926407626</v>
          </cell>
          <cell r="P44">
            <v>2.3018670718031324</v>
          </cell>
          <cell r="Q44">
            <v>2.1321468422073435</v>
          </cell>
          <cell r="R44">
            <v>1.9771504564110642</v>
          </cell>
          <cell r="S44">
            <v>1.8096072137015302</v>
          </cell>
          <cell r="T44">
            <v>1.9023478055732992</v>
          </cell>
          <cell r="U44">
            <v>2.0129777404511922</v>
          </cell>
          <cell r="V44">
            <v>2.304026079874093</v>
          </cell>
          <cell r="W44">
            <v>2.7992417645016405</v>
          </cell>
          <cell r="X44">
            <v>3.0682339807477179</v>
          </cell>
          <cell r="Y44">
            <v>2.7441690138981158</v>
          </cell>
          <cell r="Z44">
            <v>2.8046561391012603</v>
          </cell>
          <cell r="AA44">
            <v>2.7282838662201567</v>
          </cell>
          <cell r="AB44">
            <v>2.4959637785038216</v>
          </cell>
          <cell r="AC44">
            <v>2.4392052334479857</v>
          </cell>
          <cell r="AD44">
            <v>2.3386950979959957</v>
          </cell>
          <cell r="AE44">
            <v>2.3103955399373803</v>
          </cell>
        </row>
        <row r="45">
          <cell r="G45" t="str">
            <v>RegionAssemblyNew</v>
          </cell>
          <cell r="H45" t="str">
            <v>Com</v>
          </cell>
          <cell r="I45" t="str">
            <v>Assembly</v>
          </cell>
          <cell r="J45" t="str">
            <v>New</v>
          </cell>
          <cell r="K45" t="str">
            <v>Millions SqFt</v>
          </cell>
          <cell r="L45">
            <v>3.1854829351393543</v>
          </cell>
          <cell r="M45">
            <v>3.1699057451518957</v>
          </cell>
          <cell r="N45">
            <v>2.2628528186826316</v>
          </cell>
          <cell r="O45">
            <v>2.6023617076700645</v>
          </cell>
          <cell r="P45">
            <v>2.2919684786454506</v>
          </cell>
          <cell r="Q45">
            <v>2.1556450092355899</v>
          </cell>
          <cell r="R45">
            <v>1.4820394508668711</v>
          </cell>
          <cell r="S45">
            <v>1.5603361472368396</v>
          </cell>
          <cell r="T45">
            <v>2.3546097038898557</v>
          </cell>
          <cell r="U45">
            <v>3.2740386396924066</v>
          </cell>
          <cell r="V45">
            <v>3.6241751874536021</v>
          </cell>
          <cell r="W45">
            <v>4.4420137300219826</v>
          </cell>
          <cell r="X45">
            <v>5.8224273473135861</v>
          </cell>
          <cell r="Y45">
            <v>6.4604400946422142</v>
          </cell>
          <cell r="Z45">
            <v>6.9014803298142597</v>
          </cell>
          <cell r="AA45">
            <v>6.748515751490312</v>
          </cell>
          <cell r="AB45">
            <v>6.4364694734288266</v>
          </cell>
          <cell r="AC45">
            <v>6.3053235195290611</v>
          </cell>
          <cell r="AD45">
            <v>6.2236620394663484</v>
          </cell>
          <cell r="AE45">
            <v>6.0386522880717726</v>
          </cell>
        </row>
        <row r="46">
          <cell r="G46" t="str">
            <v>RegionOtherNew</v>
          </cell>
          <cell r="H46" t="str">
            <v>Com</v>
          </cell>
          <cell r="I46" t="str">
            <v>Other</v>
          </cell>
          <cell r="J46" t="str">
            <v>New</v>
          </cell>
          <cell r="K46" t="str">
            <v>Millions SqFt</v>
          </cell>
          <cell r="L46">
            <v>12.863107129152304</v>
          </cell>
          <cell r="M46">
            <v>10.7220378193485</v>
          </cell>
          <cell r="N46">
            <v>10.142128438066296</v>
          </cell>
          <cell r="O46">
            <v>9.4611923499879236</v>
          </cell>
          <cell r="P46">
            <v>7.3638556881373223</v>
          </cell>
          <cell r="Q46">
            <v>8.1591439254269407</v>
          </cell>
          <cell r="R46">
            <v>7.9603673258815011</v>
          </cell>
          <cell r="S46">
            <v>8.6026166911432824</v>
          </cell>
          <cell r="T46">
            <v>9.3207800366095146</v>
          </cell>
          <cell r="U46">
            <v>9.0572786632714859</v>
          </cell>
          <cell r="V46">
            <v>10.184423730877143</v>
          </cell>
          <cell r="W46">
            <v>10.787657533789663</v>
          </cell>
          <cell r="X46">
            <v>11.005378574708409</v>
          </cell>
          <cell r="Y46">
            <v>10.267063981307951</v>
          </cell>
          <cell r="Z46">
            <v>11.027475862918971</v>
          </cell>
          <cell r="AA46">
            <v>9.9609233822623686</v>
          </cell>
          <cell r="AB46">
            <v>10.340047869658916</v>
          </cell>
          <cell r="AC46">
            <v>9.8383849729989699</v>
          </cell>
          <cell r="AD46">
            <v>9.3282989614436094</v>
          </cell>
          <cell r="AE46">
            <v>9.0355729282982153</v>
          </cell>
        </row>
        <row r="47">
          <cell r="G47" t="str">
            <v>RegionLarge OffStock 2016</v>
          </cell>
          <cell r="H47" t="str">
            <v>Com</v>
          </cell>
          <cell r="I47" t="str">
            <v>Large Off</v>
          </cell>
          <cell r="J47" t="str">
            <v>Stock 2016</v>
          </cell>
          <cell r="K47" t="str">
            <v>Millions SqFt</v>
          </cell>
          <cell r="L47">
            <v>380.08828477966154</v>
          </cell>
          <cell r="M47">
            <v>378.94801992532251</v>
          </cell>
          <cell r="N47">
            <v>377.81117586554655</v>
          </cell>
          <cell r="O47">
            <v>376.67774233794995</v>
          </cell>
          <cell r="P47">
            <v>375.54770911093607</v>
          </cell>
          <cell r="Q47">
            <v>374.42106598360328</v>
          </cell>
          <cell r="R47">
            <v>373.29780278565244</v>
          </cell>
          <cell r="S47">
            <v>372.17790937729552</v>
          </cell>
          <cell r="T47">
            <v>371.06137564916361</v>
          </cell>
          <cell r="U47">
            <v>369.94819152221612</v>
          </cell>
          <cell r="V47">
            <v>368.83834694764948</v>
          </cell>
          <cell r="W47">
            <v>367.73183190680658</v>
          </cell>
          <cell r="X47">
            <v>366.62863641108612</v>
          </cell>
          <cell r="Y47">
            <v>365.52875050185287</v>
          </cell>
          <cell r="Z47">
            <v>364.43216425034728</v>
          </cell>
          <cell r="AA47">
            <v>363.33886775759629</v>
          </cell>
          <cell r="AB47">
            <v>362.24885115432346</v>
          </cell>
          <cell r="AC47">
            <v>361.16210460086046</v>
          </cell>
          <cell r="AD47">
            <v>360.07861828705791</v>
          </cell>
          <cell r="AE47">
            <v>358.99838243219671</v>
          </cell>
        </row>
        <row r="48">
          <cell r="G48" t="str">
            <v>RegionMedium OffStock 2016</v>
          </cell>
          <cell r="H48" t="str">
            <v>Com</v>
          </cell>
          <cell r="I48" t="str">
            <v>Medium Off</v>
          </cell>
          <cell r="J48" t="str">
            <v>Stock 2016</v>
          </cell>
          <cell r="K48" t="str">
            <v>Millions SqFt</v>
          </cell>
          <cell r="L48">
            <v>190.73687138333023</v>
          </cell>
          <cell r="M48">
            <v>190.16466076918024</v>
          </cell>
          <cell r="N48">
            <v>189.59416678687271</v>
          </cell>
          <cell r="O48">
            <v>189.02538428651209</v>
          </cell>
          <cell r="P48">
            <v>188.45830813365254</v>
          </cell>
          <cell r="Q48">
            <v>187.89293320925157</v>
          </cell>
          <cell r="R48">
            <v>187.32925440962381</v>
          </cell>
          <cell r="S48">
            <v>186.76726664639497</v>
          </cell>
          <cell r="T48">
            <v>186.20696484645578</v>
          </cell>
          <cell r="U48">
            <v>185.64834395191642</v>
          </cell>
          <cell r="V48">
            <v>185.09139892006067</v>
          </cell>
          <cell r="W48">
            <v>184.5361247233005</v>
          </cell>
          <cell r="X48">
            <v>183.98251634913058</v>
          </cell>
          <cell r="Y48">
            <v>183.43056880008319</v>
          </cell>
          <cell r="Z48">
            <v>182.88027709368296</v>
          </cell>
          <cell r="AA48">
            <v>182.33163626240187</v>
          </cell>
          <cell r="AB48">
            <v>181.78464135361469</v>
          </cell>
          <cell r="AC48">
            <v>181.23928742955383</v>
          </cell>
          <cell r="AD48">
            <v>180.69556956726515</v>
          </cell>
          <cell r="AE48">
            <v>180.15348285856339</v>
          </cell>
        </row>
        <row r="49">
          <cell r="G49" t="str">
            <v>RegionSmall OffStock 2016</v>
          </cell>
          <cell r="H49" t="str">
            <v>Com</v>
          </cell>
          <cell r="I49" t="str">
            <v>Small Off</v>
          </cell>
          <cell r="J49" t="str">
            <v>Stock 2016</v>
          </cell>
          <cell r="K49" t="str">
            <v>Millions SqFt</v>
          </cell>
          <cell r="L49">
            <v>184.0913556049378</v>
          </cell>
          <cell r="M49">
            <v>183.53908153812301</v>
          </cell>
          <cell r="N49">
            <v>182.98846429350866</v>
          </cell>
          <cell r="O49">
            <v>182.43949890062811</v>
          </cell>
          <cell r="P49">
            <v>181.89218040392623</v>
          </cell>
          <cell r="Q49">
            <v>181.34650386271446</v>
          </cell>
          <cell r="R49">
            <v>180.80246435112633</v>
          </cell>
          <cell r="S49">
            <v>180.26005695807294</v>
          </cell>
          <cell r="T49">
            <v>179.71927678719871</v>
          </cell>
          <cell r="U49">
            <v>179.18011895683713</v>
          </cell>
          <cell r="V49">
            <v>178.64257859996661</v>
          </cell>
          <cell r="W49">
            <v>178.10665086416668</v>
          </cell>
          <cell r="X49">
            <v>177.57233091157423</v>
          </cell>
          <cell r="Y49">
            <v>177.03961391883951</v>
          </cell>
          <cell r="Z49">
            <v>176.50849507708296</v>
          </cell>
          <cell r="AA49">
            <v>175.97896959185172</v>
          </cell>
          <cell r="AB49">
            <v>175.45103268307616</v>
          </cell>
          <cell r="AC49">
            <v>174.92467958502692</v>
          </cell>
          <cell r="AD49">
            <v>174.39990554627184</v>
          </cell>
          <cell r="AE49">
            <v>173.87670582963304</v>
          </cell>
        </row>
        <row r="50">
          <cell r="G50" t="str">
            <v>RegionXLarge RetStock 2016</v>
          </cell>
          <cell r="H50" t="str">
            <v>Com</v>
          </cell>
          <cell r="I50" t="str">
            <v>XLarge Ret</v>
          </cell>
          <cell r="J50" t="str">
            <v>Stock 2016</v>
          </cell>
          <cell r="K50" t="str">
            <v>Millions SqFt</v>
          </cell>
          <cell r="L50">
            <v>138.35734062238015</v>
          </cell>
          <cell r="M50">
            <v>137.7208968555172</v>
          </cell>
          <cell r="N50">
            <v>137.08738072998179</v>
          </cell>
          <cell r="O50">
            <v>136.45677877862389</v>
          </cell>
          <cell r="P50">
            <v>135.8290775962422</v>
          </cell>
          <cell r="Q50">
            <v>135.20426383929947</v>
          </cell>
          <cell r="R50">
            <v>134.5823242256387</v>
          </cell>
          <cell r="S50">
            <v>133.96324553420075</v>
          </cell>
          <cell r="T50">
            <v>133.34701460474344</v>
          </cell>
          <cell r="U50">
            <v>132.73361833756161</v>
          </cell>
          <cell r="V50">
            <v>132.12304369320884</v>
          </cell>
          <cell r="W50">
            <v>131.51527769222005</v>
          </cell>
          <cell r="X50">
            <v>130.91030741483584</v>
          </cell>
          <cell r="Y50">
            <v>130.3081200007276</v>
          </cell>
          <cell r="Z50">
            <v>129.70870264872423</v>
          </cell>
          <cell r="AA50">
            <v>129.11204261654012</v>
          </cell>
          <cell r="AB50">
            <v>128.51812722050403</v>
          </cell>
          <cell r="AC50">
            <v>127.92694383528971</v>
          </cell>
          <cell r="AD50">
            <v>127.33847989364737</v>
          </cell>
          <cell r="AE50">
            <v>126.75272288613657</v>
          </cell>
        </row>
        <row r="51">
          <cell r="G51" t="str">
            <v>RegionLarge RetStock 2016</v>
          </cell>
          <cell r="H51" t="str">
            <v>Com</v>
          </cell>
          <cell r="I51" t="str">
            <v>Large Ret</v>
          </cell>
          <cell r="J51" t="str">
            <v>Stock 2016</v>
          </cell>
          <cell r="K51" t="str">
            <v>Millions SqFt</v>
          </cell>
          <cell r="L51">
            <v>208.9574509880029</v>
          </cell>
          <cell r="M51">
            <v>207.99624671345808</v>
          </cell>
          <cell r="N51">
            <v>207.03946397857615</v>
          </cell>
          <cell r="O51">
            <v>206.0870824442747</v>
          </cell>
          <cell r="P51">
            <v>205.13908186503102</v>
          </cell>
          <cell r="Q51">
            <v>204.1954420884519</v>
          </cell>
          <cell r="R51">
            <v>203.25614305484498</v>
          </cell>
          <cell r="S51">
            <v>202.32116479679266</v>
          </cell>
          <cell r="T51">
            <v>201.3904874387274</v>
          </cell>
          <cell r="U51">
            <v>200.46409119650929</v>
          </cell>
          <cell r="V51">
            <v>199.54195637700533</v>
          </cell>
          <cell r="W51">
            <v>198.62406337767112</v>
          </cell>
          <cell r="X51">
            <v>197.71039268613379</v>
          </cell>
          <cell r="Y51">
            <v>196.8009248797776</v>
          </cell>
          <cell r="Z51">
            <v>195.8956406253306</v>
          </cell>
          <cell r="AA51">
            <v>194.99452067845405</v>
          </cell>
          <cell r="AB51">
            <v>194.09754588333314</v>
          </cell>
          <cell r="AC51">
            <v>193.20469717226982</v>
          </cell>
          <cell r="AD51">
            <v>192.31595556527733</v>
          </cell>
          <cell r="AE51">
            <v>191.43130216967708</v>
          </cell>
        </row>
        <row r="52">
          <cell r="G52" t="str">
            <v>RegionMedium RetStock 2016</v>
          </cell>
          <cell r="H52" t="str">
            <v>Com</v>
          </cell>
          <cell r="I52" t="str">
            <v>Medium Ret</v>
          </cell>
          <cell r="J52" t="str">
            <v>Stock 2016</v>
          </cell>
          <cell r="K52" t="str">
            <v>Millions SqFt</v>
          </cell>
          <cell r="L52">
            <v>97.115689913224898</v>
          </cell>
          <cell r="M52">
            <v>96.668957739624062</v>
          </cell>
          <cell r="N52">
            <v>96.224280534021787</v>
          </cell>
          <cell r="O52">
            <v>95.781648843565293</v>
          </cell>
          <cell r="P52">
            <v>95.34105325888487</v>
          </cell>
          <cell r="Q52">
            <v>94.902484413894001</v>
          </cell>
          <cell r="R52">
            <v>94.465932985590086</v>
          </cell>
          <cell r="S52">
            <v>94.031389693856369</v>
          </cell>
          <cell r="T52">
            <v>93.598845301264618</v>
          </cell>
          <cell r="U52">
            <v>93.168290612878806</v>
          </cell>
          <cell r="V52">
            <v>92.739716476059556</v>
          </cell>
          <cell r="W52">
            <v>92.313113780269674</v>
          </cell>
          <cell r="X52">
            <v>91.888473456880433</v>
          </cell>
          <cell r="Y52">
            <v>91.465786478978771</v>
          </cell>
          <cell r="Z52">
            <v>91.045043861175472</v>
          </cell>
          <cell r="AA52">
            <v>90.626236659414062</v>
          </cell>
          <cell r="AB52">
            <v>90.209355970780734</v>
          </cell>
          <cell r="AC52">
            <v>89.794392933315152</v>
          </cell>
          <cell r="AD52">
            <v>89.381338725821905</v>
          </cell>
          <cell r="AE52">
            <v>88.97018456768312</v>
          </cell>
        </row>
        <row r="53">
          <cell r="G53" t="str">
            <v>RegionSmall RetStock 2016</v>
          </cell>
          <cell r="H53" t="str">
            <v>Com</v>
          </cell>
          <cell r="I53" t="str">
            <v>Small Ret</v>
          </cell>
          <cell r="J53" t="str">
            <v>Stock 2016</v>
          </cell>
          <cell r="K53" t="str">
            <v>Millions SqFt</v>
          </cell>
          <cell r="L53">
            <v>109.47966092768364</v>
          </cell>
          <cell r="M53">
            <v>108.97605448741629</v>
          </cell>
          <cell r="N53">
            <v>108.47476463677417</v>
          </cell>
          <cell r="O53">
            <v>107.975780719445</v>
          </cell>
          <cell r="P53">
            <v>107.47909212813555</v>
          </cell>
          <cell r="Q53">
            <v>106.98468830434612</v>
          </cell>
          <cell r="R53">
            <v>106.49255873814613</v>
          </cell>
          <cell r="S53">
            <v>106.00269296795065</v>
          </cell>
          <cell r="T53">
            <v>105.51508058029808</v>
          </cell>
          <cell r="U53">
            <v>105.0297112096287</v>
          </cell>
          <cell r="V53">
            <v>104.54657453806439</v>
          </cell>
          <cell r="W53">
            <v>104.0656602951893</v>
          </cell>
          <cell r="X53">
            <v>103.58695825783141</v>
          </cell>
          <cell r="Y53">
            <v>103.11045824984539</v>
          </cell>
          <cell r="Z53">
            <v>102.6361501418961</v>
          </cell>
          <cell r="AA53">
            <v>102.16402385124337</v>
          </cell>
          <cell r="AB53">
            <v>101.69406934152764</v>
          </cell>
          <cell r="AC53">
            <v>101.2262766225566</v>
          </cell>
          <cell r="AD53">
            <v>100.76063575009285</v>
          </cell>
          <cell r="AE53">
            <v>100.29713682564241</v>
          </cell>
        </row>
        <row r="54">
          <cell r="G54" t="str">
            <v>RegionSchool K-12Stock 2016</v>
          </cell>
          <cell r="H54" t="str">
            <v>Com</v>
          </cell>
          <cell r="I54" t="str">
            <v>School K-12</v>
          </cell>
          <cell r="J54" t="str">
            <v>Stock 2016</v>
          </cell>
          <cell r="K54" t="str">
            <v>Millions SqFt</v>
          </cell>
          <cell r="L54">
            <v>241.11763975818661</v>
          </cell>
          <cell r="M54">
            <v>240.12905743517803</v>
          </cell>
          <cell r="N54">
            <v>239.14452829969383</v>
          </cell>
          <cell r="O54">
            <v>238.16403573366509</v>
          </cell>
          <cell r="P54">
            <v>237.18756318715711</v>
          </cell>
          <cell r="Q54">
            <v>236.21509417808971</v>
          </cell>
          <cell r="R54">
            <v>235.24661229195956</v>
          </cell>
          <cell r="S54">
            <v>234.28210118156252</v>
          </cell>
          <cell r="T54">
            <v>233.32154456671807</v>
          </cell>
          <cell r="U54">
            <v>232.36492623399457</v>
          </cell>
          <cell r="V54">
            <v>231.41223003643518</v>
          </cell>
          <cell r="W54">
            <v>230.46343989328579</v>
          </cell>
          <cell r="X54">
            <v>229.51853978972335</v>
          </cell>
          <cell r="Y54">
            <v>228.57751377658545</v>
          </cell>
          <cell r="Z54">
            <v>227.64034597010144</v>
          </cell>
          <cell r="AA54">
            <v>226.70702055162403</v>
          </cell>
          <cell r="AB54">
            <v>225.77752176736234</v>
          </cell>
          <cell r="AC54">
            <v>224.85183392811618</v>
          </cell>
          <cell r="AD54">
            <v>223.92994140901092</v>
          </cell>
          <cell r="AE54">
            <v>223.01182864923393</v>
          </cell>
        </row>
        <row r="55">
          <cell r="G55" t="str">
            <v>RegionUniversityStock 2016</v>
          </cell>
          <cell r="H55" t="str">
            <v>Com</v>
          </cell>
          <cell r="I55" t="str">
            <v>University</v>
          </cell>
          <cell r="J55" t="str">
            <v>Stock 2016</v>
          </cell>
          <cell r="K55" t="str">
            <v>Millions SqFt</v>
          </cell>
          <cell r="L55">
            <v>122.15340627232256</v>
          </cell>
          <cell r="M55">
            <v>121.65257730660603</v>
          </cell>
          <cell r="N55">
            <v>121.15380173964894</v>
          </cell>
          <cell r="O55">
            <v>120.65707115251638</v>
          </cell>
          <cell r="P55">
            <v>120.16237716079107</v>
          </cell>
          <cell r="Q55">
            <v>119.66971141443182</v>
          </cell>
          <cell r="R55">
            <v>119.17906559763266</v>
          </cell>
          <cell r="S55">
            <v>118.69043142868237</v>
          </cell>
          <cell r="T55">
            <v>118.20380065982476</v>
          </cell>
          <cell r="U55">
            <v>117.71916507711948</v>
          </cell>
          <cell r="V55">
            <v>117.23651650030328</v>
          </cell>
          <cell r="W55">
            <v>116.75584678265207</v>
          </cell>
          <cell r="X55">
            <v>116.27714781084319</v>
          </cell>
          <cell r="Y55">
            <v>115.80041150481873</v>
          </cell>
          <cell r="Z55">
            <v>115.32562981764897</v>
          </cell>
          <cell r="AA55">
            <v>114.8527947353966</v>
          </cell>
          <cell r="AB55">
            <v>114.38189827698147</v>
          </cell>
          <cell r="AC55">
            <v>113.91293249404585</v>
          </cell>
          <cell r="AD55">
            <v>113.44588947082025</v>
          </cell>
          <cell r="AE55">
            <v>112.98076132398991</v>
          </cell>
        </row>
        <row r="56">
          <cell r="G56" t="str">
            <v>RegionWarehouseStock 2016</v>
          </cell>
          <cell r="H56" t="str">
            <v>Com</v>
          </cell>
          <cell r="I56" t="str">
            <v>Warehouse</v>
          </cell>
          <cell r="J56" t="str">
            <v>Stock 2016</v>
          </cell>
          <cell r="K56" t="str">
            <v>Millions SqFt</v>
          </cell>
          <cell r="L56">
            <v>448.69829599576161</v>
          </cell>
          <cell r="M56">
            <v>447.03811230057732</v>
          </cell>
          <cell r="N56">
            <v>445.3840712850652</v>
          </cell>
          <cell r="O56">
            <v>443.73615022131042</v>
          </cell>
          <cell r="P56">
            <v>442.09432646549152</v>
          </cell>
          <cell r="Q56">
            <v>440.45857745756916</v>
          </cell>
          <cell r="R56">
            <v>438.82888072097626</v>
          </cell>
          <cell r="S56">
            <v>437.2052138623086</v>
          </cell>
          <cell r="T56">
            <v>435.58755457101802</v>
          </cell>
          <cell r="U56">
            <v>433.97588061910528</v>
          </cell>
          <cell r="V56">
            <v>432.37016986081449</v>
          </cell>
          <cell r="W56">
            <v>430.77040023232951</v>
          </cell>
          <cell r="X56">
            <v>429.17654975146979</v>
          </cell>
          <cell r="Y56">
            <v>427.58859651738936</v>
          </cell>
          <cell r="Z56">
            <v>426.00651871027503</v>
          </cell>
          <cell r="AA56">
            <v>424.43029459104702</v>
          </cell>
          <cell r="AB56">
            <v>422.85990250106011</v>
          </cell>
          <cell r="AC56">
            <v>421.2953208618062</v>
          </cell>
          <cell r="AD56">
            <v>419.73652817461749</v>
          </cell>
          <cell r="AE56">
            <v>418.18350302037135</v>
          </cell>
        </row>
        <row r="57">
          <cell r="G57" t="str">
            <v>RegionSupermarketStock 2016</v>
          </cell>
          <cell r="H57" t="str">
            <v>Com</v>
          </cell>
          <cell r="I57" t="str">
            <v>Supermarket</v>
          </cell>
          <cell r="J57" t="str">
            <v>Stock 2016</v>
          </cell>
          <cell r="K57" t="str">
            <v>Millions SqFt</v>
          </cell>
          <cell r="L57">
            <v>53.720939527021244</v>
          </cell>
          <cell r="M57">
            <v>53.237451071278059</v>
          </cell>
          <cell r="N57">
            <v>52.758314011636557</v>
          </cell>
          <cell r="O57">
            <v>52.283489185531828</v>
          </cell>
          <cell r="P57">
            <v>51.812937782862043</v>
          </cell>
          <cell r="Q57">
            <v>51.346621342816277</v>
          </cell>
          <cell r="R57">
            <v>50.884501750730934</v>
          </cell>
          <cell r="S57">
            <v>50.426541234974358</v>
          </cell>
          <cell r="T57">
            <v>49.97270236385959</v>
          </cell>
          <cell r="U57">
            <v>49.522948042584851</v>
          </cell>
          <cell r="V57">
            <v>49.077241510201581</v>
          </cell>
          <cell r="W57">
            <v>48.635546336609778</v>
          </cell>
          <cell r="X57">
            <v>48.197826419580288</v>
          </cell>
          <cell r="Y57">
            <v>47.76404598180406</v>
          </cell>
          <cell r="Z57">
            <v>47.33416956796782</v>
          </cell>
          <cell r="AA57">
            <v>46.908162041856116</v>
          </cell>
          <cell r="AB57">
            <v>46.485988583479411</v>
          </cell>
          <cell r="AC57">
            <v>46.067614686228097</v>
          </cell>
          <cell r="AD57">
            <v>45.653006154052044</v>
          </cell>
          <cell r="AE57">
            <v>45.242129098665572</v>
          </cell>
        </row>
        <row r="58">
          <cell r="G58" t="str">
            <v>RegionMiniMartStock 2016</v>
          </cell>
          <cell r="H58" t="str">
            <v>Com</v>
          </cell>
          <cell r="I58" t="str">
            <v>MiniMart</v>
          </cell>
          <cell r="J58" t="str">
            <v>Stock 2016</v>
          </cell>
          <cell r="K58" t="str">
            <v>Millions SqFt</v>
          </cell>
          <cell r="L58">
            <v>22.491017060912501</v>
          </cell>
          <cell r="M58">
            <v>22.384859460384995</v>
          </cell>
          <cell r="N58">
            <v>22.279202923731983</v>
          </cell>
          <cell r="O58">
            <v>22.174045085931969</v>
          </cell>
          <cell r="P58">
            <v>22.069383593126368</v>
          </cell>
          <cell r="Q58">
            <v>21.965216102566814</v>
          </cell>
          <cell r="R58">
            <v>21.8615402825627</v>
          </cell>
          <cell r="S58">
            <v>21.758353812429004</v>
          </cell>
          <cell r="T58">
            <v>21.655654382434342</v>
          </cell>
          <cell r="U58">
            <v>21.553439693749251</v>
          </cell>
          <cell r="V58">
            <v>21.451707458394754</v>
          </cell>
          <cell r="W58">
            <v>21.350455399191134</v>
          </cell>
          <cell r="X58">
            <v>21.249681249706953</v>
          </cell>
          <cell r="Y58">
            <v>21.149382754208336</v>
          </cell>
          <cell r="Z58">
            <v>21.049557667608472</v>
          </cell>
          <cell r="AA58">
            <v>20.950203755417366</v>
          </cell>
          <cell r="AB58">
            <v>20.851318793691796</v>
          </cell>
          <cell r="AC58">
            <v>20.75290056898557</v>
          </cell>
          <cell r="AD58">
            <v>20.654946878299963</v>
          </cell>
          <cell r="AE58">
            <v>20.557455529034385</v>
          </cell>
        </row>
        <row r="59">
          <cell r="G59" t="str">
            <v>RegionRestaurantStock 2016</v>
          </cell>
          <cell r="H59" t="str">
            <v>Com</v>
          </cell>
          <cell r="I59" t="str">
            <v>Restaurant</v>
          </cell>
          <cell r="J59" t="str">
            <v>Stock 2016</v>
          </cell>
          <cell r="K59" t="str">
            <v>Millions SqFt</v>
          </cell>
          <cell r="L59">
            <v>51.550857208753726</v>
          </cell>
          <cell r="M59">
            <v>51.307537162728408</v>
          </cell>
          <cell r="N59">
            <v>51.065365587320336</v>
          </cell>
          <cell r="O59">
            <v>50.824337061748189</v>
          </cell>
          <cell r="P59">
            <v>50.584446190816735</v>
          </cell>
          <cell r="Q59">
            <v>50.345687604796083</v>
          </cell>
          <cell r="R59">
            <v>50.108055959301453</v>
          </cell>
          <cell r="S59">
            <v>49.871545935173543</v>
          </cell>
          <cell r="T59">
            <v>49.636152238359529</v>
          </cell>
          <cell r="U59">
            <v>49.40186959979448</v>
          </cell>
          <cell r="V59">
            <v>49.168692775283453</v>
          </cell>
          <cell r="W59">
            <v>48.936616545384119</v>
          </cell>
          <cell r="X59">
            <v>48.705635715289908</v>
          </cell>
          <cell r="Y59">
            <v>48.475745114713739</v>
          </cell>
          <cell r="Z59">
            <v>48.246939597772297</v>
          </cell>
          <cell r="AA59">
            <v>48.019214042870807</v>
          </cell>
          <cell r="AB59">
            <v>47.792563352588466</v>
          </cell>
          <cell r="AC59">
            <v>47.56698245356425</v>
          </cell>
          <cell r="AD59">
            <v>47.342466296383435</v>
          </cell>
          <cell r="AE59">
            <v>47.119009855464505</v>
          </cell>
        </row>
        <row r="60">
          <cell r="G60" t="str">
            <v>RegionLodgingStock 2016</v>
          </cell>
          <cell r="H60" t="str">
            <v>Com</v>
          </cell>
          <cell r="I60" t="str">
            <v>Lodging</v>
          </cell>
          <cell r="J60" t="str">
            <v>Stock 2016</v>
          </cell>
          <cell r="K60" t="str">
            <v>Millions SqFt</v>
          </cell>
          <cell r="L60">
            <v>170.15189589049527</v>
          </cell>
          <cell r="M60">
            <v>169.74353134035809</v>
          </cell>
          <cell r="N60">
            <v>169.33614686514122</v>
          </cell>
          <cell r="O60">
            <v>168.92974011266489</v>
          </cell>
          <cell r="P60">
            <v>168.52430873639449</v>
          </cell>
          <cell r="Q60">
            <v>168.11985039542716</v>
          </cell>
          <cell r="R60">
            <v>167.71636275447813</v>
          </cell>
          <cell r="S60">
            <v>167.31384348386743</v>
          </cell>
          <cell r="T60">
            <v>166.91229025950614</v>
          </cell>
          <cell r="U60">
            <v>166.51170076288332</v>
          </cell>
          <cell r="V60">
            <v>166.11207268105238</v>
          </cell>
          <cell r="W60">
            <v>165.7134037066179</v>
          </cell>
          <cell r="X60">
            <v>165.31569153772202</v>
          </cell>
          <cell r="Y60">
            <v>164.91893387803151</v>
          </cell>
          <cell r="Z60">
            <v>164.52312843672422</v>
          </cell>
          <cell r="AA60">
            <v>164.12827292847609</v>
          </cell>
          <cell r="AB60">
            <v>163.73436507344778</v>
          </cell>
          <cell r="AC60">
            <v>163.3414025972715</v>
          </cell>
          <cell r="AD60">
            <v>162.94938323103807</v>
          </cell>
          <cell r="AE60">
            <v>162.55830471128357</v>
          </cell>
        </row>
        <row r="61">
          <cell r="G61" t="str">
            <v>RegionHospitalStock 2016</v>
          </cell>
          <cell r="H61" t="str">
            <v>Com</v>
          </cell>
          <cell r="I61" t="str">
            <v>Hospital</v>
          </cell>
          <cell r="J61" t="str">
            <v>Stock 2016</v>
          </cell>
          <cell r="K61" t="str">
            <v>Millions SqFt</v>
          </cell>
          <cell r="L61">
            <v>105.02947953487826</v>
          </cell>
          <cell r="M61">
            <v>104.80891762785501</v>
          </cell>
          <cell r="N61">
            <v>104.58881890083651</v>
          </cell>
          <cell r="O61">
            <v>104.36918238114475</v>
          </cell>
          <cell r="P61">
            <v>104.15000709814436</v>
          </cell>
          <cell r="Q61">
            <v>103.93129208323826</v>
          </cell>
          <cell r="R61">
            <v>103.71303636986346</v>
          </cell>
          <cell r="S61">
            <v>103.49523899348674</v>
          </cell>
          <cell r="T61">
            <v>103.27789899160042</v>
          </cell>
          <cell r="U61">
            <v>103.06101540371807</v>
          </cell>
          <cell r="V61">
            <v>102.84458727137024</v>
          </cell>
          <cell r="W61">
            <v>102.62861363810038</v>
          </cell>
          <cell r="X61">
            <v>102.41309354946036</v>
          </cell>
          <cell r="Y61">
            <v>102.19802605300649</v>
          </cell>
          <cell r="Z61">
            <v>101.98341019829519</v>
          </cell>
          <cell r="AA61">
            <v>101.76924503687877</v>
          </cell>
          <cell r="AB61">
            <v>101.55552962230132</v>
          </cell>
          <cell r="AC61">
            <v>101.3422630100945</v>
          </cell>
          <cell r="AD61">
            <v>101.1294442577733</v>
          </cell>
          <cell r="AE61">
            <v>100.91707242483197</v>
          </cell>
        </row>
        <row r="62">
          <cell r="G62" t="str">
            <v>RegionResidential CareStock 2016</v>
          </cell>
          <cell r="H62" t="str">
            <v>Com</v>
          </cell>
          <cell r="I62" t="str">
            <v>Residential Care</v>
          </cell>
          <cell r="J62" t="str">
            <v>Stock 2016</v>
          </cell>
          <cell r="K62" t="str">
            <v>Millions SqFt</v>
          </cell>
          <cell r="L62">
            <v>128.74820917277606</v>
          </cell>
          <cell r="M62">
            <v>128.43921347076139</v>
          </cell>
          <cell r="N62">
            <v>128.1309593584316</v>
          </cell>
          <cell r="O62">
            <v>127.82344505597135</v>
          </cell>
          <cell r="P62">
            <v>127.51666878783702</v>
          </cell>
          <cell r="Q62">
            <v>127.21062878274621</v>
          </cell>
          <cell r="R62">
            <v>126.90532327366765</v>
          </cell>
          <cell r="S62">
            <v>126.60075049781085</v>
          </cell>
          <cell r="T62">
            <v>126.29690869661611</v>
          </cell>
          <cell r="U62">
            <v>125.99379611574425</v>
          </cell>
          <cell r="V62">
            <v>125.69141100506647</v>
          </cell>
          <cell r="W62">
            <v>125.3897516186543</v>
          </cell>
          <cell r="X62">
            <v>125.08881621476955</v>
          </cell>
          <cell r="Y62">
            <v>124.78860305585408</v>
          </cell>
          <cell r="Z62">
            <v>124.48911040852005</v>
          </cell>
          <cell r="AA62">
            <v>124.1903365435396</v>
          </cell>
          <cell r="AB62">
            <v>123.8922797358351</v>
          </cell>
          <cell r="AC62">
            <v>123.59493826446912</v>
          </cell>
          <cell r="AD62">
            <v>123.29831041263438</v>
          </cell>
          <cell r="AE62">
            <v>123.00239446764408</v>
          </cell>
        </row>
        <row r="63">
          <cell r="G63" t="str">
            <v>RegionAssemblyStock 2016</v>
          </cell>
          <cell r="H63" t="str">
            <v>Com</v>
          </cell>
          <cell r="I63" t="str">
            <v>Assembly</v>
          </cell>
          <cell r="J63" t="str">
            <v>Stock 2016</v>
          </cell>
          <cell r="K63" t="str">
            <v>Millions SqFt</v>
          </cell>
          <cell r="L63">
            <v>375.90224900649127</v>
          </cell>
          <cell r="M63">
            <v>374.21570091594884</v>
          </cell>
          <cell r="N63">
            <v>372.53671980450594</v>
          </cell>
          <cell r="O63">
            <v>370.86527172164978</v>
          </cell>
          <cell r="P63">
            <v>369.20132286919198</v>
          </cell>
          <cell r="Q63">
            <v>367.54483960058553</v>
          </cell>
          <cell r="R63">
            <v>365.89578842024423</v>
          </cell>
          <cell r="S63">
            <v>364.25413598286536</v>
          </cell>
          <cell r="T63">
            <v>362.6198490927556</v>
          </cell>
          <cell r="U63">
            <v>360.99289470315949</v>
          </cell>
          <cell r="V63">
            <v>359.37323991559134</v>
          </cell>
          <cell r="W63">
            <v>357.76085197917007</v>
          </cell>
          <cell r="X63">
            <v>356.15569828995689</v>
          </cell>
          <cell r="Y63">
            <v>354.55774639029596</v>
          </cell>
          <cell r="Z63">
            <v>352.96696396815821</v>
          </cell>
          <cell r="AA63">
            <v>351.38331885648773</v>
          </cell>
          <cell r="AB63">
            <v>349.80677903255156</v>
          </cell>
          <cell r="AC63">
            <v>348.23731261729228</v>
          </cell>
          <cell r="AD63">
            <v>346.67488787468267</v>
          </cell>
          <cell r="AE63">
            <v>345.11947321108494</v>
          </cell>
        </row>
        <row r="64">
          <cell r="G64" t="str">
            <v>RegionOtherStock 2016</v>
          </cell>
          <cell r="H64" t="str">
            <v>Com</v>
          </cell>
          <cell r="I64" t="str">
            <v>Other</v>
          </cell>
          <cell r="J64" t="str">
            <v>Stock 2016</v>
          </cell>
          <cell r="K64" t="str">
            <v>Millions SqFt</v>
          </cell>
          <cell r="L64">
            <v>342.64988330108076</v>
          </cell>
          <cell r="M64">
            <v>339.56603435137106</v>
          </cell>
          <cell r="N64">
            <v>336.50994004220871</v>
          </cell>
          <cell r="O64">
            <v>333.48135058182885</v>
          </cell>
          <cell r="P64">
            <v>330.48001842659238</v>
          </cell>
          <cell r="Q64">
            <v>327.50569826075304</v>
          </cell>
          <cell r="R64">
            <v>324.55814697640625</v>
          </cell>
          <cell r="S64">
            <v>321.63712365361863</v>
          </cell>
          <cell r="T64">
            <v>318.7423895407361</v>
          </cell>
          <cell r="U64">
            <v>315.87370803486942</v>
          </cell>
          <cell r="V64">
            <v>313.03084466255564</v>
          </cell>
          <cell r="W64">
            <v>310.21356706059254</v>
          </cell>
          <cell r="X64">
            <v>307.42164495704725</v>
          </cell>
          <cell r="Y64">
            <v>304.65485015243382</v>
          </cell>
          <cell r="Z64">
            <v>301.9129565010619</v>
          </cell>
          <cell r="AA64">
            <v>299.19573989255235</v>
          </cell>
          <cell r="AB64">
            <v>296.50297823351934</v>
          </cell>
          <cell r="AC64">
            <v>293.83445142941764</v>
          </cell>
          <cell r="AD64">
            <v>291.18994136655289</v>
          </cell>
          <cell r="AE64">
            <v>288.5692318942539</v>
          </cell>
        </row>
        <row r="65">
          <cell r="G65" t="str">
            <v>RegionIdahoStock</v>
          </cell>
          <cell r="H65" t="str">
            <v>Ag</v>
          </cell>
          <cell r="I65" t="str">
            <v>Idaho</v>
          </cell>
          <cell r="J65" t="str">
            <v>Stock</v>
          </cell>
          <cell r="K65" t="str">
            <v>% Growth</v>
          </cell>
          <cell r="L65">
            <v>0</v>
          </cell>
          <cell r="M65">
            <v>1.2504100211369894E-4</v>
          </cell>
          <cell r="N65">
            <v>1.7375879514796466E-4</v>
          </cell>
          <cell r="O65">
            <v>6.1210927779177624E-4</v>
          </cell>
          <cell r="P65">
            <v>8.8127487458086599E-4</v>
          </cell>
          <cell r="Q65">
            <v>1.1201972174019578E-3</v>
          </cell>
          <cell r="R65">
            <v>1.2717867360821197E-3</v>
          </cell>
          <cell r="S65">
            <v>1.4404642508513471E-3</v>
          </cell>
          <cell r="T65">
            <v>1.5874396385228723E-3</v>
          </cell>
          <cell r="U65">
            <v>1.7204636459112381E-3</v>
          </cell>
          <cell r="V65">
            <v>1.8289050040785739E-3</v>
          </cell>
          <cell r="W65">
            <v>1.9377539743383628E-3</v>
          </cell>
          <cell r="X65">
            <v>2.0316119038316116E-3</v>
          </cell>
          <cell r="Y65">
            <v>2.128079506222659E-3</v>
          </cell>
          <cell r="Z65">
            <v>2.2126572758413075E-3</v>
          </cell>
          <cell r="AA65">
            <v>2.2578225416429688E-3</v>
          </cell>
          <cell r="AB65">
            <v>2.3464540176612314E-3</v>
          </cell>
          <cell r="AC65">
            <v>2.414467009038601E-3</v>
          </cell>
          <cell r="AD65">
            <v>2.4848313911262653E-3</v>
          </cell>
          <cell r="AE65">
            <v>2.5344116000376449E-3</v>
          </cell>
        </row>
        <row r="66">
          <cell r="G66" t="str">
            <v>RegionMontanaStock</v>
          </cell>
          <cell r="H66" t="str">
            <v>Ag</v>
          </cell>
          <cell r="I66" t="str">
            <v>Montana</v>
          </cell>
          <cell r="J66" t="str">
            <v>Stock</v>
          </cell>
          <cell r="K66" t="str">
            <v>% Growth</v>
          </cell>
          <cell r="L66">
            <v>0</v>
          </cell>
          <cell r="M66">
            <v>1.0848242299839954E-2</v>
          </cell>
          <cell r="N66">
            <v>1.059267655252486E-2</v>
          </cell>
          <cell r="O66">
            <v>1.0752312089181865E-2</v>
          </cell>
          <cell r="P66">
            <v>1.075849831916186E-2</v>
          </cell>
          <cell r="Q66">
            <v>7.6567396067742733E-3</v>
          </cell>
          <cell r="R66">
            <v>7.6532068711881581E-3</v>
          </cell>
          <cell r="S66">
            <v>7.9235679867256659E-3</v>
          </cell>
          <cell r="T66">
            <v>8.1459053842477987E-3</v>
          </cell>
          <cell r="U66">
            <v>8.331284422267278E-3</v>
          </cell>
          <cell r="V66">
            <v>8.47135846405455E-3</v>
          </cell>
          <cell r="W66">
            <v>8.5938864965773454E-3</v>
          </cell>
          <cell r="X66">
            <v>8.6866032784890905E-3</v>
          </cell>
          <cell r="Y66">
            <v>8.7680800681235963E-3</v>
          </cell>
          <cell r="Z66">
            <v>8.8271867856936984E-3</v>
          </cell>
          <cell r="AA66">
            <v>8.8355566433926322E-3</v>
          </cell>
          <cell r="AB66">
            <v>8.8812025924713319E-3</v>
          </cell>
          <cell r="AC66">
            <v>8.8979055290069331E-3</v>
          </cell>
          <cell r="AD66">
            <v>8.9118787925779024E-3</v>
          </cell>
          <cell r="AE66">
            <v>8.9015256915168112E-3</v>
          </cell>
        </row>
        <row r="67">
          <cell r="G67" t="str">
            <v>RegionOregonStock</v>
          </cell>
          <cell r="H67" t="str">
            <v>Ag</v>
          </cell>
          <cell r="I67" t="str">
            <v>Oregon</v>
          </cell>
          <cell r="J67" t="str">
            <v>Stock</v>
          </cell>
          <cell r="K67" t="str">
            <v>% Growth</v>
          </cell>
          <cell r="L67">
            <v>0</v>
          </cell>
          <cell r="M67">
            <v>1.0110842680911804E-2</v>
          </cell>
          <cell r="N67">
            <v>1.0059217505089263E-2</v>
          </cell>
          <cell r="O67">
            <v>1.1176866051223918E-2</v>
          </cell>
          <cell r="P67">
            <v>1.9803102619340613E-2</v>
          </cell>
          <cell r="Q67">
            <v>1.2078828157499845E-2</v>
          </cell>
          <cell r="R67">
            <v>1.2074917420983849E-2</v>
          </cell>
          <cell r="S67">
            <v>1.2823009061012478E-2</v>
          </cell>
          <cell r="T67">
            <v>1.2064646132519813E-2</v>
          </cell>
          <cell r="U67">
            <v>2.1359830411811859E-2</v>
          </cell>
          <cell r="V67">
            <v>1.1864279678250279E-2</v>
          </cell>
          <cell r="W67">
            <v>1.1811806122028052E-2</v>
          </cell>
          <cell r="X67">
            <v>1.1060463245174785E-2</v>
          </cell>
          <cell r="Y67">
            <v>1.1689201211084101E-2</v>
          </cell>
          <cell r="Z67">
            <v>1.9623204602959039E-2</v>
          </cell>
          <cell r="AA67">
            <v>1.2054155221857031E-2</v>
          </cell>
          <cell r="AB67">
            <v>1.2615728823653952E-2</v>
          </cell>
          <cell r="AC67">
            <v>1.2496481187089379E-2</v>
          </cell>
          <cell r="AD67">
            <v>1.1753415892541448E-2</v>
          </cell>
          <cell r="AE67">
            <v>2.0946064887122692E-2</v>
          </cell>
        </row>
        <row r="68">
          <cell r="G68" t="str">
            <v>RegionWashingtonStock</v>
          </cell>
          <cell r="H68" t="str">
            <v>Ag</v>
          </cell>
          <cell r="I68" t="str">
            <v>Washington</v>
          </cell>
          <cell r="J68" t="str">
            <v>Stock</v>
          </cell>
          <cell r="K68" t="str">
            <v>% Growth</v>
          </cell>
          <cell r="L68">
            <v>0</v>
          </cell>
          <cell r="M68">
            <v>1.0662122206220235E-2</v>
          </cell>
          <cell r="N68">
            <v>1.0931258902780325E-2</v>
          </cell>
          <cell r="O68">
            <v>1.1173761515183053E-2</v>
          </cell>
          <cell r="P68">
            <v>1.811439906784525E-2</v>
          </cell>
          <cell r="Q68">
            <v>1.2399989211989764E-2</v>
          </cell>
          <cell r="R68">
            <v>1.1939862954954953E-2</v>
          </cell>
          <cell r="S68">
            <v>1.2288284859874222E-2</v>
          </cell>
          <cell r="T68">
            <v>1.1842226253476947E-2</v>
          </cell>
          <cell r="U68">
            <v>1.9682157833762929E-2</v>
          </cell>
          <cell r="V68">
            <v>1.1592234987503456E-2</v>
          </cell>
          <cell r="W68">
            <v>1.1147844023716795E-2</v>
          </cell>
          <cell r="X68">
            <v>1.1425985017752077E-2</v>
          </cell>
          <cell r="Y68">
            <v>1.0985810035676221E-2</v>
          </cell>
          <cell r="Z68">
            <v>1.7930228386922677E-2</v>
          </cell>
          <cell r="AA68">
            <v>1.1736355426763144E-2</v>
          </cell>
          <cell r="AB68">
            <v>1.1982095590114178E-2</v>
          </cell>
          <cell r="AC68">
            <v>1.1862624139313738E-2</v>
          </cell>
          <cell r="AD68">
            <v>1.1418033334772959E-2</v>
          </cell>
          <cell r="AE68">
            <v>1.8838157687553127E-2</v>
          </cell>
        </row>
        <row r="69">
          <cell r="G69" t="str">
            <v>RegionIdahoDairyStock</v>
          </cell>
          <cell r="H69" t="str">
            <v>Dairy</v>
          </cell>
          <cell r="I69" t="str">
            <v>IdahoDairy</v>
          </cell>
          <cell r="J69" t="str">
            <v>Stock</v>
          </cell>
          <cell r="K69" t="str">
            <v>1000lbs</v>
          </cell>
          <cell r="L69">
            <v>13629.012110609969</v>
          </cell>
          <cell r="M69">
            <v>13842.907114251881</v>
          </cell>
          <cell r="N69">
            <v>14023.216425344392</v>
          </cell>
          <cell r="O69">
            <v>14266.319353967396</v>
          </cell>
          <cell r="P69">
            <v>14513.683501515552</v>
          </cell>
          <cell r="Q69">
            <v>14784.738793280194</v>
          </cell>
          <cell r="R69">
            <v>15048.82150982591</v>
          </cell>
          <cell r="S69">
            <v>15351.081667959821</v>
          </cell>
          <cell r="T69">
            <v>15676.70161423125</v>
          </cell>
          <cell r="U69">
            <v>16022.910400199034</v>
          </cell>
          <cell r="V69">
            <v>16435.334001552066</v>
          </cell>
          <cell r="W69">
            <v>16796.9270935268</v>
          </cell>
          <cell r="X69">
            <v>17186.008838626629</v>
          </cell>
          <cell r="Y69">
            <v>17509.663776252026</v>
          </cell>
          <cell r="Z69">
            <v>17849.045518001847</v>
          </cell>
          <cell r="AA69">
            <v>18205.116228437721</v>
          </cell>
          <cell r="AB69">
            <v>18533.843580326749</v>
          </cell>
          <cell r="AC69">
            <v>18839.457555909743</v>
          </cell>
          <cell r="AD69">
            <v>19186.22471079613</v>
          </cell>
          <cell r="AE69">
            <v>19422.392838095242</v>
          </cell>
        </row>
        <row r="70">
          <cell r="G70" t="str">
            <v>RegionMontanaDairyStock</v>
          </cell>
          <cell r="H70" t="str">
            <v>Dairy</v>
          </cell>
          <cell r="I70" t="str">
            <v>MontanaDairy</v>
          </cell>
          <cell r="J70" t="str">
            <v>Stock</v>
          </cell>
          <cell r="K70" t="str">
            <v>1000lbs</v>
          </cell>
          <cell r="L70">
            <v>302.4843194019968</v>
          </cell>
          <cell r="M70">
            <v>302.9944263448574</v>
          </cell>
          <cell r="N70">
            <v>302.99854171936556</v>
          </cell>
          <cell r="O70">
            <v>303.37745755767685</v>
          </cell>
          <cell r="P70">
            <v>303.22585086442132</v>
          </cell>
          <cell r="Q70">
            <v>303.08168683583153</v>
          </cell>
          <cell r="R70">
            <v>303.41916012380017</v>
          </cell>
          <cell r="S70">
            <v>303.66433680226078</v>
          </cell>
          <cell r="T70">
            <v>303.05007715937325</v>
          </cell>
          <cell r="U70">
            <v>303.01007717776395</v>
          </cell>
          <cell r="V70">
            <v>303.01283415030065</v>
          </cell>
          <cell r="W70">
            <v>301.41907423058802</v>
          </cell>
          <cell r="X70">
            <v>301.23823851251768</v>
          </cell>
          <cell r="Y70">
            <v>300.88004828067164</v>
          </cell>
          <cell r="Z70">
            <v>300.32350497753021</v>
          </cell>
          <cell r="AA70">
            <v>299.65600067965477</v>
          </cell>
          <cell r="AB70">
            <v>299.65485493072765</v>
          </cell>
          <cell r="AC70">
            <v>298.68839934499135</v>
          </cell>
          <cell r="AD70">
            <v>297.75098083368539</v>
          </cell>
          <cell r="AE70">
            <v>297.76126931363558</v>
          </cell>
        </row>
        <row r="71">
          <cell r="G71" t="str">
            <v>RegionOregonDairyStock</v>
          </cell>
          <cell r="H71" t="str">
            <v>Dairy</v>
          </cell>
          <cell r="I71" t="str">
            <v>OregonDairy</v>
          </cell>
          <cell r="J71" t="str">
            <v>Stock</v>
          </cell>
          <cell r="K71" t="str">
            <v>1000lbs</v>
          </cell>
          <cell r="L71">
            <v>2744.180551622544</v>
          </cell>
          <cell r="M71">
            <v>2781.3253166710429</v>
          </cell>
          <cell r="N71">
            <v>2817.8028576592669</v>
          </cell>
          <cell r="O71">
            <v>2852.4466796581391</v>
          </cell>
          <cell r="P71">
            <v>2887.2703785501863</v>
          </cell>
          <cell r="Q71">
            <v>2923.2055190854799</v>
          </cell>
          <cell r="R71">
            <v>2963.8717110873577</v>
          </cell>
          <cell r="S71">
            <v>3007.9285968792492</v>
          </cell>
          <cell r="T71">
            <v>3054.4586648127197</v>
          </cell>
          <cell r="U71">
            <v>3103.2723514737127</v>
          </cell>
          <cell r="V71">
            <v>3155.2926430989965</v>
          </cell>
          <cell r="W71">
            <v>3205.2179835947745</v>
          </cell>
          <cell r="X71">
            <v>3255.0785902298294</v>
          </cell>
          <cell r="Y71">
            <v>3304.2085620815005</v>
          </cell>
          <cell r="Z71">
            <v>3359.7128554945239</v>
          </cell>
          <cell r="AA71">
            <v>3405.0605171911329</v>
          </cell>
          <cell r="AB71">
            <v>3454.1652559274162</v>
          </cell>
          <cell r="AC71">
            <v>3509.2005551615157</v>
          </cell>
          <cell r="AD71">
            <v>3557.2266817524842</v>
          </cell>
          <cell r="AE71">
            <v>3610.3576666465606</v>
          </cell>
        </row>
        <row r="72">
          <cell r="G72" t="str">
            <v>RegionWashingtonDairyStock</v>
          </cell>
          <cell r="H72" t="str">
            <v>Dairy</v>
          </cell>
          <cell r="I72" t="str">
            <v>WashingtonDairy</v>
          </cell>
          <cell r="J72" t="str">
            <v>Stock</v>
          </cell>
          <cell r="K72" t="str">
            <v>1000lbs</v>
          </cell>
          <cell r="L72">
            <v>6417.4166624736044</v>
          </cell>
          <cell r="M72">
            <v>6527.6845985495966</v>
          </cell>
          <cell r="N72">
            <v>6648.0748527559354</v>
          </cell>
          <cell r="O72">
            <v>6750.5768396680051</v>
          </cell>
          <cell r="P72">
            <v>6858.9947023924851</v>
          </cell>
          <cell r="Q72">
            <v>6950.9448303929594</v>
          </cell>
          <cell r="R72">
            <v>7066.5055116132971</v>
          </cell>
          <cell r="S72">
            <v>7154.1963866384513</v>
          </cell>
          <cell r="T72">
            <v>7260.5595150379595</v>
          </cell>
          <cell r="U72">
            <v>7382.1828771063319</v>
          </cell>
          <cell r="V72">
            <v>7515.612457778011</v>
          </cell>
          <cell r="W72">
            <v>7658.3815592644387</v>
          </cell>
          <cell r="X72">
            <v>7790.6041619373518</v>
          </cell>
          <cell r="Y72">
            <v>7925.9535611829233</v>
          </cell>
          <cell r="Z72">
            <v>8056.1594585167277</v>
          </cell>
          <cell r="AA72">
            <v>8212.3413257643278</v>
          </cell>
          <cell r="AB72">
            <v>8359.6360208598271</v>
          </cell>
          <cell r="AC72">
            <v>8487.3604780857568</v>
          </cell>
          <cell r="AD72">
            <v>8647.4216609802097</v>
          </cell>
          <cell r="AE72">
            <v>8766.8632794861296</v>
          </cell>
        </row>
        <row r="73">
          <cell r="G73" t="str">
            <v>RegionMechanical PulpStock</v>
          </cell>
          <cell r="H73" t="str">
            <v>Ind</v>
          </cell>
          <cell r="I73" t="str">
            <v>Mechanical Pulp</v>
          </cell>
          <cell r="J73" t="str">
            <v>Stock</v>
          </cell>
          <cell r="K73" t="str">
            <v>Consumption (MWh)</v>
          </cell>
          <cell r="L73">
            <v>3758422.9515033378</v>
          </cell>
          <cell r="M73">
            <v>3846371.717457301</v>
          </cell>
          <cell r="N73">
            <v>3968374.1915052147</v>
          </cell>
          <cell r="O73">
            <v>4090510.3824295267</v>
          </cell>
          <cell r="P73">
            <v>4250302.9154343279</v>
          </cell>
          <cell r="Q73">
            <v>4334033.2977658212</v>
          </cell>
          <cell r="R73">
            <v>4456327.439187984</v>
          </cell>
          <cell r="S73">
            <v>4578789.2711511394</v>
          </cell>
          <cell r="T73">
            <v>4701360.1942719091</v>
          </cell>
          <cell r="U73">
            <v>4824313.8733196864</v>
          </cell>
          <cell r="V73">
            <v>4947352.2681518989</v>
          </cell>
          <cell r="W73">
            <v>5070668.4941239785</v>
          </cell>
          <cell r="X73">
            <v>5241393.4127492504</v>
          </cell>
          <cell r="Y73">
            <v>5317320.3001071345</v>
          </cell>
          <cell r="Z73">
            <v>5440661.5619043242</v>
          </cell>
          <cell r="AA73">
            <v>5564018.2642552005</v>
          </cell>
          <cell r="AB73">
            <v>5739586.1964683067</v>
          </cell>
          <cell r="AC73">
            <v>5811280.9684790904</v>
          </cell>
          <cell r="AD73">
            <v>5935246.9976805374</v>
          </cell>
          <cell r="AE73">
            <v>6059032.0232603503</v>
          </cell>
        </row>
        <row r="74">
          <cell r="G74" t="str">
            <v>RegionKraft PulpStock</v>
          </cell>
          <cell r="H74" t="str">
            <v>Ind</v>
          </cell>
          <cell r="I74" t="str">
            <v>Kraft Pulp</v>
          </cell>
          <cell r="J74" t="str">
            <v>Stock</v>
          </cell>
          <cell r="K74" t="str">
            <v>Consumption (MWh)</v>
          </cell>
          <cell r="L74">
            <v>2773481.4382196674</v>
          </cell>
          <cell r="M74">
            <v>2819427.5750914654</v>
          </cell>
          <cell r="N74">
            <v>2890507.7097985409</v>
          </cell>
          <cell r="O74">
            <v>2962071.1114584161</v>
          </cell>
          <cell r="P74">
            <v>3059997.7868964532</v>
          </cell>
          <cell r="Q74">
            <v>3103655.7832492976</v>
          </cell>
          <cell r="R74">
            <v>3174966.0896720556</v>
          </cell>
          <cell r="S74">
            <v>3246510.2403896889</v>
          </cell>
          <cell r="T74">
            <v>3318080.388651574</v>
          </cell>
          <cell r="U74">
            <v>3389982.4618547466</v>
          </cell>
          <cell r="V74">
            <v>3462131.4738810235</v>
          </cell>
          <cell r="W74">
            <v>3534707.6510694856</v>
          </cell>
          <cell r="X74">
            <v>3640109.6347631621</v>
          </cell>
          <cell r="Y74">
            <v>3679903.4172538687</v>
          </cell>
          <cell r="Z74">
            <v>3752596.4740436999</v>
          </cell>
          <cell r="AA74">
            <v>3825294.7476344355</v>
          </cell>
          <cell r="AB74">
            <v>3934104.1351328893</v>
          </cell>
          <cell r="AC74">
            <v>3971456.2759534372</v>
          </cell>
          <cell r="AD74">
            <v>4044721.9040998006</v>
          </cell>
          <cell r="AE74">
            <v>4117951.8072271077</v>
          </cell>
        </row>
        <row r="75">
          <cell r="G75" t="str">
            <v>RegionPaperStock</v>
          </cell>
          <cell r="H75" t="str">
            <v>Ind</v>
          </cell>
          <cell r="I75" t="str">
            <v>Paper</v>
          </cell>
          <cell r="J75" t="str">
            <v>Stock</v>
          </cell>
          <cell r="K75" t="str">
            <v>Consumption (MWh)</v>
          </cell>
          <cell r="L75">
            <v>909695.70566164097</v>
          </cell>
          <cell r="M75">
            <v>929841.98736761883</v>
          </cell>
          <cell r="N75">
            <v>958296.9900283548</v>
          </cell>
          <cell r="O75">
            <v>986772.46541472664</v>
          </cell>
          <cell r="P75">
            <v>1024503.2482359634</v>
          </cell>
          <cell r="Q75">
            <v>1043814.269249864</v>
          </cell>
          <cell r="R75">
            <v>1072416.0473229263</v>
          </cell>
          <cell r="S75">
            <v>1101138.6289797227</v>
          </cell>
          <cell r="T75">
            <v>1129827.4252453854</v>
          </cell>
          <cell r="U75">
            <v>1158615.4096222189</v>
          </cell>
          <cell r="V75">
            <v>1187381.7412163604</v>
          </cell>
          <cell r="W75">
            <v>1216221.7351596826</v>
          </cell>
          <cell r="X75">
            <v>1256359.4314945252</v>
          </cell>
          <cell r="Y75">
            <v>1273754.7023949234</v>
          </cell>
          <cell r="Z75">
            <v>1302557.2241510332</v>
          </cell>
          <cell r="AA75">
            <v>1331330.2770174742</v>
          </cell>
          <cell r="AB75">
            <v>1372605.4069409962</v>
          </cell>
          <cell r="AC75">
            <v>1388979.5459728481</v>
          </cell>
          <cell r="AD75">
            <v>1417876.2653212347</v>
          </cell>
          <cell r="AE75">
            <v>1446660.9687985121</v>
          </cell>
        </row>
        <row r="76">
          <cell r="G76" t="str">
            <v>RegionFoundriesStock</v>
          </cell>
          <cell r="H76" t="str">
            <v>Ind</v>
          </cell>
          <cell r="I76" t="str">
            <v>Foundries</v>
          </cell>
          <cell r="J76" t="str">
            <v>Stock</v>
          </cell>
          <cell r="K76" t="str">
            <v>Consumption (MWh)</v>
          </cell>
          <cell r="L76">
            <v>2911780.7125423807</v>
          </cell>
          <cell r="M76">
            <v>2836711.9420544878</v>
          </cell>
          <cell r="N76">
            <v>2789583.7208478679</v>
          </cell>
          <cell r="O76">
            <v>2744161.1652043322</v>
          </cell>
          <cell r="P76">
            <v>2724138.9595719618</v>
          </cell>
          <cell r="Q76">
            <v>2657920.4757749322</v>
          </cell>
          <cell r="R76">
            <v>2617304.9227809869</v>
          </cell>
          <cell r="S76">
            <v>2577672.8738681655</v>
          </cell>
          <cell r="T76">
            <v>2539470.2769998731</v>
          </cell>
          <cell r="U76">
            <v>2502370.6800410077</v>
          </cell>
          <cell r="V76">
            <v>2466328.7382904179</v>
          </cell>
          <cell r="W76">
            <v>2431145.5854122876</v>
          </cell>
          <cell r="X76">
            <v>2419072.5388772879</v>
          </cell>
          <cell r="Y76">
            <v>2363410.6682392037</v>
          </cell>
          <cell r="Z76">
            <v>2330315.4302864787</v>
          </cell>
          <cell r="AA76">
            <v>2297818.1106687617</v>
          </cell>
          <cell r="AB76">
            <v>2286770.7986101452</v>
          </cell>
          <cell r="AC76">
            <v>2234701.6262630955</v>
          </cell>
          <cell r="AD76">
            <v>2204017.8086585626</v>
          </cell>
          <cell r="AE76">
            <v>2173546.4494459317</v>
          </cell>
        </row>
        <row r="77">
          <cell r="G77" t="str">
            <v>RegionFrozen FoodStock</v>
          </cell>
          <cell r="H77" t="str">
            <v>Ind</v>
          </cell>
          <cell r="I77" t="str">
            <v>Frozen Food</v>
          </cell>
          <cell r="J77" t="str">
            <v>Stock</v>
          </cell>
          <cell r="K77" t="str">
            <v>Consumption (MWh)</v>
          </cell>
          <cell r="L77">
            <v>1237117.9151862806</v>
          </cell>
          <cell r="M77">
            <v>1256265.8697824469</v>
          </cell>
          <cell r="N77">
            <v>1286638.141562406</v>
          </cell>
          <cell r="O77">
            <v>1317026.0249685342</v>
          </cell>
          <cell r="P77">
            <v>1359372.6119707115</v>
          </cell>
          <cell r="Q77">
            <v>1377450.5956346455</v>
          </cell>
          <cell r="R77">
            <v>1407752.7747509496</v>
          </cell>
          <cell r="S77">
            <v>1438031.0417962291</v>
          </cell>
          <cell r="T77">
            <v>1468359.9477337729</v>
          </cell>
          <cell r="U77">
            <v>1498806.1175902041</v>
          </cell>
          <cell r="V77">
            <v>1529247.5005361729</v>
          </cell>
          <cell r="W77">
            <v>1559755.0254088808</v>
          </cell>
          <cell r="X77">
            <v>1604695.7181381483</v>
          </cell>
          <cell r="Y77">
            <v>1620685.0488578391</v>
          </cell>
          <cell r="Z77">
            <v>1651120.4927678995</v>
          </cell>
          <cell r="AA77">
            <v>1681526.4060613776</v>
          </cell>
          <cell r="AB77">
            <v>1727706.9650814079</v>
          </cell>
          <cell r="AC77">
            <v>1742468.2976748645</v>
          </cell>
          <cell r="AD77">
            <v>1772999.536528415</v>
          </cell>
          <cell r="AE77">
            <v>1803423.3883706611</v>
          </cell>
        </row>
        <row r="78">
          <cell r="G78" t="str">
            <v>RegionOther FoodStock</v>
          </cell>
          <cell r="H78" t="str">
            <v>Ind</v>
          </cell>
          <cell r="I78" t="str">
            <v>Other Food</v>
          </cell>
          <cell r="J78" t="str">
            <v>Stock</v>
          </cell>
          <cell r="K78" t="str">
            <v>Consumption (MWh)</v>
          </cell>
          <cell r="L78">
            <v>2189215.7914933185</v>
          </cell>
          <cell r="M78">
            <v>2225714.4170001475</v>
          </cell>
          <cell r="N78">
            <v>2281801.3842795906</v>
          </cell>
          <cell r="O78">
            <v>2337878.4662610777</v>
          </cell>
          <cell r="P78">
            <v>2414859.5617400161</v>
          </cell>
          <cell r="Q78">
            <v>2449639.2617126312</v>
          </cell>
          <cell r="R78">
            <v>2505916.452109566</v>
          </cell>
          <cell r="S78">
            <v>2561919.8701418121</v>
          </cell>
          <cell r="T78">
            <v>2618248.9470964097</v>
          </cell>
          <cell r="U78">
            <v>2674706.0878431001</v>
          </cell>
          <cell r="V78">
            <v>2731406.8457201738</v>
          </cell>
          <cell r="W78">
            <v>2788145.294466868</v>
          </cell>
          <cell r="X78">
            <v>2870921.2322274465</v>
          </cell>
          <cell r="Y78">
            <v>2901825.3565548556</v>
          </cell>
          <cell r="Z78">
            <v>2958750.6188529818</v>
          </cell>
          <cell r="AA78">
            <v>3015584.6219987967</v>
          </cell>
          <cell r="AB78">
            <v>3100853.4167639203</v>
          </cell>
          <cell r="AC78">
            <v>3129759.8328607553</v>
          </cell>
          <cell r="AD78">
            <v>3187110.5829028329</v>
          </cell>
          <cell r="AE78">
            <v>3244229.8759716363</v>
          </cell>
        </row>
        <row r="79">
          <cell r="G79" t="str">
            <v>RegionWood - LumberStock</v>
          </cell>
          <cell r="H79" t="str">
            <v>Ind</v>
          </cell>
          <cell r="I79" t="str">
            <v>Wood - Lumber</v>
          </cell>
          <cell r="J79" t="str">
            <v>Stock</v>
          </cell>
          <cell r="K79" t="str">
            <v>Consumption (MWh)</v>
          </cell>
          <cell r="L79">
            <v>1161963.8217505382</v>
          </cell>
          <cell r="M79">
            <v>1117769.5487595289</v>
          </cell>
          <cell r="N79">
            <v>1084874.9921310821</v>
          </cell>
          <cell r="O79">
            <v>1052791.9192047431</v>
          </cell>
          <cell r="P79">
            <v>1030397.4491679214</v>
          </cell>
          <cell r="Q79">
            <v>990879.29279742646</v>
          </cell>
          <cell r="R79">
            <v>961065.17490868072</v>
          </cell>
          <cell r="S79">
            <v>931730.64036078285</v>
          </cell>
          <cell r="T79">
            <v>903080.08419384609</v>
          </cell>
          <cell r="U79">
            <v>874945.75211344392</v>
          </cell>
          <cell r="V79">
            <v>847310.7915088681</v>
          </cell>
          <cell r="W79">
            <v>820119.00687699113</v>
          </cell>
          <cell r="X79">
            <v>800618.32318729174</v>
          </cell>
          <cell r="Y79">
            <v>766954.27095195896</v>
          </cell>
          <cell r="Z79">
            <v>740908.22274123156</v>
          </cell>
          <cell r="AA79">
            <v>715106.45172531332</v>
          </cell>
          <cell r="AB79">
            <v>696028.08762583928</v>
          </cell>
          <cell r="AC79">
            <v>664509.97671853204</v>
          </cell>
          <cell r="AD79">
            <v>639621.04956848687</v>
          </cell>
          <cell r="AE79">
            <v>614946.99745740264</v>
          </cell>
        </row>
        <row r="80">
          <cell r="G80" t="str">
            <v>RegionWood - PanelStock</v>
          </cell>
          <cell r="H80" t="str">
            <v>Ind</v>
          </cell>
          <cell r="I80" t="str">
            <v>Wood - Panel</v>
          </cell>
          <cell r="J80" t="str">
            <v>Stock</v>
          </cell>
          <cell r="K80" t="str">
            <v>Consumption (MWh)</v>
          </cell>
          <cell r="L80">
            <v>551950.18982134352</v>
          </cell>
          <cell r="M80">
            <v>528731.18450453493</v>
          </cell>
          <cell r="N80">
            <v>510838.63702842174</v>
          </cell>
          <cell r="O80">
            <v>493229.56048375246</v>
          </cell>
          <cell r="P80">
            <v>480200.65450609016</v>
          </cell>
          <cell r="Q80">
            <v>458869.67437759304</v>
          </cell>
          <cell r="R80">
            <v>442034.77624590963</v>
          </cell>
          <cell r="S80">
            <v>425381.84725157876</v>
          </cell>
          <cell r="T80">
            <v>408945.79607863171</v>
          </cell>
          <cell r="U80">
            <v>392669.02882158436</v>
          </cell>
          <cell r="V80">
            <v>376527.17230508296</v>
          </cell>
          <cell r="W80">
            <v>360540.83558473963</v>
          </cell>
          <cell r="X80">
            <v>347793.23494737077</v>
          </cell>
          <cell r="Y80">
            <v>328864.0423583783</v>
          </cell>
          <cell r="Z80">
            <v>313174.70380282239</v>
          </cell>
          <cell r="AA80">
            <v>297578.74522290094</v>
          </cell>
          <cell r="AB80">
            <v>284693.91308797692</v>
          </cell>
          <cell r="AC80">
            <v>266695.50893493497</v>
          </cell>
          <cell r="AD80">
            <v>251377.16659093063</v>
          </cell>
          <cell r="AE80">
            <v>236121.41095945257</v>
          </cell>
        </row>
        <row r="81">
          <cell r="G81" t="str">
            <v>RegionWood - OtherStock</v>
          </cell>
          <cell r="H81" t="str">
            <v>Ind</v>
          </cell>
          <cell r="I81" t="str">
            <v>Wood - Other</v>
          </cell>
          <cell r="J81" t="str">
            <v>Stock</v>
          </cell>
          <cell r="K81" t="str">
            <v>Consumption (MWh)</v>
          </cell>
          <cell r="L81">
            <v>870727.85506649863</v>
          </cell>
          <cell r="M81">
            <v>839735.03037413268</v>
          </cell>
          <cell r="N81">
            <v>817265.57122340729</v>
          </cell>
          <cell r="O81">
            <v>795421.70406258584</v>
          </cell>
          <cell r="P81">
            <v>780923.07506947254</v>
          </cell>
          <cell r="Q81">
            <v>753146.51005964773</v>
          </cell>
          <cell r="R81">
            <v>732820.97518292943</v>
          </cell>
          <cell r="S81">
            <v>712886.70561548509</v>
          </cell>
          <cell r="T81">
            <v>693400.22734523669</v>
          </cell>
          <cell r="U81">
            <v>674308.65124034672</v>
          </cell>
          <cell r="V81">
            <v>655534.95057322702</v>
          </cell>
          <cell r="W81">
            <v>637111.60144566628</v>
          </cell>
          <cell r="X81">
            <v>624630.92244216194</v>
          </cell>
          <cell r="Y81">
            <v>601103.42928001995</v>
          </cell>
          <cell r="Z81">
            <v>583449.38612394244</v>
          </cell>
          <cell r="AA81">
            <v>565997.72271073016</v>
          </cell>
          <cell r="AB81">
            <v>553823.1943250458</v>
          </cell>
          <cell r="AC81">
            <v>531773.35758124199</v>
          </cell>
          <cell r="AD81">
            <v>514944.55152005563</v>
          </cell>
          <cell r="AE81">
            <v>498286.13824063755</v>
          </cell>
        </row>
        <row r="82">
          <cell r="G82" t="str">
            <v>RegionSugarStock</v>
          </cell>
          <cell r="H82" t="str">
            <v>Ind</v>
          </cell>
          <cell r="I82" t="str">
            <v>Sugar</v>
          </cell>
          <cell r="J82" t="str">
            <v>Stock</v>
          </cell>
          <cell r="K82" t="str">
            <v>Consumption (MWh)</v>
          </cell>
          <cell r="L82">
            <v>475136.72478012781</v>
          </cell>
          <cell r="M82">
            <v>478944.05758966133</v>
          </cell>
          <cell r="N82">
            <v>486819.48116772674</v>
          </cell>
          <cell r="O82">
            <v>494591.38634116278</v>
          </cell>
          <cell r="P82">
            <v>506508.14130214165</v>
          </cell>
          <cell r="Q82">
            <v>510023.29432266601</v>
          </cell>
          <cell r="R82">
            <v>517787.90058012598</v>
          </cell>
          <cell r="S82">
            <v>525332.27094640187</v>
          </cell>
          <cell r="T82">
            <v>532962.59651115292</v>
          </cell>
          <cell r="U82">
            <v>540559.14188859914</v>
          </cell>
          <cell r="V82">
            <v>548264.64271890977</v>
          </cell>
          <cell r="W82">
            <v>555867.220442908</v>
          </cell>
          <cell r="X82">
            <v>568632.32789277437</v>
          </cell>
          <cell r="Y82">
            <v>571112.91942260799</v>
          </cell>
          <cell r="Z82">
            <v>578836.54771749349</v>
          </cell>
          <cell r="AA82">
            <v>586399.91803551139</v>
          </cell>
          <cell r="AB82">
            <v>599561.512214605</v>
          </cell>
          <cell r="AC82">
            <v>601661.01637638209</v>
          </cell>
          <cell r="AD82">
            <v>609371.99258243595</v>
          </cell>
          <cell r="AE82">
            <v>616906.35518594901</v>
          </cell>
        </row>
        <row r="83">
          <cell r="G83" t="str">
            <v>RegionHi Tech - Chip FabStock</v>
          </cell>
          <cell r="H83" t="str">
            <v>Ind</v>
          </cell>
          <cell r="I83" t="str">
            <v>Hi Tech - Chip Fab</v>
          </cell>
          <cell r="J83" t="str">
            <v>Stock</v>
          </cell>
          <cell r="K83" t="str">
            <v>Consumption (MWh)</v>
          </cell>
          <cell r="L83">
            <v>441794.88875823218</v>
          </cell>
          <cell r="M83">
            <v>432626.39847364998</v>
          </cell>
          <cell r="N83">
            <v>427242.98054352769</v>
          </cell>
          <cell r="O83">
            <v>422213.82213962206</v>
          </cell>
          <cell r="P83">
            <v>421920.64066734893</v>
          </cell>
          <cell r="Q83">
            <v>413709.06623231358</v>
          </cell>
          <cell r="R83">
            <v>410212.7518948018</v>
          </cell>
          <cell r="S83">
            <v>406355.09832970693</v>
          </cell>
          <cell r="T83">
            <v>403296.23418868397</v>
          </cell>
          <cell r="U83">
            <v>399924.4240136806</v>
          </cell>
          <cell r="V83">
            <v>397295.90252843429</v>
          </cell>
          <cell r="W83">
            <v>394316.89382121537</v>
          </cell>
          <cell r="X83">
            <v>395623.44895442144</v>
          </cell>
          <cell r="Y83">
            <v>389392.69605832879</v>
          </cell>
          <cell r="Z83">
            <v>386892.14662184619</v>
          </cell>
          <cell r="AA83">
            <v>385025.31464219192</v>
          </cell>
          <cell r="AB83">
            <v>386311.31539104413</v>
          </cell>
          <cell r="AC83">
            <v>381213.1101798673</v>
          </cell>
          <cell r="AD83">
            <v>379233.88825255015</v>
          </cell>
          <cell r="AE83">
            <v>377804.18623239076</v>
          </cell>
        </row>
        <row r="84">
          <cell r="G84" t="str">
            <v>RegionHi Tech - SiliconStock</v>
          </cell>
          <cell r="H84" t="str">
            <v>Ind</v>
          </cell>
          <cell r="I84" t="str">
            <v>Hi Tech - Silicon</v>
          </cell>
          <cell r="J84" t="str">
            <v>Stock</v>
          </cell>
          <cell r="K84" t="str">
            <v>Consumption (MWh)</v>
          </cell>
          <cell r="L84">
            <v>226900.615461001</v>
          </cell>
          <cell r="M84">
            <v>224036.45332402681</v>
          </cell>
          <cell r="N84">
            <v>223197.60670939417</v>
          </cell>
          <cell r="O84">
            <v>222435.67348639047</v>
          </cell>
          <cell r="P84">
            <v>223898.4301459378</v>
          </cell>
          <cell r="Q84">
            <v>221368.38696638378</v>
          </cell>
          <cell r="R84">
            <v>221129.95798393188</v>
          </cell>
          <cell r="S84">
            <v>220786.11584318019</v>
          </cell>
          <cell r="T84">
            <v>220661.22741685802</v>
          </cell>
          <cell r="U84">
            <v>220514.6104276102</v>
          </cell>
          <cell r="V84">
            <v>220566.57724116242</v>
          </cell>
          <cell r="W84">
            <v>220582.85570889112</v>
          </cell>
          <cell r="X84">
            <v>222786.93799954746</v>
          </cell>
          <cell r="Y84">
            <v>220925.37261965938</v>
          </cell>
          <cell r="Z84">
            <v>221135.24104542725</v>
          </cell>
          <cell r="AA84">
            <v>221470.75488217658</v>
          </cell>
          <cell r="AB84">
            <v>223814.68962733069</v>
          </cell>
          <cell r="AC84">
            <v>222220.65723257174</v>
          </cell>
          <cell r="AD84">
            <v>222629.30420924808</v>
          </cell>
          <cell r="AE84">
            <v>223146.84657001842</v>
          </cell>
        </row>
        <row r="85">
          <cell r="G85" t="str">
            <v>RegionMetal FabStock</v>
          </cell>
          <cell r="H85" t="str">
            <v>Ind</v>
          </cell>
          <cell r="I85" t="str">
            <v>Metal Fab</v>
          </cell>
          <cell r="J85" t="str">
            <v>Stock</v>
          </cell>
          <cell r="K85" t="str">
            <v>Consumption (MWh)</v>
          </cell>
          <cell r="L85">
            <v>909892.68701188185</v>
          </cell>
          <cell r="M85">
            <v>891825.25809582323</v>
          </cell>
          <cell r="N85">
            <v>882508.80442902481</v>
          </cell>
          <cell r="O85">
            <v>873727.53576770169</v>
          </cell>
          <cell r="P85">
            <v>873074.20336348354</v>
          </cell>
          <cell r="Q85">
            <v>857353.78829031112</v>
          </cell>
          <cell r="R85">
            <v>849920.96028251934</v>
          </cell>
          <cell r="S85">
            <v>842747.12140389089</v>
          </cell>
          <cell r="T85">
            <v>835992.11174095876</v>
          </cell>
          <cell r="U85">
            <v>829585.10375461576</v>
          </cell>
          <cell r="V85">
            <v>823489.91083828453</v>
          </cell>
          <cell r="W85">
            <v>817657.03435069101</v>
          </cell>
          <cell r="X85">
            <v>819465.35455238761</v>
          </cell>
          <cell r="Y85">
            <v>806647.75437978934</v>
          </cell>
          <cell r="Z85">
            <v>801457.62846863491</v>
          </cell>
          <cell r="AA85">
            <v>796415.70090358355</v>
          </cell>
          <cell r="AB85">
            <v>798860.24754177267</v>
          </cell>
          <cell r="AC85">
            <v>786961.84080937004</v>
          </cell>
          <cell r="AD85">
            <v>782499.53998716734</v>
          </cell>
          <cell r="AE85">
            <v>778123.72130174015</v>
          </cell>
        </row>
        <row r="86">
          <cell r="G86" t="str">
            <v>RegionTransportation, EquipStock</v>
          </cell>
          <cell r="H86" t="str">
            <v>Ind</v>
          </cell>
          <cell r="I86" t="str">
            <v>Transportation, Equip</v>
          </cell>
          <cell r="J86" t="str">
            <v>Stock</v>
          </cell>
          <cell r="K86" t="str">
            <v>Consumption (MWh)</v>
          </cell>
          <cell r="L86">
            <v>1804273.4320914866</v>
          </cell>
          <cell r="M86">
            <v>1764444.7092744687</v>
          </cell>
          <cell r="N86">
            <v>1742380.5060862801</v>
          </cell>
          <cell r="O86">
            <v>1721734.2919262978</v>
          </cell>
          <cell r="P86">
            <v>1717290.0100661237</v>
          </cell>
          <cell r="Q86">
            <v>1684212.3577429946</v>
          </cell>
          <cell r="R86">
            <v>1667572.9872876552</v>
          </cell>
          <cell r="S86">
            <v>1651915.7655637239</v>
          </cell>
          <cell r="T86">
            <v>1637404.0605393937</v>
          </cell>
          <cell r="U86">
            <v>1624039.8539685637</v>
          </cell>
          <cell r="V86">
            <v>1611571.7582730576</v>
          </cell>
          <cell r="W86">
            <v>1599938.1807304013</v>
          </cell>
          <cell r="X86">
            <v>1603782.6234504275</v>
          </cell>
          <cell r="Y86">
            <v>1579189.4507664458</v>
          </cell>
          <cell r="Z86">
            <v>1569848.0280781442</v>
          </cell>
          <cell r="AA86">
            <v>1560977.4194455137</v>
          </cell>
          <cell r="AB86">
            <v>1566945.462049291</v>
          </cell>
          <cell r="AC86">
            <v>1545218.7396206472</v>
          </cell>
          <cell r="AD86">
            <v>1538099.8647244556</v>
          </cell>
          <cell r="AE86">
            <v>1531589.7574381533</v>
          </cell>
        </row>
        <row r="87">
          <cell r="G87" t="str">
            <v>RegionRefineryStock</v>
          </cell>
          <cell r="H87" t="str">
            <v>Ind</v>
          </cell>
          <cell r="I87" t="str">
            <v>Refinery</v>
          </cell>
          <cell r="J87" t="str">
            <v>Stock</v>
          </cell>
          <cell r="K87" t="str">
            <v>Consumption (MWh)</v>
          </cell>
          <cell r="L87">
            <v>1881024.91962965</v>
          </cell>
          <cell r="M87">
            <v>1909117.5467978129</v>
          </cell>
          <cell r="N87">
            <v>1951995.6132668965</v>
          </cell>
          <cell r="O87">
            <v>1997111.8831124087</v>
          </cell>
          <cell r="P87">
            <v>2057483.6301056999</v>
          </cell>
          <cell r="Q87">
            <v>2084336.8416466711</v>
          </cell>
          <cell r="R87">
            <v>2127809.677560756</v>
          </cell>
          <cell r="S87">
            <v>2172413.8365607024</v>
          </cell>
          <cell r="T87">
            <v>2215960.2386478884</v>
          </cell>
          <cell r="U87">
            <v>2261195.6605773838</v>
          </cell>
          <cell r="V87">
            <v>2305708.6406222372</v>
          </cell>
          <cell r="W87">
            <v>2351421.030442731</v>
          </cell>
          <cell r="X87">
            <v>2417809.3733545281</v>
          </cell>
          <cell r="Y87">
            <v>2441973.3932293397</v>
          </cell>
          <cell r="Z87">
            <v>2486737.3300964865</v>
          </cell>
          <cell r="AA87">
            <v>2532907.6529900534</v>
          </cell>
          <cell r="AB87">
            <v>2601624.7146502738</v>
          </cell>
          <cell r="AC87">
            <v>2625012.9439967307</v>
          </cell>
          <cell r="AD87">
            <v>2670463.7864335729</v>
          </cell>
          <cell r="AE87">
            <v>2717337.6347862268</v>
          </cell>
        </row>
        <row r="88">
          <cell r="G88" t="str">
            <v>RegionCold StorageStock</v>
          </cell>
          <cell r="H88" t="str">
            <v>Ind</v>
          </cell>
          <cell r="I88" t="str">
            <v>Cold Storage</v>
          </cell>
          <cell r="J88" t="str">
            <v>Stock</v>
          </cell>
          <cell r="K88" t="str">
            <v>Consumption (MWh)</v>
          </cell>
          <cell r="L88">
            <v>78154.236827670538</v>
          </cell>
          <cell r="M88">
            <v>79453.458629044515</v>
          </cell>
          <cell r="N88">
            <v>81462.364882615439</v>
          </cell>
          <cell r="O88">
            <v>83477.500671992908</v>
          </cell>
          <cell r="P88">
            <v>86245.581369176958</v>
          </cell>
          <cell r="Q88">
            <v>87478.747599680457</v>
          </cell>
          <cell r="R88">
            <v>89494.311122657688</v>
          </cell>
          <cell r="S88">
            <v>91509.020390414968</v>
          </cell>
          <cell r="T88">
            <v>93532.504764969955</v>
          </cell>
          <cell r="U88">
            <v>95564.382084683428</v>
          </cell>
          <cell r="V88">
            <v>97600.983939128768</v>
          </cell>
          <cell r="W88">
            <v>99644.634467322845</v>
          </cell>
          <cell r="X88">
            <v>102618.3524040958</v>
          </cell>
          <cell r="Y88">
            <v>103741.81616097505</v>
          </cell>
          <cell r="Z88">
            <v>105788.43696882724</v>
          </cell>
          <cell r="AA88">
            <v>107838.05913011087</v>
          </cell>
          <cell r="AB88">
            <v>110898.73263363529</v>
          </cell>
          <cell r="AC88">
            <v>111951.72686476028</v>
          </cell>
          <cell r="AD88">
            <v>114014.96377503965</v>
          </cell>
          <cell r="AE88">
            <v>116079.01640209509</v>
          </cell>
        </row>
        <row r="89">
          <cell r="G89" t="str">
            <v>RegionFruit StorageStock</v>
          </cell>
          <cell r="H89" t="str">
            <v>Ind</v>
          </cell>
          <cell r="I89" t="str">
            <v>Fruit Storage</v>
          </cell>
          <cell r="J89" t="str">
            <v>Stock</v>
          </cell>
          <cell r="K89" t="str">
            <v>Consumption (MWh)</v>
          </cell>
          <cell r="L89">
            <v>199395.43790713095</v>
          </cell>
          <cell r="M89">
            <v>204115.10690708214</v>
          </cell>
          <cell r="N89">
            <v>210634.84781997796</v>
          </cell>
          <cell r="O89">
            <v>217141.49063609194</v>
          </cell>
          <cell r="P89">
            <v>225683.75101923331</v>
          </cell>
          <cell r="Q89">
            <v>230234.36323329096</v>
          </cell>
          <cell r="R89">
            <v>236796.95219371072</v>
          </cell>
          <cell r="S89">
            <v>243349.21918638356</v>
          </cell>
          <cell r="T89">
            <v>249921.80671927828</v>
          </cell>
          <cell r="U89">
            <v>256506.98239189648</v>
          </cell>
          <cell r="V89">
            <v>263096.35269472009</v>
          </cell>
          <cell r="W89">
            <v>269693.66215315415</v>
          </cell>
          <cell r="X89">
            <v>278797.26062516763</v>
          </cell>
          <cell r="Y89">
            <v>282842.82237701409</v>
          </cell>
          <cell r="Z89">
            <v>289419.35664982459</v>
          </cell>
          <cell r="AA89">
            <v>295994.31165490975</v>
          </cell>
          <cell r="AB89">
            <v>305366.03036291245</v>
          </cell>
          <cell r="AC89">
            <v>309179.84460456396</v>
          </cell>
          <cell r="AD89">
            <v>315794.71629056305</v>
          </cell>
          <cell r="AE89">
            <v>322364.98084319307</v>
          </cell>
        </row>
        <row r="90">
          <cell r="G90" t="str">
            <v>RegionChemicalStock</v>
          </cell>
          <cell r="H90" t="str">
            <v>Ind</v>
          </cell>
          <cell r="I90" t="str">
            <v>Chemical</v>
          </cell>
          <cell r="J90" t="str">
            <v>Stock</v>
          </cell>
          <cell r="K90" t="str">
            <v>Consumption (MWh)</v>
          </cell>
          <cell r="L90">
            <v>3305004.1605836996</v>
          </cell>
          <cell r="M90">
            <v>3443789.6934345411</v>
          </cell>
          <cell r="N90">
            <v>3609021.9884613133</v>
          </cell>
          <cell r="O90">
            <v>3771046.7677251906</v>
          </cell>
          <cell r="P90">
            <v>3927253.9609524435</v>
          </cell>
          <cell r="Q90">
            <v>4037395.7085911199</v>
          </cell>
          <cell r="R90">
            <v>4188643.2636367837</v>
          </cell>
          <cell r="S90">
            <v>4340984.9755713558</v>
          </cell>
          <cell r="T90">
            <v>4493975.9194887662</v>
          </cell>
          <cell r="U90">
            <v>4646018.0745007796</v>
          </cell>
          <cell r="V90">
            <v>4797371.3042631764</v>
          </cell>
          <cell r="W90">
            <v>4947813.7264089147</v>
          </cell>
          <cell r="X90">
            <v>5144107.7969676936</v>
          </cell>
          <cell r="Y90">
            <v>5246402.7802377427</v>
          </cell>
          <cell r="Z90">
            <v>5394857.0622515492</v>
          </cell>
          <cell r="AA90">
            <v>5541714.6108995685</v>
          </cell>
          <cell r="AB90">
            <v>5740442.2061493713</v>
          </cell>
          <cell r="AC90">
            <v>5833788.3063517585</v>
          </cell>
          <cell r="AD90">
            <v>5979638.453419812</v>
          </cell>
          <cell r="AE90">
            <v>6123880.4660364473</v>
          </cell>
        </row>
        <row r="91">
          <cell r="G91" t="str">
            <v>RegionMisc ManfStock</v>
          </cell>
          <cell r="H91" t="str">
            <v>Ind</v>
          </cell>
          <cell r="I91" t="str">
            <v>Misc Manf</v>
          </cell>
          <cell r="J91" t="str">
            <v>Stock</v>
          </cell>
          <cell r="K91" t="str">
            <v>Consumption (MWh)</v>
          </cell>
          <cell r="L91">
            <v>4209556.472488177</v>
          </cell>
          <cell r="M91">
            <v>4334633.1165770665</v>
          </cell>
          <cell r="N91">
            <v>4496807.6122477548</v>
          </cell>
          <cell r="O91">
            <v>4658950.5636732625</v>
          </cell>
          <cell r="P91">
            <v>4833902.8390341504</v>
          </cell>
          <cell r="Q91">
            <v>4939547.3871582579</v>
          </cell>
          <cell r="R91">
            <v>5095859.5790590979</v>
          </cell>
          <cell r="S91">
            <v>5254063.1713875132</v>
          </cell>
          <cell r="T91">
            <v>5413802.5084346561</v>
          </cell>
          <cell r="U91">
            <v>5573463.6928148605</v>
          </cell>
          <cell r="V91">
            <v>5733797.7617043415</v>
          </cell>
          <cell r="W91">
            <v>5893374.3310838528</v>
          </cell>
          <cell r="X91">
            <v>6108755.4059702102</v>
          </cell>
          <cell r="Y91">
            <v>6213044.4648437528</v>
          </cell>
          <cell r="Z91">
            <v>6372313.332896472</v>
          </cell>
          <cell r="AA91">
            <v>6531884.2745853113</v>
          </cell>
          <cell r="AB91">
            <v>6752077.3183153793</v>
          </cell>
          <cell r="AC91">
            <v>6850327.3548128605</v>
          </cell>
          <cell r="AD91">
            <v>7009692.065473482</v>
          </cell>
          <cell r="AE91">
            <v>7168736.8179728845</v>
          </cell>
        </row>
        <row r="92">
          <cell r="G92" t="str">
            <v>RegionEVStock</v>
          </cell>
          <cell r="H92" t="str">
            <v>EV</v>
          </cell>
          <cell r="I92" t="str">
            <v>EV</v>
          </cell>
          <cell r="J92" t="str">
            <v>Stock</v>
          </cell>
          <cell r="K92" t="str">
            <v>1000 Cars</v>
          </cell>
          <cell r="L92">
            <v>60.183986956923889</v>
          </cell>
          <cell r="M92">
            <v>91.985039267783762</v>
          </cell>
          <cell r="N92">
            <v>131.71899349682545</v>
          </cell>
          <cell r="O92">
            <v>179.31931215654896</v>
          </cell>
          <cell r="P92">
            <v>234.46894197990883</v>
          </cell>
          <cell r="Q92">
            <v>296.9378027583823</v>
          </cell>
          <cell r="R92">
            <v>366.00059330503768</v>
          </cell>
          <cell r="S92">
            <v>441.25939468635204</v>
          </cell>
          <cell r="T92">
            <v>522.62506581198477</v>
          </cell>
          <cell r="U92">
            <v>610.52396116716261</v>
          </cell>
          <cell r="V92">
            <v>705.01906985870437</v>
          </cell>
          <cell r="W92">
            <v>801.72374571842784</v>
          </cell>
          <cell r="X92">
            <v>899.84995621451503</v>
          </cell>
          <cell r="Y92">
            <v>998.49290967026104</v>
          </cell>
          <cell r="Z92">
            <v>1096.4275699987345</v>
          </cell>
          <cell r="AA92">
            <v>1187.7661760902763</v>
          </cell>
          <cell r="AB92">
            <v>1272.9815546454543</v>
          </cell>
          <cell r="AC92">
            <v>1351.8588013409089</v>
          </cell>
          <cell r="AD92">
            <v>1433.0587465545455</v>
          </cell>
          <cell r="AE92">
            <v>1500.0488473772725</v>
          </cell>
        </row>
        <row r="93">
          <cell r="G93" t="str">
            <v>RegionPopStock</v>
          </cell>
          <cell r="H93" t="str">
            <v>Pop</v>
          </cell>
          <cell r="I93" t="str">
            <v>Pop</v>
          </cell>
          <cell r="J93" t="str">
            <v>Stock</v>
          </cell>
          <cell r="K93" t="str">
            <v># of people</v>
          </cell>
          <cell r="L93">
            <v>13520.68111</v>
          </cell>
          <cell r="M93">
            <v>13661.840299999998</v>
          </cell>
          <cell r="N93">
            <v>13803.691440000001</v>
          </cell>
          <cell r="O93">
            <v>13944.276469999999</v>
          </cell>
          <cell r="P93">
            <v>14082.801340000002</v>
          </cell>
          <cell r="Q93">
            <v>14218.715590000002</v>
          </cell>
          <cell r="R93">
            <v>14351.918940000001</v>
          </cell>
          <cell r="S93">
            <v>14482.437540000003</v>
          </cell>
          <cell r="T93">
            <v>14610.4211</v>
          </cell>
          <cell r="U93">
            <v>14736.24631</v>
          </cell>
          <cell r="V93">
            <v>14860.320880000001</v>
          </cell>
          <cell r="W93">
            <v>14983.078860000001</v>
          </cell>
          <cell r="X93">
            <v>15104.70127</v>
          </cell>
          <cell r="Y93">
            <v>15225.195700000002</v>
          </cell>
          <cell r="Z93">
            <v>15344.62486</v>
          </cell>
          <cell r="AA93">
            <v>15463.089019999998</v>
          </cell>
          <cell r="AB93">
            <v>15580.68845</v>
          </cell>
          <cell r="AC93">
            <v>15697.50913</v>
          </cell>
          <cell r="AD93">
            <v>15813.626329999999</v>
          </cell>
          <cell r="AE93">
            <v>15929.254489999999</v>
          </cell>
        </row>
        <row r="94">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row>
        <row r="95">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row>
        <row r="96">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row>
        <row r="97">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row>
        <row r="98">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row>
        <row r="99">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row>
        <row r="100">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row>
        <row r="101">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row>
        <row r="102">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row>
        <row r="103">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row>
        <row r="104">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row>
        <row r="105">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row>
        <row r="106">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row>
        <row r="107">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row>
        <row r="108">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row>
        <row r="109">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row>
        <row r="110">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row>
        <row r="112">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row>
        <row r="113">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row>
        <row r="114">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row>
        <row r="115">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row>
        <row r="116">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row>
        <row r="117">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row>
        <row r="118">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row>
        <row r="119">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row>
        <row r="120">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row>
        <row r="121">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row>
        <row r="122">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row>
        <row r="123">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row>
        <row r="124">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row>
        <row r="125">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row>
        <row r="126">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row>
        <row r="127">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row>
        <row r="128">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row>
        <row r="129">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row>
        <row r="130">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row>
        <row r="131">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row>
        <row r="132">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row>
        <row r="133">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row>
        <row r="134">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row>
        <row r="135">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row>
        <row r="136">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row>
        <row r="137">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row>
        <row r="138">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row>
        <row r="139">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row>
        <row r="140">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row>
        <row r="141">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row>
        <row r="142">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row>
        <row r="143">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row>
        <row r="144">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row>
        <row r="145">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row>
        <row r="146">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row>
        <row r="147">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row>
        <row r="148">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row>
        <row r="149">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row>
        <row r="150">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row>
        <row r="151">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row>
        <row r="152">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row>
        <row r="153">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row>
        <row r="154">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row>
        <row r="155">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row>
        <row r="156">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row>
        <row r="157">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row>
        <row r="158">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row>
        <row r="159">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row>
        <row r="160">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row>
        <row r="161">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row>
        <row r="162">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row>
        <row r="163">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row>
        <row r="164">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row>
        <row r="165">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row>
        <row r="166">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row>
        <row r="167">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row>
        <row r="168">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row>
        <row r="169">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row>
        <row r="170">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row>
        <row r="171">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row>
        <row r="172">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row>
        <row r="173">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row>
        <row r="174">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row>
        <row r="175">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row>
        <row r="176">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row>
        <row r="177">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row>
        <row r="178">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row>
        <row r="179">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row>
        <row r="180">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row>
        <row r="181">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row>
        <row r="182">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row>
        <row r="183">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row>
        <row r="184">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row>
        <row r="185">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row>
        <row r="186">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row>
        <row r="187">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row>
        <row r="188">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row>
        <row r="189">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row>
        <row r="190">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row>
        <row r="191">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row>
        <row r="192">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row>
        <row r="193">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row>
        <row r="194">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row>
        <row r="195">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row>
        <row r="196">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row>
        <row r="197">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row>
        <row r="198">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row>
        <row r="199">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row>
        <row r="200">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row>
        <row r="201">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row>
        <row r="202">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row>
        <row r="203">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row>
        <row r="204">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row>
        <row r="205">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row>
        <row r="206">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row>
        <row r="207">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row>
        <row r="211">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3">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row>
        <row r="214">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row>
        <row r="215">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row>
        <row r="216">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row>
        <row r="217">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row>
        <row r="218">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row>
        <row r="219">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row>
        <row r="220">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row>
        <row r="221">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row>
        <row r="222">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row>
        <row r="223">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row>
        <row r="224">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row>
        <row r="225">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row>
        <row r="226">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row>
        <row r="227">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row>
        <row r="228">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row>
        <row r="229">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row>
        <row r="230">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row>
        <row r="231">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row>
        <row r="232">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row>
        <row r="233">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row>
        <row r="234">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row>
        <row r="235">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row>
        <row r="236">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row>
        <row r="237">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row>
        <row r="238">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row>
        <row r="239">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row>
        <row r="240">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row>
        <row r="241">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row>
        <row r="242">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row>
        <row r="243">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row>
        <row r="244">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row>
        <row r="245">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row>
        <row r="246">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row>
        <row r="247">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row>
        <row r="248">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row>
        <row r="249">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row>
        <row r="250">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row>
        <row r="251">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row>
        <row r="252">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row>
        <row r="253">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row>
        <row r="254">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row>
        <row r="255">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row>
        <row r="256">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row>
        <row r="257">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row>
        <row r="258">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row>
        <row r="259">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row>
        <row r="260">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row>
        <row r="262">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row>
        <row r="263">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row>
        <row r="264">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row>
        <row r="265">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row>
        <row r="266">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row>
        <row r="267">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row>
        <row r="268">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row>
        <row r="269">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row>
        <row r="270">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row>
        <row r="271">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row>
        <row r="272">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row>
        <row r="273">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row>
        <row r="274">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row>
        <row r="275">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row>
        <row r="276">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row>
        <row r="277">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row>
        <row r="278">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row>
        <row r="279">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row>
        <row r="280">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row>
        <row r="281">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row>
        <row r="282">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row>
        <row r="283">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row>
        <row r="284">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row>
        <row r="285">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row>
        <row r="286">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row>
        <row r="287">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row>
        <row r="288">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row>
        <row r="289">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row>
        <row r="290">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row>
        <row r="291">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row>
        <row r="292">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row>
        <row r="293">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row>
        <row r="294">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row>
        <row r="295">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row>
        <row r="296">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row>
        <row r="297">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row>
        <row r="298">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row>
        <row r="299">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row>
        <row r="300">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row>
        <row r="301">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row>
        <row r="302">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row>
        <row r="303">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row>
        <row r="304">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row>
        <row r="305">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row>
        <row r="306">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row>
        <row r="307">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row>
        <row r="308">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row>
        <row r="309">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row>
        <row r="310">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row>
        <row r="311">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row>
        <row r="312">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row>
        <row r="313">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row>
        <row r="314">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row>
        <row r="315">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row>
        <row r="316">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row>
        <row r="317">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row>
        <row r="318">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row>
        <row r="319">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row>
        <row r="320">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row>
        <row r="321">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row>
        <row r="322">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row>
        <row r="323">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row>
        <row r="324">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row>
        <row r="325">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row>
        <row r="326">
          <cell r="G326">
            <v>0</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row>
        <row r="327">
          <cell r="G327">
            <v>0</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row>
        <row r="328">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row>
        <row r="329">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row>
        <row r="330">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row>
        <row r="331">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row>
        <row r="332">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row>
        <row r="333">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row>
        <row r="334">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row>
        <row r="335">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row>
        <row r="336">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row>
        <row r="337">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row>
        <row r="338">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row>
        <row r="339">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row>
        <row r="340">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row>
        <row r="341">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row>
        <row r="342">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row>
        <row r="343">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row>
        <row r="344">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row>
        <row r="345">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row>
        <row r="346">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row>
        <row r="347">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row>
        <row r="348">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row>
        <row r="349">
          <cell r="G349">
            <v>0</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row>
        <row r="350">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row>
        <row r="351">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row>
        <row r="352">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row>
        <row r="353">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row>
        <row r="354">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row>
        <row r="355">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row>
        <row r="356">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row>
        <row r="357">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row>
        <row r="358">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row>
        <row r="359">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row>
        <row r="360">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row>
        <row r="361">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row>
        <row r="362">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row>
        <row r="363">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row>
        <row r="364">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row>
        <row r="365">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row>
        <row r="366">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row>
        <row r="367">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row>
        <row r="368">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row>
        <row r="369">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row>
        <row r="370">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row>
        <row r="371">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row>
        <row r="372">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row>
        <row r="373">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row>
        <row r="374">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row>
        <row r="375">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row>
        <row r="376">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row>
        <row r="377">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row>
        <row r="378">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row>
        <row r="379">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row>
        <row r="380">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row>
        <row r="381">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row>
        <row r="382">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row>
        <row r="383">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row>
        <row r="384">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row>
        <row r="385">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row>
        <row r="386">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row>
        <row r="387">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row>
        <row r="388">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row>
        <row r="389">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row>
        <row r="390">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row>
        <row r="391">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row>
        <row r="392">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row>
        <row r="393">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row>
        <row r="394">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row>
        <row r="395">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row>
        <row r="396">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row>
        <row r="398">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row>
        <row r="399">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row>
        <row r="401">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row>
        <row r="403">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row>
        <row r="404">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row>
        <row r="405">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row>
        <row r="406">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row>
        <row r="407">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row>
        <row r="408">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row>
        <row r="409">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row>
        <row r="410">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row>
        <row r="411">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row>
        <row r="412">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row>
        <row r="413">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row>
        <row r="414">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row>
        <row r="415">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row>
        <row r="416">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row>
        <row r="417">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row>
        <row r="418">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row>
        <row r="419">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row>
        <row r="420">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row>
        <row r="421">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row>
        <row r="422">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row>
        <row r="423">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row>
        <row r="424">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row>
        <row r="425">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row>
        <row r="426">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row>
        <row r="427">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row>
        <row r="428">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row>
        <row r="429">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row>
        <row r="430">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row>
        <row r="431">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row>
        <row r="432">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row>
        <row r="433">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row>
        <row r="434">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row>
        <row r="435">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row>
        <row r="436">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row>
        <row r="437">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row>
        <row r="438">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row>
        <row r="439">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row>
        <row r="440">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row>
        <row r="441">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row>
        <row r="442">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row>
        <row r="443">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row>
        <row r="444">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row>
        <row r="445">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row>
        <row r="446">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row>
        <row r="447">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row>
        <row r="448">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row>
        <row r="449">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row>
        <row r="450">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row>
        <row r="451">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row>
        <row r="452">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row>
        <row r="453">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row>
        <row r="454">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row>
        <row r="455">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row>
        <row r="456">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row>
        <row r="457">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row>
        <row r="458">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row>
        <row r="459">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row>
        <row r="460">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row>
        <row r="461">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row>
        <row r="462">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row>
        <row r="463">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row>
        <row r="464">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row>
        <row r="465">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row>
        <row r="466">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row>
        <row r="467">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row>
        <row r="468">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row>
        <row r="469">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row>
        <row r="470">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row>
        <row r="471">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row>
        <row r="472">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row>
        <row r="473">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row>
        <row r="474">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row>
        <row r="475">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row>
        <row r="476">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row>
        <row r="477">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row>
        <row r="478">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row>
        <row r="479">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row>
        <row r="480">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row>
        <row r="481">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row>
        <row r="482">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row>
        <row r="483">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row>
        <row r="484">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row>
        <row r="485">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row>
        <row r="486">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row>
        <row r="487">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row>
        <row r="488">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row>
        <row r="489">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row>
        <row r="490">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row>
        <row r="491">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row>
        <row r="492">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row>
        <row r="493">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row>
        <row r="494">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row>
        <row r="495">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row>
        <row r="496">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row>
        <row r="497">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row>
        <row r="498">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row>
        <row r="499">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row>
        <row r="500">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row>
      </sheetData>
      <sheetData sheetId="2">
        <row r="3">
          <cell r="H3">
            <v>100</v>
          </cell>
        </row>
        <row r="4">
          <cell r="H4">
            <v>100</v>
          </cell>
        </row>
      </sheetData>
      <sheetData sheetId="3">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4">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34559.442000000003</v>
          </cell>
          <cell r="J54">
            <v>42040.175999999999</v>
          </cell>
          <cell r="K54">
            <v>48415.591999999997</v>
          </cell>
          <cell r="L54">
            <v>44234.158000000003</v>
          </cell>
          <cell r="M54">
            <v>57584.008000000002</v>
          </cell>
          <cell r="N54">
            <v>61360.741000000002</v>
          </cell>
          <cell r="O54">
            <v>63637.875999999997</v>
          </cell>
          <cell r="P54">
            <v>54867.252999999997</v>
          </cell>
          <cell r="Q54">
            <v>57384.413</v>
          </cell>
          <cell r="R54">
            <v>56006.91</v>
          </cell>
          <cell r="S54">
            <v>58939.248</v>
          </cell>
          <cell r="T54">
            <v>56527.233</v>
          </cell>
          <cell r="U54">
            <v>51608.514000000003</v>
          </cell>
          <cell r="V54">
            <v>52738.447999999997</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22080.053999678374</v>
          </cell>
          <cell r="J55">
            <v>28601.778161129085</v>
          </cell>
          <cell r="K55">
            <v>27202.893689869055</v>
          </cell>
          <cell r="L55">
            <v>12390.21093788289</v>
          </cell>
          <cell r="M55">
            <v>12173.152842775997</v>
          </cell>
          <cell r="N55">
            <v>12361.89700061282</v>
          </cell>
          <cell r="O55">
            <v>17122.743158401601</v>
          </cell>
          <cell r="P55">
            <v>18662.733640245107</v>
          </cell>
          <cell r="Q55">
            <v>21954.730458996564</v>
          </cell>
          <cell r="R55">
            <v>20000.57314201623</v>
          </cell>
          <cell r="S55">
            <v>20642.129902132972</v>
          </cell>
          <cell r="T55">
            <v>18328.494801049026</v>
          </cell>
          <cell r="U55">
            <v>14151.270582179823</v>
          </cell>
          <cell r="V55">
            <v>14626.267683576692</v>
          </cell>
          <cell r="W55">
            <v>12028.647109827847</v>
          </cell>
          <cell r="X55">
            <v>13046.576324182055</v>
          </cell>
          <cell r="Y55">
            <v>13957.232094298253</v>
          </cell>
          <cell r="Z55">
            <v>13931.004497270837</v>
          </cell>
          <cell r="AA55">
            <v>15900.995334173014</v>
          </cell>
          <cell r="AB55">
            <v>15570.247880584542</v>
          </cell>
          <cell r="AC55">
            <v>11944.723214001346</v>
          </cell>
          <cell r="AD55">
            <v>4141.9202192737603</v>
          </cell>
          <cell r="AE55">
            <v>4082.3550519108016</v>
          </cell>
        </row>
        <row r="56">
          <cell r="G56">
            <v>1541.8068029250769</v>
          </cell>
          <cell r="H56">
            <v>1789.2040028975434</v>
          </cell>
          <cell r="I56">
            <v>2697.4260003216255</v>
          </cell>
          <cell r="J56">
            <v>2452.621838870919</v>
          </cell>
          <cell r="K56">
            <v>1250.8263101309401</v>
          </cell>
          <cell r="L56">
            <v>1272.6790621171076</v>
          </cell>
          <cell r="M56">
            <v>1783.7271572240045</v>
          </cell>
          <cell r="N56">
            <v>2321.9429993871795</v>
          </cell>
          <cell r="O56">
            <v>2678.3968415983995</v>
          </cell>
          <cell r="P56">
            <v>3071.6263597548932</v>
          </cell>
          <cell r="Q56">
            <v>2881.3195410034373</v>
          </cell>
          <cell r="R56">
            <v>2811.49685798377</v>
          </cell>
          <cell r="S56">
            <v>2476.4300978670262</v>
          </cell>
          <cell r="T56">
            <v>2052.865198950974</v>
          </cell>
          <cell r="U56">
            <v>2155.6894178201746</v>
          </cell>
          <cell r="V56">
            <v>2035.7623164233071</v>
          </cell>
          <cell r="W56">
            <v>2249.9028901721549</v>
          </cell>
          <cell r="X56">
            <v>2341.7336758179449</v>
          </cell>
          <cell r="Y56">
            <v>2340.0879057017487</v>
          </cell>
          <cell r="Z56">
            <v>2581.1355027291629</v>
          </cell>
          <cell r="AA56">
            <v>2450.9446658269862</v>
          </cell>
          <cell r="AB56">
            <v>2125.3821194154557</v>
          </cell>
          <cell r="AC56">
            <v>1478.8567859986533</v>
          </cell>
          <cell r="AD56">
            <v>1471.80978072624</v>
          </cell>
          <cell r="AE56">
            <v>1909.1649480891979</v>
          </cell>
        </row>
        <row r="57">
          <cell r="G57">
            <v>8065.19</v>
          </cell>
          <cell r="H57">
            <v>7680.98</v>
          </cell>
          <cell r="I57">
            <v>8859.3700000000008</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6539.39</v>
          </cell>
          <cell r="Y57">
            <v>6359.29</v>
          </cell>
          <cell r="Z57">
            <v>6381.37</v>
          </cell>
          <cell r="AA57">
            <v>6080.27</v>
          </cell>
          <cell r="AB57">
            <v>4894.01</v>
          </cell>
          <cell r="AC57">
            <v>3674.09</v>
          </cell>
          <cell r="AD57">
            <v>2014.3</v>
          </cell>
          <cell r="AE57">
            <v>1796.25</v>
          </cell>
        </row>
        <row r="63">
          <cell r="G63">
            <v>1986</v>
          </cell>
          <cell r="H63">
            <v>1987</v>
          </cell>
          <cell r="I63">
            <v>1988</v>
          </cell>
          <cell r="J63">
            <v>1989</v>
          </cell>
          <cell r="K63">
            <v>1990</v>
          </cell>
          <cell r="L63">
            <v>1991</v>
          </cell>
          <cell r="M63">
            <v>1992</v>
          </cell>
          <cell r="N63">
            <v>1993</v>
          </cell>
          <cell r="O63">
            <v>1994</v>
          </cell>
          <cell r="P63">
            <v>1995</v>
          </cell>
          <cell r="Q63">
            <v>1996</v>
          </cell>
          <cell r="R63">
            <v>1997</v>
          </cell>
          <cell r="S63">
            <v>1998</v>
          </cell>
          <cell r="T63">
            <v>1999</v>
          </cell>
          <cell r="U63">
            <v>2000</v>
          </cell>
          <cell r="V63">
            <v>2001</v>
          </cell>
          <cell r="W63">
            <v>2002</v>
          </cell>
          <cell r="X63">
            <v>2003</v>
          </cell>
          <cell r="Y63">
            <v>2004</v>
          </cell>
          <cell r="Z63">
            <v>2005</v>
          </cell>
          <cell r="AA63">
            <v>2006</v>
          </cell>
          <cell r="AB63">
            <v>2007</v>
          </cell>
          <cell r="AC63">
            <v>2008</v>
          </cell>
          <cell r="AD63">
            <v>2009</v>
          </cell>
          <cell r="AE63">
            <v>2010</v>
          </cell>
        </row>
        <row r="65">
          <cell r="G65">
            <v>1913.6278001779131</v>
          </cell>
          <cell r="H65">
            <v>1919.2670567662774</v>
          </cell>
          <cell r="I65">
            <v>1924.9063133546417</v>
          </cell>
          <cell r="J65">
            <v>1930.5455699430061</v>
          </cell>
          <cell r="K65">
            <v>1936.1848265313704</v>
          </cell>
          <cell r="L65">
            <v>1941.8240831197347</v>
          </cell>
          <cell r="M65">
            <v>1947.4633397080986</v>
          </cell>
          <cell r="N65">
            <v>1979.8855944438292</v>
          </cell>
          <cell r="O65">
            <v>2012.3078491795598</v>
          </cell>
          <cell r="P65">
            <v>2044.7301039152903</v>
          </cell>
          <cell r="Q65">
            <v>2077.1523586510211</v>
          </cell>
          <cell r="R65">
            <v>2109.5746133867519</v>
          </cell>
          <cell r="S65">
            <v>2141.9968681224827</v>
          </cell>
          <cell r="T65">
            <v>2174.4191228582135</v>
          </cell>
          <cell r="U65">
            <v>2206.8413775939443</v>
          </cell>
          <cell r="V65">
            <v>2239.2636323296751</v>
          </cell>
          <cell r="W65">
            <v>2271.685887065406</v>
          </cell>
          <cell r="X65">
            <v>2304.1081418011368</v>
          </cell>
          <cell r="Y65">
            <v>2336.5303965368676</v>
          </cell>
          <cell r="Z65">
            <v>2368.9526512725984</v>
          </cell>
          <cell r="AA65">
            <v>2206.8413775939434</v>
          </cell>
          <cell r="AB65">
            <v>2185.6308440789344</v>
          </cell>
          <cell r="AC65">
            <v>2164.4203105639253</v>
          </cell>
          <cell r="AD65">
            <v>2143.2097770489163</v>
          </cell>
          <cell r="AE65">
            <v>2121.9992435339072</v>
          </cell>
        </row>
        <row r="66">
          <cell r="G66">
            <v>698.06928427699506</v>
          </cell>
          <cell r="H66">
            <v>708.32070921300988</v>
          </cell>
          <cell r="I66">
            <v>718.57213414902469</v>
          </cell>
          <cell r="J66">
            <v>728.82355908503951</v>
          </cell>
          <cell r="K66">
            <v>739.07498402105432</v>
          </cell>
          <cell r="L66">
            <v>749.32640895706913</v>
          </cell>
          <cell r="M66">
            <v>759.57783389308383</v>
          </cell>
          <cell r="N66">
            <v>768.47360788626315</v>
          </cell>
          <cell r="O66">
            <v>777.36938187944247</v>
          </cell>
          <cell r="P66">
            <v>786.26515587262179</v>
          </cell>
          <cell r="Q66">
            <v>795.16092986580111</v>
          </cell>
          <cell r="R66">
            <v>804.05670385898043</v>
          </cell>
          <cell r="S66">
            <v>812.95247785215975</v>
          </cell>
          <cell r="T66">
            <v>821.84825184533906</v>
          </cell>
          <cell r="U66">
            <v>830.74402583851838</v>
          </cell>
          <cell r="V66">
            <v>839.6397998316977</v>
          </cell>
          <cell r="W66">
            <v>848.53557382487702</v>
          </cell>
          <cell r="X66">
            <v>857.43134781805634</v>
          </cell>
          <cell r="Y66">
            <v>866.32712181123566</v>
          </cell>
          <cell r="Z66">
            <v>875.22289580441497</v>
          </cell>
          <cell r="AA66">
            <v>830.74402583851884</v>
          </cell>
          <cell r="AB66">
            <v>841.39264921368215</v>
          </cell>
          <cell r="AC66">
            <v>852.04127258884546</v>
          </cell>
          <cell r="AD66">
            <v>862.68989596400877</v>
          </cell>
          <cell r="AE66">
            <v>873.33851933917208</v>
          </cell>
        </row>
        <row r="67">
          <cell r="G67">
            <v>1167</v>
          </cell>
          <cell r="H67">
            <v>1167</v>
          </cell>
          <cell r="I67">
            <v>1167</v>
          </cell>
          <cell r="J67">
            <v>1167</v>
          </cell>
          <cell r="K67">
            <v>1167</v>
          </cell>
          <cell r="L67">
            <v>1167</v>
          </cell>
          <cell r="M67">
            <v>1167</v>
          </cell>
          <cell r="N67">
            <v>1167</v>
          </cell>
          <cell r="O67">
            <v>1167</v>
          </cell>
          <cell r="P67">
            <v>1167</v>
          </cell>
          <cell r="Q67">
            <v>1167</v>
          </cell>
          <cell r="R67">
            <v>1167</v>
          </cell>
          <cell r="S67">
            <v>1167</v>
          </cell>
          <cell r="T67">
            <v>1167</v>
          </cell>
          <cell r="U67">
            <v>1167</v>
          </cell>
          <cell r="V67">
            <v>1167</v>
          </cell>
          <cell r="W67">
            <v>1167</v>
          </cell>
          <cell r="X67">
            <v>1167</v>
          </cell>
          <cell r="Y67">
            <v>1167</v>
          </cell>
          <cell r="Z67">
            <v>1167</v>
          </cell>
          <cell r="AA67">
            <v>1167</v>
          </cell>
          <cell r="AB67">
            <v>1167</v>
          </cell>
          <cell r="AC67">
            <v>1167</v>
          </cell>
          <cell r="AD67">
            <v>1167</v>
          </cell>
          <cell r="AE67">
            <v>1167</v>
          </cell>
        </row>
        <row r="68">
          <cell r="G68">
            <v>1029.0487523611168</v>
          </cell>
          <cell r="H68">
            <v>1097.2261598014015</v>
          </cell>
          <cell r="I68">
            <v>1165.4035672416862</v>
          </cell>
          <cell r="J68">
            <v>1233.5809746819709</v>
          </cell>
          <cell r="K68">
            <v>1301.7583821222556</v>
          </cell>
          <cell r="L68">
            <v>1369.9357895625403</v>
          </cell>
          <cell r="M68">
            <v>1438.1131970028248</v>
          </cell>
          <cell r="N68">
            <v>1454.5206034528924</v>
          </cell>
          <cell r="O68">
            <v>1470.9280099029602</v>
          </cell>
          <cell r="P68">
            <v>1487.335416353028</v>
          </cell>
          <cell r="Q68">
            <v>1503.7428228030958</v>
          </cell>
          <cell r="R68">
            <v>1520.1502292531636</v>
          </cell>
          <cell r="S68">
            <v>1536.5576357032314</v>
          </cell>
          <cell r="T68">
            <v>1552.9650421532992</v>
          </cell>
          <cell r="U68">
            <v>1569.372448603367</v>
          </cell>
          <cell r="V68">
            <v>1585.7798550534349</v>
          </cell>
          <cell r="W68">
            <v>1602.1872615035027</v>
          </cell>
          <cell r="X68">
            <v>1618.5946679535705</v>
          </cell>
          <cell r="Y68">
            <v>1635.0020744036383</v>
          </cell>
          <cell r="Z68">
            <v>1651.4094808537061</v>
          </cell>
          <cell r="AA68">
            <v>1569.3724486033664</v>
          </cell>
          <cell r="AB68">
            <v>1563.8258925279456</v>
          </cell>
          <cell r="AC68">
            <v>1558.2793364525248</v>
          </cell>
          <cell r="AD68">
            <v>1552.7327803771041</v>
          </cell>
          <cell r="AE68">
            <v>1547.1862243016833</v>
          </cell>
        </row>
        <row r="75">
          <cell r="G75">
            <v>2064.1078222566443</v>
          </cell>
          <cell r="H75">
            <v>2077.3226475548058</v>
          </cell>
          <cell r="I75">
            <v>2090.5374728529673</v>
          </cell>
          <cell r="J75">
            <v>2103.7522981511288</v>
          </cell>
          <cell r="K75">
            <v>2116.9671234492903</v>
          </cell>
          <cell r="L75">
            <v>2130.1819487474518</v>
          </cell>
          <cell r="M75">
            <v>2143.3967740456146</v>
          </cell>
          <cell r="N75">
            <v>2172.9935438846765</v>
          </cell>
          <cell r="O75">
            <v>2202.5903137237383</v>
          </cell>
          <cell r="P75">
            <v>2232.1870835628001</v>
          </cell>
          <cell r="Q75">
            <v>2261.783853401862</v>
          </cell>
          <cell r="R75">
            <v>2291.3806232409238</v>
          </cell>
          <cell r="S75">
            <v>2320.9773930799856</v>
          </cell>
          <cell r="T75">
            <v>2350.5741629190475</v>
          </cell>
          <cell r="U75">
            <v>2380.1709327581093</v>
          </cell>
          <cell r="V75">
            <v>2409.7677025971711</v>
          </cell>
          <cell r="W75">
            <v>2439.364472436233</v>
          </cell>
          <cell r="X75">
            <v>2468.9612422752948</v>
          </cell>
          <cell r="Y75">
            <v>2498.5580121143566</v>
          </cell>
          <cell r="Z75">
            <v>2528.1547819534185</v>
          </cell>
          <cell r="AA75">
            <v>2380.1709327581084</v>
          </cell>
          <cell r="AB75">
            <v>2386.7545055478154</v>
          </cell>
          <cell r="AC75">
            <v>2393.3380783375223</v>
          </cell>
          <cell r="AD75">
            <v>2399.9216511272293</v>
          </cell>
          <cell r="AE75">
            <v>2406.5052239169363</v>
          </cell>
        </row>
        <row r="76">
          <cell r="G76">
            <v>698.06928427699506</v>
          </cell>
          <cell r="H76">
            <v>708.32070921300988</v>
          </cell>
          <cell r="I76">
            <v>718.57213414902469</v>
          </cell>
          <cell r="J76">
            <v>728.82355908503951</v>
          </cell>
          <cell r="K76">
            <v>739.07498402105432</v>
          </cell>
          <cell r="L76">
            <v>749.32640895706913</v>
          </cell>
          <cell r="M76">
            <v>759.57783389308383</v>
          </cell>
          <cell r="N76">
            <v>768.01287342852402</v>
          </cell>
          <cell r="O76">
            <v>776.4479129639642</v>
          </cell>
          <cell r="P76">
            <v>784.88295249940438</v>
          </cell>
          <cell r="Q76">
            <v>793.31799203484456</v>
          </cell>
          <cell r="R76">
            <v>801.75303157028475</v>
          </cell>
          <cell r="S76">
            <v>810.18807110572493</v>
          </cell>
          <cell r="T76">
            <v>818.62311064116511</v>
          </cell>
          <cell r="U76">
            <v>827.0581501766053</v>
          </cell>
          <cell r="V76">
            <v>835.49318971204548</v>
          </cell>
          <cell r="W76">
            <v>843.92822924748566</v>
          </cell>
          <cell r="X76">
            <v>852.36326878292584</v>
          </cell>
          <cell r="Y76">
            <v>860.79830831836603</v>
          </cell>
          <cell r="Z76">
            <v>869.23334785380621</v>
          </cell>
          <cell r="AA76">
            <v>827.05815017660575</v>
          </cell>
          <cell r="AB76">
            <v>838.1675080095082</v>
          </cell>
          <cell r="AC76">
            <v>849.27686584241064</v>
          </cell>
          <cell r="AD76">
            <v>860.38622367531309</v>
          </cell>
          <cell r="AE76">
            <v>871.49558150821554</v>
          </cell>
        </row>
        <row r="77">
          <cell r="G77">
            <v>1167</v>
          </cell>
          <cell r="H77">
            <v>1167</v>
          </cell>
          <cell r="I77">
            <v>1167</v>
          </cell>
          <cell r="J77">
            <v>1167</v>
          </cell>
          <cell r="K77">
            <v>1167</v>
          </cell>
          <cell r="L77">
            <v>1167</v>
          </cell>
          <cell r="M77">
            <v>1167</v>
          </cell>
          <cell r="N77">
            <v>1167</v>
          </cell>
          <cell r="O77">
            <v>1167</v>
          </cell>
          <cell r="P77">
            <v>1167</v>
          </cell>
          <cell r="Q77">
            <v>1167</v>
          </cell>
          <cell r="R77">
            <v>1167</v>
          </cell>
          <cell r="S77">
            <v>1167</v>
          </cell>
          <cell r="T77">
            <v>1167</v>
          </cell>
          <cell r="U77">
            <v>1167</v>
          </cell>
          <cell r="V77">
            <v>1167</v>
          </cell>
          <cell r="W77">
            <v>1167</v>
          </cell>
          <cell r="X77">
            <v>1167</v>
          </cell>
          <cell r="Y77">
            <v>1167</v>
          </cell>
          <cell r="Z77">
            <v>1167</v>
          </cell>
          <cell r="AA77">
            <v>1167</v>
          </cell>
          <cell r="AB77">
            <v>1167</v>
          </cell>
          <cell r="AC77">
            <v>1167</v>
          </cell>
          <cell r="AD77">
            <v>1167</v>
          </cell>
          <cell r="AE77">
            <v>1167</v>
          </cell>
        </row>
        <row r="78">
          <cell r="G78">
            <v>1168.8738334833329</v>
          </cell>
          <cell r="H78">
            <v>1178.0613546668903</v>
          </cell>
          <cell r="I78">
            <v>1187.2488758504478</v>
          </cell>
          <cell r="J78">
            <v>1196.4363970340053</v>
          </cell>
          <cell r="K78">
            <v>1205.6239182175627</v>
          </cell>
          <cell r="L78">
            <v>1214.8114394011202</v>
          </cell>
          <cell r="M78">
            <v>1223.9989605846772</v>
          </cell>
          <cell r="N78">
            <v>1276.2228998482572</v>
          </cell>
          <cell r="O78">
            <v>1328.4468391118371</v>
          </cell>
          <cell r="P78">
            <v>1380.6707783754171</v>
          </cell>
          <cell r="Q78">
            <v>1432.894717638997</v>
          </cell>
          <cell r="R78">
            <v>1485.118656902577</v>
          </cell>
          <cell r="S78">
            <v>1537.3425961661569</v>
          </cell>
          <cell r="T78">
            <v>1589.5665354297369</v>
          </cell>
          <cell r="U78">
            <v>1641.7904746933168</v>
          </cell>
          <cell r="V78">
            <v>1694.0144139568968</v>
          </cell>
          <cell r="W78">
            <v>1746.2383532204767</v>
          </cell>
          <cell r="X78">
            <v>1798.4622924840567</v>
          </cell>
          <cell r="Y78">
            <v>1850.6862317476366</v>
          </cell>
          <cell r="Z78">
            <v>1902.9101710112166</v>
          </cell>
          <cell r="AA78">
            <v>1641.7904746933164</v>
          </cell>
          <cell r="AB78">
            <v>1579.0383181111101</v>
          </cell>
          <cell r="AC78">
            <v>1516.2861615289039</v>
          </cell>
          <cell r="AD78">
            <v>1453.5340049466977</v>
          </cell>
          <cell r="AE78">
            <v>1390.7818483644915</v>
          </cell>
        </row>
        <row r="85">
          <cell r="G85">
            <v>2155.8815029472858</v>
          </cell>
          <cell r="H85">
            <v>2184.9101777532496</v>
          </cell>
          <cell r="I85">
            <v>2213.9388525592135</v>
          </cell>
          <cell r="J85">
            <v>2242.9675273651774</v>
          </cell>
          <cell r="K85">
            <v>2271.9962021711412</v>
          </cell>
          <cell r="L85">
            <v>2301.0248769771051</v>
          </cell>
          <cell r="M85">
            <v>2330.0535517830704</v>
          </cell>
          <cell r="N85">
            <v>2314.0416857828459</v>
          </cell>
          <cell r="O85">
            <v>2298.0298197826214</v>
          </cell>
          <cell r="P85">
            <v>2282.0179537823969</v>
          </cell>
          <cell r="Q85">
            <v>2266.0060877821725</v>
          </cell>
          <cell r="R85">
            <v>2249.994221781948</v>
          </cell>
          <cell r="S85">
            <v>2233.9823557817235</v>
          </cell>
          <cell r="T85">
            <v>2217.9704897814991</v>
          </cell>
          <cell r="U85">
            <v>2201.9586237812746</v>
          </cell>
          <cell r="V85">
            <v>2185.9467577810501</v>
          </cell>
          <cell r="W85">
            <v>2169.9348917808256</v>
          </cell>
          <cell r="X85">
            <v>2153.9230257806012</v>
          </cell>
          <cell r="Y85">
            <v>2137.9111597803767</v>
          </cell>
          <cell r="Z85">
            <v>2121.8992937801522</v>
          </cell>
          <cell r="AA85">
            <v>2201.9586237812732</v>
          </cell>
          <cell r="AB85">
            <v>2240.9786175580202</v>
          </cell>
          <cell r="AC85">
            <v>2279.9986113347672</v>
          </cell>
          <cell r="AD85">
            <v>2319.0186051115143</v>
          </cell>
          <cell r="AE85">
            <v>2358.0385988882613</v>
          </cell>
        </row>
        <row r="86">
          <cell r="G86">
            <v>698.06928427699506</v>
          </cell>
          <cell r="H86">
            <v>708.32070921300988</v>
          </cell>
          <cell r="I86">
            <v>718.57213414902469</v>
          </cell>
          <cell r="J86">
            <v>728.82355908503951</v>
          </cell>
          <cell r="K86">
            <v>739.07498402105432</v>
          </cell>
          <cell r="L86">
            <v>749.32640895706913</v>
          </cell>
          <cell r="M86">
            <v>759.57783389308383</v>
          </cell>
          <cell r="N86">
            <v>768.01287342852402</v>
          </cell>
          <cell r="O86">
            <v>776.4479129639642</v>
          </cell>
          <cell r="P86">
            <v>784.88295249940438</v>
          </cell>
          <cell r="Q86">
            <v>793.31799203484456</v>
          </cell>
          <cell r="R86">
            <v>801.75303157028475</v>
          </cell>
          <cell r="S86">
            <v>810.18807110572493</v>
          </cell>
          <cell r="T86">
            <v>818.62311064116511</v>
          </cell>
          <cell r="U86">
            <v>827.0581501766053</v>
          </cell>
          <cell r="V86">
            <v>835.49318971204548</v>
          </cell>
          <cell r="W86">
            <v>843.92822924748566</v>
          </cell>
          <cell r="X86">
            <v>852.36326878292584</v>
          </cell>
          <cell r="Y86">
            <v>860.79830831836603</v>
          </cell>
          <cell r="Z86">
            <v>869.23334785380621</v>
          </cell>
          <cell r="AA86">
            <v>827.05815017660575</v>
          </cell>
          <cell r="AB86">
            <v>838.1675080095082</v>
          </cell>
          <cell r="AC86">
            <v>849.27686584241064</v>
          </cell>
          <cell r="AD86">
            <v>860.38622367531309</v>
          </cell>
          <cell r="AE86">
            <v>871.49558150821554</v>
          </cell>
        </row>
        <row r="87">
          <cell r="G87">
            <v>1167</v>
          </cell>
          <cell r="H87">
            <v>1167</v>
          </cell>
          <cell r="I87">
            <v>1167</v>
          </cell>
          <cell r="J87">
            <v>1167</v>
          </cell>
          <cell r="K87">
            <v>1167</v>
          </cell>
          <cell r="L87">
            <v>1167</v>
          </cell>
          <cell r="M87">
            <v>1167</v>
          </cell>
          <cell r="N87">
            <v>1167</v>
          </cell>
          <cell r="O87">
            <v>1167</v>
          </cell>
          <cell r="P87">
            <v>1167</v>
          </cell>
          <cell r="Q87">
            <v>1167</v>
          </cell>
          <cell r="R87">
            <v>1167</v>
          </cell>
          <cell r="S87">
            <v>1167</v>
          </cell>
          <cell r="T87">
            <v>1167</v>
          </cell>
          <cell r="U87">
            <v>1167</v>
          </cell>
          <cell r="V87">
            <v>1167</v>
          </cell>
          <cell r="W87">
            <v>1167</v>
          </cell>
          <cell r="X87">
            <v>1167</v>
          </cell>
          <cell r="Y87">
            <v>1167</v>
          </cell>
          <cell r="Z87">
            <v>1167</v>
          </cell>
          <cell r="AA87">
            <v>1167</v>
          </cell>
          <cell r="AB87">
            <v>1167</v>
          </cell>
          <cell r="AC87">
            <v>1167</v>
          </cell>
          <cell r="AD87">
            <v>1167</v>
          </cell>
          <cell r="AE87">
            <v>1167</v>
          </cell>
        </row>
        <row r="88">
          <cell r="G88">
            <v>1185.5891467799934</v>
          </cell>
          <cell r="H88">
            <v>1211.1874468780647</v>
          </cell>
          <cell r="I88">
            <v>1236.7857469761361</v>
          </cell>
          <cell r="J88">
            <v>1262.3840470742075</v>
          </cell>
          <cell r="K88">
            <v>1287.9823471722789</v>
          </cell>
          <cell r="L88">
            <v>1313.5806472703503</v>
          </cell>
          <cell r="M88">
            <v>1339.1789473684209</v>
          </cell>
          <cell r="N88">
            <v>1363.3137548732943</v>
          </cell>
          <cell r="O88">
            <v>1387.4485623781677</v>
          </cell>
          <cell r="P88">
            <v>1411.5833698830411</v>
          </cell>
          <cell r="Q88">
            <v>1435.7181773879145</v>
          </cell>
          <cell r="R88">
            <v>1459.8529848927878</v>
          </cell>
          <cell r="S88">
            <v>1483.9877923976612</v>
          </cell>
          <cell r="T88">
            <v>1508.1225999025346</v>
          </cell>
          <cell r="U88">
            <v>1532.257407407408</v>
          </cell>
          <cell r="V88">
            <v>1556.3922149122814</v>
          </cell>
          <cell r="W88">
            <v>1580.5270224171547</v>
          </cell>
          <cell r="X88">
            <v>1604.6618299220281</v>
          </cell>
          <cell r="Y88">
            <v>1628.7966374269015</v>
          </cell>
          <cell r="Z88">
            <v>1652.9314449317749</v>
          </cell>
          <cell r="AA88">
            <v>1532.2574074074075</v>
          </cell>
          <cell r="AB88">
            <v>1537.9043981481482</v>
          </cell>
          <cell r="AC88">
            <v>1543.5513888888888</v>
          </cell>
          <cell r="AD88">
            <v>1549.1983796296295</v>
          </cell>
          <cell r="AE88">
            <v>1554.8453703703701</v>
          </cell>
        </row>
        <row r="95">
          <cell r="G95">
            <v>2189.132116156165</v>
          </cell>
          <cell r="H95">
            <v>2153.2906631184565</v>
          </cell>
          <cell r="I95">
            <v>2117.4492100807479</v>
          </cell>
          <cell r="J95">
            <v>2081.6077570430393</v>
          </cell>
          <cell r="K95">
            <v>2045.7663040053308</v>
          </cell>
          <cell r="L95">
            <v>2009.9248509676222</v>
          </cell>
          <cell r="M95">
            <v>1974.083397929913</v>
          </cell>
          <cell r="N95">
            <v>2052.2554545152962</v>
          </cell>
          <cell r="O95">
            <v>2130.4275111006791</v>
          </cell>
          <cell r="P95">
            <v>2208.5995676860621</v>
          </cell>
          <cell r="Q95">
            <v>2286.771624271445</v>
          </cell>
          <cell r="R95">
            <v>2364.943680856828</v>
          </cell>
          <cell r="S95">
            <v>2443.115737442211</v>
          </cell>
          <cell r="T95">
            <v>2521.2877940275939</v>
          </cell>
          <cell r="U95">
            <v>2599.4598506129769</v>
          </cell>
          <cell r="V95">
            <v>2677.6319071983598</v>
          </cell>
          <cell r="W95">
            <v>2755.8039637837428</v>
          </cell>
          <cell r="X95">
            <v>2833.9760203691258</v>
          </cell>
          <cell r="Y95">
            <v>2912.1480769545087</v>
          </cell>
          <cell r="Z95">
            <v>2990.3201335398917</v>
          </cell>
          <cell r="AA95">
            <v>2599.4598506129778</v>
          </cell>
          <cell r="AB95">
            <v>2551.8698894298795</v>
          </cell>
          <cell r="AC95">
            <v>2504.2799282467813</v>
          </cell>
          <cell r="AD95">
            <v>2456.6899670636831</v>
          </cell>
          <cell r="AE95">
            <v>2409.1000058805848</v>
          </cell>
        </row>
        <row r="96">
          <cell r="G96">
            <v>698.06928427699506</v>
          </cell>
          <cell r="H96">
            <v>708.32070921300988</v>
          </cell>
          <cell r="I96">
            <v>718.57213414902469</v>
          </cell>
          <cell r="J96">
            <v>728.82355908503951</v>
          </cell>
          <cell r="K96">
            <v>739.07498402105432</v>
          </cell>
          <cell r="L96">
            <v>749.32640895706913</v>
          </cell>
          <cell r="M96">
            <v>759.57783389308383</v>
          </cell>
          <cell r="N96">
            <v>768.01287342852402</v>
          </cell>
          <cell r="O96">
            <v>776.4479129639642</v>
          </cell>
          <cell r="P96">
            <v>784.88295249940438</v>
          </cell>
          <cell r="Q96">
            <v>793.31799203484456</v>
          </cell>
          <cell r="R96">
            <v>801.75303157028475</v>
          </cell>
          <cell r="S96">
            <v>810.18807110572493</v>
          </cell>
          <cell r="T96">
            <v>818.62311064116511</v>
          </cell>
          <cell r="U96">
            <v>827.0581501766053</v>
          </cell>
          <cell r="V96">
            <v>835.49318971204548</v>
          </cell>
          <cell r="W96">
            <v>843.92822924748566</v>
          </cell>
          <cell r="X96">
            <v>852.36326878292584</v>
          </cell>
          <cell r="Y96">
            <v>860.79830831836603</v>
          </cell>
          <cell r="Z96">
            <v>869.23334785380621</v>
          </cell>
          <cell r="AA96">
            <v>827.05815017660575</v>
          </cell>
          <cell r="AB96">
            <v>838.1675080095082</v>
          </cell>
          <cell r="AC96">
            <v>849.27686584241064</v>
          </cell>
          <cell r="AD96">
            <v>860.38622367531309</v>
          </cell>
          <cell r="AE96">
            <v>871.49558150821554</v>
          </cell>
        </row>
        <row r="97">
          <cell r="G97">
            <v>1167</v>
          </cell>
          <cell r="H97">
            <v>1167</v>
          </cell>
          <cell r="I97">
            <v>1167</v>
          </cell>
          <cell r="J97">
            <v>1167</v>
          </cell>
          <cell r="K97">
            <v>1167</v>
          </cell>
          <cell r="L97">
            <v>1167</v>
          </cell>
          <cell r="M97">
            <v>1167</v>
          </cell>
          <cell r="N97">
            <v>1167</v>
          </cell>
          <cell r="O97">
            <v>1167</v>
          </cell>
          <cell r="P97">
            <v>1167</v>
          </cell>
          <cell r="Q97">
            <v>1167</v>
          </cell>
          <cell r="R97">
            <v>1167</v>
          </cell>
          <cell r="S97">
            <v>1167</v>
          </cell>
          <cell r="T97">
            <v>1167</v>
          </cell>
          <cell r="U97">
            <v>1167</v>
          </cell>
          <cell r="V97">
            <v>1167</v>
          </cell>
          <cell r="W97">
            <v>1167</v>
          </cell>
          <cell r="X97">
            <v>1167</v>
          </cell>
          <cell r="Y97">
            <v>1167</v>
          </cell>
          <cell r="Z97">
            <v>1167</v>
          </cell>
          <cell r="AA97">
            <v>1167</v>
          </cell>
          <cell r="AB97">
            <v>1167</v>
          </cell>
          <cell r="AC97">
            <v>1167</v>
          </cell>
          <cell r="AD97">
            <v>1167</v>
          </cell>
          <cell r="AE97">
            <v>1167</v>
          </cell>
        </row>
        <row r="98">
          <cell r="G98">
            <v>1352.0807344379759</v>
          </cell>
          <cell r="H98">
            <v>1364.8439453649801</v>
          </cell>
          <cell r="I98">
            <v>1377.6071562919842</v>
          </cell>
          <cell r="J98">
            <v>1390.3703672189883</v>
          </cell>
          <cell r="K98">
            <v>1403.1335781459925</v>
          </cell>
          <cell r="L98">
            <v>1415.8967890729966</v>
          </cell>
          <cell r="M98">
            <v>1428.66</v>
          </cell>
          <cell r="N98">
            <v>1488.9047619047619</v>
          </cell>
          <cell r="O98">
            <v>1549.1495238095238</v>
          </cell>
          <cell r="P98">
            <v>1609.3942857142856</v>
          </cell>
          <cell r="Q98">
            <v>1669.6390476190475</v>
          </cell>
          <cell r="R98">
            <v>1729.8838095238093</v>
          </cell>
          <cell r="S98">
            <v>1790.1285714285711</v>
          </cell>
          <cell r="T98">
            <v>1850.373333333333</v>
          </cell>
          <cell r="U98">
            <v>1910.6180952380948</v>
          </cell>
          <cell r="V98">
            <v>1970.8628571428567</v>
          </cell>
          <cell r="W98">
            <v>2031.1076190476185</v>
          </cell>
          <cell r="X98">
            <v>2091.3523809523804</v>
          </cell>
          <cell r="Y98">
            <v>2151.5971428571424</v>
          </cell>
          <cell r="Z98">
            <v>2211.8419047619045</v>
          </cell>
          <cell r="AA98">
            <v>1910.6180952380955</v>
          </cell>
          <cell r="AB98">
            <v>1897.2483333333337</v>
          </cell>
          <cell r="AC98">
            <v>1883.8785714285718</v>
          </cell>
          <cell r="AD98">
            <v>1870.50880952381</v>
          </cell>
          <cell r="AE98">
            <v>1857.1390476190481</v>
          </cell>
        </row>
      </sheetData>
      <sheetData sheetId="5">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6">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Low</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7">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Base</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08">
          <cell r="G208" t="str">
            <v>Low</v>
          </cell>
          <cell r="H208">
            <v>42.389799174074071</v>
          </cell>
          <cell r="I208">
            <v>36.465809974074077</v>
          </cell>
          <cell r="J208">
            <v>35.569335074074075</v>
          </cell>
          <cell r="K208">
            <v>38.272286974074078</v>
          </cell>
          <cell r="L208">
            <v>34.157084474074075</v>
          </cell>
          <cell r="M208">
            <v>35.53257534037408</v>
          </cell>
          <cell r="N208">
            <v>36.773434690474069</v>
          </cell>
          <cell r="O208">
            <v>42.359566936074067</v>
          </cell>
          <cell r="P208">
            <v>51.593021086074074</v>
          </cell>
          <cell r="Q208">
            <v>51.05823207407407</v>
          </cell>
          <cell r="R208">
            <v>58.828523630074066</v>
          </cell>
          <cell r="S208">
            <v>69.276658966074081</v>
          </cell>
          <cell r="T208">
            <v>78.406612488074074</v>
          </cell>
          <cell r="U208">
            <v>74.656716200074086</v>
          </cell>
          <cell r="V208">
            <v>62.619136074074078</v>
          </cell>
          <cell r="W208">
            <v>48.797968286074081</v>
          </cell>
          <cell r="X208">
            <v>52.20252758307408</v>
          </cell>
          <cell r="Y208">
            <v>51.00957789207407</v>
          </cell>
          <cell r="Z208">
            <v>67.083563074074078</v>
          </cell>
          <cell r="AA208">
            <v>72.079969074074057</v>
          </cell>
          <cell r="AB208">
            <v>65.729459982444979</v>
          </cell>
          <cell r="AC208">
            <v>64.942320409137878</v>
          </cell>
          <cell r="AD208">
            <v>63.362334928324181</v>
          </cell>
          <cell r="AE208">
            <v>65.142943044759335</v>
          </cell>
        </row>
        <row r="209">
          <cell r="G209" t="str">
            <v>High</v>
          </cell>
          <cell r="H209">
            <v>42.389799174074071</v>
          </cell>
          <cell r="I209">
            <v>36.465809974074077</v>
          </cell>
          <cell r="J209">
            <v>35.569335074074075</v>
          </cell>
          <cell r="K209">
            <v>38.272286974074078</v>
          </cell>
          <cell r="L209">
            <v>34.157084474074075</v>
          </cell>
          <cell r="M209">
            <v>35.53257534037408</v>
          </cell>
          <cell r="N209">
            <v>36.773434690474069</v>
          </cell>
          <cell r="O209">
            <v>42.359566936074067</v>
          </cell>
          <cell r="P209">
            <v>51.593021086074074</v>
          </cell>
          <cell r="Q209">
            <v>51.05823207407407</v>
          </cell>
          <cell r="R209">
            <v>58.828523630074066</v>
          </cell>
          <cell r="S209">
            <v>69.276658966074081</v>
          </cell>
          <cell r="T209">
            <v>78.406612488074074</v>
          </cell>
          <cell r="U209">
            <v>74.656716200074086</v>
          </cell>
          <cell r="V209">
            <v>62.619136074074078</v>
          </cell>
          <cell r="W209">
            <v>48.797968286074081</v>
          </cell>
          <cell r="X209">
            <v>52.20252758307408</v>
          </cell>
          <cell r="Y209">
            <v>51.00957789207407</v>
          </cell>
          <cell r="Z209">
            <v>67.083563074074078</v>
          </cell>
          <cell r="AA209">
            <v>72.079969074074057</v>
          </cell>
          <cell r="AB209">
            <v>65.729459982444979</v>
          </cell>
          <cell r="AC209">
            <v>64.942320409137878</v>
          </cell>
          <cell r="AD209">
            <v>63.362334928324181</v>
          </cell>
          <cell r="AE209">
            <v>65.142943044759335</v>
          </cell>
        </row>
        <row r="210">
          <cell r="G210" t="str">
            <v>Base</v>
          </cell>
        </row>
        <row r="211">
          <cell r="G211" t="str">
            <v>Low</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t="str">
            <v>High</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8">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High</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sheetData>
      <sheetData sheetId="9">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0">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row r="34">
          <cell r="R34">
            <v>2241.6830724899996</v>
          </cell>
          <cell r="S34">
            <v>2163.8976968000002</v>
          </cell>
          <cell r="T34">
            <v>2301.1241944899998</v>
          </cell>
          <cell r="U34">
            <v>2076.5717068700001</v>
          </cell>
          <cell r="V34">
            <v>1996.0602896399998</v>
          </cell>
          <cell r="W34">
            <v>2250.2497511900001</v>
          </cell>
          <cell r="X34">
            <v>2163.1746260100003</v>
          </cell>
          <cell r="Y34">
            <v>2140.9822397200001</v>
          </cell>
          <cell r="Z34">
            <v>2292.7090752799995</v>
          </cell>
          <cell r="AA34">
            <v>2500.0165227299999</v>
          </cell>
          <cell r="AB34">
            <v>2481.8948666900001</v>
          </cell>
          <cell r="AC34">
            <v>2045.6792533299999</v>
          </cell>
          <cell r="AD34">
            <v>2094.8695493</v>
          </cell>
          <cell r="AE34">
            <v>1953.9369025999999</v>
          </cell>
        </row>
        <row r="35">
          <cell r="R35">
            <v>256.05469590000001</v>
          </cell>
          <cell r="S35">
            <v>253.2667701</v>
          </cell>
          <cell r="T35">
            <v>300.73964699999999</v>
          </cell>
          <cell r="U35">
            <v>328.24825880000003</v>
          </cell>
          <cell r="V35">
            <v>306.030933</v>
          </cell>
          <cell r="W35">
            <v>712.26009299999998</v>
          </cell>
          <cell r="X35">
            <v>203.55615209999999</v>
          </cell>
          <cell r="Y35">
            <v>366.60731587999999</v>
          </cell>
          <cell r="Z35">
            <v>507.35561760000002</v>
          </cell>
          <cell r="AA35">
            <v>485.31207719999998</v>
          </cell>
          <cell r="AB35">
            <v>378.14491860999999</v>
          </cell>
          <cell r="AC35">
            <v>411.35808100000003</v>
          </cell>
          <cell r="AD35">
            <v>0.71504779399999996</v>
          </cell>
          <cell r="AE35">
            <v>11.82402203</v>
          </cell>
        </row>
        <row r="36">
          <cell r="R36">
            <v>8899.5570035499986</v>
          </cell>
          <cell r="S36">
            <v>8817.6527938600011</v>
          </cell>
          <cell r="T36">
            <v>9245.813338269998</v>
          </cell>
          <cell r="U36">
            <v>9011.5451928240018</v>
          </cell>
          <cell r="V36">
            <v>9024.3629158299973</v>
          </cell>
          <cell r="W36">
            <v>8728.339281479999</v>
          </cell>
          <cell r="X36">
            <v>9126.2937245939993</v>
          </cell>
          <cell r="Y36">
            <v>8944.5317642250011</v>
          </cell>
          <cell r="Z36">
            <v>8800.5436373460016</v>
          </cell>
          <cell r="AA36">
            <v>8714.2793057930012</v>
          </cell>
          <cell r="AB36">
            <v>8450.0425825519997</v>
          </cell>
          <cell r="AC36">
            <v>8358.6997653549988</v>
          </cell>
          <cell r="AD36">
            <v>8113.2350019459991</v>
          </cell>
          <cell r="AE36">
            <v>7787.2052215100011</v>
          </cell>
        </row>
        <row r="37">
          <cell r="R37">
            <v>7661.6714371359994</v>
          </cell>
          <cell r="S37">
            <v>7776.286964425999</v>
          </cell>
          <cell r="T37">
            <v>7610.5201791749996</v>
          </cell>
          <cell r="U37">
            <v>7263.6624161199998</v>
          </cell>
          <cell r="V37">
            <v>7044.5252494289998</v>
          </cell>
          <cell r="W37">
            <v>6466.0726085319993</v>
          </cell>
          <cell r="X37">
            <v>6855.5085877819974</v>
          </cell>
          <cell r="Y37">
            <v>6963.2062946820006</v>
          </cell>
          <cell r="Z37">
            <v>7246.9256291289994</v>
          </cell>
          <cell r="AA37">
            <v>6912.3675650869991</v>
          </cell>
          <cell r="AB37">
            <v>7691.2867780759989</v>
          </cell>
          <cell r="AC37">
            <v>7979.0961733929998</v>
          </cell>
          <cell r="AD37">
            <v>6385.7180026869992</v>
          </cell>
          <cell r="AE37">
            <v>7075.2106742209999</v>
          </cell>
        </row>
        <row r="38">
          <cell r="R38">
            <v>4086.4875090620003</v>
          </cell>
          <cell r="S38">
            <v>4240.3955410879998</v>
          </cell>
          <cell r="T38">
            <v>4356.9694699659995</v>
          </cell>
          <cell r="U38">
            <v>4400.4775716160002</v>
          </cell>
          <cell r="V38">
            <v>4080.6638443390002</v>
          </cell>
          <cell r="W38">
            <v>3924.871003623</v>
          </cell>
          <cell r="X38">
            <v>4080.422248201</v>
          </cell>
          <cell r="Y38">
            <v>4088.9620284799998</v>
          </cell>
          <cell r="Z38">
            <v>4163.5420287199995</v>
          </cell>
          <cell r="AA38">
            <v>4512.5430191099995</v>
          </cell>
          <cell r="AB38">
            <v>4114.052655085</v>
          </cell>
          <cell r="AC38">
            <v>4448.8855489999996</v>
          </cell>
          <cell r="AD38">
            <v>4409.0903840000001</v>
          </cell>
          <cell r="AE38">
            <v>4408.891697</v>
          </cell>
        </row>
        <row r="39">
          <cell r="R39">
            <v>26505.950918524995</v>
          </cell>
          <cell r="S39">
            <v>27057.599951766999</v>
          </cell>
          <cell r="T39">
            <v>27768.108498663994</v>
          </cell>
          <cell r="U39">
            <v>28144.485808357993</v>
          </cell>
          <cell r="V39">
            <v>26713.211992282002</v>
          </cell>
          <cell r="W39">
            <v>26647.198376786</v>
          </cell>
          <cell r="X39">
            <v>26558.064847981997</v>
          </cell>
          <cell r="Y39">
            <v>26862.425029590002</v>
          </cell>
          <cell r="Z39">
            <v>28236.490102593994</v>
          </cell>
          <cell r="AA39">
            <v>29004.628378201</v>
          </cell>
          <cell r="AB39">
            <v>30663.798993526001</v>
          </cell>
          <cell r="AC39">
            <v>30112.770027643008</v>
          </cell>
          <cell r="AD39">
            <v>29742.328145847001</v>
          </cell>
          <cell r="AE39">
            <v>30186.76773027801</v>
          </cell>
        </row>
        <row r="40">
          <cell r="R40">
            <v>3879.7012499000002</v>
          </cell>
          <cell r="S40">
            <v>3811.8713759000002</v>
          </cell>
          <cell r="T40">
            <v>3687.7944449499996</v>
          </cell>
          <cell r="U40">
            <v>4052.86802012</v>
          </cell>
          <cell r="V40">
            <v>3732.9431664399999</v>
          </cell>
          <cell r="W40">
            <v>3838.0874855900001</v>
          </cell>
          <cell r="X40">
            <v>3896.3264584699996</v>
          </cell>
          <cell r="Y40">
            <v>4023.3897939200001</v>
          </cell>
          <cell r="Z40">
            <v>4441.6666339499998</v>
          </cell>
          <cell r="AA40">
            <v>4460.4758901999994</v>
          </cell>
          <cell r="AB40">
            <v>4050.5395106700003</v>
          </cell>
          <cell r="AC40">
            <v>3608.3347951999999</v>
          </cell>
          <cell r="AD40">
            <v>2971.5261042699999</v>
          </cell>
          <cell r="AE40">
            <v>3218.6991336999999</v>
          </cell>
        </row>
        <row r="41">
          <cell r="R41">
            <v>1816.3775173840002</v>
          </cell>
          <cell r="S41">
            <v>1729.1725085159999</v>
          </cell>
          <cell r="T41">
            <v>1809.3160340530001</v>
          </cell>
          <cell r="U41">
            <v>2002.7971589010001</v>
          </cell>
          <cell r="V41">
            <v>1569.27393001</v>
          </cell>
          <cell r="W41">
            <v>1822.5725142000001</v>
          </cell>
          <cell r="X41">
            <v>1313.8137009700001</v>
          </cell>
          <cell r="Y41">
            <v>1811.0114443580001</v>
          </cell>
          <cell r="Z41">
            <v>1966.132555659</v>
          </cell>
          <cell r="AA41">
            <v>1843.8253456399998</v>
          </cell>
          <cell r="AB41">
            <v>1715.36095056</v>
          </cell>
          <cell r="AC41">
            <v>1500.40197229</v>
          </cell>
          <cell r="AD41">
            <v>1188.2826425000001</v>
          </cell>
          <cell r="AE41">
            <v>1479.3628395000001</v>
          </cell>
        </row>
        <row r="42">
          <cell r="R42">
            <v>5746.479911376</v>
          </cell>
          <cell r="S42">
            <v>5566.126728625999</v>
          </cell>
          <cell r="T42">
            <v>5531.0785744169998</v>
          </cell>
          <cell r="U42">
            <v>5509.7806142379995</v>
          </cell>
          <cell r="V42">
            <v>5673.9444785799997</v>
          </cell>
          <cell r="W42">
            <v>5348.2846288990004</v>
          </cell>
          <cell r="X42">
            <v>5709.1822707800002</v>
          </cell>
          <cell r="Y42">
            <v>5327.3116683639983</v>
          </cell>
          <cell r="Z42">
            <v>5951.8128832550001</v>
          </cell>
          <cell r="AA42">
            <v>6332.950077589001</v>
          </cell>
          <cell r="AB42">
            <v>5853.6235859630006</v>
          </cell>
          <cell r="AC42">
            <v>4927.4810865630006</v>
          </cell>
          <cell r="AD42">
            <v>3630.7389282130007</v>
          </cell>
          <cell r="AE42">
            <v>3869.402575519</v>
          </cell>
        </row>
        <row r="43">
          <cell r="R43">
            <v>3542.670451942</v>
          </cell>
          <cell r="S43">
            <v>3695.7599722179998</v>
          </cell>
          <cell r="T43">
            <v>3595.7598673529997</v>
          </cell>
          <cell r="U43">
            <v>3703.5822214660002</v>
          </cell>
          <cell r="V43">
            <v>3891.4965771289999</v>
          </cell>
          <cell r="W43">
            <v>3776.8268019760003</v>
          </cell>
          <cell r="X43">
            <v>3572.9034326199999</v>
          </cell>
          <cell r="Y43">
            <v>3426.6527044069999</v>
          </cell>
          <cell r="Z43">
            <v>3694.4458117259996</v>
          </cell>
          <cell r="AA43">
            <v>3759.6007925679996</v>
          </cell>
          <cell r="AB43">
            <v>3996.2397316549996</v>
          </cell>
          <cell r="AC43">
            <v>4240.3662453959996</v>
          </cell>
          <cell r="AD43">
            <v>4298.4174826000008</v>
          </cell>
          <cell r="AE43">
            <v>4308.9514624540006</v>
          </cell>
        </row>
        <row r="44">
          <cell r="R44">
            <v>6722.875926398</v>
          </cell>
          <cell r="S44">
            <v>6549.6763158989997</v>
          </cell>
          <cell r="T44">
            <v>9735.1093495830009</v>
          </cell>
          <cell r="U44">
            <v>10917.79018881</v>
          </cell>
          <cell r="V44">
            <v>10471.642102559999</v>
          </cell>
          <cell r="W44">
            <v>9700.2649560009995</v>
          </cell>
          <cell r="X44">
            <v>9166.7088366469998</v>
          </cell>
          <cell r="Y44">
            <v>10082.399690292999</v>
          </cell>
          <cell r="Z44">
            <v>10930.476474950001</v>
          </cell>
          <cell r="AA44">
            <v>11077.385120202998</v>
          </cell>
          <cell r="AB44">
            <v>12644.081003894002</v>
          </cell>
          <cell r="AC44">
            <v>12620.560673337999</v>
          </cell>
          <cell r="AD44">
            <v>10752.502854922999</v>
          </cell>
          <cell r="AE44">
            <v>12228.901004306003</v>
          </cell>
        </row>
        <row r="45">
          <cell r="R45">
            <v>987.87010710000004</v>
          </cell>
          <cell r="S45">
            <v>1056.3657720000001</v>
          </cell>
          <cell r="T45">
            <v>1077.3572095</v>
          </cell>
          <cell r="U45">
            <v>1157.7823619999999</v>
          </cell>
          <cell r="V45">
            <v>865.11798090000002</v>
          </cell>
          <cell r="W45">
            <v>810.12230950000003</v>
          </cell>
          <cell r="X45">
            <v>561.35247136999999</v>
          </cell>
          <cell r="Y45">
            <v>530.68944077000003</v>
          </cell>
          <cell r="Z45">
            <v>562.70049167000002</v>
          </cell>
          <cell r="AA45">
            <v>522.48133399999995</v>
          </cell>
          <cell r="AB45">
            <v>728.54446539999992</v>
          </cell>
          <cell r="AC45">
            <v>648.91529459800006</v>
          </cell>
          <cell r="AD45">
            <v>674.46126260000005</v>
          </cell>
          <cell r="AE45">
            <v>807.73480789999996</v>
          </cell>
        </row>
        <row r="46">
          <cell r="R46">
            <v>8028.1012373619997</v>
          </cell>
          <cell r="S46">
            <v>8070.8592808919984</v>
          </cell>
          <cell r="T46">
            <v>8108.7047170469987</v>
          </cell>
          <cell r="U46">
            <v>8459.6545123170017</v>
          </cell>
          <cell r="V46">
            <v>8153.1399437289983</v>
          </cell>
          <cell r="W46">
            <v>8067.6336821470004</v>
          </cell>
          <cell r="X46">
            <v>7874.9026928249996</v>
          </cell>
          <cell r="Y46">
            <v>8092.7712354900013</v>
          </cell>
          <cell r="Z46">
            <v>8903.6919559619982</v>
          </cell>
          <cell r="AA46">
            <v>9583.8892045320008</v>
          </cell>
          <cell r="AB46">
            <v>10360.924623815999</v>
          </cell>
          <cell r="AC46">
            <v>10390.091238621</v>
          </cell>
          <cell r="AD46">
            <v>8070.4875509460007</v>
          </cell>
          <cell r="AE46">
            <v>8686.678736459</v>
          </cell>
        </row>
        <row r="47">
          <cell r="R47">
            <v>41792.478669936005</v>
          </cell>
          <cell r="S47">
            <v>46010.360973889998</v>
          </cell>
          <cell r="T47">
            <v>44345.152375557009</v>
          </cell>
          <cell r="U47">
            <v>39409.983743543999</v>
          </cell>
          <cell r="V47">
            <v>38522.503463543995</v>
          </cell>
          <cell r="W47">
            <v>36928.813054537</v>
          </cell>
          <cell r="X47">
            <v>31917.853005771005</v>
          </cell>
          <cell r="Y47">
            <v>30913.049653784004</v>
          </cell>
          <cell r="Z47">
            <v>36563.309115559001</v>
          </cell>
          <cell r="AA47">
            <v>36231.182085049993</v>
          </cell>
          <cell r="AB47">
            <v>41925.344552873998</v>
          </cell>
          <cell r="AC47">
            <v>40010.464847378003</v>
          </cell>
          <cell r="AD47">
            <v>34259.478258410003</v>
          </cell>
          <cell r="AE47">
            <v>33961.319954475999</v>
          </cell>
        </row>
        <row r="48">
          <cell r="R48">
            <v>18481.578407179994</v>
          </cell>
          <cell r="S48">
            <v>21586.36417348</v>
          </cell>
          <cell r="T48">
            <v>21592.211247160001</v>
          </cell>
          <cell r="U48">
            <v>17487.501183939999</v>
          </cell>
          <cell r="V48">
            <v>19724.441197800003</v>
          </cell>
          <cell r="W48">
            <v>24393.497758800004</v>
          </cell>
          <cell r="X48">
            <v>22613.35078796</v>
          </cell>
          <cell r="Y48">
            <v>22396.87912998</v>
          </cell>
          <cell r="Z48">
            <v>23725.38254327</v>
          </cell>
          <cell r="AA48">
            <v>22484.80126941</v>
          </cell>
          <cell r="AB48">
            <v>22984.535535661998</v>
          </cell>
          <cell r="AC48">
            <v>23356.263114869998</v>
          </cell>
          <cell r="AD48">
            <v>21977.079059080002</v>
          </cell>
          <cell r="AE48">
            <v>22840.553454469999</v>
          </cell>
        </row>
        <row r="49">
          <cell r="R49">
            <v>749.90207379999993</v>
          </cell>
          <cell r="S49">
            <v>935.18946029999995</v>
          </cell>
          <cell r="T49">
            <v>917.65450629999998</v>
          </cell>
          <cell r="U49">
            <v>688.46132488000001</v>
          </cell>
          <cell r="V49">
            <v>819.13943889999996</v>
          </cell>
          <cell r="W49">
            <v>819.53012970000009</v>
          </cell>
          <cell r="X49">
            <v>287.03224672000005</v>
          </cell>
          <cell r="Y49">
            <v>244.79613380000001</v>
          </cell>
          <cell r="Z49">
            <v>275.05236581000003</v>
          </cell>
          <cell r="AA49">
            <v>316.49096226999995</v>
          </cell>
          <cell r="AB49">
            <v>282.88455316299996</v>
          </cell>
          <cell r="AC49">
            <v>239.51335706</v>
          </cell>
          <cell r="AD49">
            <v>245.71880753400001</v>
          </cell>
          <cell r="AE49">
            <v>308.6148187</v>
          </cell>
        </row>
        <row r="50">
          <cell r="R50">
            <v>40.069969979999996</v>
          </cell>
          <cell r="S50">
            <v>49.290437079999997</v>
          </cell>
          <cell r="T50">
            <v>44.181923900000001</v>
          </cell>
          <cell r="U50">
            <v>31.744433829999998</v>
          </cell>
          <cell r="V50">
            <v>54.459537689999998</v>
          </cell>
          <cell r="W50">
            <v>52.790640359999998</v>
          </cell>
          <cell r="X50">
            <v>43.922344730000006</v>
          </cell>
          <cell r="Y50">
            <v>39.602347330000001</v>
          </cell>
          <cell r="Z50">
            <v>40.60147078</v>
          </cell>
          <cell r="AA50">
            <v>38.540427280000003</v>
          </cell>
          <cell r="AB50">
            <v>36.793157460000003</v>
          </cell>
          <cell r="AC50">
            <v>28.552671589999999</v>
          </cell>
          <cell r="AD50">
            <v>33.155464689999995</v>
          </cell>
          <cell r="AE50">
            <v>33.495301169999998</v>
          </cell>
        </row>
        <row r="51">
          <cell r="R51">
            <v>6917.5240422659999</v>
          </cell>
          <cell r="S51">
            <v>7154.4176529240003</v>
          </cell>
          <cell r="T51">
            <v>6954.8331545249976</v>
          </cell>
          <cell r="U51">
            <v>7466.3359534339979</v>
          </cell>
          <cell r="V51">
            <v>6631.2142074649992</v>
          </cell>
          <cell r="W51">
            <v>6846.4082258890021</v>
          </cell>
          <cell r="X51">
            <v>7440.8036104329985</v>
          </cell>
          <cell r="Y51">
            <v>7458.7309479640007</v>
          </cell>
          <cell r="Z51">
            <v>8233.4972310660014</v>
          </cell>
          <cell r="AA51">
            <v>9313.2930892950026</v>
          </cell>
          <cell r="AB51">
            <v>9743.0205369740015</v>
          </cell>
          <cell r="AC51">
            <v>9752.3034524309987</v>
          </cell>
          <cell r="AD51">
            <v>8962.0381981580013</v>
          </cell>
          <cell r="AE51">
            <v>9637.3531107639992</v>
          </cell>
        </row>
        <row r="52">
          <cell r="R52">
            <v>4004.0712452110001</v>
          </cell>
          <cell r="S52">
            <v>4139.9692471550006</v>
          </cell>
          <cell r="T52">
            <v>4212.7945610890001</v>
          </cell>
          <cell r="U52">
            <v>4270.1149149959992</v>
          </cell>
          <cell r="V52">
            <v>4021.7182798519993</v>
          </cell>
          <cell r="W52">
            <v>4150.6466018599995</v>
          </cell>
          <cell r="X52">
            <v>4351.1031298949993</v>
          </cell>
          <cell r="Y52">
            <v>4871.9967591999994</v>
          </cell>
          <cell r="Z52">
            <v>5226.982737368</v>
          </cell>
          <cell r="AA52">
            <v>5449.5668509220013</v>
          </cell>
          <cell r="AB52">
            <v>5596.5540052040005</v>
          </cell>
          <cell r="AC52">
            <v>4880.9543222960001</v>
          </cell>
          <cell r="AD52">
            <v>3866.1307475399994</v>
          </cell>
          <cell r="AE52">
            <v>4116.998073406</v>
          </cell>
        </row>
        <row r="53">
          <cell r="R53">
            <v>33164.658018429996</v>
          </cell>
          <cell r="S53">
            <v>33170.663591147008</v>
          </cell>
          <cell r="T53">
            <v>30528.007657471997</v>
          </cell>
          <cell r="U53">
            <v>32426.967795426008</v>
          </cell>
          <cell r="V53">
            <v>30920.321995161001</v>
          </cell>
          <cell r="W53">
            <v>30918.806798735004</v>
          </cell>
          <cell r="X53">
            <v>31688.631427576969</v>
          </cell>
          <cell r="Y53">
            <v>33667.820920850994</v>
          </cell>
          <cell r="Z53">
            <v>36171.043930711028</v>
          </cell>
          <cell r="AA53">
            <v>38514.50851054598</v>
          </cell>
          <cell r="AB53">
            <v>38765.897106021977</v>
          </cell>
          <cell r="AC53">
            <v>36751.652896097214</v>
          </cell>
          <cell r="AD53">
            <v>29684.407380997109</v>
          </cell>
          <cell r="AE53">
            <v>31122.570124542992</v>
          </cell>
        </row>
        <row r="55">
          <cell r="K55">
            <v>1990</v>
          </cell>
          <cell r="L55">
            <v>1991</v>
          </cell>
          <cell r="M55">
            <v>1992</v>
          </cell>
          <cell r="N55">
            <v>1993</v>
          </cell>
          <cell r="O55">
            <v>1994</v>
          </cell>
          <cell r="P55">
            <v>1995</v>
          </cell>
          <cell r="Q55">
            <v>1996</v>
          </cell>
          <cell r="R55">
            <v>1997</v>
          </cell>
          <cell r="S55">
            <v>1998</v>
          </cell>
          <cell r="T55">
            <v>1999</v>
          </cell>
          <cell r="U55">
            <v>2000</v>
          </cell>
          <cell r="V55">
            <v>2001</v>
          </cell>
          <cell r="W55">
            <v>2002</v>
          </cell>
          <cell r="X55">
            <v>2003</v>
          </cell>
          <cell r="Y55">
            <v>2004</v>
          </cell>
          <cell r="Z55">
            <v>2005</v>
          </cell>
          <cell r="AA55">
            <v>2006</v>
          </cell>
          <cell r="AB55">
            <v>2007</v>
          </cell>
          <cell r="AC55">
            <v>2008</v>
          </cell>
          <cell r="AD55">
            <v>2009</v>
          </cell>
          <cell r="AE55">
            <v>2010</v>
          </cell>
        </row>
        <row r="56">
          <cell r="K56">
            <v>52.55</v>
          </cell>
          <cell r="L56">
            <v>55.366999999999997</v>
          </cell>
          <cell r="M56">
            <v>57.883000000000003</v>
          </cell>
          <cell r="N56">
            <v>61.042000000000002</v>
          </cell>
          <cell r="O56">
            <v>62.982999999999997</v>
          </cell>
          <cell r="P56">
            <v>63.107999999999997</v>
          </cell>
          <cell r="Q56">
            <v>66.042000000000002</v>
          </cell>
          <cell r="R56">
            <v>68.266999999999996</v>
          </cell>
          <cell r="S56">
            <v>69.266999999999996</v>
          </cell>
          <cell r="T56">
            <v>68.957999999999998</v>
          </cell>
          <cell r="U56">
            <v>70.3</v>
          </cell>
          <cell r="V56">
            <v>69</v>
          </cell>
          <cell r="W56">
            <v>65.433000000000007</v>
          </cell>
          <cell r="X56">
            <v>62.392000000000003</v>
          </cell>
          <cell r="Y56">
            <v>62.25</v>
          </cell>
          <cell r="Z56">
            <v>63.55</v>
          </cell>
          <cell r="AA56">
            <v>66.091999999999999</v>
          </cell>
          <cell r="AB56">
            <v>66.242000000000004</v>
          </cell>
          <cell r="AC56">
            <v>62.957999999999998</v>
          </cell>
          <cell r="AD56">
            <v>54.8</v>
          </cell>
          <cell r="AE56">
            <v>53.2</v>
          </cell>
        </row>
        <row r="57">
          <cell r="K57">
            <v>19.5</v>
          </cell>
          <cell r="L57">
            <v>19.132999999999999</v>
          </cell>
          <cell r="M57">
            <v>20</v>
          </cell>
          <cell r="N57">
            <v>20.399999999999999</v>
          </cell>
          <cell r="O57">
            <v>20.707999999999998</v>
          </cell>
          <cell r="P57">
            <v>21.308</v>
          </cell>
          <cell r="Q57">
            <v>22.007999999999999</v>
          </cell>
          <cell r="R57">
            <v>22.207999999999998</v>
          </cell>
          <cell r="S57">
            <v>22.183</v>
          </cell>
          <cell r="T57">
            <v>22.6</v>
          </cell>
          <cell r="U57">
            <v>22.55</v>
          </cell>
          <cell r="V57">
            <v>21.382999999999999</v>
          </cell>
          <cell r="W57">
            <v>20.016999999999999</v>
          </cell>
          <cell r="X57">
            <v>18.975000000000001</v>
          </cell>
          <cell r="Y57">
            <v>19.167000000000002</v>
          </cell>
          <cell r="Z57">
            <v>19.574999999999999</v>
          </cell>
          <cell r="AA57">
            <v>20.2</v>
          </cell>
          <cell r="AB57">
            <v>20.442</v>
          </cell>
          <cell r="AC57">
            <v>19.917000000000002</v>
          </cell>
          <cell r="AD57">
            <v>17.417000000000002</v>
          </cell>
          <cell r="AE57">
            <v>16.542000000000002</v>
          </cell>
        </row>
        <row r="58">
          <cell r="K58">
            <v>204.15700000000001</v>
          </cell>
          <cell r="L58">
            <v>196.375</v>
          </cell>
          <cell r="M58">
            <v>193.01</v>
          </cell>
          <cell r="N58">
            <v>194.80099999999999</v>
          </cell>
          <cell r="O58">
            <v>202.876</v>
          </cell>
          <cell r="P58">
            <v>210.71700000000001</v>
          </cell>
          <cell r="Q58">
            <v>217.52500000000001</v>
          </cell>
          <cell r="R58">
            <v>226.88200000000001</v>
          </cell>
          <cell r="S58">
            <v>228.47300000000001</v>
          </cell>
          <cell r="T58">
            <v>224.44900000000001</v>
          </cell>
          <cell r="U58">
            <v>225.08199999999999</v>
          </cell>
          <cell r="V58">
            <v>215.715</v>
          </cell>
          <cell r="W58">
            <v>201.59100000000001</v>
          </cell>
          <cell r="X58">
            <v>194.80799999999999</v>
          </cell>
          <cell r="Y58">
            <v>199.892</v>
          </cell>
          <cell r="Z58">
            <v>203.98400000000001</v>
          </cell>
          <cell r="AA58">
            <v>207.45</v>
          </cell>
          <cell r="AB58">
            <v>204.02500000000001</v>
          </cell>
          <cell r="AC58">
            <v>195.083</v>
          </cell>
          <cell r="AD58">
            <v>167.04900000000001</v>
          </cell>
          <cell r="AE58">
            <v>163.9</v>
          </cell>
        </row>
        <row r="59">
          <cell r="K59">
            <v>335.97500000000002</v>
          </cell>
          <cell r="L59">
            <v>328.6</v>
          </cell>
          <cell r="M59">
            <v>325.17500000000001</v>
          </cell>
          <cell r="N59">
            <v>317.25</v>
          </cell>
          <cell r="O59">
            <v>311.733</v>
          </cell>
          <cell r="P59">
            <v>311.30799999999999</v>
          </cell>
          <cell r="Q59">
            <v>324.84199999999998</v>
          </cell>
          <cell r="R59">
            <v>350.40800000000002</v>
          </cell>
          <cell r="S59">
            <v>360.625</v>
          </cell>
          <cell r="T59">
            <v>343.56700000000001</v>
          </cell>
          <cell r="U59">
            <v>331.88299999999998</v>
          </cell>
          <cell r="V59">
            <v>316.05</v>
          </cell>
          <cell r="W59">
            <v>284.94200000000001</v>
          </cell>
          <cell r="X59">
            <v>267.19200000000001</v>
          </cell>
          <cell r="Y59">
            <v>263.72500000000002</v>
          </cell>
          <cell r="Z59">
            <v>272.58300000000003</v>
          </cell>
          <cell r="AA59">
            <v>285.82499999999999</v>
          </cell>
          <cell r="AB59">
            <v>293.21699999999998</v>
          </cell>
          <cell r="AC59">
            <v>291.04199999999997</v>
          </cell>
          <cell r="AD59">
            <v>265.483</v>
          </cell>
          <cell r="AE59">
            <v>258.11700000000002</v>
          </cell>
        </row>
        <row r="60">
          <cell r="K60">
            <v>612.18200000000002</v>
          </cell>
          <cell r="L60">
            <v>599.47500000000002</v>
          </cell>
          <cell r="M60">
            <v>596.06799999999998</v>
          </cell>
          <cell r="N60">
            <v>593.49299999999994</v>
          </cell>
          <cell r="O60">
            <v>598.29999999999995</v>
          </cell>
          <cell r="P60">
            <v>606.44100000000003</v>
          </cell>
          <cell r="Q60">
            <v>630.41699999999992</v>
          </cell>
          <cell r="R60">
            <v>667.76499999999999</v>
          </cell>
          <cell r="S60">
            <v>680.548</v>
          </cell>
          <cell r="T60">
            <v>659.57400000000007</v>
          </cell>
          <cell r="U60">
            <v>649.81500000000005</v>
          </cell>
          <cell r="V60">
            <v>622.14800000000002</v>
          </cell>
          <cell r="W60">
            <v>571.98299999999995</v>
          </cell>
          <cell r="X60">
            <v>543.36699999999996</v>
          </cell>
          <cell r="Y60">
            <v>545.03399999999999</v>
          </cell>
          <cell r="Z60">
            <v>559.69200000000001</v>
          </cell>
          <cell r="AA60">
            <v>579.56700000000001</v>
          </cell>
          <cell r="AB60">
            <v>583.92599999999993</v>
          </cell>
          <cell r="AC60">
            <v>569</v>
          </cell>
          <cell r="AD60">
            <v>504.74900000000002</v>
          </cell>
          <cell r="AE60">
            <v>491.75900000000001</v>
          </cell>
        </row>
        <row r="63">
          <cell r="R63">
            <v>5561</v>
          </cell>
          <cell r="S63">
            <v>5511</v>
          </cell>
          <cell r="T63">
            <v>5838</v>
          </cell>
          <cell r="U63">
            <v>5356</v>
          </cell>
          <cell r="V63">
            <v>5261</v>
          </cell>
          <cell r="W63">
            <v>5442</v>
          </cell>
          <cell r="X63">
            <v>5246</v>
          </cell>
          <cell r="Y63">
            <v>5046</v>
          </cell>
          <cell r="Z63">
            <v>5210</v>
          </cell>
          <cell r="AA63">
            <v>5741</v>
          </cell>
          <cell r="AB63">
            <v>5611</v>
          </cell>
          <cell r="AC63">
            <v>4441</v>
          </cell>
          <cell r="AD63">
            <v>4359</v>
          </cell>
          <cell r="AE63">
            <v>4070</v>
          </cell>
        </row>
        <row r="64">
          <cell r="R64">
            <v>471</v>
          </cell>
          <cell r="S64">
            <v>472</v>
          </cell>
          <cell r="T64">
            <v>532</v>
          </cell>
          <cell r="U64">
            <v>572</v>
          </cell>
          <cell r="V64">
            <v>511</v>
          </cell>
          <cell r="W64">
            <v>1141</v>
          </cell>
          <cell r="X64">
            <v>311</v>
          </cell>
          <cell r="Y64">
            <v>528</v>
          </cell>
          <cell r="Z64">
            <v>686</v>
          </cell>
          <cell r="AA64">
            <v>622</v>
          </cell>
          <cell r="AB64">
            <v>494</v>
          </cell>
          <cell r="AC64">
            <v>528</v>
          </cell>
          <cell r="AD64">
            <v>1</v>
          </cell>
          <cell r="AE64">
            <v>21</v>
          </cell>
        </row>
        <row r="65">
          <cell r="R65">
            <v>20517</v>
          </cell>
          <cell r="S65">
            <v>20752</v>
          </cell>
          <cell r="T65">
            <v>19820</v>
          </cell>
          <cell r="U65">
            <v>18901</v>
          </cell>
          <cell r="V65">
            <v>18107</v>
          </cell>
          <cell r="W65">
            <v>15947</v>
          </cell>
          <cell r="X65">
            <v>16534</v>
          </cell>
          <cell r="Y65">
            <v>15968</v>
          </cell>
          <cell r="Z65">
            <v>14992</v>
          </cell>
          <cell r="AA65">
            <v>14275</v>
          </cell>
          <cell r="AB65">
            <v>13733</v>
          </cell>
          <cell r="AC65">
            <v>14005</v>
          </cell>
          <cell r="AD65">
            <v>13118</v>
          </cell>
          <cell r="AE65">
            <v>11896</v>
          </cell>
        </row>
        <row r="66">
          <cell r="R66">
            <v>16784</v>
          </cell>
          <cell r="S66">
            <v>16968</v>
          </cell>
          <cell r="T66">
            <v>16248</v>
          </cell>
          <cell r="U66">
            <v>15603</v>
          </cell>
          <cell r="V66">
            <v>14433</v>
          </cell>
          <cell r="W66">
            <v>12367</v>
          </cell>
          <cell r="X66">
            <v>11875</v>
          </cell>
          <cell r="Y66">
            <v>11897</v>
          </cell>
          <cell r="Z66">
            <v>12704</v>
          </cell>
          <cell r="AA66">
            <v>13455</v>
          </cell>
          <cell r="AB66">
            <v>14273</v>
          </cell>
          <cell r="AC66">
            <v>14356</v>
          </cell>
          <cell r="AD66">
            <v>12445</v>
          </cell>
          <cell r="AE66">
            <v>12051</v>
          </cell>
        </row>
        <row r="67">
          <cell r="R67">
            <v>14657</v>
          </cell>
          <cell r="S67">
            <v>14498</v>
          </cell>
          <cell r="T67">
            <v>14353</v>
          </cell>
          <cell r="U67">
            <v>13734</v>
          </cell>
          <cell r="V67">
            <v>13209</v>
          </cell>
          <cell r="W67">
            <v>12665</v>
          </cell>
          <cell r="X67">
            <v>12555</v>
          </cell>
          <cell r="Y67">
            <v>12330</v>
          </cell>
          <cell r="Z67">
            <v>11864</v>
          </cell>
          <cell r="AA67">
            <v>12741</v>
          </cell>
          <cell r="AB67">
            <v>11430</v>
          </cell>
          <cell r="AC67">
            <v>12221</v>
          </cell>
          <cell r="AD67">
            <v>12099</v>
          </cell>
          <cell r="AE67">
            <v>11904</v>
          </cell>
        </row>
        <row r="68">
          <cell r="R68">
            <v>64864</v>
          </cell>
          <cell r="S68">
            <v>63666</v>
          </cell>
          <cell r="T68">
            <v>64446</v>
          </cell>
          <cell r="U68">
            <v>64955</v>
          </cell>
          <cell r="V68">
            <v>62868</v>
          </cell>
          <cell r="W68">
            <v>60760</v>
          </cell>
          <cell r="X68">
            <v>60488</v>
          </cell>
          <cell r="Y68">
            <v>59934</v>
          </cell>
          <cell r="Z68">
            <v>58992</v>
          </cell>
          <cell r="AA68">
            <v>59320</v>
          </cell>
          <cell r="AB68">
            <v>62434</v>
          </cell>
          <cell r="AC68">
            <v>62832</v>
          </cell>
          <cell r="AD68">
            <v>62266</v>
          </cell>
          <cell r="AE68">
            <v>62860</v>
          </cell>
        </row>
        <row r="69">
          <cell r="R69">
            <v>26496</v>
          </cell>
          <cell r="S69">
            <v>25874</v>
          </cell>
          <cell r="T69">
            <v>24842</v>
          </cell>
          <cell r="U69">
            <v>25486</v>
          </cell>
          <cell r="V69">
            <v>22660</v>
          </cell>
          <cell r="W69">
            <v>22153</v>
          </cell>
          <cell r="X69">
            <v>22029</v>
          </cell>
          <cell r="Y69">
            <v>22790</v>
          </cell>
          <cell r="Z69">
            <v>23420</v>
          </cell>
          <cell r="AA69">
            <v>23046</v>
          </cell>
          <cell r="AB69">
            <v>21291</v>
          </cell>
          <cell r="AC69">
            <v>19378</v>
          </cell>
          <cell r="AD69">
            <v>15880</v>
          </cell>
          <cell r="AE69">
            <v>15041</v>
          </cell>
        </row>
        <row r="70">
          <cell r="R70">
            <v>12252</v>
          </cell>
          <cell r="S70">
            <v>11657</v>
          </cell>
          <cell r="T70">
            <v>12130</v>
          </cell>
          <cell r="U70">
            <v>12879</v>
          </cell>
          <cell r="V70">
            <v>9662</v>
          </cell>
          <cell r="W70">
            <v>10770</v>
          </cell>
          <cell r="X70">
            <v>7440</v>
          </cell>
          <cell r="Y70">
            <v>10362</v>
          </cell>
          <cell r="Z70">
            <v>10507</v>
          </cell>
          <cell r="AA70">
            <v>9746</v>
          </cell>
          <cell r="AB70">
            <v>9142</v>
          </cell>
          <cell r="AC70">
            <v>8120</v>
          </cell>
          <cell r="AD70">
            <v>6428</v>
          </cell>
          <cell r="AE70">
            <v>6879</v>
          </cell>
        </row>
        <row r="71">
          <cell r="R71">
            <v>38812</v>
          </cell>
          <cell r="S71">
            <v>37565</v>
          </cell>
          <cell r="T71">
            <v>37205</v>
          </cell>
          <cell r="U71">
            <v>34589</v>
          </cell>
          <cell r="V71">
            <v>34285</v>
          </cell>
          <cell r="W71">
            <v>31009</v>
          </cell>
          <cell r="X71">
            <v>32445</v>
          </cell>
          <cell r="Y71">
            <v>30309</v>
          </cell>
          <cell r="Z71">
            <v>31736</v>
          </cell>
          <cell r="AA71">
            <v>33173</v>
          </cell>
          <cell r="AB71">
            <v>31198</v>
          </cell>
          <cell r="AC71">
            <v>26786</v>
          </cell>
          <cell r="AD71">
            <v>19729</v>
          </cell>
          <cell r="AE71">
            <v>18380</v>
          </cell>
        </row>
        <row r="72">
          <cell r="R72">
            <v>11310</v>
          </cell>
          <cell r="S72">
            <v>11351</v>
          </cell>
          <cell r="T72">
            <v>10908</v>
          </cell>
          <cell r="U72">
            <v>11080</v>
          </cell>
          <cell r="V72">
            <v>11527</v>
          </cell>
          <cell r="W72">
            <v>10644</v>
          </cell>
          <cell r="X72">
            <v>10047</v>
          </cell>
          <cell r="Y72">
            <v>9659</v>
          </cell>
          <cell r="Z72">
            <v>9617</v>
          </cell>
          <cell r="AA72">
            <v>9655</v>
          </cell>
          <cell r="AB72">
            <v>10137</v>
          </cell>
          <cell r="AC72">
            <v>10393</v>
          </cell>
          <cell r="AD72">
            <v>10385</v>
          </cell>
          <cell r="AE72">
            <v>10513</v>
          </cell>
        </row>
        <row r="73">
          <cell r="R73">
            <v>55429</v>
          </cell>
          <cell r="S73">
            <v>57601</v>
          </cell>
          <cell r="T73">
            <v>69099</v>
          </cell>
          <cell r="U73">
            <v>73302</v>
          </cell>
          <cell r="V73">
            <v>75464</v>
          </cell>
          <cell r="W73">
            <v>63198</v>
          </cell>
          <cell r="X73">
            <v>53968</v>
          </cell>
          <cell r="Y73">
            <v>53006</v>
          </cell>
          <cell r="Z73">
            <v>54157</v>
          </cell>
          <cell r="AA73">
            <v>56045</v>
          </cell>
          <cell r="AB73">
            <v>53965</v>
          </cell>
          <cell r="AC73">
            <v>50956</v>
          </cell>
          <cell r="AD73">
            <v>45309</v>
          </cell>
          <cell r="AE73">
            <v>44491</v>
          </cell>
        </row>
        <row r="74">
          <cell r="R74">
            <v>1969</v>
          </cell>
          <cell r="S74">
            <v>1920</v>
          </cell>
          <cell r="T74">
            <v>1820</v>
          </cell>
          <cell r="U74">
            <v>1906</v>
          </cell>
          <cell r="V74">
            <v>1506</v>
          </cell>
          <cell r="W74">
            <v>1223</v>
          </cell>
          <cell r="X74">
            <v>844</v>
          </cell>
          <cell r="Y74">
            <v>782</v>
          </cell>
          <cell r="Z74">
            <v>765</v>
          </cell>
          <cell r="AA74">
            <v>714</v>
          </cell>
          <cell r="AB74">
            <v>898</v>
          </cell>
          <cell r="AC74">
            <v>895</v>
          </cell>
          <cell r="AD74">
            <v>1130</v>
          </cell>
          <cell r="AE74">
            <v>1160</v>
          </cell>
        </row>
        <row r="75">
          <cell r="R75">
            <v>41716</v>
          </cell>
          <cell r="S75">
            <v>42787</v>
          </cell>
          <cell r="T75">
            <v>41996</v>
          </cell>
          <cell r="U75">
            <v>42475</v>
          </cell>
          <cell r="V75">
            <v>40521</v>
          </cell>
          <cell r="W75">
            <v>37406</v>
          </cell>
          <cell r="X75">
            <v>36377</v>
          </cell>
          <cell r="Y75">
            <v>38029</v>
          </cell>
          <cell r="Z75">
            <v>40003</v>
          </cell>
          <cell r="AA75">
            <v>41483</v>
          </cell>
          <cell r="AB75">
            <v>43588</v>
          </cell>
          <cell r="AC75">
            <v>44269</v>
          </cell>
          <cell r="AD75">
            <v>37338</v>
          </cell>
          <cell r="AE75">
            <v>36808</v>
          </cell>
        </row>
        <row r="76">
          <cell r="R76">
            <v>136196</v>
          </cell>
          <cell r="S76">
            <v>145117</v>
          </cell>
          <cell r="T76">
            <v>133689</v>
          </cell>
          <cell r="U76">
            <v>120895</v>
          </cell>
          <cell r="V76">
            <v>116259</v>
          </cell>
          <cell r="W76">
            <v>103705</v>
          </cell>
          <cell r="X76">
            <v>94377</v>
          </cell>
          <cell r="Y76">
            <v>92283</v>
          </cell>
          <cell r="Z76">
            <v>99083</v>
          </cell>
          <cell r="AA76">
            <v>109159</v>
          </cell>
          <cell r="AB76">
            <v>114018</v>
          </cell>
          <cell r="AC76">
            <v>113610</v>
          </cell>
          <cell r="AD76">
            <v>104792</v>
          </cell>
          <cell r="AE76">
            <v>102399</v>
          </cell>
        </row>
        <row r="77">
          <cell r="R77">
            <v>4522</v>
          </cell>
          <cell r="S77">
            <v>4417</v>
          </cell>
          <cell r="T77">
            <v>4358</v>
          </cell>
          <cell r="U77">
            <v>4131</v>
          </cell>
          <cell r="V77">
            <v>4143</v>
          </cell>
          <cell r="W77">
            <v>4491</v>
          </cell>
          <cell r="X77">
            <v>4541</v>
          </cell>
          <cell r="Y77">
            <v>3992</v>
          </cell>
          <cell r="Z77">
            <v>3894</v>
          </cell>
          <cell r="AA77">
            <v>3842</v>
          </cell>
          <cell r="AB77">
            <v>3986</v>
          </cell>
          <cell r="AC77">
            <v>4010</v>
          </cell>
          <cell r="AD77">
            <v>3788</v>
          </cell>
          <cell r="AE77">
            <v>3799</v>
          </cell>
        </row>
        <row r="78">
          <cell r="R78">
            <v>7719</v>
          </cell>
          <cell r="S78">
            <v>8266</v>
          </cell>
          <cell r="T78">
            <v>8083</v>
          </cell>
          <cell r="U78">
            <v>6149</v>
          </cell>
          <cell r="V78">
            <v>7395</v>
          </cell>
          <cell r="W78">
            <v>7256</v>
          </cell>
          <cell r="X78">
            <v>3020</v>
          </cell>
          <cell r="Y78">
            <v>2667</v>
          </cell>
          <cell r="Z78">
            <v>3108</v>
          </cell>
          <cell r="AA78">
            <v>3455</v>
          </cell>
          <cell r="AB78">
            <v>3252</v>
          </cell>
          <cell r="AC78">
            <v>2718</v>
          </cell>
          <cell r="AD78">
            <v>2714</v>
          </cell>
          <cell r="AE78">
            <v>3162</v>
          </cell>
        </row>
        <row r="79">
          <cell r="R79">
            <v>415</v>
          </cell>
          <cell r="S79">
            <v>438</v>
          </cell>
          <cell r="T79">
            <v>392</v>
          </cell>
          <cell r="U79">
            <v>289</v>
          </cell>
          <cell r="V79">
            <v>493</v>
          </cell>
          <cell r="W79">
            <v>465</v>
          </cell>
          <cell r="X79">
            <v>484</v>
          </cell>
          <cell r="Y79">
            <v>457</v>
          </cell>
          <cell r="Z79">
            <v>477</v>
          </cell>
          <cell r="AA79">
            <v>441</v>
          </cell>
          <cell r="AB79">
            <v>439</v>
          </cell>
          <cell r="AC79">
            <v>321</v>
          </cell>
          <cell r="AD79">
            <v>363</v>
          </cell>
          <cell r="AE79">
            <v>338</v>
          </cell>
        </row>
        <row r="80">
          <cell r="R80">
            <v>10704</v>
          </cell>
          <cell r="S80">
            <v>11187</v>
          </cell>
          <cell r="T80">
            <v>10829</v>
          </cell>
          <cell r="U80">
            <v>11239</v>
          </cell>
          <cell r="V80">
            <v>10120</v>
          </cell>
          <cell r="W80">
            <v>9916</v>
          </cell>
          <cell r="X80">
            <v>10325</v>
          </cell>
          <cell r="Y80">
            <v>10128</v>
          </cell>
          <cell r="Z80">
            <v>10274</v>
          </cell>
          <cell r="AA80">
            <v>11333</v>
          </cell>
          <cell r="AB80">
            <v>11574</v>
          </cell>
          <cell r="AC80">
            <v>12133</v>
          </cell>
          <cell r="AD80">
            <v>11425</v>
          </cell>
          <cell r="AE80">
            <v>11543</v>
          </cell>
        </row>
        <row r="81">
          <cell r="R81">
            <v>15915</v>
          </cell>
          <cell r="S81">
            <v>16513</v>
          </cell>
          <cell r="T81">
            <v>16722</v>
          </cell>
          <cell r="U81">
            <v>17285</v>
          </cell>
          <cell r="V81">
            <v>16260</v>
          </cell>
          <cell r="W81">
            <v>15733</v>
          </cell>
          <cell r="X81">
            <v>16244</v>
          </cell>
          <cell r="Y81">
            <v>18165</v>
          </cell>
          <cell r="Z81">
            <v>18418</v>
          </cell>
          <cell r="AA81">
            <v>19210</v>
          </cell>
          <cell r="AB81">
            <v>19936</v>
          </cell>
          <cell r="AC81">
            <v>18985</v>
          </cell>
          <cell r="AD81">
            <v>16540</v>
          </cell>
          <cell r="AE81">
            <v>15951</v>
          </cell>
        </row>
        <row r="82">
          <cell r="R82">
            <v>179937</v>
          </cell>
          <cell r="S82">
            <v>182930</v>
          </cell>
          <cell r="T82">
            <v>165785</v>
          </cell>
          <cell r="U82">
            <v>166299</v>
          </cell>
          <cell r="V82">
            <v>158635</v>
          </cell>
          <cell r="W82">
            <v>148754</v>
          </cell>
          <cell r="X82">
            <v>144987</v>
          </cell>
          <cell r="Y82">
            <v>147412</v>
          </cell>
          <cell r="Z82">
            <v>150939</v>
          </cell>
          <cell r="AA82">
            <v>153451</v>
          </cell>
          <cell r="AB82">
            <v>153455</v>
          </cell>
          <cell r="AC82">
            <v>148403</v>
          </cell>
          <cell r="AD82">
            <v>125607</v>
          </cell>
          <cell r="AE82">
            <v>119972</v>
          </cell>
        </row>
        <row r="83">
          <cell r="R83">
            <v>666246</v>
          </cell>
          <cell r="S83">
            <v>679490</v>
          </cell>
          <cell r="T83">
            <v>659095</v>
          </cell>
          <cell r="U83">
            <v>647125</v>
          </cell>
          <cell r="V83">
            <v>623319</v>
          </cell>
          <cell r="W83">
            <v>575045</v>
          </cell>
          <cell r="X83">
            <v>544137</v>
          </cell>
          <cell r="Y83">
            <v>545744</v>
          </cell>
          <cell r="Z83">
            <v>560846</v>
          </cell>
          <cell r="AA83">
            <v>580907</v>
          </cell>
          <cell r="AB83">
            <v>584854</v>
          </cell>
          <cell r="AC83">
            <v>569360</v>
          </cell>
          <cell r="AD83">
            <v>505716</v>
          </cell>
          <cell r="AE83">
            <v>493238</v>
          </cell>
        </row>
        <row r="84">
          <cell r="R84">
            <v>0.99772524765448922</v>
          </cell>
          <cell r="S84">
            <v>0.99844537049554183</v>
          </cell>
          <cell r="T84">
            <v>0.99927377367816184</v>
          </cell>
          <cell r="U84">
            <v>0.99586036025638069</v>
          </cell>
          <cell r="V84">
            <v>1.0018821888039502</v>
          </cell>
          <cell r="W84">
            <v>1.0053533059548974</v>
          </cell>
          <cell r="X84">
            <v>1.0014170901066866</v>
          </cell>
          <cell r="Y84">
            <v>1.0013026710260278</v>
          </cell>
          <cell r="Z84">
            <v>1.0020618483022805</v>
          </cell>
          <cell r="AA84">
            <v>1.002312070908109</v>
          </cell>
          <cell r="AB84">
            <v>1.0015892424725052</v>
          </cell>
          <cell r="AC84">
            <v>1.0006326889279438</v>
          </cell>
          <cell r="AD84">
            <v>1.0019158036964908</v>
          </cell>
          <cell r="AE84">
            <v>1.0030075707816226</v>
          </cell>
        </row>
      </sheetData>
      <sheetData sheetId="11">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2">
        <row r="20">
          <cell r="H20">
            <v>420.90410493345433</v>
          </cell>
          <cell r="I20">
            <v>423.13679518832237</v>
          </cell>
          <cell r="J20">
            <v>394.67431530947567</v>
          </cell>
          <cell r="K20">
            <v>468.25061854804272</v>
          </cell>
          <cell r="L20">
            <v>344.52373444721451</v>
          </cell>
          <cell r="M20">
            <v>445.49503488725964</v>
          </cell>
          <cell r="N20">
            <v>348.28403706589631</v>
          </cell>
          <cell r="O20">
            <v>362.3397594571631</v>
          </cell>
          <cell r="P20">
            <v>371.606224056516</v>
          </cell>
          <cell r="Q20">
            <v>312.50970489313931</v>
          </cell>
          <cell r="R20">
            <v>335.2975740310236</v>
          </cell>
          <cell r="S20">
            <v>342.2055640259951</v>
          </cell>
          <cell r="T20">
            <v>402.99180686349803</v>
          </cell>
          <cell r="U20">
            <v>414.03797570414213</v>
          </cell>
          <cell r="V20">
            <v>389.97709928167609</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25.562876348592489</v>
          </cell>
          <cell r="I21">
            <v>25.698333253680506</v>
          </cell>
          <cell r="J21">
            <v>13.848576325371898</v>
          </cell>
          <cell r="K21">
            <v>28.066991307719697</v>
          </cell>
          <cell r="L21">
            <v>16.117144199118059</v>
          </cell>
          <cell r="M21">
            <v>37.124640142297991</v>
          </cell>
          <cell r="N21">
            <v>24.163570975730682</v>
          </cell>
          <cell r="O21">
            <v>20.725655611245173</v>
          </cell>
          <cell r="P21">
            <v>16.890770559431886</v>
          </cell>
          <cell r="Q21">
            <v>14.204568678363051</v>
          </cell>
          <cell r="R21">
            <v>15.240536736838072</v>
          </cell>
          <cell r="S21">
            <v>43.601175474442854</v>
          </cell>
          <cell r="T21">
            <v>51.34627945462649</v>
          </cell>
          <cell r="U21">
            <v>52.753693876351583</v>
          </cell>
          <cell r="V21">
            <v>49.688014634735822</v>
          </cell>
          <cell r="W21">
            <v>47.389006316911576</v>
          </cell>
          <cell r="X21">
            <v>39.719600078948531</v>
          </cell>
          <cell r="Y21">
            <v>42.946811008193642</v>
          </cell>
          <cell r="Z21">
            <v>42.912847331836325</v>
          </cell>
          <cell r="AA21">
            <v>45.360843253028662</v>
          </cell>
          <cell r="AB21">
            <v>43.780346509804978</v>
          </cell>
          <cell r="AC21">
            <v>37.521853433522573</v>
          </cell>
          <cell r="AD21">
            <v>21.874406648760488</v>
          </cell>
          <cell r="AE21">
            <v>28.568841979826072</v>
          </cell>
        </row>
        <row r="22">
          <cell r="G22">
            <v>148.09067407337858</v>
          </cell>
          <cell r="H22">
            <v>147.57241187782651</v>
          </cell>
          <cell r="I22">
            <v>148.35520903287315</v>
          </cell>
          <cell r="J22">
            <v>165.79860767185517</v>
          </cell>
          <cell r="K22">
            <v>173.03383335582868</v>
          </cell>
          <cell r="L22">
            <v>144.04017279599154</v>
          </cell>
          <cell r="M22">
            <v>167.02077778073459</v>
          </cell>
          <cell r="N22">
            <v>156.95175264438686</v>
          </cell>
          <cell r="O22">
            <v>159.76203940526821</v>
          </cell>
          <cell r="P22">
            <v>160.37081910472003</v>
          </cell>
          <cell r="Q22">
            <v>134.84041862377427</v>
          </cell>
          <cell r="R22">
            <v>144.66695632902375</v>
          </cell>
          <cell r="S22">
            <v>123.14160260115491</v>
          </cell>
          <cell r="T22">
            <v>145.02256658050578</v>
          </cell>
          <cell r="U22">
            <v>148.98487297542223</v>
          </cell>
          <cell r="V22">
            <v>140.3064744760587</v>
          </cell>
          <cell r="W22">
            <v>145.5638815883764</v>
          </cell>
          <cell r="X22">
            <v>115.86372571929033</v>
          </cell>
          <cell r="Y22">
            <v>125.98853086440919</v>
          </cell>
          <cell r="Z22">
            <v>141.5697676064546</v>
          </cell>
          <cell r="AA22">
            <v>139.73676861475923</v>
          </cell>
          <cell r="AB22">
            <v>137.37429289745472</v>
          </cell>
          <cell r="AC22">
            <v>118.55546948593621</v>
          </cell>
          <cell r="AD22">
            <v>121.9097195623316</v>
          </cell>
          <cell r="AE22">
            <v>123.60453687075486</v>
          </cell>
        </row>
        <row r="23">
          <cell r="G23">
            <v>285.87082646496032</v>
          </cell>
          <cell r="H23">
            <v>284.87051536995608</v>
          </cell>
          <cell r="I23">
            <v>286.38156346652335</v>
          </cell>
          <cell r="J23">
            <v>292.12065892251803</v>
          </cell>
          <cell r="K23">
            <v>295.25657380571096</v>
          </cell>
          <cell r="L23">
            <v>273.72255952617945</v>
          </cell>
          <cell r="M23">
            <v>296.99142911960104</v>
          </cell>
          <cell r="N23">
            <v>303.2728886913564</v>
          </cell>
          <cell r="O23">
            <v>305.80805486181697</v>
          </cell>
          <cell r="P23">
            <v>304.02727286374443</v>
          </cell>
          <cell r="Q23">
            <v>255.67266336902762</v>
          </cell>
          <cell r="R23">
            <v>274.31306879249058</v>
          </cell>
          <cell r="S23">
            <v>295.74791991806399</v>
          </cell>
          <cell r="T23">
            <v>348.28133891832391</v>
          </cell>
          <cell r="U23">
            <v>357.82579254635169</v>
          </cell>
          <cell r="V23">
            <v>337.03000536087393</v>
          </cell>
          <cell r="W23">
            <v>341.86317827135667</v>
          </cell>
          <cell r="X23">
            <v>297.0016363582576</v>
          </cell>
          <cell r="Y23">
            <v>256.94850517252331</v>
          </cell>
          <cell r="Z23">
            <v>276.85700974362169</v>
          </cell>
          <cell r="AA23">
            <v>297.90433494381182</v>
          </cell>
          <cell r="AB23">
            <v>295.22513781900727</v>
          </cell>
          <cell r="AC23">
            <v>265.07383573829964</v>
          </cell>
          <cell r="AD23">
            <v>267.25903800414943</v>
          </cell>
          <cell r="AE23">
            <v>299.10375236482099</v>
          </cell>
        </row>
        <row r="24">
          <cell r="G24">
            <v>881.99616063500446</v>
          </cell>
          <cell r="H24">
            <v>878.90990852982929</v>
          </cell>
          <cell r="I24">
            <v>883.57190094139946</v>
          </cell>
          <cell r="J24">
            <v>866.44215822922081</v>
          </cell>
          <cell r="K24">
            <v>964.60788783349199</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947.64197928500766</v>
          </cell>
          <cell r="U24">
            <v>973.60245291650426</v>
          </cell>
          <cell r="V24">
            <v>917.00158079266578</v>
          </cell>
          <cell r="W24">
            <v>926.19414624671435</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842.12418774695084</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3">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row r="50">
          <cell r="G50">
            <v>1988</v>
          </cell>
          <cell r="H50">
            <v>1989</v>
          </cell>
          <cell r="I50">
            <v>1990</v>
          </cell>
          <cell r="J50">
            <v>1991</v>
          </cell>
          <cell r="K50">
            <v>1992</v>
          </cell>
          <cell r="L50">
            <v>1993</v>
          </cell>
          <cell r="M50">
            <v>1994</v>
          </cell>
          <cell r="N50">
            <v>1995</v>
          </cell>
          <cell r="O50">
            <v>1996</v>
          </cell>
          <cell r="P50">
            <v>1997</v>
          </cell>
          <cell r="Q50">
            <v>1998</v>
          </cell>
          <cell r="R50">
            <v>1999</v>
          </cell>
          <cell r="S50">
            <v>2000</v>
          </cell>
          <cell r="T50">
            <v>2001</v>
          </cell>
          <cell r="U50">
            <v>2002</v>
          </cell>
          <cell r="V50">
            <v>2003</v>
          </cell>
          <cell r="W50">
            <v>2004</v>
          </cell>
          <cell r="X50">
            <v>2005</v>
          </cell>
          <cell r="Y50">
            <v>2006</v>
          </cell>
          <cell r="Z50">
            <v>2007</v>
          </cell>
          <cell r="AA50">
            <v>2008</v>
          </cell>
          <cell r="AB50">
            <v>2009</v>
          </cell>
          <cell r="AC50">
            <v>2010</v>
          </cell>
          <cell r="AD50">
            <v>2011</v>
          </cell>
          <cell r="AE50">
            <v>2012</v>
          </cell>
        </row>
        <row r="51">
          <cell r="G51">
            <v>422.38208634660771</v>
          </cell>
          <cell r="H51">
            <v>420.90410493345433</v>
          </cell>
          <cell r="I51">
            <v>423.13679518832231</v>
          </cell>
          <cell r="J51">
            <v>394.67431530947567</v>
          </cell>
          <cell r="K51">
            <v>468.25061854804272</v>
          </cell>
          <cell r="L51">
            <v>344.52373444721451</v>
          </cell>
          <cell r="M51">
            <v>445.49503488725958</v>
          </cell>
          <cell r="N51">
            <v>348.28403706589631</v>
          </cell>
          <cell r="O51">
            <v>362.3397594571631</v>
          </cell>
          <cell r="P51">
            <v>371.60622405651606</v>
          </cell>
          <cell r="Q51">
            <v>312.50970489313931</v>
          </cell>
          <cell r="R51">
            <v>335.29757403102366</v>
          </cell>
          <cell r="S51">
            <v>342.2055640259951</v>
          </cell>
          <cell r="T51">
            <v>402.99180686349797</v>
          </cell>
          <cell r="U51">
            <v>414.03797570414213</v>
          </cell>
          <cell r="V51">
            <v>389.97709928167603</v>
          </cell>
          <cell r="W51">
            <v>391.37822136142915</v>
          </cell>
          <cell r="X51">
            <v>293.2540267496567</v>
          </cell>
          <cell r="Y51">
            <v>312.26727082893217</v>
          </cell>
          <cell r="Z51">
            <v>358.48883909919152</v>
          </cell>
          <cell r="AA51">
            <v>360.66110448832524</v>
          </cell>
          <cell r="AB51">
            <v>326.86508800620044</v>
          </cell>
          <cell r="AC51">
            <v>307.34855388727095</v>
          </cell>
          <cell r="AD51">
            <v>315.74630914426245</v>
          </cell>
          <cell r="AE51">
            <v>390.84711724540011</v>
          </cell>
        </row>
        <row r="52">
          <cell r="G52">
            <v>25.652573750057851</v>
          </cell>
          <cell r="H52">
            <v>25.562876348592493</v>
          </cell>
          <cell r="I52">
            <v>25.698333253680506</v>
          </cell>
          <cell r="J52">
            <v>13.848576325371896</v>
          </cell>
          <cell r="K52">
            <v>28.066991307719693</v>
          </cell>
          <cell r="L52">
            <v>16.117144199118062</v>
          </cell>
          <cell r="M52">
            <v>37.124640142297984</v>
          </cell>
          <cell r="N52">
            <v>24.163570975730682</v>
          </cell>
          <cell r="O52">
            <v>20.725655611245173</v>
          </cell>
          <cell r="P52">
            <v>16.890770559431886</v>
          </cell>
          <cell r="Q52">
            <v>14.204568678363051</v>
          </cell>
          <cell r="R52">
            <v>15.240536736838074</v>
          </cell>
          <cell r="S52">
            <v>43.601175474442854</v>
          </cell>
          <cell r="T52">
            <v>51.34627945462649</v>
          </cell>
          <cell r="U52">
            <v>52.753693876351583</v>
          </cell>
          <cell r="V52">
            <v>49.688014634735815</v>
          </cell>
          <cell r="W52">
            <v>47.389006316911583</v>
          </cell>
          <cell r="X52">
            <v>39.719600078948538</v>
          </cell>
          <cell r="Y52">
            <v>42.946811008193649</v>
          </cell>
          <cell r="Z52">
            <v>42.912847331836332</v>
          </cell>
          <cell r="AA52">
            <v>45.360843253028669</v>
          </cell>
          <cell r="AB52">
            <v>43.780346509804978</v>
          </cell>
          <cell r="AC52">
            <v>37.521853433522573</v>
          </cell>
          <cell r="AD52">
            <v>21.874406648760488</v>
          </cell>
          <cell r="AE52">
            <v>28.568841979826072</v>
          </cell>
        </row>
        <row r="53">
          <cell r="G53">
            <v>148.09067407337858</v>
          </cell>
          <cell r="H53">
            <v>147.57241187782651</v>
          </cell>
          <cell r="I53">
            <v>148.35520903287318</v>
          </cell>
          <cell r="J53">
            <v>165.79860767185514</v>
          </cell>
          <cell r="K53">
            <v>173.03383335582868</v>
          </cell>
          <cell r="L53">
            <v>144.04017279599154</v>
          </cell>
          <cell r="M53">
            <v>167.02077778073456</v>
          </cell>
          <cell r="N53">
            <v>156.95175264438686</v>
          </cell>
          <cell r="O53">
            <v>159.76203940526821</v>
          </cell>
          <cell r="P53">
            <v>160.37081910472</v>
          </cell>
          <cell r="Q53">
            <v>134.84041862377427</v>
          </cell>
          <cell r="R53">
            <v>144.66695632902378</v>
          </cell>
          <cell r="S53">
            <v>123.14160260115491</v>
          </cell>
          <cell r="T53">
            <v>145.02256658050578</v>
          </cell>
          <cell r="U53">
            <v>148.98487297542223</v>
          </cell>
          <cell r="V53">
            <v>140.30647447605867</v>
          </cell>
          <cell r="W53">
            <v>145.56388158837643</v>
          </cell>
          <cell r="X53">
            <v>115.86372571929033</v>
          </cell>
          <cell r="Y53">
            <v>125.98853086440919</v>
          </cell>
          <cell r="Z53">
            <v>141.5697676064546</v>
          </cell>
          <cell r="AA53">
            <v>139.7367686147592</v>
          </cell>
          <cell r="AB53">
            <v>137.37429289745472</v>
          </cell>
          <cell r="AC53">
            <v>118.55546948593621</v>
          </cell>
          <cell r="AD53">
            <v>121.90971956233162</v>
          </cell>
          <cell r="AE53">
            <v>123.60453687075486</v>
          </cell>
        </row>
        <row r="54">
          <cell r="G54">
            <v>285.87082646496026</v>
          </cell>
          <cell r="H54">
            <v>284.87051536995608</v>
          </cell>
          <cell r="I54">
            <v>286.38156346652335</v>
          </cell>
          <cell r="J54">
            <v>292.12065892251798</v>
          </cell>
          <cell r="K54">
            <v>295.2565738057109</v>
          </cell>
          <cell r="L54">
            <v>273.72255952617945</v>
          </cell>
          <cell r="M54">
            <v>296.99142911960104</v>
          </cell>
          <cell r="N54">
            <v>303.27288869135646</v>
          </cell>
          <cell r="O54">
            <v>305.80805486181691</v>
          </cell>
          <cell r="P54">
            <v>304.02727286374443</v>
          </cell>
          <cell r="Q54">
            <v>255.67266336902762</v>
          </cell>
          <cell r="R54">
            <v>274.31306879249058</v>
          </cell>
          <cell r="S54">
            <v>295.74791991806393</v>
          </cell>
          <cell r="T54">
            <v>348.28133891832385</v>
          </cell>
          <cell r="U54">
            <v>357.82579254635169</v>
          </cell>
          <cell r="V54">
            <v>337.03000536087387</v>
          </cell>
          <cell r="W54">
            <v>341.86317827135667</v>
          </cell>
          <cell r="X54">
            <v>297.0016363582576</v>
          </cell>
          <cell r="Y54">
            <v>256.94850517252331</v>
          </cell>
          <cell r="Z54">
            <v>276.85700974362169</v>
          </cell>
          <cell r="AA54">
            <v>297.90433494381182</v>
          </cell>
          <cell r="AB54">
            <v>295.22513781900722</v>
          </cell>
          <cell r="AC54">
            <v>265.07383573829964</v>
          </cell>
          <cell r="AD54">
            <v>267.25903800414949</v>
          </cell>
          <cell r="AE54">
            <v>299.10375236482099</v>
          </cell>
        </row>
        <row r="55">
          <cell r="G55">
            <v>881.99616063500446</v>
          </cell>
          <cell r="H55">
            <v>878.90990852982941</v>
          </cell>
          <cell r="I55">
            <v>883.57190094139935</v>
          </cell>
          <cell r="J55">
            <v>866.44215822922069</v>
          </cell>
          <cell r="K55">
            <v>964.60788783349187</v>
          </cell>
          <cell r="L55">
            <v>778.40348106905492</v>
          </cell>
          <cell r="M55">
            <v>946.6318819298931</v>
          </cell>
          <cell r="N55">
            <v>832.67224937737035</v>
          </cell>
          <cell r="O55">
            <v>848.63549634990864</v>
          </cell>
          <cell r="P55">
            <v>852.89507384849344</v>
          </cell>
          <cell r="Q55">
            <v>717.22734293522569</v>
          </cell>
          <cell r="R55">
            <v>769.51812330024813</v>
          </cell>
          <cell r="S55">
            <v>804.69619959655552</v>
          </cell>
          <cell r="T55">
            <v>947.64197928500778</v>
          </cell>
          <cell r="U55">
            <v>973.60245291650426</v>
          </cell>
          <cell r="V55">
            <v>917.00158079266578</v>
          </cell>
          <cell r="W55">
            <v>926.19414624671447</v>
          </cell>
          <cell r="X55">
            <v>745.8391027960281</v>
          </cell>
          <cell r="Y55">
            <v>738.15110558736103</v>
          </cell>
          <cell r="Z55">
            <v>819.82857199685373</v>
          </cell>
          <cell r="AA55">
            <v>843.66301387825172</v>
          </cell>
          <cell r="AB55">
            <v>803.24492655162635</v>
          </cell>
          <cell r="AC55">
            <v>728.49965144856913</v>
          </cell>
          <cell r="AD55">
            <v>726.78953384067529</v>
          </cell>
          <cell r="AE55">
            <v>842.12418774695072</v>
          </cell>
        </row>
      </sheetData>
      <sheetData sheetId="14">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5"/>
      <sheetData sheetId="16">
        <row r="5">
          <cell r="B5" t="str">
            <v>Anchor</v>
          </cell>
        </row>
      </sheetData>
      <sheetData sheetId="17"/>
      <sheetData sheetId="18">
        <row r="21">
          <cell r="G21" t="str">
            <v>Number_of_Circuits</v>
          </cell>
          <cell r="H21" t="str">
            <v>Pos_Rel</v>
          </cell>
          <cell r="I21" t="str">
            <v>ID</v>
          </cell>
        </row>
        <row r="22">
          <cell r="G22">
            <v>2</v>
          </cell>
          <cell r="H22" t="str">
            <v>Within 1 mile</v>
          </cell>
          <cell r="I22">
            <v>3337427414</v>
          </cell>
        </row>
        <row r="23">
          <cell r="G23">
            <v>1</v>
          </cell>
          <cell r="H23" t="str">
            <v>Within 1 mile</v>
          </cell>
          <cell r="I23">
            <v>3342618410</v>
          </cell>
        </row>
        <row r="24">
          <cell r="G24">
            <v>2</v>
          </cell>
          <cell r="H24" t="str">
            <v>Within 1 mile</v>
          </cell>
          <cell r="I24">
            <v>3352749805</v>
          </cell>
        </row>
        <row r="25">
          <cell r="G25">
            <v>2</v>
          </cell>
          <cell r="H25" t="str">
            <v>Not verified to be within 1 mile</v>
          </cell>
          <cell r="I25">
            <v>3349560210</v>
          </cell>
        </row>
        <row r="26">
          <cell r="G26">
            <v>1</v>
          </cell>
          <cell r="H26" t="str">
            <v>Not verified to be within 1 mile</v>
          </cell>
          <cell r="I26">
            <v>3349560228</v>
          </cell>
        </row>
        <row r="27">
          <cell r="G27">
            <v>2</v>
          </cell>
          <cell r="H27" t="str">
            <v>Not verified to be within 1 mile</v>
          </cell>
          <cell r="I27">
            <v>3349560223</v>
          </cell>
        </row>
        <row r="28">
          <cell r="G28">
            <v>1</v>
          </cell>
          <cell r="H28" t="str">
            <v>Within 165 feet</v>
          </cell>
          <cell r="I28">
            <v>3342618062</v>
          </cell>
        </row>
        <row r="29">
          <cell r="G29">
            <v>5</v>
          </cell>
          <cell r="H29" t="str">
            <v>Within 165 feet</v>
          </cell>
          <cell r="I29">
            <v>3349559673</v>
          </cell>
        </row>
        <row r="30">
          <cell r="G30">
            <v>7</v>
          </cell>
          <cell r="H30" t="str">
            <v>Within 165 feet</v>
          </cell>
          <cell r="I30">
            <v>3337405809</v>
          </cell>
        </row>
        <row r="31">
          <cell r="G31">
            <v>4</v>
          </cell>
          <cell r="H31" t="str">
            <v>Within 40 feet</v>
          </cell>
          <cell r="I31">
            <v>3337405811</v>
          </cell>
        </row>
        <row r="32">
          <cell r="G32">
            <v>4</v>
          </cell>
          <cell r="H32" t="str">
            <v>Within 1 mile</v>
          </cell>
          <cell r="I32">
            <v>3337405841</v>
          </cell>
        </row>
        <row r="33">
          <cell r="G33">
            <v>3</v>
          </cell>
          <cell r="H33" t="str">
            <v>Within 165 feet</v>
          </cell>
          <cell r="I33">
            <v>3337405851</v>
          </cell>
        </row>
        <row r="34">
          <cell r="G34">
            <v>1</v>
          </cell>
          <cell r="H34" t="str">
            <v>Within 1 mile</v>
          </cell>
          <cell r="I34">
            <v>3352750258</v>
          </cell>
        </row>
        <row r="35">
          <cell r="G35">
            <v>8</v>
          </cell>
          <cell r="H35" t="str">
            <v>Within 165 feet</v>
          </cell>
          <cell r="I35">
            <v>3337405875</v>
          </cell>
        </row>
        <row r="36">
          <cell r="G36">
            <v>6</v>
          </cell>
          <cell r="H36" t="str">
            <v>Within 165 feet</v>
          </cell>
          <cell r="I36">
            <v>3337405876</v>
          </cell>
        </row>
        <row r="37">
          <cell r="G37">
            <v>2</v>
          </cell>
          <cell r="H37" t="str">
            <v>Within 165 feet</v>
          </cell>
          <cell r="I37">
            <v>3342618042</v>
          </cell>
        </row>
        <row r="38">
          <cell r="G38">
            <v>4</v>
          </cell>
          <cell r="H38" t="str">
            <v>Within 1 mile</v>
          </cell>
          <cell r="I38">
            <v>3365669816</v>
          </cell>
        </row>
        <row r="39">
          <cell r="G39">
            <v>3</v>
          </cell>
          <cell r="H39" t="str">
            <v>Within 40 feet</v>
          </cell>
          <cell r="I39">
            <v>3337405945</v>
          </cell>
        </row>
        <row r="40">
          <cell r="G40">
            <v>2</v>
          </cell>
          <cell r="H40" t="str">
            <v>Within 1 mile</v>
          </cell>
          <cell r="I40">
            <v>3337428205</v>
          </cell>
        </row>
        <row r="41">
          <cell r="G41">
            <v>2</v>
          </cell>
          <cell r="H41" t="str">
            <v>Not Verified to be within 1 mile</v>
          </cell>
          <cell r="I41">
            <v>3342618238</v>
          </cell>
        </row>
        <row r="42">
          <cell r="G42">
            <v>2</v>
          </cell>
          <cell r="H42" t="str">
            <v>Not Verified to be within 1 mile</v>
          </cell>
          <cell r="I42">
            <v>3342618215</v>
          </cell>
        </row>
        <row r="43">
          <cell r="G43">
            <v>3</v>
          </cell>
          <cell r="H43" t="str">
            <v>Within 1 mile</v>
          </cell>
          <cell r="I43">
            <v>3337405994</v>
          </cell>
        </row>
        <row r="44">
          <cell r="G44">
            <v>1</v>
          </cell>
          <cell r="H44" t="str">
            <v>Within 40 feet</v>
          </cell>
          <cell r="I44">
            <v>3349559578</v>
          </cell>
        </row>
        <row r="45">
          <cell r="G45">
            <v>3</v>
          </cell>
          <cell r="H45" t="str">
            <v>Not Verified to be within 1 mile</v>
          </cell>
          <cell r="I45">
            <v>3342618203</v>
          </cell>
        </row>
        <row r="46">
          <cell r="G46">
            <v>8</v>
          </cell>
          <cell r="H46" t="str">
            <v>Within 165 feet</v>
          </cell>
          <cell r="I46">
            <v>3337406029</v>
          </cell>
        </row>
        <row r="47">
          <cell r="G47">
            <v>6</v>
          </cell>
          <cell r="H47" t="str">
            <v>Within 40 feet</v>
          </cell>
          <cell r="I47">
            <v>3337406039</v>
          </cell>
        </row>
        <row r="48">
          <cell r="G48">
            <v>5</v>
          </cell>
          <cell r="H48" t="str">
            <v>Within 40 feet</v>
          </cell>
          <cell r="I48">
            <v>3337427457</v>
          </cell>
        </row>
        <row r="49">
          <cell r="G49">
            <v>3</v>
          </cell>
          <cell r="H49" t="str">
            <v>Within 40 feet</v>
          </cell>
          <cell r="I49">
            <v>3352750139</v>
          </cell>
        </row>
        <row r="50">
          <cell r="G50">
            <v>1</v>
          </cell>
          <cell r="H50" t="str">
            <v>Within 40 feet</v>
          </cell>
          <cell r="I50">
            <v>3352750138</v>
          </cell>
        </row>
        <row r="51">
          <cell r="G51">
            <v>1</v>
          </cell>
          <cell r="H51" t="str">
            <v>Not Verified to be within 1 mile</v>
          </cell>
          <cell r="I51">
            <v>3342618050</v>
          </cell>
        </row>
        <row r="52">
          <cell r="G52">
            <v>5</v>
          </cell>
          <cell r="H52" t="str">
            <v>Within 165 feet</v>
          </cell>
          <cell r="I52">
            <v>3337406065</v>
          </cell>
        </row>
        <row r="53">
          <cell r="G53">
            <v>1</v>
          </cell>
          <cell r="H53" t="str">
            <v>Within 1 mile</v>
          </cell>
          <cell r="I53">
            <v>3337406075</v>
          </cell>
        </row>
        <row r="54">
          <cell r="G54">
            <v>4</v>
          </cell>
          <cell r="H54" t="str">
            <v>Within 40 feet</v>
          </cell>
          <cell r="I54">
            <v>3353097876</v>
          </cell>
        </row>
        <row r="55">
          <cell r="G55">
            <v>2</v>
          </cell>
          <cell r="H55" t="str">
            <v>Not Verified to be within 1 mile</v>
          </cell>
          <cell r="I55">
            <v>3342618108</v>
          </cell>
        </row>
        <row r="56">
          <cell r="G56">
            <v>5</v>
          </cell>
          <cell r="H56" t="str">
            <v>Within 1 mile</v>
          </cell>
          <cell r="I56">
            <v>3337406092</v>
          </cell>
        </row>
        <row r="57">
          <cell r="G57">
            <v>4</v>
          </cell>
          <cell r="H57" t="str">
            <v>Within 40 feet</v>
          </cell>
          <cell r="I57">
            <v>3349559515</v>
          </cell>
        </row>
        <row r="58">
          <cell r="G58">
            <v>3</v>
          </cell>
          <cell r="H58" t="str">
            <v>Within 40 feet</v>
          </cell>
          <cell r="I58">
            <v>3337406222</v>
          </cell>
        </row>
        <row r="59">
          <cell r="G59">
            <v>1</v>
          </cell>
          <cell r="H59" t="str">
            <v>Within 40 feet</v>
          </cell>
          <cell r="I59">
            <v>3349559567</v>
          </cell>
        </row>
        <row r="60">
          <cell r="G60">
            <v>3</v>
          </cell>
          <cell r="H60" t="str">
            <v>Not verified to be within 1 mile</v>
          </cell>
          <cell r="I60">
            <v>3337406235</v>
          </cell>
        </row>
        <row r="61">
          <cell r="G61">
            <v>3</v>
          </cell>
          <cell r="H61" t="str">
            <v>Not Verified to be within 1 mile</v>
          </cell>
          <cell r="I61">
            <v>3337406236</v>
          </cell>
        </row>
        <row r="62">
          <cell r="G62">
            <v>1</v>
          </cell>
          <cell r="H62" t="str">
            <v>Within 1 mile</v>
          </cell>
          <cell r="I62">
            <v>3337427508</v>
          </cell>
        </row>
        <row r="63">
          <cell r="G63">
            <v>9</v>
          </cell>
          <cell r="H63" t="str">
            <v>Within 40 feet</v>
          </cell>
          <cell r="I63">
            <v>3337406253</v>
          </cell>
        </row>
        <row r="64">
          <cell r="G64">
            <v>1</v>
          </cell>
          <cell r="H64" t="str">
            <v>Not Verified to be within 1 mile</v>
          </cell>
          <cell r="I64">
            <v>3342618167</v>
          </cell>
        </row>
        <row r="65">
          <cell r="G65">
            <v>1</v>
          </cell>
          <cell r="H65" t="str">
            <v>Not Verified to be within 1 mile</v>
          </cell>
          <cell r="I65">
            <v>3342618232</v>
          </cell>
        </row>
        <row r="66">
          <cell r="G66">
            <v>2</v>
          </cell>
          <cell r="H66" t="str">
            <v>Within 40 feet</v>
          </cell>
          <cell r="I66">
            <v>3349559646</v>
          </cell>
        </row>
        <row r="67">
          <cell r="G67">
            <v>2</v>
          </cell>
          <cell r="H67" t="str">
            <v>Within 1 mile</v>
          </cell>
          <cell r="I67">
            <v>3342618182</v>
          </cell>
        </row>
        <row r="68">
          <cell r="G68">
            <v>2</v>
          </cell>
          <cell r="H68" t="str">
            <v>Not Verified to be within 1 mile</v>
          </cell>
          <cell r="I68">
            <v>3337406279</v>
          </cell>
        </row>
        <row r="69">
          <cell r="G69">
            <v>1</v>
          </cell>
          <cell r="H69" t="str">
            <v>Within 40 feet</v>
          </cell>
          <cell r="I69">
            <v>3349559565</v>
          </cell>
        </row>
        <row r="70">
          <cell r="G70">
            <v>3</v>
          </cell>
          <cell r="H70" t="str">
            <v>Within 165 feet</v>
          </cell>
          <cell r="I70">
            <v>3337406291</v>
          </cell>
        </row>
        <row r="71">
          <cell r="G71">
            <v>1</v>
          </cell>
          <cell r="H71" t="str">
            <v>Not Verified to be within 1 mile</v>
          </cell>
          <cell r="I71">
            <v>3342618333</v>
          </cell>
        </row>
        <row r="72">
          <cell r="G72">
            <v>1</v>
          </cell>
          <cell r="H72" t="str">
            <v>Not verified to be within 1 mile</v>
          </cell>
          <cell r="I72">
            <v>3349560041</v>
          </cell>
        </row>
        <row r="73">
          <cell r="G73">
            <v>1</v>
          </cell>
          <cell r="H73" t="str">
            <v>Not verified to be within 1 mile</v>
          </cell>
          <cell r="I73">
            <v>3349560331</v>
          </cell>
        </row>
        <row r="74">
          <cell r="G74">
            <v>2</v>
          </cell>
          <cell r="H74" t="str">
            <v>Within 1 mile</v>
          </cell>
          <cell r="I74">
            <v>3342618130</v>
          </cell>
        </row>
        <row r="75">
          <cell r="G75">
            <v>4</v>
          </cell>
          <cell r="H75" t="str">
            <v>Within 165 feet</v>
          </cell>
          <cell r="I75">
            <v>3353098108</v>
          </cell>
        </row>
        <row r="76">
          <cell r="G76">
            <v>2</v>
          </cell>
          <cell r="H76" t="str">
            <v>Within 40 feet</v>
          </cell>
          <cell r="I76">
            <v>3337406325</v>
          </cell>
        </row>
        <row r="77">
          <cell r="G77">
            <v>2</v>
          </cell>
          <cell r="H77" t="str">
            <v>Within 165 feet</v>
          </cell>
          <cell r="I77">
            <v>3337406328</v>
          </cell>
        </row>
        <row r="78">
          <cell r="G78">
            <v>4</v>
          </cell>
          <cell r="H78" t="str">
            <v>Within 165 feet</v>
          </cell>
          <cell r="I78">
            <v>3349559676</v>
          </cell>
        </row>
        <row r="79">
          <cell r="G79">
            <v>5</v>
          </cell>
          <cell r="H79" t="str">
            <v>Not verified to be within 1 mile</v>
          </cell>
          <cell r="I79">
            <v>3349560178</v>
          </cell>
        </row>
        <row r="80">
          <cell r="G80">
            <v>6</v>
          </cell>
          <cell r="H80" t="str">
            <v>Within 165 feet</v>
          </cell>
          <cell r="I80">
            <v>3337406371</v>
          </cell>
        </row>
        <row r="81">
          <cell r="G81">
            <v>2</v>
          </cell>
          <cell r="H81" t="str">
            <v>Within 1 mile</v>
          </cell>
          <cell r="I81">
            <v>3342617827</v>
          </cell>
        </row>
        <row r="82">
          <cell r="G82">
            <v>2</v>
          </cell>
          <cell r="H82" t="str">
            <v>Within 1 mile</v>
          </cell>
          <cell r="I82">
            <v>3337406374</v>
          </cell>
        </row>
        <row r="83">
          <cell r="G83">
            <v>3</v>
          </cell>
          <cell r="H83" t="str">
            <v>Within 1 mile</v>
          </cell>
          <cell r="I83">
            <v>3337428236</v>
          </cell>
        </row>
        <row r="84">
          <cell r="G84">
            <v>2</v>
          </cell>
          <cell r="H84" t="str">
            <v>Within 165 feet</v>
          </cell>
          <cell r="I84">
            <v>3337406412</v>
          </cell>
        </row>
        <row r="85">
          <cell r="G85">
            <v>1</v>
          </cell>
          <cell r="H85" t="str">
            <v>Not verified to be within 1 mile</v>
          </cell>
          <cell r="I85">
            <v>3349560076</v>
          </cell>
        </row>
        <row r="86">
          <cell r="G86">
            <v>2</v>
          </cell>
          <cell r="H86" t="str">
            <v>Not Verified to be within 1 mile</v>
          </cell>
          <cell r="I86">
            <v>3342618126</v>
          </cell>
        </row>
        <row r="87">
          <cell r="G87">
            <v>1</v>
          </cell>
          <cell r="H87" t="str">
            <v>Not Verified to be within 1 mile</v>
          </cell>
          <cell r="I87">
            <v>3342618089</v>
          </cell>
        </row>
        <row r="88">
          <cell r="G88">
            <v>2</v>
          </cell>
          <cell r="H88" t="str">
            <v>Within 165 feet</v>
          </cell>
          <cell r="I88">
            <v>3352749992</v>
          </cell>
        </row>
        <row r="89">
          <cell r="G89">
            <v>1</v>
          </cell>
          <cell r="H89" t="str">
            <v>Within 165 feet</v>
          </cell>
          <cell r="I89">
            <v>3338290484</v>
          </cell>
        </row>
        <row r="90">
          <cell r="G90">
            <v>1</v>
          </cell>
          <cell r="H90" t="str">
            <v>Not Verified to be within 1 mile</v>
          </cell>
          <cell r="I90">
            <v>3342618281</v>
          </cell>
        </row>
        <row r="91">
          <cell r="G91">
            <v>3</v>
          </cell>
          <cell r="H91" t="str">
            <v>Within 40 feet</v>
          </cell>
          <cell r="I91">
            <v>3337406568</v>
          </cell>
        </row>
        <row r="92">
          <cell r="G92">
            <v>2</v>
          </cell>
          <cell r="H92" t="str">
            <v>Within 1 mile</v>
          </cell>
          <cell r="I92">
            <v>3352749896</v>
          </cell>
        </row>
        <row r="93">
          <cell r="G93">
            <v>4</v>
          </cell>
          <cell r="H93" t="str">
            <v>Within 165 feet</v>
          </cell>
          <cell r="I93">
            <v>3337406590</v>
          </cell>
        </row>
        <row r="94">
          <cell r="G94">
            <v>4</v>
          </cell>
          <cell r="H94" t="str">
            <v>Within 40 feet</v>
          </cell>
          <cell r="I94">
            <v>3337406602</v>
          </cell>
        </row>
        <row r="95">
          <cell r="G95">
            <v>2</v>
          </cell>
          <cell r="H95" t="str">
            <v>Within 1 mile</v>
          </cell>
          <cell r="I95">
            <v>3352749982</v>
          </cell>
        </row>
        <row r="96">
          <cell r="G96">
            <v>1</v>
          </cell>
          <cell r="H96" t="str">
            <v>Not Verified to be within 1 mile</v>
          </cell>
          <cell r="I96">
            <v>3337406632</v>
          </cell>
        </row>
        <row r="97">
          <cell r="G97">
            <v>3</v>
          </cell>
          <cell r="H97" t="str">
            <v>Within 165 feet</v>
          </cell>
          <cell r="I97">
            <v>3337406649</v>
          </cell>
        </row>
        <row r="98">
          <cell r="G98">
            <v>2</v>
          </cell>
          <cell r="H98" t="str">
            <v>Not verified to be within 1 mile</v>
          </cell>
          <cell r="I98">
            <v>3349559693</v>
          </cell>
        </row>
        <row r="99">
          <cell r="G99">
            <v>2</v>
          </cell>
          <cell r="H99" t="str">
            <v>Within 1 mile</v>
          </cell>
          <cell r="I99">
            <v>3353097619</v>
          </cell>
        </row>
        <row r="100">
          <cell r="G100">
            <v>2</v>
          </cell>
          <cell r="H100" t="str">
            <v>Not verified to be within 1 mile</v>
          </cell>
          <cell r="I100">
            <v>3349559868</v>
          </cell>
        </row>
        <row r="101">
          <cell r="G101">
            <v>1</v>
          </cell>
          <cell r="H101" t="str">
            <v>Within 1 mile</v>
          </cell>
          <cell r="I101">
            <v>3342618366</v>
          </cell>
        </row>
        <row r="102">
          <cell r="G102">
            <v>3</v>
          </cell>
          <cell r="H102" t="str">
            <v>Not verified to be within 1 mile</v>
          </cell>
          <cell r="I102">
            <v>3349560078</v>
          </cell>
        </row>
        <row r="103">
          <cell r="G103">
            <v>4</v>
          </cell>
          <cell r="H103" t="str">
            <v>Within 1 mile</v>
          </cell>
          <cell r="I103">
            <v>3337406789</v>
          </cell>
        </row>
        <row r="104">
          <cell r="G104">
            <v>3</v>
          </cell>
          <cell r="H104" t="str">
            <v>Within 1 mile</v>
          </cell>
          <cell r="I104">
            <v>3337406795</v>
          </cell>
        </row>
        <row r="105">
          <cell r="G105">
            <v>2</v>
          </cell>
          <cell r="H105" t="str">
            <v>Within 1 mile</v>
          </cell>
          <cell r="I105">
            <v>3337406808</v>
          </cell>
        </row>
        <row r="106">
          <cell r="G106">
            <v>4</v>
          </cell>
          <cell r="H106" t="str">
            <v>Within 1 mile</v>
          </cell>
          <cell r="I106">
            <v>3337406818</v>
          </cell>
        </row>
        <row r="107">
          <cell r="G107">
            <v>0</v>
          </cell>
          <cell r="H107" t="str">
            <v>Within 165 feet</v>
          </cell>
          <cell r="I107">
            <v>3337406821</v>
          </cell>
        </row>
        <row r="108">
          <cell r="G108">
            <v>0</v>
          </cell>
          <cell r="H108" t="str">
            <v>Within 1 mile</v>
          </cell>
          <cell r="I108">
            <v>3337406822</v>
          </cell>
        </row>
        <row r="109">
          <cell r="G109">
            <v>2</v>
          </cell>
          <cell r="H109" t="str">
            <v>Within 1 mile</v>
          </cell>
          <cell r="I109">
            <v>3352749976</v>
          </cell>
        </row>
        <row r="110">
          <cell r="G110">
            <v>7</v>
          </cell>
          <cell r="H110" t="str">
            <v>Within 40 feet</v>
          </cell>
          <cell r="I110">
            <v>3337406824</v>
          </cell>
        </row>
        <row r="111">
          <cell r="G111">
            <v>5</v>
          </cell>
          <cell r="H111" t="str">
            <v>Within 1 mile</v>
          </cell>
          <cell r="I111">
            <v>3337406842</v>
          </cell>
        </row>
        <row r="112">
          <cell r="G112">
            <v>3</v>
          </cell>
          <cell r="H112" t="str">
            <v>Within 1 mile</v>
          </cell>
          <cell r="I112">
            <v>3341136911</v>
          </cell>
        </row>
        <row r="113">
          <cell r="G113">
            <v>1</v>
          </cell>
          <cell r="H113" t="str">
            <v>Not Verified to be within 1 mile</v>
          </cell>
          <cell r="I113">
            <v>3342618111</v>
          </cell>
        </row>
        <row r="114">
          <cell r="G114">
            <v>3</v>
          </cell>
          <cell r="H114" t="str">
            <v>Not Verified to be within 1 mile</v>
          </cell>
          <cell r="I114">
            <v>3342618095</v>
          </cell>
        </row>
        <row r="115">
          <cell r="G115">
            <v>5</v>
          </cell>
          <cell r="H115" t="str">
            <v>Within 1 mile</v>
          </cell>
          <cell r="I115">
            <v>3337406867</v>
          </cell>
        </row>
        <row r="116">
          <cell r="G116">
            <v>2</v>
          </cell>
          <cell r="H116" t="str">
            <v>Within 1 mile</v>
          </cell>
          <cell r="I116">
            <v>3337406868</v>
          </cell>
        </row>
        <row r="117">
          <cell r="G117">
            <v>2</v>
          </cell>
          <cell r="H117" t="str">
            <v>Not Verified to be within 1 mile</v>
          </cell>
          <cell r="I117">
            <v>3342618197</v>
          </cell>
        </row>
        <row r="118">
          <cell r="G118">
            <v>2</v>
          </cell>
          <cell r="H118" t="str">
            <v>Within 165 feet</v>
          </cell>
          <cell r="I118">
            <v>3337406880</v>
          </cell>
        </row>
        <row r="119">
          <cell r="G119">
            <v>2</v>
          </cell>
          <cell r="H119" t="str">
            <v>Within 165 feet</v>
          </cell>
          <cell r="I119">
            <v>3349560088</v>
          </cell>
        </row>
        <row r="120">
          <cell r="G120">
            <v>2</v>
          </cell>
          <cell r="H120" t="str">
            <v>Within 1 mile</v>
          </cell>
          <cell r="I120">
            <v>3352750254</v>
          </cell>
        </row>
        <row r="121">
          <cell r="G121">
            <v>2</v>
          </cell>
          <cell r="H121" t="str">
            <v>Within 165 feet</v>
          </cell>
          <cell r="I121">
            <v>3337406994</v>
          </cell>
        </row>
        <row r="122">
          <cell r="G122">
            <v>2</v>
          </cell>
          <cell r="H122" t="str">
            <v>Within 165 feet</v>
          </cell>
          <cell r="I122">
            <v>3337406995</v>
          </cell>
        </row>
        <row r="123">
          <cell r="G123">
            <v>2</v>
          </cell>
          <cell r="H123" t="str">
            <v>Within 165 feet</v>
          </cell>
          <cell r="I123">
            <v>3337407000</v>
          </cell>
        </row>
        <row r="124">
          <cell r="G124">
            <v>1</v>
          </cell>
          <cell r="H124" t="str">
            <v>Within 165 feet</v>
          </cell>
          <cell r="I124">
            <v>3337407041</v>
          </cell>
        </row>
        <row r="125">
          <cell r="G125">
            <v>1</v>
          </cell>
          <cell r="H125" t="str">
            <v>Within 165 feet</v>
          </cell>
          <cell r="I125">
            <v>3349560137</v>
          </cell>
        </row>
        <row r="126">
          <cell r="G126">
            <v>1</v>
          </cell>
          <cell r="H126" t="str">
            <v>Within 1 mile</v>
          </cell>
          <cell r="I126">
            <v>3337428131</v>
          </cell>
        </row>
        <row r="127">
          <cell r="G127">
            <v>15</v>
          </cell>
          <cell r="H127" t="str">
            <v>Within 165 feet</v>
          </cell>
          <cell r="I127">
            <v>3337407067</v>
          </cell>
        </row>
        <row r="128">
          <cell r="G128">
            <v>3</v>
          </cell>
          <cell r="H128" t="str">
            <v>Not verified to be within 1 mile</v>
          </cell>
          <cell r="I128">
            <v>3349559961</v>
          </cell>
        </row>
        <row r="129">
          <cell r="G129">
            <v>2</v>
          </cell>
          <cell r="H129" t="str">
            <v>Within 1 mile</v>
          </cell>
          <cell r="I129">
            <v>3352749859</v>
          </cell>
        </row>
        <row r="130">
          <cell r="G130">
            <v>2</v>
          </cell>
          <cell r="H130" t="str">
            <v>Not verified to be within 1 mile</v>
          </cell>
          <cell r="I130">
            <v>3337407118</v>
          </cell>
        </row>
        <row r="131">
          <cell r="G131">
            <v>1</v>
          </cell>
          <cell r="H131" t="str">
            <v>Within 1 mile</v>
          </cell>
          <cell r="I131">
            <v>3337407116</v>
          </cell>
        </row>
        <row r="132">
          <cell r="G132">
            <v>2</v>
          </cell>
          <cell r="H132" t="str">
            <v>Within 1 mile</v>
          </cell>
          <cell r="I132">
            <v>3352750273</v>
          </cell>
        </row>
        <row r="133">
          <cell r="G133">
            <v>1</v>
          </cell>
          <cell r="H133" t="str">
            <v>Not verified to be within 1 mile</v>
          </cell>
          <cell r="I133">
            <v>3349560072</v>
          </cell>
        </row>
        <row r="134">
          <cell r="G134">
            <v>2</v>
          </cell>
          <cell r="H134" t="str">
            <v>Not verified to be within 1 mile</v>
          </cell>
          <cell r="I134">
            <v>3349559794</v>
          </cell>
        </row>
        <row r="135">
          <cell r="G135">
            <v>4</v>
          </cell>
          <cell r="H135" t="str">
            <v>Within 40 feet</v>
          </cell>
          <cell r="I135">
            <v>3337407138</v>
          </cell>
        </row>
        <row r="136">
          <cell r="G136">
            <v>0</v>
          </cell>
          <cell r="H136" t="str">
            <v>Within 1 mile</v>
          </cell>
          <cell r="I136">
            <v>3352750212</v>
          </cell>
        </row>
        <row r="137">
          <cell r="G137">
            <v>1</v>
          </cell>
          <cell r="H137" t="str">
            <v>Not Verified to be within 1 mile</v>
          </cell>
          <cell r="I137">
            <v>3342618103</v>
          </cell>
        </row>
        <row r="138">
          <cell r="G138">
            <v>6</v>
          </cell>
          <cell r="H138" t="str">
            <v>Within 1 mile</v>
          </cell>
          <cell r="I138">
            <v>3337407183</v>
          </cell>
        </row>
        <row r="139">
          <cell r="G139">
            <v>1</v>
          </cell>
          <cell r="H139" t="str">
            <v>Within 1 mile</v>
          </cell>
          <cell r="I139">
            <v>3337428299</v>
          </cell>
        </row>
        <row r="140">
          <cell r="G140">
            <v>1</v>
          </cell>
          <cell r="H140" t="str">
            <v>Within 165 feet</v>
          </cell>
          <cell r="I140">
            <v>3337407204</v>
          </cell>
        </row>
        <row r="141">
          <cell r="G141">
            <v>4</v>
          </cell>
          <cell r="H141" t="str">
            <v>Within 40 feet</v>
          </cell>
          <cell r="I141">
            <v>3337407237</v>
          </cell>
        </row>
        <row r="142">
          <cell r="G142">
            <v>2</v>
          </cell>
          <cell r="H142" t="str">
            <v>Within 1 mile</v>
          </cell>
          <cell r="I142">
            <v>3337407254</v>
          </cell>
        </row>
        <row r="143">
          <cell r="G143">
            <v>1</v>
          </cell>
          <cell r="H143" t="str">
            <v>Not Verified to be within 1 mile</v>
          </cell>
          <cell r="I143">
            <v>3342618135</v>
          </cell>
        </row>
        <row r="144">
          <cell r="G144">
            <v>17</v>
          </cell>
          <cell r="H144" t="str">
            <v>Within 165 feet</v>
          </cell>
          <cell r="I144">
            <v>3337407277</v>
          </cell>
        </row>
        <row r="145">
          <cell r="G145">
            <v>3</v>
          </cell>
          <cell r="H145" t="str">
            <v>Within 1 mile</v>
          </cell>
          <cell r="I145">
            <v>3337428017</v>
          </cell>
        </row>
        <row r="146">
          <cell r="G146">
            <v>6</v>
          </cell>
          <cell r="H146" t="str">
            <v>Within 165 feet</v>
          </cell>
          <cell r="I146">
            <v>3337407283</v>
          </cell>
        </row>
        <row r="147">
          <cell r="G147">
            <v>2</v>
          </cell>
          <cell r="H147" t="str">
            <v>Not verified to be within 1 mile</v>
          </cell>
          <cell r="I147">
            <v>3349560031</v>
          </cell>
        </row>
        <row r="148">
          <cell r="G148">
            <v>1</v>
          </cell>
          <cell r="H148" t="str">
            <v>Within 1 mile</v>
          </cell>
          <cell r="I148">
            <v>3342617843</v>
          </cell>
        </row>
        <row r="149">
          <cell r="G149">
            <v>8</v>
          </cell>
          <cell r="H149" t="str">
            <v>Within 165 feet</v>
          </cell>
          <cell r="I149">
            <v>3337407300</v>
          </cell>
        </row>
        <row r="150">
          <cell r="G150">
            <v>2</v>
          </cell>
          <cell r="H150" t="str">
            <v>Within 165 feet</v>
          </cell>
          <cell r="I150">
            <v>3337407303</v>
          </cell>
        </row>
        <row r="151">
          <cell r="G151">
            <v>1</v>
          </cell>
          <cell r="H151" t="str">
            <v>Within 165 feet</v>
          </cell>
          <cell r="I151">
            <v>3342618041</v>
          </cell>
        </row>
        <row r="152">
          <cell r="G152">
            <v>1</v>
          </cell>
          <cell r="H152" t="str">
            <v>Within 1 mile</v>
          </cell>
          <cell r="I152">
            <v>3353098092</v>
          </cell>
        </row>
        <row r="153">
          <cell r="G153">
            <v>5</v>
          </cell>
          <cell r="H153" t="str">
            <v>Within 40 feet</v>
          </cell>
          <cell r="I153">
            <v>3353097805</v>
          </cell>
        </row>
        <row r="154">
          <cell r="G154">
            <v>8</v>
          </cell>
          <cell r="H154" t="str">
            <v>Within 40 feet</v>
          </cell>
          <cell r="I154">
            <v>3337430122</v>
          </cell>
        </row>
        <row r="155">
          <cell r="G155">
            <v>2</v>
          </cell>
          <cell r="H155" t="str">
            <v>Within 1 mile</v>
          </cell>
          <cell r="I155">
            <v>3342618390</v>
          </cell>
        </row>
        <row r="156">
          <cell r="G156">
            <v>2</v>
          </cell>
          <cell r="H156" t="str">
            <v>Within 165 feet</v>
          </cell>
          <cell r="I156">
            <v>3342618358</v>
          </cell>
        </row>
        <row r="157">
          <cell r="G157">
            <v>2</v>
          </cell>
          <cell r="H157" t="str">
            <v>Within 165 feet</v>
          </cell>
          <cell r="I157">
            <v>3342618316</v>
          </cell>
        </row>
        <row r="158">
          <cell r="G158">
            <v>1</v>
          </cell>
          <cell r="H158" t="str">
            <v>Within 165 feet</v>
          </cell>
          <cell r="I158">
            <v>3337407432</v>
          </cell>
        </row>
        <row r="159">
          <cell r="G159">
            <v>2</v>
          </cell>
          <cell r="H159" t="str">
            <v>Within 165 feet</v>
          </cell>
          <cell r="I159">
            <v>3342617461</v>
          </cell>
        </row>
        <row r="160">
          <cell r="G160">
            <v>1</v>
          </cell>
          <cell r="H160" t="str">
            <v>Not Verified to be within 1 mile</v>
          </cell>
          <cell r="I160">
            <v>3342618150</v>
          </cell>
        </row>
        <row r="161">
          <cell r="G161">
            <v>3</v>
          </cell>
          <cell r="H161" t="str">
            <v>Not Verified to be within 1 mile</v>
          </cell>
          <cell r="I161">
            <v>3342617892</v>
          </cell>
        </row>
        <row r="162">
          <cell r="G162">
            <v>2</v>
          </cell>
          <cell r="H162" t="str">
            <v>Within 165 feet</v>
          </cell>
          <cell r="I162">
            <v>3337407446</v>
          </cell>
        </row>
        <row r="163">
          <cell r="G163">
            <v>1</v>
          </cell>
          <cell r="H163" t="str">
            <v>Within 1 mile</v>
          </cell>
          <cell r="I163">
            <v>3337407462</v>
          </cell>
        </row>
        <row r="164">
          <cell r="G164">
            <v>10</v>
          </cell>
          <cell r="H164" t="str">
            <v>Within 165 feet</v>
          </cell>
          <cell r="I164">
            <v>3337407478</v>
          </cell>
        </row>
        <row r="165">
          <cell r="G165">
            <v>15</v>
          </cell>
          <cell r="H165" t="str">
            <v>Within 40 feet</v>
          </cell>
          <cell r="I165">
            <v>3337407492</v>
          </cell>
        </row>
        <row r="166">
          <cell r="G166">
            <v>2</v>
          </cell>
          <cell r="H166" t="str">
            <v>Within 1 mile</v>
          </cell>
          <cell r="I166">
            <v>3337407495</v>
          </cell>
        </row>
        <row r="167">
          <cell r="G167">
            <v>4</v>
          </cell>
          <cell r="H167" t="str">
            <v>Within 40 feet</v>
          </cell>
          <cell r="I167">
            <v>3349559549</v>
          </cell>
        </row>
        <row r="168">
          <cell r="G168">
            <v>5</v>
          </cell>
          <cell r="H168" t="str">
            <v>Within 165 feet</v>
          </cell>
          <cell r="I168">
            <v>3337407512</v>
          </cell>
        </row>
        <row r="169">
          <cell r="G169">
            <v>2</v>
          </cell>
          <cell r="H169" t="str">
            <v>Not Verified to be within 1 mile</v>
          </cell>
          <cell r="I169">
            <v>3342618415</v>
          </cell>
        </row>
        <row r="170">
          <cell r="G170">
            <v>3</v>
          </cell>
          <cell r="H170" t="str">
            <v>Within 40 feet</v>
          </cell>
          <cell r="I170">
            <v>3337407551</v>
          </cell>
        </row>
        <row r="171">
          <cell r="G171">
            <v>2</v>
          </cell>
          <cell r="H171" t="str">
            <v>Within 40 feet</v>
          </cell>
          <cell r="I171">
            <v>3353097803</v>
          </cell>
        </row>
        <row r="172">
          <cell r="G172">
            <v>1</v>
          </cell>
          <cell r="H172" t="str">
            <v>Within 165 feet</v>
          </cell>
          <cell r="I172">
            <v>3342618045</v>
          </cell>
        </row>
        <row r="173">
          <cell r="G173">
            <v>3</v>
          </cell>
          <cell r="H173" t="str">
            <v>Within 1 mile</v>
          </cell>
          <cell r="I173">
            <v>3342618189</v>
          </cell>
        </row>
        <row r="174">
          <cell r="G174">
            <v>3</v>
          </cell>
          <cell r="H174" t="str">
            <v>Within 165 feet</v>
          </cell>
          <cell r="I174">
            <v>3349559930</v>
          </cell>
        </row>
        <row r="175">
          <cell r="G175">
            <v>6</v>
          </cell>
          <cell r="H175" t="str">
            <v>Within 1 mile</v>
          </cell>
          <cell r="I175">
            <v>3337407591</v>
          </cell>
        </row>
        <row r="176">
          <cell r="G176">
            <v>2</v>
          </cell>
          <cell r="H176" t="str">
            <v>Within 165 feet</v>
          </cell>
          <cell r="I176">
            <v>3337407592</v>
          </cell>
        </row>
        <row r="177">
          <cell r="G177">
            <v>2</v>
          </cell>
          <cell r="H177" t="str">
            <v>Not Verified to be within 1 mile</v>
          </cell>
          <cell r="I177">
            <v>3342618257</v>
          </cell>
        </row>
        <row r="178">
          <cell r="G178">
            <v>1</v>
          </cell>
          <cell r="H178" t="str">
            <v>Within 1 mile</v>
          </cell>
          <cell r="I178">
            <v>3353097518</v>
          </cell>
        </row>
        <row r="179">
          <cell r="G179">
            <v>2</v>
          </cell>
          <cell r="H179" t="str">
            <v>Within 165 feet</v>
          </cell>
          <cell r="I179">
            <v>3352750017</v>
          </cell>
        </row>
        <row r="180">
          <cell r="G180">
            <v>1</v>
          </cell>
          <cell r="H180" t="str">
            <v>Within 1 mile</v>
          </cell>
          <cell r="I180">
            <v>3337407624</v>
          </cell>
        </row>
        <row r="181">
          <cell r="G181">
            <v>2</v>
          </cell>
          <cell r="H181" t="str">
            <v>Within 165 feet</v>
          </cell>
          <cell r="I181">
            <v>3349559689</v>
          </cell>
        </row>
        <row r="182">
          <cell r="G182">
            <v>1</v>
          </cell>
          <cell r="H182" t="str">
            <v>Not Verified to be within 1 mile</v>
          </cell>
          <cell r="I182">
            <v>3337407636</v>
          </cell>
        </row>
        <row r="183">
          <cell r="G183">
            <v>2</v>
          </cell>
          <cell r="H183" t="str">
            <v>Within 40 feet</v>
          </cell>
          <cell r="I183">
            <v>3352750117</v>
          </cell>
        </row>
        <row r="184">
          <cell r="G184">
            <v>1</v>
          </cell>
          <cell r="H184" t="str">
            <v>Not verified to be within 1 mile</v>
          </cell>
          <cell r="I184">
            <v>3349559951</v>
          </cell>
        </row>
        <row r="185">
          <cell r="G185">
            <v>2</v>
          </cell>
          <cell r="H185" t="str">
            <v>Within 165 feet</v>
          </cell>
          <cell r="I185">
            <v>3337407673</v>
          </cell>
        </row>
        <row r="186">
          <cell r="G186">
            <v>2</v>
          </cell>
          <cell r="H186" t="str">
            <v>Within 165 feet</v>
          </cell>
          <cell r="I186">
            <v>3342618421</v>
          </cell>
        </row>
        <row r="187">
          <cell r="G187">
            <v>3</v>
          </cell>
          <cell r="H187" t="str">
            <v>Within 1 mile</v>
          </cell>
          <cell r="I187">
            <v>3337407696</v>
          </cell>
        </row>
        <row r="188">
          <cell r="G188">
            <v>1</v>
          </cell>
          <cell r="H188" t="str">
            <v>Within 1 mile</v>
          </cell>
          <cell r="I188">
            <v>3337407698</v>
          </cell>
        </row>
        <row r="189">
          <cell r="G189">
            <v>2</v>
          </cell>
          <cell r="H189" t="str">
            <v>Within 165 feet</v>
          </cell>
          <cell r="I189">
            <v>3349559674</v>
          </cell>
        </row>
        <row r="190">
          <cell r="G190">
            <v>1</v>
          </cell>
          <cell r="H190" t="str">
            <v>Within 40 feet</v>
          </cell>
          <cell r="I190">
            <v>3349559551</v>
          </cell>
        </row>
        <row r="191">
          <cell r="G191">
            <v>2</v>
          </cell>
          <cell r="H191" t="str">
            <v>Not verified to be within 1 mile</v>
          </cell>
          <cell r="I191">
            <v>3337407717</v>
          </cell>
        </row>
        <row r="192">
          <cell r="G192">
            <v>2</v>
          </cell>
          <cell r="H192" t="str">
            <v>Within 1 mile</v>
          </cell>
          <cell r="I192">
            <v>3352749858</v>
          </cell>
        </row>
        <row r="193">
          <cell r="G193">
            <v>1</v>
          </cell>
          <cell r="H193" t="str">
            <v>Within 1 mile</v>
          </cell>
          <cell r="I193">
            <v>3337428694</v>
          </cell>
        </row>
        <row r="194">
          <cell r="G194">
            <v>34</v>
          </cell>
          <cell r="H194" t="str">
            <v>Within 40 feet</v>
          </cell>
          <cell r="I194">
            <v>3337407745</v>
          </cell>
        </row>
        <row r="195">
          <cell r="G195">
            <v>8</v>
          </cell>
          <cell r="H195" t="str">
            <v>Within 40 feet</v>
          </cell>
          <cell r="I195">
            <v>3352750349</v>
          </cell>
        </row>
        <row r="196">
          <cell r="G196">
            <v>2</v>
          </cell>
          <cell r="H196" t="str">
            <v>Within 165 feet</v>
          </cell>
          <cell r="I196">
            <v>3337428160</v>
          </cell>
        </row>
        <row r="197">
          <cell r="G197">
            <v>1</v>
          </cell>
          <cell r="H197" t="str">
            <v>Not Verified to be within 1 mile</v>
          </cell>
          <cell r="I197">
            <v>3337407749</v>
          </cell>
        </row>
        <row r="198">
          <cell r="G198">
            <v>2</v>
          </cell>
          <cell r="H198" t="str">
            <v>Not Verified to be within 1 mile</v>
          </cell>
          <cell r="I198">
            <v>3337407750</v>
          </cell>
        </row>
        <row r="199">
          <cell r="G199">
            <v>1</v>
          </cell>
          <cell r="H199" t="str">
            <v>Not Verified to be within 1 mile</v>
          </cell>
          <cell r="I199">
            <v>3342618313</v>
          </cell>
        </row>
        <row r="200">
          <cell r="G200">
            <v>1</v>
          </cell>
          <cell r="H200" t="str">
            <v>Within 1 mile</v>
          </cell>
          <cell r="I200">
            <v>3337428335</v>
          </cell>
        </row>
        <row r="201">
          <cell r="G201">
            <v>1</v>
          </cell>
          <cell r="H201" t="str">
            <v>Within 1 mile</v>
          </cell>
          <cell r="I201">
            <v>3342618000</v>
          </cell>
        </row>
        <row r="202">
          <cell r="G202">
            <v>4</v>
          </cell>
          <cell r="H202" t="str">
            <v>Within 165 feet</v>
          </cell>
          <cell r="I202">
            <v>3337407783</v>
          </cell>
        </row>
        <row r="203">
          <cell r="G203">
            <v>3</v>
          </cell>
          <cell r="H203" t="str">
            <v>Within 165 feet</v>
          </cell>
          <cell r="I203">
            <v>3337407785</v>
          </cell>
        </row>
        <row r="204">
          <cell r="G204">
            <v>4</v>
          </cell>
          <cell r="H204" t="str">
            <v>Not Verified to be within 1 mile</v>
          </cell>
          <cell r="I204">
            <v>3342618139</v>
          </cell>
        </row>
        <row r="205">
          <cell r="G205">
            <v>2</v>
          </cell>
          <cell r="H205" t="str">
            <v>Within 1 mile</v>
          </cell>
          <cell r="I205">
            <v>3342618180</v>
          </cell>
        </row>
        <row r="206">
          <cell r="G206">
            <v>4</v>
          </cell>
          <cell r="H206" t="str">
            <v>Not verified to be within 1 mile</v>
          </cell>
          <cell r="I206">
            <v>3349559718</v>
          </cell>
        </row>
        <row r="207">
          <cell r="G207">
            <v>2</v>
          </cell>
          <cell r="H207" t="str">
            <v>Within 1 mile</v>
          </cell>
          <cell r="I207">
            <v>3352750215</v>
          </cell>
        </row>
        <row r="208">
          <cell r="G208">
            <v>1</v>
          </cell>
          <cell r="H208" t="str">
            <v>Within 165 feet</v>
          </cell>
          <cell r="I208">
            <v>3342618263</v>
          </cell>
        </row>
        <row r="209">
          <cell r="G209">
            <v>23</v>
          </cell>
          <cell r="H209" t="str">
            <v>Within 40 feet</v>
          </cell>
          <cell r="I209">
            <v>3337407825</v>
          </cell>
        </row>
        <row r="210">
          <cell r="G210">
            <v>1</v>
          </cell>
          <cell r="H210" t="str">
            <v>Not verified to be within 1 mile</v>
          </cell>
          <cell r="I210">
            <v>3349559962</v>
          </cell>
        </row>
        <row r="211">
          <cell r="G211">
            <v>1</v>
          </cell>
          <cell r="H211" t="str">
            <v>Within 1 mile</v>
          </cell>
          <cell r="I211">
            <v>3337407830</v>
          </cell>
        </row>
        <row r="212">
          <cell r="G212">
            <v>5</v>
          </cell>
          <cell r="H212" t="str">
            <v>Within 40 feet</v>
          </cell>
          <cell r="I212">
            <v>3337407839</v>
          </cell>
        </row>
        <row r="213">
          <cell r="G213">
            <v>1</v>
          </cell>
          <cell r="H213" t="str">
            <v>Not verified to be within 1 mile</v>
          </cell>
          <cell r="I213">
            <v>3349560338</v>
          </cell>
        </row>
        <row r="214">
          <cell r="G214">
            <v>2</v>
          </cell>
          <cell r="H214" t="str">
            <v>Within 165 feet</v>
          </cell>
          <cell r="I214">
            <v>3337407856</v>
          </cell>
        </row>
        <row r="215">
          <cell r="G215">
            <v>3</v>
          </cell>
          <cell r="H215" t="str">
            <v>Within 1 mile</v>
          </cell>
          <cell r="I215">
            <v>3337407871</v>
          </cell>
        </row>
        <row r="216">
          <cell r="G216">
            <v>4</v>
          </cell>
          <cell r="H216" t="str">
            <v>Within 1 mile</v>
          </cell>
          <cell r="I216">
            <v>3337427710</v>
          </cell>
        </row>
        <row r="217">
          <cell r="G217">
            <v>3</v>
          </cell>
          <cell r="H217" t="str">
            <v>Within 165 feet</v>
          </cell>
          <cell r="I217">
            <v>3337407876</v>
          </cell>
        </row>
        <row r="218">
          <cell r="G218">
            <v>2</v>
          </cell>
          <cell r="H218" t="str">
            <v>Within 40 feet</v>
          </cell>
          <cell r="I218">
            <v>3337407878</v>
          </cell>
        </row>
        <row r="219">
          <cell r="G219">
            <v>2</v>
          </cell>
          <cell r="H219" t="str">
            <v>Within 165 feet</v>
          </cell>
          <cell r="I219">
            <v>3349560168</v>
          </cell>
        </row>
        <row r="220">
          <cell r="G220">
            <v>4</v>
          </cell>
          <cell r="H220" t="str">
            <v>Within 165 feet</v>
          </cell>
          <cell r="I220">
            <v>3352750222</v>
          </cell>
        </row>
        <row r="221">
          <cell r="G221">
            <v>3</v>
          </cell>
          <cell r="H221" t="str">
            <v>Within 40 feet</v>
          </cell>
          <cell r="I221">
            <v>3337407899</v>
          </cell>
        </row>
        <row r="222">
          <cell r="G222">
            <v>2</v>
          </cell>
          <cell r="H222" t="str">
            <v>Within 165 feet</v>
          </cell>
          <cell r="I222">
            <v>3338290448</v>
          </cell>
        </row>
        <row r="223">
          <cell r="G223">
            <v>0</v>
          </cell>
          <cell r="H223" t="str">
            <v>Within 40 feet</v>
          </cell>
          <cell r="I223">
            <v>3337407919</v>
          </cell>
        </row>
        <row r="224">
          <cell r="G224">
            <v>2</v>
          </cell>
          <cell r="H224" t="str">
            <v>Within 165 feet</v>
          </cell>
          <cell r="I224">
            <v>3342617952</v>
          </cell>
        </row>
        <row r="225">
          <cell r="G225">
            <v>3</v>
          </cell>
          <cell r="H225" t="str">
            <v>Within 1 mile</v>
          </cell>
          <cell r="I225">
            <v>3337407968</v>
          </cell>
        </row>
        <row r="226">
          <cell r="G226">
            <v>2</v>
          </cell>
          <cell r="H226" t="str">
            <v>Within 165 feet</v>
          </cell>
          <cell r="I226">
            <v>3337407977</v>
          </cell>
        </row>
        <row r="227">
          <cell r="G227">
            <v>1</v>
          </cell>
          <cell r="H227" t="str">
            <v>Not verified to be within 1 mile</v>
          </cell>
          <cell r="I227">
            <v>3349560205</v>
          </cell>
        </row>
        <row r="228">
          <cell r="G228">
            <v>3</v>
          </cell>
          <cell r="H228" t="str">
            <v>Within 165 feet</v>
          </cell>
          <cell r="I228">
            <v>3337407984</v>
          </cell>
        </row>
        <row r="229">
          <cell r="G229">
            <v>11</v>
          </cell>
          <cell r="H229" t="str">
            <v>Within 40 feet</v>
          </cell>
          <cell r="I229">
            <v>3337408001</v>
          </cell>
        </row>
        <row r="230">
          <cell r="G230">
            <v>1</v>
          </cell>
          <cell r="H230" t="str">
            <v>Within 1 mile</v>
          </cell>
          <cell r="I230">
            <v>3337408003</v>
          </cell>
        </row>
        <row r="231">
          <cell r="G231">
            <v>2</v>
          </cell>
          <cell r="H231" t="str">
            <v>Within 40 feet</v>
          </cell>
          <cell r="I231">
            <v>3353097874</v>
          </cell>
        </row>
        <row r="232">
          <cell r="G232">
            <v>6</v>
          </cell>
          <cell r="H232" t="str">
            <v>Within 165 feet</v>
          </cell>
          <cell r="I232">
            <v>3349559970</v>
          </cell>
        </row>
        <row r="233">
          <cell r="G233">
            <v>1</v>
          </cell>
          <cell r="H233" t="str">
            <v>Not verified to be within 1 mile</v>
          </cell>
          <cell r="I233">
            <v>3349559998</v>
          </cell>
        </row>
        <row r="234">
          <cell r="G234">
            <v>2</v>
          </cell>
          <cell r="H234" t="str">
            <v>Within 1 mile</v>
          </cell>
          <cell r="I234">
            <v>3337408026</v>
          </cell>
        </row>
        <row r="235">
          <cell r="G235">
            <v>4</v>
          </cell>
          <cell r="H235" t="str">
            <v>Within 40 feet</v>
          </cell>
          <cell r="I235">
            <v>3337408044</v>
          </cell>
        </row>
        <row r="236">
          <cell r="G236">
            <v>2</v>
          </cell>
          <cell r="H236" t="str">
            <v>Within 165 feet</v>
          </cell>
          <cell r="I236">
            <v>3338155032</v>
          </cell>
        </row>
        <row r="237">
          <cell r="G237">
            <v>2</v>
          </cell>
          <cell r="H237" t="str">
            <v>Within 1 mile</v>
          </cell>
          <cell r="I237">
            <v>3342617832</v>
          </cell>
        </row>
        <row r="238">
          <cell r="G238">
            <v>2</v>
          </cell>
          <cell r="H238" t="str">
            <v>Within 1 mile</v>
          </cell>
          <cell r="I238">
            <v>3352749888</v>
          </cell>
        </row>
        <row r="239">
          <cell r="G239">
            <v>1</v>
          </cell>
          <cell r="H239" t="str">
            <v>Within 1 mile</v>
          </cell>
          <cell r="I239">
            <v>3337428031</v>
          </cell>
        </row>
        <row r="240">
          <cell r="G240">
            <v>12</v>
          </cell>
          <cell r="H240" t="str">
            <v>Within 40 feet</v>
          </cell>
          <cell r="I240">
            <v>3337408135</v>
          </cell>
        </row>
        <row r="241">
          <cell r="G241">
            <v>3</v>
          </cell>
          <cell r="H241" t="str">
            <v>Within 1 mile</v>
          </cell>
          <cell r="I241">
            <v>3337427407</v>
          </cell>
        </row>
        <row r="242">
          <cell r="G242">
            <v>1</v>
          </cell>
          <cell r="H242" t="str">
            <v>Within 165 feet</v>
          </cell>
          <cell r="I242">
            <v>3337408146</v>
          </cell>
        </row>
        <row r="243">
          <cell r="G243">
            <v>1</v>
          </cell>
          <cell r="H243" t="str">
            <v>Within 40 feet</v>
          </cell>
          <cell r="I243">
            <v>3349559641</v>
          </cell>
        </row>
        <row r="244">
          <cell r="G244">
            <v>1</v>
          </cell>
          <cell r="H244" t="str">
            <v>Within 40 feet</v>
          </cell>
          <cell r="I244">
            <v>3337408167</v>
          </cell>
        </row>
        <row r="245">
          <cell r="G245">
            <v>1</v>
          </cell>
          <cell r="H245" t="str">
            <v>Not verified to be within 1 mile</v>
          </cell>
          <cell r="I245">
            <v>3349559856</v>
          </cell>
        </row>
        <row r="246">
          <cell r="G246">
            <v>2</v>
          </cell>
          <cell r="H246" t="str">
            <v>Within 1 mile</v>
          </cell>
          <cell r="I246">
            <v>3342617895</v>
          </cell>
        </row>
        <row r="247">
          <cell r="G247">
            <v>3</v>
          </cell>
          <cell r="H247" t="str">
            <v>Within 1 mile</v>
          </cell>
          <cell r="I247">
            <v>3337428310</v>
          </cell>
        </row>
        <row r="248">
          <cell r="G248">
            <v>1</v>
          </cell>
          <cell r="H248" t="str">
            <v>Not Verified to be within 1 mile</v>
          </cell>
          <cell r="I248">
            <v>3342618279</v>
          </cell>
        </row>
        <row r="249">
          <cell r="G249">
            <v>3</v>
          </cell>
          <cell r="H249" t="str">
            <v>Not Verified to be within 1 mile</v>
          </cell>
          <cell r="I249">
            <v>3342618204</v>
          </cell>
        </row>
        <row r="250">
          <cell r="G250">
            <v>4</v>
          </cell>
          <cell r="H250" t="str">
            <v>Within 165 feet</v>
          </cell>
          <cell r="I250">
            <v>3337408230</v>
          </cell>
        </row>
        <row r="251">
          <cell r="G251">
            <v>2</v>
          </cell>
          <cell r="H251" t="str">
            <v>Within 1 mile</v>
          </cell>
          <cell r="I251">
            <v>3337428233</v>
          </cell>
        </row>
        <row r="252">
          <cell r="G252">
            <v>1</v>
          </cell>
          <cell r="H252" t="str">
            <v>Within 1 mile</v>
          </cell>
          <cell r="I252">
            <v>3337408235</v>
          </cell>
        </row>
        <row r="253">
          <cell r="G253">
            <v>2</v>
          </cell>
          <cell r="H253" t="str">
            <v>Within 1 mile</v>
          </cell>
          <cell r="I253">
            <v>3342617817</v>
          </cell>
        </row>
        <row r="254">
          <cell r="G254">
            <v>2</v>
          </cell>
          <cell r="H254" t="str">
            <v>Not Verified to be within 1 mile</v>
          </cell>
          <cell r="I254">
            <v>3342618337</v>
          </cell>
        </row>
        <row r="255">
          <cell r="G255">
            <v>1</v>
          </cell>
          <cell r="H255" t="str">
            <v>Within 1 mile</v>
          </cell>
          <cell r="I255">
            <v>3353097795</v>
          </cell>
        </row>
        <row r="256">
          <cell r="G256">
            <v>1</v>
          </cell>
          <cell r="H256" t="str">
            <v>Within 1 mile</v>
          </cell>
          <cell r="I256">
            <v>3337408270</v>
          </cell>
        </row>
        <row r="257">
          <cell r="G257">
            <v>1</v>
          </cell>
          <cell r="H257" t="str">
            <v>Within 1 mile</v>
          </cell>
          <cell r="I257">
            <v>3337408281</v>
          </cell>
        </row>
        <row r="258">
          <cell r="G258">
            <v>1</v>
          </cell>
          <cell r="H258" t="str">
            <v>Not verified to be within 1 mile</v>
          </cell>
          <cell r="I258">
            <v>3349560015</v>
          </cell>
        </row>
        <row r="259">
          <cell r="G259">
            <v>8</v>
          </cell>
          <cell r="H259" t="str">
            <v>Not Verified to be within 1 mile</v>
          </cell>
          <cell r="I259">
            <v>3337408287</v>
          </cell>
        </row>
        <row r="260">
          <cell r="G260">
            <v>2</v>
          </cell>
          <cell r="H260" t="str">
            <v>Not Verified to be within 1 mile</v>
          </cell>
          <cell r="I260">
            <v>3337408295</v>
          </cell>
        </row>
        <row r="261">
          <cell r="G261">
            <v>4</v>
          </cell>
          <cell r="H261" t="str">
            <v>Within 1 mile</v>
          </cell>
          <cell r="I261">
            <v>3337408315</v>
          </cell>
        </row>
        <row r="262">
          <cell r="G262">
            <v>2</v>
          </cell>
          <cell r="H262" t="str">
            <v>Within 1 mile</v>
          </cell>
          <cell r="I262">
            <v>3337408321</v>
          </cell>
        </row>
        <row r="263">
          <cell r="G263">
            <v>2</v>
          </cell>
          <cell r="H263" t="str">
            <v>Within 165 feet</v>
          </cell>
          <cell r="I263">
            <v>3349559761</v>
          </cell>
        </row>
        <row r="264">
          <cell r="G264">
            <v>1</v>
          </cell>
          <cell r="H264" t="str">
            <v>Not verified to be within 1 mile</v>
          </cell>
          <cell r="I264">
            <v>3349559960</v>
          </cell>
        </row>
        <row r="265">
          <cell r="G265">
            <v>2</v>
          </cell>
          <cell r="H265" t="str">
            <v>Not Verified to be within 1 mile</v>
          </cell>
          <cell r="I265">
            <v>3342618283</v>
          </cell>
        </row>
        <row r="266">
          <cell r="G266">
            <v>5</v>
          </cell>
          <cell r="H266" t="str">
            <v>Within 40 feet</v>
          </cell>
          <cell r="I266">
            <v>3349559511</v>
          </cell>
        </row>
        <row r="267">
          <cell r="G267">
            <v>1</v>
          </cell>
          <cell r="H267" t="str">
            <v>Within 1 mile</v>
          </cell>
          <cell r="I267">
            <v>3352749990</v>
          </cell>
        </row>
        <row r="268">
          <cell r="G268">
            <v>3</v>
          </cell>
          <cell r="H268" t="str">
            <v>Not verified to be within 1 mile</v>
          </cell>
          <cell r="I268">
            <v>3337408409</v>
          </cell>
        </row>
        <row r="269">
          <cell r="G269">
            <v>3</v>
          </cell>
          <cell r="H269" t="str">
            <v>Within 1 mile</v>
          </cell>
          <cell r="I269">
            <v>3337408420</v>
          </cell>
        </row>
        <row r="270">
          <cell r="G270">
            <v>4</v>
          </cell>
          <cell r="H270" t="str">
            <v>Within 40 feet</v>
          </cell>
          <cell r="I270">
            <v>3337408422</v>
          </cell>
        </row>
        <row r="271">
          <cell r="G271">
            <v>3</v>
          </cell>
          <cell r="H271" t="str">
            <v>Within 1 mile</v>
          </cell>
          <cell r="I271">
            <v>3337408462</v>
          </cell>
        </row>
        <row r="272">
          <cell r="G272">
            <v>2</v>
          </cell>
          <cell r="H272" t="str">
            <v>Within 1 mile</v>
          </cell>
          <cell r="I272">
            <v>3342618365</v>
          </cell>
        </row>
        <row r="273">
          <cell r="G273">
            <v>11</v>
          </cell>
          <cell r="H273" t="str">
            <v>Within 165 feet</v>
          </cell>
          <cell r="I273">
            <v>3337408470</v>
          </cell>
        </row>
        <row r="274">
          <cell r="G274">
            <v>2</v>
          </cell>
          <cell r="H274" t="str">
            <v>Not Verified to be within 1 mile</v>
          </cell>
          <cell r="I274">
            <v>3342618146</v>
          </cell>
        </row>
        <row r="275">
          <cell r="G275">
            <v>2</v>
          </cell>
          <cell r="H275" t="str">
            <v>Within 1 mile</v>
          </cell>
          <cell r="I275">
            <v>3342618380</v>
          </cell>
        </row>
        <row r="276">
          <cell r="G276">
            <v>4</v>
          </cell>
          <cell r="H276" t="str">
            <v>Within 165 feet</v>
          </cell>
          <cell r="I276">
            <v>3349559763</v>
          </cell>
        </row>
        <row r="277">
          <cell r="G277">
            <v>10</v>
          </cell>
          <cell r="H277" t="str">
            <v>Within 165 feet</v>
          </cell>
          <cell r="I277">
            <v>3337408558</v>
          </cell>
        </row>
        <row r="278">
          <cell r="G278">
            <v>1</v>
          </cell>
          <cell r="H278" t="str">
            <v>Within 1 mile</v>
          </cell>
          <cell r="I278">
            <v>3337428281</v>
          </cell>
        </row>
        <row r="279">
          <cell r="G279">
            <v>2</v>
          </cell>
          <cell r="H279" t="str">
            <v>Within 1 mile</v>
          </cell>
          <cell r="I279">
            <v>3337408594</v>
          </cell>
        </row>
        <row r="280">
          <cell r="G280">
            <v>4</v>
          </cell>
          <cell r="H280" t="str">
            <v>Within 40 feet</v>
          </cell>
          <cell r="I280">
            <v>3337408593</v>
          </cell>
        </row>
        <row r="281">
          <cell r="G281">
            <v>4</v>
          </cell>
          <cell r="H281" t="str">
            <v>Within 40 feet</v>
          </cell>
          <cell r="I281">
            <v>3337408606</v>
          </cell>
        </row>
        <row r="282">
          <cell r="G282">
            <v>2</v>
          </cell>
          <cell r="H282" t="str">
            <v>Not verified to be within 1 mile</v>
          </cell>
          <cell r="I282">
            <v>3349560085</v>
          </cell>
        </row>
        <row r="283">
          <cell r="G283">
            <v>1</v>
          </cell>
          <cell r="H283" t="str">
            <v>Within 1 mile</v>
          </cell>
          <cell r="I283">
            <v>3337428291</v>
          </cell>
        </row>
        <row r="284">
          <cell r="G284">
            <v>1</v>
          </cell>
          <cell r="H284" t="str">
            <v>Not Verified to be within 1 mile</v>
          </cell>
          <cell r="I284">
            <v>3342618164</v>
          </cell>
        </row>
        <row r="285">
          <cell r="G285">
            <v>3</v>
          </cell>
          <cell r="H285" t="str">
            <v>Within 165 feet</v>
          </cell>
          <cell r="I285">
            <v>3342618217</v>
          </cell>
        </row>
        <row r="286">
          <cell r="G286">
            <v>1</v>
          </cell>
          <cell r="H286" t="str">
            <v>Not verified to be within 1 mile</v>
          </cell>
          <cell r="I286">
            <v>3349559717</v>
          </cell>
        </row>
        <row r="287">
          <cell r="G287">
            <v>2</v>
          </cell>
          <cell r="H287" t="str">
            <v>Within 40 feet</v>
          </cell>
          <cell r="I287">
            <v>3353097902</v>
          </cell>
        </row>
        <row r="288">
          <cell r="G288">
            <v>2</v>
          </cell>
          <cell r="H288" t="str">
            <v>Within 40 feet</v>
          </cell>
          <cell r="I288">
            <v>3349559561</v>
          </cell>
        </row>
        <row r="289">
          <cell r="G289">
            <v>2</v>
          </cell>
          <cell r="H289" t="str">
            <v>Within 165 feet</v>
          </cell>
          <cell r="I289">
            <v>3349559712</v>
          </cell>
        </row>
        <row r="290">
          <cell r="G290">
            <v>7</v>
          </cell>
          <cell r="H290" t="str">
            <v>Within 165 feet</v>
          </cell>
          <cell r="I290">
            <v>3337408698</v>
          </cell>
        </row>
        <row r="291">
          <cell r="G291">
            <v>1</v>
          </cell>
          <cell r="H291" t="str">
            <v>Not verified to be within 1 mile</v>
          </cell>
          <cell r="I291">
            <v>3349559934</v>
          </cell>
        </row>
        <row r="292">
          <cell r="G292">
            <v>1</v>
          </cell>
          <cell r="H292" t="str">
            <v>Within 1 mile</v>
          </cell>
          <cell r="I292">
            <v>3337408707</v>
          </cell>
        </row>
        <row r="293">
          <cell r="G293">
            <v>1</v>
          </cell>
          <cell r="H293" t="str">
            <v>Not verified to be within 1 mile</v>
          </cell>
          <cell r="I293">
            <v>3349560238</v>
          </cell>
        </row>
        <row r="294">
          <cell r="G294">
            <v>4</v>
          </cell>
          <cell r="H294" t="str">
            <v>Within 165 feet</v>
          </cell>
          <cell r="I294">
            <v>3342618104</v>
          </cell>
        </row>
        <row r="295">
          <cell r="G295">
            <v>4</v>
          </cell>
          <cell r="H295" t="str">
            <v>Within 1 mile</v>
          </cell>
          <cell r="I295">
            <v>3337408757</v>
          </cell>
        </row>
        <row r="296">
          <cell r="G296">
            <v>3</v>
          </cell>
          <cell r="H296" t="str">
            <v>Within 1 mile</v>
          </cell>
          <cell r="I296">
            <v>3337428082</v>
          </cell>
        </row>
        <row r="297">
          <cell r="G297">
            <v>1</v>
          </cell>
          <cell r="H297" t="str">
            <v>Within 1 mile</v>
          </cell>
          <cell r="I297">
            <v>3337408809</v>
          </cell>
        </row>
        <row r="298">
          <cell r="G298">
            <v>1</v>
          </cell>
          <cell r="H298" t="str">
            <v>Not Verified to be within 1 mile</v>
          </cell>
          <cell r="I298">
            <v>3342618220</v>
          </cell>
        </row>
        <row r="299">
          <cell r="G299">
            <v>2</v>
          </cell>
          <cell r="H299" t="str">
            <v>Not Verified to be within 1 mile</v>
          </cell>
          <cell r="I299">
            <v>3337408817</v>
          </cell>
        </row>
        <row r="300">
          <cell r="G300">
            <v>6</v>
          </cell>
          <cell r="H300" t="str">
            <v>Within 40 feet</v>
          </cell>
          <cell r="I300">
            <v>3337408830</v>
          </cell>
        </row>
        <row r="301">
          <cell r="G301">
            <v>1</v>
          </cell>
          <cell r="H301" t="str">
            <v>Within 1 mile</v>
          </cell>
          <cell r="I301">
            <v>3342618377</v>
          </cell>
        </row>
        <row r="302">
          <cell r="G302">
            <v>2</v>
          </cell>
          <cell r="H302" t="str">
            <v>Within 1 mile</v>
          </cell>
          <cell r="I302">
            <v>3353098144</v>
          </cell>
        </row>
        <row r="303">
          <cell r="G303">
            <v>1</v>
          </cell>
          <cell r="H303" t="str">
            <v>Within 1 mile</v>
          </cell>
          <cell r="I303">
            <v>3337408846</v>
          </cell>
        </row>
        <row r="304">
          <cell r="G304">
            <v>2</v>
          </cell>
          <cell r="H304" t="str">
            <v>Within 165 feet</v>
          </cell>
          <cell r="I304">
            <v>3337408852</v>
          </cell>
        </row>
        <row r="305">
          <cell r="G305">
            <v>1</v>
          </cell>
          <cell r="H305" t="str">
            <v>Within 1 mile</v>
          </cell>
          <cell r="I305">
            <v>3352749880</v>
          </cell>
        </row>
        <row r="306">
          <cell r="G306">
            <v>11</v>
          </cell>
          <cell r="H306" t="str">
            <v>Within 165 feet</v>
          </cell>
          <cell r="I306">
            <v>3337408861</v>
          </cell>
        </row>
        <row r="307">
          <cell r="G307">
            <v>5</v>
          </cell>
          <cell r="H307" t="str">
            <v>Within 165 feet</v>
          </cell>
          <cell r="I307">
            <v>3342617938</v>
          </cell>
        </row>
        <row r="308">
          <cell r="G308">
            <v>1</v>
          </cell>
          <cell r="H308" t="str">
            <v>Within 165 feet</v>
          </cell>
          <cell r="I308">
            <v>3342617899</v>
          </cell>
        </row>
        <row r="309">
          <cell r="G309">
            <v>2</v>
          </cell>
          <cell r="H309" t="str">
            <v>Within 40 feet</v>
          </cell>
          <cell r="I309">
            <v>3337408868</v>
          </cell>
        </row>
        <row r="310">
          <cell r="G310">
            <v>3</v>
          </cell>
          <cell r="H310" t="str">
            <v>Within 1 mile</v>
          </cell>
          <cell r="I310">
            <v>3353097787</v>
          </cell>
        </row>
        <row r="311">
          <cell r="G311">
            <v>2</v>
          </cell>
          <cell r="H311" t="str">
            <v>Within 40 feet</v>
          </cell>
          <cell r="I311">
            <v>3349559512</v>
          </cell>
        </row>
        <row r="312">
          <cell r="G312">
            <v>3</v>
          </cell>
          <cell r="H312" t="str">
            <v>Within 165 feet</v>
          </cell>
          <cell r="I312">
            <v>3337408897</v>
          </cell>
        </row>
        <row r="313">
          <cell r="G313">
            <v>6</v>
          </cell>
          <cell r="H313" t="str">
            <v>Within 1 mile</v>
          </cell>
          <cell r="I313">
            <v>3337408908</v>
          </cell>
        </row>
        <row r="314">
          <cell r="G314">
            <v>2</v>
          </cell>
          <cell r="H314" t="str">
            <v>Within 1 mile</v>
          </cell>
          <cell r="I314">
            <v>3337428278</v>
          </cell>
        </row>
        <row r="315">
          <cell r="G315">
            <v>3</v>
          </cell>
          <cell r="H315" t="str">
            <v>Within 165 feet</v>
          </cell>
          <cell r="I315">
            <v>3337408917</v>
          </cell>
        </row>
        <row r="316">
          <cell r="G316">
            <v>3</v>
          </cell>
          <cell r="H316" t="str">
            <v>Within 165 feet</v>
          </cell>
          <cell r="I316">
            <v>3349559758</v>
          </cell>
        </row>
        <row r="317">
          <cell r="G317">
            <v>3</v>
          </cell>
          <cell r="H317" t="str">
            <v>Not verified to be within 1 mile</v>
          </cell>
          <cell r="I317">
            <v>3365669814</v>
          </cell>
        </row>
        <row r="318">
          <cell r="G318">
            <v>5</v>
          </cell>
          <cell r="H318" t="str">
            <v>Within 165 feet</v>
          </cell>
          <cell r="I318">
            <v>3337408977</v>
          </cell>
        </row>
        <row r="319">
          <cell r="G319">
            <v>2</v>
          </cell>
          <cell r="H319" t="str">
            <v>Within 1 mile</v>
          </cell>
          <cell r="I319">
            <v>3342617894</v>
          </cell>
        </row>
        <row r="320">
          <cell r="G320">
            <v>1</v>
          </cell>
          <cell r="H320" t="str">
            <v>Not verified to be within 1 mile</v>
          </cell>
          <cell r="I320">
            <v>3349560119</v>
          </cell>
        </row>
        <row r="321">
          <cell r="G321">
            <v>2</v>
          </cell>
          <cell r="H321" t="str">
            <v>Within 1 mile</v>
          </cell>
          <cell r="I321">
            <v>3337427747</v>
          </cell>
        </row>
        <row r="322">
          <cell r="G322">
            <v>2</v>
          </cell>
          <cell r="H322" t="str">
            <v>Within 1 mile</v>
          </cell>
          <cell r="I322">
            <v>3353097799</v>
          </cell>
        </row>
        <row r="323">
          <cell r="G323">
            <v>4</v>
          </cell>
          <cell r="H323" t="str">
            <v>Within 165 feet</v>
          </cell>
          <cell r="I323">
            <v>3337409045</v>
          </cell>
        </row>
        <row r="324">
          <cell r="G324">
            <v>8</v>
          </cell>
          <cell r="H324" t="str">
            <v>Within 1 mile</v>
          </cell>
          <cell r="I324">
            <v>3337409051</v>
          </cell>
        </row>
        <row r="325">
          <cell r="G325">
            <v>1</v>
          </cell>
          <cell r="H325" t="str">
            <v>Not verified to be within 1 mile</v>
          </cell>
          <cell r="I325">
            <v>3349560236</v>
          </cell>
        </row>
        <row r="326">
          <cell r="G326">
            <v>1</v>
          </cell>
          <cell r="H326" t="str">
            <v>Not verified to be within 1 mile</v>
          </cell>
          <cell r="I326">
            <v>3349559830</v>
          </cell>
        </row>
        <row r="327">
          <cell r="G327">
            <v>1</v>
          </cell>
          <cell r="H327" t="str">
            <v>Within 165 feet</v>
          </cell>
          <cell r="I327">
            <v>3337409095</v>
          </cell>
        </row>
        <row r="328">
          <cell r="G328">
            <v>2</v>
          </cell>
          <cell r="H328" t="str">
            <v>Not verified to be within 1 mile</v>
          </cell>
          <cell r="I328">
            <v>3342617948</v>
          </cell>
        </row>
        <row r="329">
          <cell r="G329">
            <v>4</v>
          </cell>
          <cell r="H329" t="str">
            <v>Not Verified to be within 1 mile</v>
          </cell>
          <cell r="I329">
            <v>3337409131</v>
          </cell>
        </row>
        <row r="330">
          <cell r="G330">
            <v>15</v>
          </cell>
          <cell r="H330" t="str">
            <v>Within 40 feet</v>
          </cell>
          <cell r="I330">
            <v>3337409201</v>
          </cell>
        </row>
        <row r="331">
          <cell r="G331">
            <v>1</v>
          </cell>
          <cell r="H331" t="str">
            <v>Not Verified to be within 1 mile</v>
          </cell>
          <cell r="I331">
            <v>3342618096</v>
          </cell>
        </row>
        <row r="332">
          <cell r="G332">
            <v>1</v>
          </cell>
          <cell r="H332" t="str">
            <v>Within 165 feet</v>
          </cell>
          <cell r="I332">
            <v>3337409218</v>
          </cell>
        </row>
        <row r="333">
          <cell r="G333">
            <v>6</v>
          </cell>
          <cell r="H333" t="str">
            <v>Within 165 feet</v>
          </cell>
          <cell r="I333">
            <v>3337409220</v>
          </cell>
        </row>
        <row r="334">
          <cell r="G334">
            <v>2</v>
          </cell>
          <cell r="H334" t="str">
            <v>Within 1 mile</v>
          </cell>
          <cell r="I334">
            <v>3342617951</v>
          </cell>
        </row>
        <row r="335">
          <cell r="G335">
            <v>1</v>
          </cell>
          <cell r="H335" t="str">
            <v>Not Verified to be within 1 mile</v>
          </cell>
          <cell r="I335">
            <v>3342618097</v>
          </cell>
        </row>
        <row r="336">
          <cell r="G336">
            <v>3</v>
          </cell>
          <cell r="H336" t="str">
            <v>Within 1 mile</v>
          </cell>
          <cell r="I336">
            <v>3337409263</v>
          </cell>
        </row>
        <row r="337">
          <cell r="G337">
            <v>1</v>
          </cell>
          <cell r="H337" t="str">
            <v>Not verified to be within 1 mile</v>
          </cell>
          <cell r="I337">
            <v>3349560084</v>
          </cell>
        </row>
        <row r="338">
          <cell r="G338">
            <v>12</v>
          </cell>
          <cell r="H338" t="str">
            <v>Within 165 feet</v>
          </cell>
          <cell r="I338">
            <v>3337409315</v>
          </cell>
        </row>
        <row r="339">
          <cell r="G339">
            <v>3</v>
          </cell>
          <cell r="H339" t="str">
            <v>Within 1 mile</v>
          </cell>
          <cell r="I339">
            <v>3337428172</v>
          </cell>
        </row>
        <row r="340">
          <cell r="G340">
            <v>1</v>
          </cell>
          <cell r="H340" t="str">
            <v>Within 1 mile</v>
          </cell>
          <cell r="I340">
            <v>3337428000</v>
          </cell>
        </row>
        <row r="341">
          <cell r="G341">
            <v>2</v>
          </cell>
          <cell r="H341" t="str">
            <v>Within 1 mile</v>
          </cell>
          <cell r="I341">
            <v>3337428232</v>
          </cell>
        </row>
        <row r="342">
          <cell r="G342">
            <v>1</v>
          </cell>
          <cell r="H342" t="str">
            <v>Not Verified to be within 1 mile</v>
          </cell>
          <cell r="I342">
            <v>3342618235</v>
          </cell>
        </row>
        <row r="343">
          <cell r="G343">
            <v>2</v>
          </cell>
          <cell r="H343" t="str">
            <v>Within 1 mile</v>
          </cell>
          <cell r="I343">
            <v>3352750159</v>
          </cell>
        </row>
        <row r="344">
          <cell r="G344">
            <v>1</v>
          </cell>
          <cell r="H344" t="str">
            <v>Not verified to be within 1 mile</v>
          </cell>
          <cell r="I344">
            <v>3349559787</v>
          </cell>
        </row>
        <row r="345">
          <cell r="G345">
            <v>2</v>
          </cell>
          <cell r="H345" t="str">
            <v>Within 1 mile</v>
          </cell>
          <cell r="I345">
            <v>3342618251</v>
          </cell>
        </row>
        <row r="346">
          <cell r="G346">
            <v>3</v>
          </cell>
          <cell r="H346" t="str">
            <v>Within 165 feet</v>
          </cell>
          <cell r="I346">
            <v>3337409531</v>
          </cell>
        </row>
        <row r="347">
          <cell r="G347">
            <v>7</v>
          </cell>
          <cell r="H347" t="str">
            <v>Within 1 mile</v>
          </cell>
          <cell r="I347">
            <v>3337409538</v>
          </cell>
        </row>
        <row r="348">
          <cell r="G348">
            <v>1</v>
          </cell>
          <cell r="H348" t="str">
            <v>Within 165 feet</v>
          </cell>
          <cell r="I348">
            <v>3337409542</v>
          </cell>
        </row>
        <row r="349">
          <cell r="G349">
            <v>3</v>
          </cell>
          <cell r="H349" t="str">
            <v>Within 1 mile</v>
          </cell>
          <cell r="I349">
            <v>3353098145</v>
          </cell>
        </row>
        <row r="350">
          <cell r="G350">
            <v>2</v>
          </cell>
          <cell r="H350" t="str">
            <v>Not verified to be within 1 mile</v>
          </cell>
          <cell r="I350">
            <v>3349559913</v>
          </cell>
        </row>
        <row r="351">
          <cell r="G351">
            <v>1</v>
          </cell>
          <cell r="H351" t="str">
            <v>Not verified to be within 1 mile</v>
          </cell>
          <cell r="I351">
            <v>3349559823</v>
          </cell>
        </row>
        <row r="352">
          <cell r="G352">
            <v>2</v>
          </cell>
          <cell r="H352" t="str">
            <v>Not Verified to be within 1 mile</v>
          </cell>
          <cell r="I352">
            <v>3337409573</v>
          </cell>
        </row>
        <row r="353">
          <cell r="G353">
            <v>2</v>
          </cell>
          <cell r="H353" t="str">
            <v>Not verified to be within 1 mile</v>
          </cell>
          <cell r="I353">
            <v>3349560177</v>
          </cell>
        </row>
        <row r="354">
          <cell r="G354">
            <v>2</v>
          </cell>
          <cell r="H354" t="str">
            <v>Not verified to be within 1 mile</v>
          </cell>
          <cell r="I354">
            <v>3349560192</v>
          </cell>
        </row>
        <row r="355">
          <cell r="G355">
            <v>1</v>
          </cell>
          <cell r="H355" t="str">
            <v>Not verified to be within 1 mile</v>
          </cell>
          <cell r="I355">
            <v>3349560188</v>
          </cell>
        </row>
        <row r="356">
          <cell r="G356">
            <v>1</v>
          </cell>
          <cell r="H356" t="str">
            <v>Not verified to be within 1 mile</v>
          </cell>
          <cell r="I356">
            <v>3349560173</v>
          </cell>
        </row>
        <row r="357">
          <cell r="G357">
            <v>2</v>
          </cell>
          <cell r="H357" t="str">
            <v>Within 40 feet</v>
          </cell>
          <cell r="I357">
            <v>3337409576</v>
          </cell>
        </row>
        <row r="358">
          <cell r="G358">
            <v>1</v>
          </cell>
          <cell r="H358" t="str">
            <v>Not Verified to be within 1 mile</v>
          </cell>
          <cell r="I358">
            <v>3337431214</v>
          </cell>
        </row>
        <row r="359">
          <cell r="G359">
            <v>4</v>
          </cell>
          <cell r="H359" t="str">
            <v>Within 1 mile</v>
          </cell>
          <cell r="I359">
            <v>3337428273</v>
          </cell>
        </row>
        <row r="360">
          <cell r="G360">
            <v>1</v>
          </cell>
          <cell r="H360" t="str">
            <v>Within 1 mile</v>
          </cell>
          <cell r="I360">
            <v>3337428276</v>
          </cell>
        </row>
        <row r="361">
          <cell r="G361">
            <v>1</v>
          </cell>
          <cell r="H361" t="str">
            <v>Not Verified to be within 1 mile</v>
          </cell>
          <cell r="I361">
            <v>3342618143</v>
          </cell>
        </row>
        <row r="362">
          <cell r="G362">
            <v>4</v>
          </cell>
          <cell r="H362" t="str">
            <v>Within 1 mile</v>
          </cell>
          <cell r="I362">
            <v>3337428023</v>
          </cell>
        </row>
        <row r="363">
          <cell r="G363">
            <v>1</v>
          </cell>
          <cell r="H363" t="str">
            <v>Within 1 mile</v>
          </cell>
          <cell r="I363">
            <v>3342618087</v>
          </cell>
        </row>
        <row r="364">
          <cell r="G364">
            <v>1</v>
          </cell>
          <cell r="H364" t="str">
            <v>Not verified to be within 1 mile</v>
          </cell>
          <cell r="I364">
            <v>3349560325</v>
          </cell>
        </row>
        <row r="365">
          <cell r="G365">
            <v>4</v>
          </cell>
          <cell r="H365" t="str">
            <v>Within 165 feet</v>
          </cell>
          <cell r="I365">
            <v>3349559862</v>
          </cell>
        </row>
        <row r="366">
          <cell r="G366">
            <v>2</v>
          </cell>
          <cell r="H366" t="str">
            <v>Within 1 mile</v>
          </cell>
          <cell r="I366">
            <v>3352749837</v>
          </cell>
        </row>
        <row r="367">
          <cell r="G367">
            <v>2</v>
          </cell>
          <cell r="H367" t="str">
            <v>Not Verified to be within 1 mile</v>
          </cell>
          <cell r="I367">
            <v>3342618334</v>
          </cell>
        </row>
        <row r="368">
          <cell r="G368">
            <v>12</v>
          </cell>
          <cell r="H368" t="str">
            <v>Within 40 feet</v>
          </cell>
          <cell r="I368">
            <v>3337409645</v>
          </cell>
        </row>
        <row r="369">
          <cell r="G369">
            <v>4</v>
          </cell>
          <cell r="H369" t="str">
            <v>Within 40 feet</v>
          </cell>
          <cell r="I369">
            <v>3340396311</v>
          </cell>
        </row>
        <row r="370">
          <cell r="G370">
            <v>6</v>
          </cell>
          <cell r="H370" t="str">
            <v>Within 40 feet</v>
          </cell>
          <cell r="I370">
            <v>3337426904</v>
          </cell>
        </row>
        <row r="371">
          <cell r="G371">
            <v>4</v>
          </cell>
          <cell r="H371" t="str">
            <v>Within 1 mile</v>
          </cell>
          <cell r="I371">
            <v>3337409656</v>
          </cell>
        </row>
        <row r="372">
          <cell r="G372">
            <v>6</v>
          </cell>
          <cell r="H372" t="str">
            <v>Within 165 feet</v>
          </cell>
          <cell r="I372">
            <v>3349559838</v>
          </cell>
        </row>
        <row r="373">
          <cell r="G373">
            <v>2</v>
          </cell>
          <cell r="H373" t="str">
            <v>Within 1 mile</v>
          </cell>
          <cell r="I373">
            <v>3342617828</v>
          </cell>
        </row>
        <row r="374">
          <cell r="G374">
            <v>2</v>
          </cell>
          <cell r="H374" t="str">
            <v>Within 165 feet</v>
          </cell>
          <cell r="I374">
            <v>3349560011</v>
          </cell>
        </row>
        <row r="375">
          <cell r="G375">
            <v>1</v>
          </cell>
          <cell r="H375" t="str">
            <v>Not verified to be within 1 mile</v>
          </cell>
          <cell r="I375">
            <v>3349559914</v>
          </cell>
        </row>
        <row r="376">
          <cell r="G376">
            <v>1</v>
          </cell>
          <cell r="H376" t="str">
            <v>Not verified to be within 1 mile</v>
          </cell>
          <cell r="I376">
            <v>3349559874</v>
          </cell>
        </row>
        <row r="377">
          <cell r="G377">
            <v>12</v>
          </cell>
          <cell r="H377" t="str">
            <v>Within 165 feet</v>
          </cell>
          <cell r="I377">
            <v>3341136828</v>
          </cell>
        </row>
        <row r="378">
          <cell r="G378">
            <v>2</v>
          </cell>
          <cell r="H378" t="str">
            <v>Within 1 mile</v>
          </cell>
          <cell r="I378">
            <v>3352749925</v>
          </cell>
        </row>
        <row r="379">
          <cell r="G379">
            <v>1</v>
          </cell>
          <cell r="H379" t="str">
            <v>Not Verified to be within 1 mile</v>
          </cell>
          <cell r="I379">
            <v>3337409743</v>
          </cell>
        </row>
        <row r="380">
          <cell r="G380">
            <v>1</v>
          </cell>
          <cell r="H380" t="str">
            <v>Within 1 mile</v>
          </cell>
          <cell r="I380">
            <v>3337409748</v>
          </cell>
        </row>
        <row r="381">
          <cell r="G381">
            <v>3</v>
          </cell>
          <cell r="H381" t="str">
            <v>Within 165 feet</v>
          </cell>
          <cell r="I381">
            <v>3337409756</v>
          </cell>
        </row>
        <row r="382">
          <cell r="G382">
            <v>2</v>
          </cell>
          <cell r="H382" t="str">
            <v>Within 1 mile</v>
          </cell>
          <cell r="I382">
            <v>3353097640</v>
          </cell>
        </row>
        <row r="383">
          <cell r="G383">
            <v>1</v>
          </cell>
          <cell r="H383" t="str">
            <v>Within 1 mile</v>
          </cell>
          <cell r="I383">
            <v>3353098104</v>
          </cell>
        </row>
        <row r="384">
          <cell r="G384">
            <v>4</v>
          </cell>
          <cell r="H384" t="str">
            <v>Not verified to be within 1 mile</v>
          </cell>
          <cell r="I384">
            <v>3349560217</v>
          </cell>
        </row>
        <row r="385">
          <cell r="G385">
            <v>1</v>
          </cell>
          <cell r="H385" t="str">
            <v>Not verified to be within 1 mile</v>
          </cell>
          <cell r="I385">
            <v>3349559919</v>
          </cell>
        </row>
        <row r="386">
          <cell r="G386">
            <v>5</v>
          </cell>
          <cell r="H386" t="str">
            <v>Within 165 feet</v>
          </cell>
          <cell r="I386">
            <v>3349559832</v>
          </cell>
        </row>
        <row r="387">
          <cell r="G387">
            <v>9</v>
          </cell>
          <cell r="H387" t="str">
            <v>Within 165 feet</v>
          </cell>
          <cell r="I387">
            <v>3337409874</v>
          </cell>
        </row>
        <row r="388">
          <cell r="G388">
            <v>1</v>
          </cell>
          <cell r="H388" t="str">
            <v>Within 1 mile</v>
          </cell>
          <cell r="I388">
            <v>3342617990</v>
          </cell>
        </row>
        <row r="389">
          <cell r="G389">
            <v>1</v>
          </cell>
          <cell r="H389" t="str">
            <v>Not verified to be within 1 mile</v>
          </cell>
          <cell r="I389">
            <v>3349560278</v>
          </cell>
        </row>
        <row r="390">
          <cell r="G390">
            <v>1</v>
          </cell>
          <cell r="H390" t="str">
            <v>Not verified to be within 1 mile</v>
          </cell>
          <cell r="I390">
            <v>3349560387</v>
          </cell>
        </row>
        <row r="391">
          <cell r="G391">
            <v>2</v>
          </cell>
          <cell r="H391" t="str">
            <v>Not Verified to be within 1 mile</v>
          </cell>
          <cell r="I391">
            <v>3342617929</v>
          </cell>
        </row>
        <row r="392">
          <cell r="G392">
            <v>3</v>
          </cell>
          <cell r="H392" t="str">
            <v>Within 165 feet</v>
          </cell>
          <cell r="I392">
            <v>3337409954</v>
          </cell>
        </row>
        <row r="393">
          <cell r="G393">
            <v>2</v>
          </cell>
          <cell r="H393" t="str">
            <v>Within 1 mile</v>
          </cell>
          <cell r="I393">
            <v>3342618113</v>
          </cell>
        </row>
        <row r="394">
          <cell r="G394">
            <v>1</v>
          </cell>
          <cell r="H394" t="str">
            <v>Within 165 feet</v>
          </cell>
          <cell r="I394">
            <v>3337409983</v>
          </cell>
        </row>
        <row r="395">
          <cell r="G395">
            <v>1</v>
          </cell>
          <cell r="H395" t="str">
            <v>Not verified to be within 1 mile</v>
          </cell>
          <cell r="I395">
            <v>3349559805</v>
          </cell>
        </row>
        <row r="396">
          <cell r="G396">
            <v>1</v>
          </cell>
          <cell r="H396" t="str">
            <v>Not verified to be within 1 mile</v>
          </cell>
          <cell r="I396">
            <v>3349559825</v>
          </cell>
        </row>
        <row r="397">
          <cell r="G397">
            <v>2</v>
          </cell>
          <cell r="H397" t="str">
            <v>Within 165 feet</v>
          </cell>
          <cell r="I397">
            <v>3337410057</v>
          </cell>
        </row>
        <row r="398">
          <cell r="G398">
            <v>12</v>
          </cell>
          <cell r="H398" t="str">
            <v>Within 165 feet</v>
          </cell>
          <cell r="I398">
            <v>3337410062</v>
          </cell>
        </row>
        <row r="399">
          <cell r="G399">
            <v>3</v>
          </cell>
          <cell r="H399" t="str">
            <v>Within 40 feet</v>
          </cell>
          <cell r="I399">
            <v>3341136831</v>
          </cell>
        </row>
        <row r="400">
          <cell r="G400">
            <v>3</v>
          </cell>
          <cell r="H400" t="str">
            <v>Within 165 feet</v>
          </cell>
          <cell r="I400">
            <v>3337428277</v>
          </cell>
        </row>
        <row r="401">
          <cell r="G401">
            <v>1</v>
          </cell>
          <cell r="H401" t="str">
            <v>Not verified to be within 1 mile</v>
          </cell>
          <cell r="I401">
            <v>3349559963</v>
          </cell>
        </row>
        <row r="402">
          <cell r="G402">
            <v>2</v>
          </cell>
          <cell r="H402" t="str">
            <v>Within 1 mile</v>
          </cell>
          <cell r="I402">
            <v>3353097790</v>
          </cell>
        </row>
        <row r="403">
          <cell r="G403">
            <v>1</v>
          </cell>
          <cell r="H403" t="str">
            <v>Not Verified to be within 1 mile</v>
          </cell>
          <cell r="I403">
            <v>3342618228</v>
          </cell>
        </row>
        <row r="404">
          <cell r="G404">
            <v>5</v>
          </cell>
          <cell r="H404" t="str">
            <v>Within 1 mile</v>
          </cell>
          <cell r="I404">
            <v>3337428285</v>
          </cell>
        </row>
        <row r="405">
          <cell r="G405">
            <v>4</v>
          </cell>
          <cell r="H405" t="str">
            <v>Within 40 feet</v>
          </cell>
          <cell r="I405">
            <v>3337410138</v>
          </cell>
        </row>
        <row r="406">
          <cell r="G406">
            <v>4</v>
          </cell>
          <cell r="H406" t="str">
            <v>Within 40 feet</v>
          </cell>
          <cell r="I406">
            <v>3337410151</v>
          </cell>
        </row>
        <row r="407">
          <cell r="G407">
            <v>1</v>
          </cell>
          <cell r="H407" t="str">
            <v>Within 1 mile</v>
          </cell>
          <cell r="I407">
            <v>3337410164</v>
          </cell>
        </row>
        <row r="408">
          <cell r="G408">
            <v>8</v>
          </cell>
          <cell r="H408" t="str">
            <v>Within 40 feet</v>
          </cell>
          <cell r="I408">
            <v>3349559508</v>
          </cell>
        </row>
        <row r="409">
          <cell r="G409">
            <v>1</v>
          </cell>
          <cell r="H409" t="str">
            <v>Within 1 mile</v>
          </cell>
          <cell r="I409">
            <v>3337410170</v>
          </cell>
        </row>
        <row r="410">
          <cell r="G410">
            <v>2</v>
          </cell>
          <cell r="H410" t="str">
            <v>Within 1 mile</v>
          </cell>
          <cell r="I410">
            <v>3342618381</v>
          </cell>
        </row>
        <row r="411">
          <cell r="G411">
            <v>2</v>
          </cell>
          <cell r="H411" t="str">
            <v>Within 1 mile</v>
          </cell>
          <cell r="I411">
            <v>3352749867</v>
          </cell>
        </row>
        <row r="412">
          <cell r="G412">
            <v>1</v>
          </cell>
          <cell r="H412" t="str">
            <v>Not Verified to be within 1 mile</v>
          </cell>
          <cell r="I412">
            <v>3337410194</v>
          </cell>
        </row>
        <row r="413">
          <cell r="G413">
            <v>2</v>
          </cell>
          <cell r="H413" t="str">
            <v>Not verified to be within 1 mile</v>
          </cell>
          <cell r="I413">
            <v>3349559800</v>
          </cell>
        </row>
        <row r="414">
          <cell r="G414">
            <v>23</v>
          </cell>
          <cell r="H414" t="str">
            <v>Within 40 feet</v>
          </cell>
          <cell r="I414">
            <v>3337410205</v>
          </cell>
        </row>
        <row r="415">
          <cell r="G415">
            <v>2</v>
          </cell>
          <cell r="H415" t="str">
            <v>Within 1 mile</v>
          </cell>
          <cell r="I415">
            <v>3352750256</v>
          </cell>
        </row>
        <row r="416">
          <cell r="G416">
            <v>2</v>
          </cell>
          <cell r="H416" t="str">
            <v>Within 1 mile</v>
          </cell>
          <cell r="I416">
            <v>3337410218</v>
          </cell>
        </row>
        <row r="417">
          <cell r="G417">
            <v>3</v>
          </cell>
          <cell r="H417" t="str">
            <v>Not verified to be within 1 mile</v>
          </cell>
          <cell r="I417">
            <v>3337410227</v>
          </cell>
        </row>
        <row r="418">
          <cell r="G418">
            <v>5</v>
          </cell>
          <cell r="H418" t="str">
            <v>Within 40 feet</v>
          </cell>
          <cell r="I418">
            <v>3337410261</v>
          </cell>
        </row>
        <row r="419">
          <cell r="G419">
            <v>3</v>
          </cell>
          <cell r="H419" t="str">
            <v>Within 1 mile</v>
          </cell>
          <cell r="I419">
            <v>3337410263</v>
          </cell>
        </row>
        <row r="420">
          <cell r="G420">
            <v>2</v>
          </cell>
          <cell r="H420" t="str">
            <v>Within 1 mile</v>
          </cell>
          <cell r="I420">
            <v>3342617812</v>
          </cell>
        </row>
        <row r="421">
          <cell r="G421">
            <v>1</v>
          </cell>
          <cell r="H421" t="str">
            <v>Within 1 mile</v>
          </cell>
          <cell r="I421">
            <v>3352749879</v>
          </cell>
        </row>
        <row r="422">
          <cell r="G422">
            <v>2</v>
          </cell>
          <cell r="H422" t="str">
            <v>Within 165 feet</v>
          </cell>
          <cell r="I422">
            <v>3342618338</v>
          </cell>
        </row>
        <row r="423">
          <cell r="G423">
            <v>1</v>
          </cell>
          <cell r="H423" t="str">
            <v>Not verified to be within 1 mile</v>
          </cell>
          <cell r="I423">
            <v>3349559719</v>
          </cell>
        </row>
        <row r="424">
          <cell r="G424">
            <v>6</v>
          </cell>
          <cell r="H424" t="str">
            <v>Within 1 mile</v>
          </cell>
          <cell r="I424">
            <v>3337410310</v>
          </cell>
        </row>
        <row r="425">
          <cell r="G425">
            <v>11</v>
          </cell>
          <cell r="H425" t="str">
            <v>Within 40 feet</v>
          </cell>
          <cell r="I425">
            <v>3337410309</v>
          </cell>
        </row>
        <row r="426">
          <cell r="G426">
            <v>4</v>
          </cell>
          <cell r="H426" t="str">
            <v>Within 1 mile</v>
          </cell>
          <cell r="I426">
            <v>3365669817</v>
          </cell>
        </row>
        <row r="427">
          <cell r="G427">
            <v>2</v>
          </cell>
          <cell r="H427" t="str">
            <v>Within 165 feet</v>
          </cell>
          <cell r="I427">
            <v>3349559822</v>
          </cell>
        </row>
        <row r="428">
          <cell r="G428">
            <v>2</v>
          </cell>
          <cell r="H428" t="str">
            <v>Within 1 mile</v>
          </cell>
          <cell r="I428">
            <v>3352749869</v>
          </cell>
        </row>
        <row r="429">
          <cell r="G429">
            <v>4</v>
          </cell>
          <cell r="H429" t="str">
            <v>Within 165 feet</v>
          </cell>
          <cell r="I429">
            <v>3337410366</v>
          </cell>
        </row>
        <row r="430">
          <cell r="G430">
            <v>1</v>
          </cell>
          <cell r="H430" t="str">
            <v>Not Verified to be within 1 mile</v>
          </cell>
          <cell r="I430">
            <v>3342617610</v>
          </cell>
        </row>
        <row r="431">
          <cell r="G431">
            <v>2</v>
          </cell>
          <cell r="H431" t="str">
            <v>Within 1 mile</v>
          </cell>
          <cell r="I431">
            <v>3352750163</v>
          </cell>
        </row>
        <row r="432">
          <cell r="G432">
            <v>1</v>
          </cell>
          <cell r="H432" t="str">
            <v>Not verified to be within 1 mile</v>
          </cell>
          <cell r="I432">
            <v>3349560300</v>
          </cell>
        </row>
        <row r="433">
          <cell r="G433">
            <v>1</v>
          </cell>
          <cell r="H433" t="str">
            <v>Not Verified to be within 1 mile</v>
          </cell>
          <cell r="I433">
            <v>3342618083</v>
          </cell>
        </row>
        <row r="434">
          <cell r="G434">
            <v>2</v>
          </cell>
          <cell r="H434" t="str">
            <v>Not verified to be within 1 mile</v>
          </cell>
          <cell r="I434">
            <v>3349560319</v>
          </cell>
        </row>
        <row r="435">
          <cell r="G435">
            <v>3</v>
          </cell>
          <cell r="H435" t="str">
            <v>Within 1 mile</v>
          </cell>
          <cell r="I435">
            <v>3342617815</v>
          </cell>
        </row>
        <row r="436">
          <cell r="G436">
            <v>3</v>
          </cell>
          <cell r="H436" t="str">
            <v>Within 40 feet</v>
          </cell>
          <cell r="I436">
            <v>3337427840</v>
          </cell>
        </row>
        <row r="437">
          <cell r="G437">
            <v>2</v>
          </cell>
          <cell r="H437" t="str">
            <v>Within 1 mile</v>
          </cell>
          <cell r="I437">
            <v>3352749868</v>
          </cell>
        </row>
        <row r="438">
          <cell r="G438">
            <v>2</v>
          </cell>
          <cell r="H438" t="str">
            <v>Within 1 mile</v>
          </cell>
          <cell r="I438">
            <v>3342617926</v>
          </cell>
        </row>
        <row r="439">
          <cell r="G439">
            <v>1</v>
          </cell>
          <cell r="H439" t="str">
            <v>Not verified to be within 1 mile</v>
          </cell>
          <cell r="I439">
            <v>3337410454</v>
          </cell>
        </row>
        <row r="440">
          <cell r="G440">
            <v>0</v>
          </cell>
          <cell r="H440" t="str">
            <v>Not Verified to be within 1 mile</v>
          </cell>
          <cell r="I440">
            <v>3342618404</v>
          </cell>
        </row>
        <row r="441">
          <cell r="G441">
            <v>4</v>
          </cell>
          <cell r="H441" t="str">
            <v>Within 40 feet</v>
          </cell>
          <cell r="I441">
            <v>3353097802</v>
          </cell>
        </row>
        <row r="442">
          <cell r="G442">
            <v>7</v>
          </cell>
          <cell r="H442" t="str">
            <v>Within 1 mile</v>
          </cell>
          <cell r="I442">
            <v>3337410466</v>
          </cell>
        </row>
        <row r="443">
          <cell r="G443">
            <v>2</v>
          </cell>
          <cell r="H443" t="str">
            <v>Within 1 mile</v>
          </cell>
          <cell r="I443">
            <v>3337410469</v>
          </cell>
        </row>
        <row r="444">
          <cell r="G444">
            <v>12</v>
          </cell>
          <cell r="H444" t="str">
            <v>Within 165 feet</v>
          </cell>
          <cell r="I444">
            <v>3337410472</v>
          </cell>
        </row>
        <row r="445">
          <cell r="G445">
            <v>1</v>
          </cell>
          <cell r="H445" t="str">
            <v>Not verified to be within 1 mile</v>
          </cell>
          <cell r="I445">
            <v>3349560209</v>
          </cell>
        </row>
        <row r="446">
          <cell r="G446">
            <v>2</v>
          </cell>
          <cell r="H446" t="str">
            <v>Within 1 mile</v>
          </cell>
          <cell r="I446">
            <v>3337410499</v>
          </cell>
        </row>
        <row r="447">
          <cell r="G447">
            <v>1</v>
          </cell>
          <cell r="H447" t="str">
            <v>Within 1 mile</v>
          </cell>
          <cell r="I447">
            <v>3342617830</v>
          </cell>
        </row>
        <row r="448">
          <cell r="G448">
            <v>2</v>
          </cell>
          <cell r="H448" t="str">
            <v>Within 1 mile</v>
          </cell>
          <cell r="I448">
            <v>3352749882</v>
          </cell>
        </row>
        <row r="449">
          <cell r="G449">
            <v>1</v>
          </cell>
          <cell r="H449" t="str">
            <v>Not verified to be within 1 mile</v>
          </cell>
          <cell r="I449">
            <v>3349559921</v>
          </cell>
        </row>
        <row r="450">
          <cell r="G450">
            <v>5</v>
          </cell>
          <cell r="H450" t="str">
            <v>Not Verified to be within 1 mile</v>
          </cell>
          <cell r="I450">
            <v>3342618330</v>
          </cell>
        </row>
        <row r="451">
          <cell r="G451">
            <v>8</v>
          </cell>
          <cell r="H451" t="str">
            <v>Within 40 feet</v>
          </cell>
          <cell r="I451">
            <v>3337410535</v>
          </cell>
        </row>
        <row r="452">
          <cell r="G452">
            <v>2</v>
          </cell>
          <cell r="H452" t="str">
            <v>Within 1 mile</v>
          </cell>
          <cell r="I452">
            <v>3337410539</v>
          </cell>
        </row>
        <row r="453">
          <cell r="G453">
            <v>2</v>
          </cell>
          <cell r="H453" t="str">
            <v>Not verified to be within 1 mile</v>
          </cell>
          <cell r="I453">
            <v>3349559748</v>
          </cell>
        </row>
        <row r="454">
          <cell r="G454">
            <v>1</v>
          </cell>
          <cell r="H454" t="str">
            <v>Within 1 mile</v>
          </cell>
          <cell r="I454">
            <v>3337410598</v>
          </cell>
        </row>
        <row r="455">
          <cell r="G455">
            <v>3</v>
          </cell>
          <cell r="H455" t="str">
            <v>Within 1 mile</v>
          </cell>
          <cell r="I455">
            <v>3337427581</v>
          </cell>
        </row>
        <row r="456">
          <cell r="G456">
            <v>1</v>
          </cell>
          <cell r="H456" t="str">
            <v>Within 1 mile</v>
          </cell>
          <cell r="I456">
            <v>3337410635</v>
          </cell>
        </row>
        <row r="457">
          <cell r="G457">
            <v>4</v>
          </cell>
          <cell r="H457" t="str">
            <v>Within 165 feet</v>
          </cell>
          <cell r="I457">
            <v>3337410647</v>
          </cell>
        </row>
        <row r="458">
          <cell r="G458">
            <v>1</v>
          </cell>
          <cell r="H458" t="str">
            <v>Not verified to be within 1 mile</v>
          </cell>
          <cell r="I458">
            <v>3349559767</v>
          </cell>
        </row>
        <row r="459">
          <cell r="G459">
            <v>1</v>
          </cell>
          <cell r="H459" t="str">
            <v>Within 1 mile</v>
          </cell>
          <cell r="I459">
            <v>3337410672</v>
          </cell>
        </row>
        <row r="460">
          <cell r="G460">
            <v>2</v>
          </cell>
          <cell r="H460" t="str">
            <v>Within 1 mile</v>
          </cell>
          <cell r="I460">
            <v>3342617609</v>
          </cell>
        </row>
        <row r="461">
          <cell r="G461">
            <v>2</v>
          </cell>
          <cell r="H461" t="str">
            <v>Within 40 feet</v>
          </cell>
          <cell r="I461">
            <v>3349559632</v>
          </cell>
        </row>
        <row r="462">
          <cell r="G462">
            <v>1</v>
          </cell>
          <cell r="H462" t="str">
            <v>Within 1 mile</v>
          </cell>
          <cell r="I462">
            <v>3352750020</v>
          </cell>
        </row>
        <row r="463">
          <cell r="G463">
            <v>1</v>
          </cell>
          <cell r="H463" t="str">
            <v>Not Verified to be within 1 mile</v>
          </cell>
          <cell r="I463">
            <v>3337410691</v>
          </cell>
        </row>
        <row r="464">
          <cell r="G464">
            <v>2</v>
          </cell>
          <cell r="H464" t="str">
            <v>Not Verified to be within 1 mile</v>
          </cell>
          <cell r="I464">
            <v>3342617891</v>
          </cell>
        </row>
        <row r="465">
          <cell r="G465">
            <v>1</v>
          </cell>
          <cell r="H465" t="str">
            <v>Within 1 mile</v>
          </cell>
          <cell r="I465">
            <v>3337410713</v>
          </cell>
        </row>
        <row r="466">
          <cell r="G466">
            <v>5</v>
          </cell>
          <cell r="H466" t="str">
            <v>Within 40 feet</v>
          </cell>
          <cell r="I466">
            <v>3337410744</v>
          </cell>
        </row>
        <row r="467">
          <cell r="G467">
            <v>1</v>
          </cell>
          <cell r="H467" t="str">
            <v>Within 1 mile</v>
          </cell>
          <cell r="I467">
            <v>3342618304</v>
          </cell>
        </row>
        <row r="468">
          <cell r="G468">
            <v>2</v>
          </cell>
          <cell r="H468" t="str">
            <v>Within 165 feet</v>
          </cell>
          <cell r="I468">
            <v>3353097786</v>
          </cell>
        </row>
        <row r="469">
          <cell r="G469">
            <v>2</v>
          </cell>
          <cell r="H469" t="str">
            <v>Within 1 mile</v>
          </cell>
          <cell r="I469">
            <v>3337430102</v>
          </cell>
        </row>
        <row r="470">
          <cell r="G470">
            <v>4</v>
          </cell>
          <cell r="H470" t="str">
            <v>Within 165 feet</v>
          </cell>
          <cell r="I470">
            <v>3349560046</v>
          </cell>
        </row>
        <row r="471">
          <cell r="G471">
            <v>4</v>
          </cell>
          <cell r="H471" t="str">
            <v>Within 40 feet</v>
          </cell>
          <cell r="I471">
            <v>3337410784</v>
          </cell>
        </row>
        <row r="472">
          <cell r="G472">
            <v>5</v>
          </cell>
          <cell r="H472" t="str">
            <v>Not verified to be within 1 mile</v>
          </cell>
          <cell r="I472">
            <v>3349560357</v>
          </cell>
        </row>
        <row r="473">
          <cell r="G473">
            <v>1</v>
          </cell>
          <cell r="H473" t="str">
            <v>Not verified to be within 1 mile</v>
          </cell>
          <cell r="I473">
            <v>3349559847</v>
          </cell>
        </row>
        <row r="474">
          <cell r="G474">
            <v>2</v>
          </cell>
          <cell r="H474" t="str">
            <v>Within 1 mile</v>
          </cell>
          <cell r="I474">
            <v>3353097532</v>
          </cell>
        </row>
        <row r="475">
          <cell r="G475">
            <v>2</v>
          </cell>
          <cell r="H475" t="str">
            <v>Within 1 mile</v>
          </cell>
          <cell r="I475">
            <v>3352749877</v>
          </cell>
        </row>
        <row r="476">
          <cell r="G476">
            <v>1</v>
          </cell>
          <cell r="H476" t="str">
            <v>Not verified to be within 1 mile</v>
          </cell>
          <cell r="I476">
            <v>3349559949</v>
          </cell>
        </row>
        <row r="477">
          <cell r="G477">
            <v>1</v>
          </cell>
          <cell r="H477" t="str">
            <v>Not verified to be within 1 mile</v>
          </cell>
          <cell r="I477">
            <v>3349559926</v>
          </cell>
        </row>
        <row r="478">
          <cell r="G478">
            <v>3</v>
          </cell>
          <cell r="H478" t="str">
            <v>Within 1 mile</v>
          </cell>
          <cell r="I478">
            <v>3337410875</v>
          </cell>
        </row>
        <row r="479">
          <cell r="G479">
            <v>5</v>
          </cell>
          <cell r="H479" t="str">
            <v>Within 1 mile</v>
          </cell>
          <cell r="I479">
            <v>3337410884</v>
          </cell>
        </row>
        <row r="480">
          <cell r="G480">
            <v>2</v>
          </cell>
          <cell r="H480" t="str">
            <v>Within 1 mile</v>
          </cell>
          <cell r="I480">
            <v>3337427325</v>
          </cell>
        </row>
        <row r="481">
          <cell r="G481">
            <v>5</v>
          </cell>
          <cell r="H481" t="str">
            <v>Not verified to be within 1 mile</v>
          </cell>
          <cell r="I481">
            <v>3349559940</v>
          </cell>
        </row>
        <row r="482">
          <cell r="G482">
            <v>2</v>
          </cell>
          <cell r="H482" t="str">
            <v>Not verified to be within 1 mile</v>
          </cell>
          <cell r="I482">
            <v>3337410893</v>
          </cell>
        </row>
        <row r="483">
          <cell r="G483">
            <v>1</v>
          </cell>
          <cell r="H483" t="str">
            <v>Within 1 mile</v>
          </cell>
          <cell r="I483">
            <v>3337410898</v>
          </cell>
        </row>
        <row r="484">
          <cell r="G484">
            <v>2</v>
          </cell>
          <cell r="H484" t="str">
            <v>Within 1 mile</v>
          </cell>
          <cell r="I484">
            <v>3337410924</v>
          </cell>
        </row>
        <row r="485">
          <cell r="G485">
            <v>4</v>
          </cell>
          <cell r="H485" t="str">
            <v>Within 1 mile</v>
          </cell>
          <cell r="I485">
            <v>3337427366</v>
          </cell>
        </row>
        <row r="486">
          <cell r="G486">
            <v>2</v>
          </cell>
          <cell r="H486" t="str">
            <v>Within 1 mile</v>
          </cell>
          <cell r="I486">
            <v>3337410952</v>
          </cell>
        </row>
        <row r="487">
          <cell r="G487">
            <v>3</v>
          </cell>
          <cell r="H487" t="str">
            <v>Within 165 feet</v>
          </cell>
          <cell r="I487">
            <v>3342617491</v>
          </cell>
        </row>
        <row r="488">
          <cell r="G488">
            <v>13</v>
          </cell>
          <cell r="H488" t="str">
            <v>Within 1 mile</v>
          </cell>
          <cell r="I488">
            <v>3337411001</v>
          </cell>
        </row>
        <row r="489">
          <cell r="G489">
            <v>2</v>
          </cell>
          <cell r="H489" t="str">
            <v>Within 1 mile</v>
          </cell>
          <cell r="I489">
            <v>3352749885</v>
          </cell>
        </row>
        <row r="490">
          <cell r="G490">
            <v>2</v>
          </cell>
          <cell r="H490" t="str">
            <v>Within 165 feet</v>
          </cell>
          <cell r="I490">
            <v>3337411020</v>
          </cell>
        </row>
        <row r="491">
          <cell r="G491">
            <v>1</v>
          </cell>
          <cell r="H491" t="str">
            <v>Within 1 mile</v>
          </cell>
          <cell r="I491">
            <v>3337411021</v>
          </cell>
        </row>
        <row r="492">
          <cell r="G492">
            <v>2</v>
          </cell>
          <cell r="H492" t="str">
            <v>Within 40 feet</v>
          </cell>
          <cell r="I492">
            <v>3337411027</v>
          </cell>
        </row>
        <row r="493">
          <cell r="G493">
            <v>5</v>
          </cell>
          <cell r="H493" t="str">
            <v>Within 1 mile</v>
          </cell>
          <cell r="I493">
            <v>3337411049</v>
          </cell>
        </row>
        <row r="494">
          <cell r="G494">
            <v>2</v>
          </cell>
          <cell r="H494" t="str">
            <v>Within 1 mile</v>
          </cell>
          <cell r="I494">
            <v>3342618370</v>
          </cell>
        </row>
        <row r="495">
          <cell r="G495">
            <v>1</v>
          </cell>
          <cell r="H495" t="str">
            <v>Within 1 mile</v>
          </cell>
          <cell r="I495">
            <v>3337411078</v>
          </cell>
        </row>
        <row r="496">
          <cell r="G496">
            <v>2</v>
          </cell>
          <cell r="H496" t="str">
            <v>Within 1 mile</v>
          </cell>
          <cell r="I496">
            <v>3341136760</v>
          </cell>
        </row>
        <row r="497">
          <cell r="G497">
            <v>3</v>
          </cell>
          <cell r="H497" t="str">
            <v>Within 1 mile</v>
          </cell>
          <cell r="I497">
            <v>3337411105</v>
          </cell>
        </row>
        <row r="498">
          <cell r="G498">
            <v>4</v>
          </cell>
          <cell r="H498" t="str">
            <v>Within 1 mile</v>
          </cell>
          <cell r="I498">
            <v>3337411112</v>
          </cell>
        </row>
        <row r="499">
          <cell r="G499">
            <v>2</v>
          </cell>
          <cell r="H499" t="str">
            <v>Within 1 mile</v>
          </cell>
          <cell r="I499">
            <v>3352749835</v>
          </cell>
        </row>
        <row r="500">
          <cell r="G500">
            <v>2</v>
          </cell>
          <cell r="H500" t="str">
            <v>Not verified to be within 1 mile</v>
          </cell>
          <cell r="I500">
            <v>3349560032</v>
          </cell>
        </row>
        <row r="501">
          <cell r="G501">
            <v>2</v>
          </cell>
          <cell r="H501" t="str">
            <v>Within 1 mile</v>
          </cell>
          <cell r="I501">
            <v>3342618088</v>
          </cell>
        </row>
      </sheetData>
      <sheetData sheetId="19">
        <row r="3">
          <cell r="H3">
            <v>1996</v>
          </cell>
        </row>
        <row r="20">
          <cell r="I20">
            <v>95625721.599999994</v>
          </cell>
          <cell r="J20">
            <v>97978591.5</v>
          </cell>
          <cell r="K20">
            <v>103924856</v>
          </cell>
          <cell r="L20">
            <v>111027588</v>
          </cell>
          <cell r="M20">
            <v>96341311.099999994</v>
          </cell>
          <cell r="N20">
            <v>108671903</v>
          </cell>
          <cell r="O20">
            <v>99866969</v>
          </cell>
          <cell r="P20">
            <v>100944884</v>
          </cell>
          <cell r="Q20">
            <v>73705838.200000003</v>
          </cell>
          <cell r="R20">
            <v>75769386.900000006</v>
          </cell>
          <cell r="S20">
            <v>115245071</v>
          </cell>
          <cell r="T20">
            <v>119849516</v>
          </cell>
          <cell r="U20">
            <v>129241327</v>
          </cell>
          <cell r="V20">
            <v>126669149</v>
          </cell>
          <cell r="W20">
            <v>146991886</v>
          </cell>
          <cell r="X20">
            <v>144899296</v>
          </cell>
          <cell r="Y20">
            <v>154371232</v>
          </cell>
          <cell r="Z20">
            <v>159917766</v>
          </cell>
          <cell r="AA20">
            <v>164882183</v>
          </cell>
          <cell r="AB20">
            <v>169850046</v>
          </cell>
          <cell r="AC20">
            <v>173508403</v>
          </cell>
          <cell r="AD20">
            <v>177411268</v>
          </cell>
          <cell r="AE20">
            <v>183070657</v>
          </cell>
        </row>
        <row r="21">
          <cell r="I21">
            <v>338057128</v>
          </cell>
          <cell r="J21">
            <v>334872035</v>
          </cell>
          <cell r="K21">
            <v>212453978</v>
          </cell>
          <cell r="L21">
            <v>207686900</v>
          </cell>
          <cell r="M21">
            <v>143244318</v>
          </cell>
          <cell r="N21">
            <v>158068222</v>
          </cell>
          <cell r="O21">
            <v>324909659</v>
          </cell>
          <cell r="P21">
            <v>140649871</v>
          </cell>
          <cell r="Q21">
            <v>148856889</v>
          </cell>
          <cell r="R21">
            <v>180963779</v>
          </cell>
          <cell r="S21">
            <v>213474091</v>
          </cell>
          <cell r="T21">
            <v>185920403</v>
          </cell>
          <cell r="U21">
            <v>191972497</v>
          </cell>
          <cell r="V21">
            <v>204206022</v>
          </cell>
          <cell r="W21">
            <v>226259762</v>
          </cell>
          <cell r="X21">
            <v>228985935</v>
          </cell>
          <cell r="Y21">
            <v>233741346</v>
          </cell>
          <cell r="Z21">
            <v>247212327</v>
          </cell>
          <cell r="AA21">
            <v>259314706</v>
          </cell>
          <cell r="AB21">
            <v>278005680</v>
          </cell>
          <cell r="AC21">
            <v>290722968</v>
          </cell>
          <cell r="AD21">
            <v>305585048</v>
          </cell>
          <cell r="AE21">
            <v>312812036</v>
          </cell>
        </row>
        <row r="22">
          <cell r="I22">
            <v>78790207.200000003</v>
          </cell>
          <cell r="J22">
            <v>75161659.200000003</v>
          </cell>
          <cell r="K22">
            <v>65775225.399999999</v>
          </cell>
          <cell r="L22">
            <v>80331725.400000006</v>
          </cell>
          <cell r="M22">
            <v>69086861.299999997</v>
          </cell>
          <cell r="N22">
            <v>139015356</v>
          </cell>
          <cell r="O22">
            <v>100550989</v>
          </cell>
          <cell r="P22">
            <v>101617850</v>
          </cell>
          <cell r="Q22">
            <v>85267538.299999997</v>
          </cell>
          <cell r="R22">
            <v>100045016</v>
          </cell>
          <cell r="S22">
            <v>126846923</v>
          </cell>
          <cell r="T22">
            <v>111398588</v>
          </cell>
          <cell r="U22">
            <v>139066691</v>
          </cell>
          <cell r="V22">
            <v>99032243.5</v>
          </cell>
          <cell r="W22">
            <v>112360290</v>
          </cell>
          <cell r="X22">
            <v>120874543</v>
          </cell>
          <cell r="Y22">
            <v>121603753</v>
          </cell>
          <cell r="Z22">
            <v>132042192</v>
          </cell>
          <cell r="AA22">
            <v>136402533</v>
          </cell>
          <cell r="AB22">
            <v>147000264</v>
          </cell>
          <cell r="AC22">
            <v>154229691</v>
          </cell>
          <cell r="AD22">
            <v>163343414</v>
          </cell>
          <cell r="AE22">
            <v>169539348</v>
          </cell>
        </row>
        <row r="23">
          <cell r="I23">
            <v>186537499</v>
          </cell>
          <cell r="J23">
            <v>187904148</v>
          </cell>
          <cell r="K23">
            <v>210480721</v>
          </cell>
          <cell r="L23">
            <v>207686900</v>
          </cell>
          <cell r="M23">
            <v>185076729</v>
          </cell>
          <cell r="N23">
            <v>222283438</v>
          </cell>
          <cell r="O23">
            <v>215466406</v>
          </cell>
          <cell r="P23">
            <v>184392654</v>
          </cell>
          <cell r="Q23">
            <v>167644652</v>
          </cell>
          <cell r="R23">
            <v>158895025</v>
          </cell>
          <cell r="S23">
            <v>152371000</v>
          </cell>
          <cell r="T23">
            <v>96801531.900000006</v>
          </cell>
          <cell r="U23">
            <v>78602912.200000003</v>
          </cell>
          <cell r="V23">
            <v>105173778</v>
          </cell>
          <cell r="W23">
            <v>106203562</v>
          </cell>
          <cell r="X23">
            <v>104357524</v>
          </cell>
          <cell r="Y23">
            <v>107768596</v>
          </cell>
          <cell r="Z23">
            <v>112969431</v>
          </cell>
          <cell r="AA23">
            <v>119914315</v>
          </cell>
          <cell r="AB23">
            <v>121103844</v>
          </cell>
          <cell r="AC23">
            <v>124154902</v>
          </cell>
          <cell r="AD23">
            <v>129736874</v>
          </cell>
          <cell r="AE23">
            <v>132925216</v>
          </cell>
        </row>
        <row r="25">
          <cell r="H25" t="str">
            <v>Idaho</v>
          </cell>
          <cell r="I25">
            <v>629803398</v>
          </cell>
          <cell r="J25">
            <v>642873377.35000002</v>
          </cell>
          <cell r="K25">
            <v>827853700.19000006</v>
          </cell>
          <cell r="L25">
            <v>949314310.5</v>
          </cell>
          <cell r="M25">
            <v>824671705.72000003</v>
          </cell>
          <cell r="N25">
            <v>1036558543.99</v>
          </cell>
          <cell r="O25">
            <v>921412882.70000005</v>
          </cell>
          <cell r="P25">
            <v>989557786.60000002</v>
          </cell>
          <cell r="Q25">
            <v>1115915065.9000001</v>
          </cell>
          <cell r="R25">
            <v>1206767924.2</v>
          </cell>
          <cell r="S25">
            <v>1308849574.0699999</v>
          </cell>
          <cell r="T25">
            <v>1308585287.1199999</v>
          </cell>
          <cell r="U25">
            <v>1550282951.0999999</v>
          </cell>
          <cell r="V25">
            <v>1525677268</v>
          </cell>
          <cell r="W25">
            <v>1548751854</v>
          </cell>
          <cell r="X25">
            <v>1538633207</v>
          </cell>
          <cell r="Y25">
            <v>1572647948.3599999</v>
          </cell>
          <cell r="Z25">
            <v>1607127657.75</v>
          </cell>
          <cell r="AA25">
            <v>1636247118.73</v>
          </cell>
          <cell r="AB25">
            <v>1670740596.71</v>
          </cell>
          <cell r="AC25">
            <v>1711084692.01</v>
          </cell>
          <cell r="AD25">
            <v>1745849788.4400001</v>
          </cell>
          <cell r="AE25">
            <v>1793842788.48</v>
          </cell>
        </row>
        <row r="26">
          <cell r="H26" t="str">
            <v>Montana</v>
          </cell>
          <cell r="I26">
            <v>157306078.61199999</v>
          </cell>
          <cell r="J26">
            <v>158988866.479</v>
          </cell>
          <cell r="K26">
            <v>148022659.32499999</v>
          </cell>
          <cell r="L26">
            <v>155196955.574</v>
          </cell>
          <cell r="M26">
            <v>150797506.91999999</v>
          </cell>
          <cell r="N26">
            <v>196689240.5</v>
          </cell>
          <cell r="O26">
            <v>190677159.15799999</v>
          </cell>
          <cell r="P26">
            <v>182341406.83200002</v>
          </cell>
          <cell r="Q26">
            <v>229853474.61199999</v>
          </cell>
          <cell r="R26">
            <v>168291733.711</v>
          </cell>
          <cell r="S26">
            <v>185044294.19700003</v>
          </cell>
          <cell r="T26">
            <v>230868388.64999998</v>
          </cell>
          <cell r="U26">
            <v>238708494.85599998</v>
          </cell>
          <cell r="V26">
            <v>318134630.06999993</v>
          </cell>
          <cell r="W26">
            <v>310634073.77999997</v>
          </cell>
          <cell r="X26">
            <v>320834983.16000003</v>
          </cell>
          <cell r="Y26">
            <v>323015623.47000003</v>
          </cell>
          <cell r="Z26">
            <v>319071472.87</v>
          </cell>
          <cell r="AA26">
            <v>320041493.44999999</v>
          </cell>
          <cell r="AB26">
            <v>321220236.61000001</v>
          </cell>
          <cell r="AC26">
            <v>317274315.14999998</v>
          </cell>
          <cell r="AD26">
            <v>317242678.67000002</v>
          </cell>
          <cell r="AE26">
            <v>314343281.5</v>
          </cell>
        </row>
        <row r="27">
          <cell r="H27" t="str">
            <v>Oregon</v>
          </cell>
          <cell r="I27">
            <v>1023141844.83</v>
          </cell>
          <cell r="J27">
            <v>1032526028.86</v>
          </cell>
          <cell r="K27">
            <v>962715823.98000002</v>
          </cell>
          <cell r="L27">
            <v>1076032289.2</v>
          </cell>
          <cell r="M27">
            <v>1134553263.6399999</v>
          </cell>
          <cell r="N27">
            <v>1277568570.9000001</v>
          </cell>
          <cell r="O27">
            <v>1325282272.8</v>
          </cell>
          <cell r="P27">
            <v>1385460617.0999999</v>
          </cell>
          <cell r="Q27">
            <v>1327843272.4000001</v>
          </cell>
          <cell r="R27">
            <v>1262279512.3</v>
          </cell>
          <cell r="S27">
            <v>1527455277.2</v>
          </cell>
          <cell r="T27">
            <v>1481428474.1000001</v>
          </cell>
          <cell r="U27">
            <v>1611305885.4000001</v>
          </cell>
          <cell r="V27">
            <v>1703912175.9000001</v>
          </cell>
          <cell r="W27">
            <v>1822716919.9000001</v>
          </cell>
          <cell r="X27">
            <v>1863138987.4000001</v>
          </cell>
          <cell r="Y27">
            <v>1934947194.0999999</v>
          </cell>
          <cell r="Z27">
            <v>2020589620.3999999</v>
          </cell>
          <cell r="AA27">
            <v>2083950219.9000001</v>
          </cell>
          <cell r="AB27">
            <v>2146630229.3</v>
          </cell>
          <cell r="AC27">
            <v>2204367746.5</v>
          </cell>
          <cell r="AD27">
            <v>2262579257.1000004</v>
          </cell>
          <cell r="AE27">
            <v>2319287101.8000002</v>
          </cell>
        </row>
        <row r="28">
          <cell r="H28" t="str">
            <v>Washington</v>
          </cell>
          <cell r="I28">
            <v>1273438305.8</v>
          </cell>
          <cell r="J28">
            <v>1241509549.7</v>
          </cell>
          <cell r="K28">
            <v>1106339290.4000001</v>
          </cell>
          <cell r="L28">
            <v>1131175190.4000001</v>
          </cell>
          <cell r="M28">
            <v>972920477.39999998</v>
          </cell>
          <cell r="N28">
            <v>1033088739</v>
          </cell>
          <cell r="O28">
            <v>855709439</v>
          </cell>
          <cell r="P28">
            <v>854666682</v>
          </cell>
          <cell r="Q28">
            <v>802092945.5</v>
          </cell>
          <cell r="R28">
            <v>821693254.89999998</v>
          </cell>
          <cell r="S28">
            <v>979969830</v>
          </cell>
          <cell r="T28">
            <v>938821206.89999998</v>
          </cell>
          <cell r="U28">
            <v>1005210320.2</v>
          </cell>
          <cell r="V28">
            <v>1020262416.5</v>
          </cell>
          <cell r="W28">
            <v>1129759628</v>
          </cell>
          <cell r="X28">
            <v>1167452880</v>
          </cell>
          <cell r="Y28">
            <v>1221862862</v>
          </cell>
          <cell r="Z28">
            <v>1302082730</v>
          </cell>
          <cell r="AA28">
            <v>1366273724</v>
          </cell>
          <cell r="AB28">
            <v>1436489624</v>
          </cell>
          <cell r="AC28">
            <v>1503739491</v>
          </cell>
          <cell r="AD28">
            <v>1577162726</v>
          </cell>
          <cell r="AE28">
            <v>1639676320</v>
          </cell>
        </row>
        <row r="30">
          <cell r="G30" t="str">
            <v>2 Digit NAICS descp.</v>
          </cell>
          <cell r="H30" t="str">
            <v>3 digit nics descp</v>
          </cell>
          <cell r="I30" t="str">
            <v>Building type</v>
          </cell>
          <cell r="J30" t="str">
            <v>Mapping to 2020 ECCs</v>
          </cell>
          <cell r="K30" t="str">
            <v>Mapping to 2020 Transportation</v>
          </cell>
          <cell r="L30" t="str">
            <v>Mapping</v>
          </cell>
          <cell r="M30" t="str">
            <v>State</v>
          </cell>
          <cell r="N30" t="str">
            <v>Regions</v>
          </cell>
          <cell r="O30">
            <v>1997</v>
          </cell>
          <cell r="P30">
            <v>1998</v>
          </cell>
          <cell r="Q30">
            <v>1999</v>
          </cell>
          <cell r="R30">
            <v>2000</v>
          </cell>
          <cell r="S30">
            <v>2001</v>
          </cell>
          <cell r="T30">
            <v>2002</v>
          </cell>
          <cell r="U30">
            <v>2003</v>
          </cell>
          <cell r="V30">
            <v>2004</v>
          </cell>
          <cell r="W30">
            <v>2005</v>
          </cell>
          <cell r="X30">
            <v>2006</v>
          </cell>
          <cell r="Y30">
            <v>2007</v>
          </cell>
          <cell r="Z30">
            <v>2008</v>
          </cell>
          <cell r="AA30">
            <v>2009</v>
          </cell>
          <cell r="AB30">
            <v>2010</v>
          </cell>
          <cell r="AC30">
            <v>2011</v>
          </cell>
          <cell r="AD30">
            <v>2012</v>
          </cell>
          <cell r="AE30">
            <v>2013</v>
          </cell>
        </row>
        <row r="31">
          <cell r="G31" t="str">
            <v>Manufacturing</v>
          </cell>
          <cell r="H31" t="str">
            <v>Food Manufacturing</v>
          </cell>
          <cell r="I31" t="str">
            <v>Manufacturing</v>
          </cell>
          <cell r="J31" t="str">
            <v>Food &amp; Tobacco</v>
          </cell>
          <cell r="K31" t="str">
            <v>Freight</v>
          </cell>
          <cell r="L31" t="str">
            <v>Sales (Inflation Adjusted - 2000$)_ID_3115</v>
          </cell>
          <cell r="M31" t="str">
            <v>ID</v>
          </cell>
          <cell r="N31" t="str">
            <v>Idaho</v>
          </cell>
          <cell r="O31">
            <v>629803398</v>
          </cell>
          <cell r="P31">
            <v>642873377.35000002</v>
          </cell>
          <cell r="Q31">
            <v>827853700.19000006</v>
          </cell>
          <cell r="R31">
            <v>949314310.5</v>
          </cell>
          <cell r="S31">
            <v>824671705.72000003</v>
          </cell>
          <cell r="T31">
            <v>1036558543.99</v>
          </cell>
          <cell r="U31">
            <v>921412882.70000005</v>
          </cell>
          <cell r="V31">
            <v>989557786.60000002</v>
          </cell>
          <cell r="W31">
            <v>1115915065.9000001</v>
          </cell>
          <cell r="X31">
            <v>1206767924.2</v>
          </cell>
          <cell r="Y31">
            <v>1308849574.0699999</v>
          </cell>
          <cell r="Z31">
            <v>1308585287.1199999</v>
          </cell>
          <cell r="AA31">
            <v>1550282951.0999999</v>
          </cell>
          <cell r="AB31">
            <v>1525677268</v>
          </cell>
          <cell r="AC31">
            <v>1548751854</v>
          </cell>
          <cell r="AD31">
            <v>1538633207</v>
          </cell>
          <cell r="AE31">
            <v>1572647948.3599999</v>
          </cell>
        </row>
        <row r="32">
          <cell r="G32" t="str">
            <v>Manufacturing</v>
          </cell>
          <cell r="H32" t="str">
            <v>Food Manufacturing</v>
          </cell>
          <cell r="I32" t="str">
            <v>Manufacturing</v>
          </cell>
          <cell r="J32" t="str">
            <v>Food &amp; Tobacco</v>
          </cell>
          <cell r="K32" t="str">
            <v>Freight</v>
          </cell>
          <cell r="L32" t="str">
            <v>Sales (Inflation Adjusted - 2000$)_MT_3115</v>
          </cell>
          <cell r="M32" t="str">
            <v>MT</v>
          </cell>
          <cell r="N32" t="str">
            <v>Montana</v>
          </cell>
          <cell r="O32">
            <v>157306078.61199999</v>
          </cell>
          <cell r="P32">
            <v>158988866.479</v>
          </cell>
          <cell r="Q32">
            <v>148022659.32499999</v>
          </cell>
          <cell r="R32">
            <v>155196955.574</v>
          </cell>
          <cell r="S32">
            <v>150797506.91999999</v>
          </cell>
          <cell r="T32">
            <v>196689240.5</v>
          </cell>
          <cell r="U32">
            <v>190677159.15799999</v>
          </cell>
          <cell r="V32">
            <v>182341406.83200002</v>
          </cell>
          <cell r="W32">
            <v>229853474.61199999</v>
          </cell>
          <cell r="X32">
            <v>168291733.711</v>
          </cell>
          <cell r="Y32">
            <v>185044294.19700003</v>
          </cell>
          <cell r="Z32">
            <v>230868388.64999998</v>
          </cell>
          <cell r="AA32">
            <v>238708494.85599998</v>
          </cell>
          <cell r="AB32">
            <v>318134630.06999993</v>
          </cell>
          <cell r="AC32">
            <v>310634073.77999997</v>
          </cell>
          <cell r="AD32">
            <v>320834983.16000003</v>
          </cell>
          <cell r="AE32">
            <v>323015623.47000003</v>
          </cell>
        </row>
        <row r="33">
          <cell r="G33" t="str">
            <v>Manufacturing</v>
          </cell>
          <cell r="H33" t="str">
            <v>Food Manufacturing</v>
          </cell>
          <cell r="I33" t="str">
            <v>Manufacturing</v>
          </cell>
          <cell r="J33" t="str">
            <v>Food &amp; Tobacco</v>
          </cell>
          <cell r="K33" t="str">
            <v>Freight</v>
          </cell>
          <cell r="L33" t="str">
            <v>Sales (Inflation Adjusted - 2000$)_OR_3115</v>
          </cell>
          <cell r="M33" t="str">
            <v>OR</v>
          </cell>
          <cell r="N33" t="str">
            <v>Oregon</v>
          </cell>
          <cell r="O33">
            <v>1023141844.83</v>
          </cell>
          <cell r="P33">
            <v>1032526028.86</v>
          </cell>
          <cell r="Q33">
            <v>962715823.98000002</v>
          </cell>
          <cell r="R33">
            <v>1076032289.2</v>
          </cell>
          <cell r="S33">
            <v>1134553263.6399999</v>
          </cell>
          <cell r="T33">
            <v>1277568570.9000001</v>
          </cell>
          <cell r="U33">
            <v>1325282272.8</v>
          </cell>
          <cell r="V33">
            <v>1385460617.0999999</v>
          </cell>
          <cell r="W33">
            <v>1327843272.4000001</v>
          </cell>
          <cell r="X33">
            <v>1262279512.3</v>
          </cell>
          <cell r="Y33">
            <v>1527455277.2</v>
          </cell>
          <cell r="Z33">
            <v>1481428474.1000001</v>
          </cell>
          <cell r="AA33">
            <v>1611305885.4000001</v>
          </cell>
          <cell r="AB33">
            <v>1703912175.9000001</v>
          </cell>
          <cell r="AC33">
            <v>1822716919.9000001</v>
          </cell>
          <cell r="AD33">
            <v>1863138987.4000001</v>
          </cell>
          <cell r="AE33">
            <v>1934947194.0999999</v>
          </cell>
        </row>
        <row r="34">
          <cell r="G34" t="str">
            <v>Manufacturing</v>
          </cell>
          <cell r="H34" t="str">
            <v>Food Manufacturing</v>
          </cell>
          <cell r="I34" t="str">
            <v>Manufacturing</v>
          </cell>
          <cell r="J34" t="str">
            <v>Food &amp; Tobacco</v>
          </cell>
          <cell r="K34" t="str">
            <v>Freight</v>
          </cell>
          <cell r="L34" t="str">
            <v>Sales (Inflation Adjusted - 2000$)_WA_3115</v>
          </cell>
          <cell r="M34" t="str">
            <v>WA</v>
          </cell>
          <cell r="N34" t="str">
            <v>Washington</v>
          </cell>
          <cell r="O34">
            <v>1273438305.8</v>
          </cell>
          <cell r="P34">
            <v>1241509549.7</v>
          </cell>
          <cell r="Q34">
            <v>1106339290.4000001</v>
          </cell>
          <cell r="R34">
            <v>1131175190.4000001</v>
          </cell>
          <cell r="S34">
            <v>972920477.39999998</v>
          </cell>
          <cell r="T34">
            <v>1033088739</v>
          </cell>
          <cell r="U34">
            <v>855709439</v>
          </cell>
          <cell r="V34">
            <v>854666682</v>
          </cell>
          <cell r="W34">
            <v>802092945.5</v>
          </cell>
          <cell r="X34">
            <v>821693254.89999998</v>
          </cell>
          <cell r="Y34">
            <v>979969830</v>
          </cell>
          <cell r="Z34">
            <v>938821206.89999998</v>
          </cell>
          <cell r="AA34">
            <v>1005210320.2</v>
          </cell>
          <cell r="AB34">
            <v>1020262416.5</v>
          </cell>
          <cell r="AC34">
            <v>1129759628</v>
          </cell>
          <cell r="AD34">
            <v>1167452880</v>
          </cell>
          <cell r="AE34">
            <v>1221862862</v>
          </cell>
        </row>
        <row r="36">
          <cell r="G36">
            <v>1711084692.01</v>
          </cell>
          <cell r="H36">
            <v>1745849788.4400001</v>
          </cell>
          <cell r="I36">
            <v>1793842788.48</v>
          </cell>
          <cell r="J36">
            <v>1844031455.0799999</v>
          </cell>
          <cell r="K36">
            <v>1900640702.6900001</v>
          </cell>
          <cell r="L36">
            <v>1957464654.45</v>
          </cell>
          <cell r="M36">
            <v>2024591449.8199999</v>
          </cell>
          <cell r="N36">
            <v>2099484002.3499999</v>
          </cell>
          <cell r="O36">
            <v>2182153011.5999999</v>
          </cell>
          <cell r="P36">
            <v>2284892178.5</v>
          </cell>
          <cell r="Q36">
            <v>2378940927.7800002</v>
          </cell>
          <cell r="R36">
            <v>2484467592.8899999</v>
          </cell>
          <cell r="S36">
            <v>2575806943.77</v>
          </cell>
          <cell r="T36">
            <v>2675193452.4000001</v>
          </cell>
          <cell r="U36">
            <v>2783592126.4000001</v>
          </cell>
          <cell r="V36">
            <v>2887561973.1999998</v>
          </cell>
          <cell r="W36">
            <v>2987701908</v>
          </cell>
          <cell r="X36">
            <v>3105538699.9000001</v>
          </cell>
          <cell r="Y36">
            <v>3188441716.3000002</v>
          </cell>
        </row>
        <row r="37">
          <cell r="G37">
            <v>317274315.14999998</v>
          </cell>
          <cell r="H37">
            <v>317242678.67000002</v>
          </cell>
          <cell r="I37">
            <v>314343281.5</v>
          </cell>
          <cell r="J37">
            <v>315500155.42000002</v>
          </cell>
          <cell r="K37">
            <v>316604185.17000002</v>
          </cell>
          <cell r="L37">
            <v>314025803.90000004</v>
          </cell>
          <cell r="M37">
            <v>312165770.96000004</v>
          </cell>
          <cell r="N37">
            <v>316846772.75</v>
          </cell>
          <cell r="O37">
            <v>317154017.94000006</v>
          </cell>
          <cell r="P37">
            <v>317132831.70999998</v>
          </cell>
          <cell r="Q37">
            <v>329619379.67999995</v>
          </cell>
          <cell r="R37">
            <v>331066865.50999999</v>
          </cell>
          <cell r="S37">
            <v>333952763.74000001</v>
          </cell>
          <cell r="T37">
            <v>338486759.89000005</v>
          </cell>
          <cell r="U37">
            <v>344005985.83999997</v>
          </cell>
          <cell r="V37">
            <v>344015536.36000001</v>
          </cell>
          <cell r="W37">
            <v>352166717.38</v>
          </cell>
          <cell r="X37">
            <v>360257472.30000007</v>
          </cell>
          <cell r="Y37">
            <v>360167672.44999999</v>
          </cell>
        </row>
        <row r="38">
          <cell r="G38">
            <v>2204367746.5</v>
          </cell>
          <cell r="H38">
            <v>2262579257.1000004</v>
          </cell>
          <cell r="I38">
            <v>2319287101.8000002</v>
          </cell>
          <cell r="J38">
            <v>2377721823.3000002</v>
          </cell>
          <cell r="K38">
            <v>2439565476.5999999</v>
          </cell>
          <cell r="L38">
            <v>2511493504.3000002</v>
          </cell>
          <cell r="M38">
            <v>2591814073.3999996</v>
          </cell>
          <cell r="N38">
            <v>2679434278</v>
          </cell>
          <cell r="O38">
            <v>2774540250.3000002</v>
          </cell>
          <cell r="P38">
            <v>2879612349.6999998</v>
          </cell>
          <cell r="Q38">
            <v>2984193071.1999998</v>
          </cell>
          <cell r="R38">
            <v>3092428874</v>
          </cell>
          <cell r="S38">
            <v>3202917778.5999999</v>
          </cell>
          <cell r="T38">
            <v>3332498384.6999998</v>
          </cell>
          <cell r="U38">
            <v>3442249037.4000001</v>
          </cell>
          <cell r="V38">
            <v>3565172330.5999999</v>
          </cell>
          <cell r="W38">
            <v>3708165815.2000003</v>
          </cell>
          <cell r="X38">
            <v>3837626194.8000002</v>
          </cell>
          <cell r="Y38">
            <v>3986119730.8000002</v>
          </cell>
        </row>
        <row r="39">
          <cell r="G39">
            <v>1503739491</v>
          </cell>
          <cell r="H39">
            <v>1577162726</v>
          </cell>
          <cell r="I39">
            <v>1639676320</v>
          </cell>
          <cell r="J39">
            <v>1705797870</v>
          </cell>
          <cell r="K39">
            <v>1761876129</v>
          </cell>
          <cell r="L39">
            <v>1832353919</v>
          </cell>
          <cell r="M39">
            <v>1885834558</v>
          </cell>
          <cell r="N39">
            <v>1950702973</v>
          </cell>
          <cell r="O39">
            <v>2024878252</v>
          </cell>
          <cell r="P39">
            <v>2106253871</v>
          </cell>
          <cell r="Q39">
            <v>2193325448</v>
          </cell>
          <cell r="R39">
            <v>2273964959</v>
          </cell>
          <cell r="S39">
            <v>2356511431</v>
          </cell>
          <cell r="T39">
            <v>2435921000</v>
          </cell>
          <cell r="U39">
            <v>2531172713</v>
          </cell>
          <cell r="V39">
            <v>2621004345</v>
          </cell>
          <cell r="W39">
            <v>2698900541</v>
          </cell>
          <cell r="X39">
            <v>2796518159</v>
          </cell>
          <cell r="Y39">
            <v>2869362843</v>
          </cell>
        </row>
        <row r="40">
          <cell r="G40">
            <v>5736466244.6599998</v>
          </cell>
          <cell r="H40">
            <v>5902834450.210001</v>
          </cell>
          <cell r="I40">
            <v>6067149491.7800007</v>
          </cell>
          <cell r="J40">
            <v>6243051303.8000002</v>
          </cell>
          <cell r="K40">
            <v>6418686493.46</v>
          </cell>
          <cell r="L40">
            <v>6615337881.6499996</v>
          </cell>
          <cell r="M40">
            <v>6814405852.1799994</v>
          </cell>
          <cell r="N40">
            <v>7046468026.1000004</v>
          </cell>
          <cell r="O40">
            <v>7298725531.8400002</v>
          </cell>
          <cell r="P40">
            <v>7587891230.9099998</v>
          </cell>
          <cell r="Q40">
            <v>7886078826.6599998</v>
          </cell>
          <cell r="R40">
            <v>8181928291.3999996</v>
          </cell>
          <cell r="S40">
            <v>8469188917.1100006</v>
          </cell>
          <cell r="T40">
            <v>8782099596.9899998</v>
          </cell>
          <cell r="U40">
            <v>9101019862.6399994</v>
          </cell>
          <cell r="V40">
            <v>9417754185.1599998</v>
          </cell>
          <cell r="W40">
            <v>9746934981.5799999</v>
          </cell>
          <cell r="X40">
            <v>10099940526</v>
          </cell>
          <cell r="Y40">
            <v>10404091962.549999</v>
          </cell>
          <cell r="AB40">
            <v>0</v>
          </cell>
        </row>
        <row r="45">
          <cell r="G45" t="str">
            <v>Montana - Sales</v>
          </cell>
          <cell r="H45" t="str">
            <v>Montana - Production</v>
          </cell>
          <cell r="I45" t="str">
            <v>Oregon - Employment</v>
          </cell>
          <cell r="J45" t="str">
            <v>Oregon - Sales</v>
          </cell>
          <cell r="K45" t="str">
            <v>Oregon - Production</v>
          </cell>
          <cell r="L45" t="str">
            <v>Washington - Employment</v>
          </cell>
          <cell r="M45" t="str">
            <v>Washington - Sales</v>
          </cell>
          <cell r="N45" t="str">
            <v>Washington - Production</v>
          </cell>
          <cell r="S45" t="str">
            <v>Milk cows and production by State and region, 2009-2013 (cont.)</v>
          </cell>
        </row>
        <row r="46">
          <cell r="G46">
            <v>157306078.61199999</v>
          </cell>
          <cell r="H46">
            <v>295</v>
          </cell>
          <cell r="J46">
            <v>1023141844.83</v>
          </cell>
          <cell r="K46">
            <v>1610</v>
          </cell>
          <cell r="M46">
            <v>1273438305.8</v>
          </cell>
          <cell r="N46">
            <v>5305</v>
          </cell>
        </row>
        <row r="47">
          <cell r="G47">
            <v>158988866.479</v>
          </cell>
          <cell r="H47">
            <v>291</v>
          </cell>
          <cell r="J47">
            <v>1032526028.86</v>
          </cell>
          <cell r="K47">
            <v>1583</v>
          </cell>
          <cell r="M47">
            <v>1241509549.7</v>
          </cell>
          <cell r="N47">
            <v>5326</v>
          </cell>
          <cell r="R47" t="str">
            <v>State and region</v>
          </cell>
          <cell r="T47" t="str">
            <v>Milk production</v>
          </cell>
        </row>
        <row r="48">
          <cell r="G48">
            <v>148022659.32499999</v>
          </cell>
          <cell r="H48">
            <v>303</v>
          </cell>
          <cell r="J48">
            <v>962715823.98000002</v>
          </cell>
          <cell r="K48">
            <v>1665</v>
          </cell>
          <cell r="M48">
            <v>1106339290.4000001</v>
          </cell>
          <cell r="N48">
            <v>5535</v>
          </cell>
          <cell r="T48">
            <v>2008</v>
          </cell>
          <cell r="V48">
            <v>2009</v>
          </cell>
          <cell r="X48">
            <v>2010</v>
          </cell>
          <cell r="Z48" t="str">
            <v xml:space="preserve">2011  </v>
          </cell>
          <cell r="AB48" t="str">
            <v>2012</v>
          </cell>
          <cell r="AD48" t="str">
            <v>2013 1/</v>
          </cell>
        </row>
        <row r="49">
          <cell r="G49">
            <v>155196955.574</v>
          </cell>
          <cell r="H49">
            <v>338</v>
          </cell>
          <cell r="J49">
            <v>1076032289.2</v>
          </cell>
          <cell r="K49">
            <v>1640</v>
          </cell>
          <cell r="M49">
            <v>1131175190.4000001</v>
          </cell>
          <cell r="N49">
            <v>5593</v>
          </cell>
        </row>
        <row r="50">
          <cell r="G50">
            <v>150797506.91999999</v>
          </cell>
          <cell r="H50">
            <v>346</v>
          </cell>
          <cell r="J50">
            <v>1134553263.6399999</v>
          </cell>
          <cell r="K50">
            <v>1717</v>
          </cell>
          <cell r="M50">
            <v>972920477.39999998</v>
          </cell>
          <cell r="N50">
            <v>5514</v>
          </cell>
          <cell r="T50" t="str">
            <v>mil. pounds</v>
          </cell>
          <cell r="U50" t="str">
            <v>% US</v>
          </cell>
          <cell r="V50" t="str">
            <v>mil. pounds</v>
          </cell>
          <cell r="W50" t="str">
            <v>% US</v>
          </cell>
          <cell r="X50" t="str">
            <v>mil. pounds</v>
          </cell>
          <cell r="Y50" t="str">
            <v>% US</v>
          </cell>
          <cell r="Z50" t="str">
            <v>mil. pounds</v>
          </cell>
          <cell r="AA50" t="str">
            <v>% US</v>
          </cell>
          <cell r="AB50" t="str">
            <v>mil. pounds</v>
          </cell>
          <cell r="AC50" t="str">
            <v>% US</v>
          </cell>
          <cell r="AD50" t="str">
            <v>mil. pounds</v>
          </cell>
          <cell r="AE50" t="str">
            <v>% US</v>
          </cell>
        </row>
        <row r="51">
          <cell r="G51">
            <v>196689240.5</v>
          </cell>
          <cell r="H51">
            <v>341</v>
          </cell>
          <cell r="J51">
            <v>1277568570.9000001</v>
          </cell>
          <cell r="K51">
            <v>2093</v>
          </cell>
          <cell r="M51">
            <v>1033088739</v>
          </cell>
          <cell r="N51">
            <v>5620</v>
          </cell>
          <cell r="R51" t="str">
            <v xml:space="preserve">  Mountain</v>
          </cell>
          <cell r="T51">
            <v>30247.7</v>
          </cell>
          <cell r="U51">
            <v>0.15921325302409753</v>
          </cell>
          <cell r="V51">
            <v>29750.7</v>
          </cell>
          <cell r="W51">
            <v>0.15713375755808795</v>
          </cell>
          <cell r="X51">
            <v>30359.9</v>
          </cell>
          <cell r="Y51">
            <v>0.15823747061052451</v>
          </cell>
          <cell r="Z51">
            <v>31780.1</v>
          </cell>
          <cell r="AA51">
            <v>0.1620073142656728</v>
          </cell>
          <cell r="AB51">
            <v>32550</v>
          </cell>
          <cell r="AC51">
            <v>0.16231418640949052</v>
          </cell>
          <cell r="AD51">
            <v>32405</v>
          </cell>
          <cell r="AE51">
            <v>0.1610450409259655</v>
          </cell>
        </row>
        <row r="52">
          <cell r="G52">
            <v>190677159.15799999</v>
          </cell>
          <cell r="H52">
            <v>345</v>
          </cell>
          <cell r="J52">
            <v>1325282272.8</v>
          </cell>
          <cell r="K52">
            <v>2177</v>
          </cell>
          <cell r="M52">
            <v>855709439</v>
          </cell>
          <cell r="N52">
            <v>5581</v>
          </cell>
          <cell r="S52" t="str">
            <v>Montana</v>
          </cell>
          <cell r="T52">
            <v>313</v>
          </cell>
          <cell r="U52">
            <v>1.6475219007244361E-3</v>
          </cell>
          <cell r="V52">
            <v>299</v>
          </cell>
          <cell r="W52">
            <v>1.5792231278547494E-3</v>
          </cell>
          <cell r="X52">
            <v>284</v>
          </cell>
          <cell r="Y52">
            <v>1.4802236388587893E-3</v>
          </cell>
          <cell r="Z52">
            <v>288</v>
          </cell>
          <cell r="AA52">
            <v>1.4681548046895311E-3</v>
          </cell>
          <cell r="AB52">
            <v>299</v>
          </cell>
          <cell r="AC52">
            <v>1.4909966739304966E-3</v>
          </cell>
          <cell r="AD52">
            <v>298</v>
          </cell>
          <cell r="AE52">
            <v>1.480988186882818E-3</v>
          </cell>
        </row>
        <row r="53">
          <cell r="G53">
            <v>182341406.83200002</v>
          </cell>
          <cell r="H53">
            <v>348</v>
          </cell>
          <cell r="J53">
            <v>1385460617.0999999</v>
          </cell>
          <cell r="K53">
            <v>2270</v>
          </cell>
          <cell r="M53">
            <v>854666682</v>
          </cell>
          <cell r="N53">
            <v>5416</v>
          </cell>
          <cell r="S53" t="str">
            <v>Idaho</v>
          </cell>
          <cell r="T53">
            <v>12315</v>
          </cell>
          <cell r="U53">
            <v>6.4821828138726612E-2</v>
          </cell>
          <cell r="V53">
            <v>12150</v>
          </cell>
          <cell r="W53">
            <v>6.4172444827542488E-2</v>
          </cell>
          <cell r="X53">
            <v>12746</v>
          </cell>
          <cell r="Y53">
            <v>6.6432853876387782E-2</v>
          </cell>
          <cell r="Z53">
            <v>13256</v>
          </cell>
          <cell r="AA53">
            <v>6.7575903093626474E-2</v>
          </cell>
          <cell r="AB53">
            <v>13558</v>
          </cell>
          <cell r="AC53">
            <v>6.7608471254681182E-2</v>
          </cell>
          <cell r="AD53">
            <v>13431</v>
          </cell>
          <cell r="AE53">
            <v>6.6748833349070905E-2</v>
          </cell>
        </row>
        <row r="54">
          <cell r="G54">
            <v>229853474.61199999</v>
          </cell>
          <cell r="H54">
            <v>372</v>
          </cell>
          <cell r="J54">
            <v>1327843272.4000001</v>
          </cell>
          <cell r="K54">
            <v>2284</v>
          </cell>
          <cell r="M54">
            <v>802092945.5</v>
          </cell>
          <cell r="N54">
            <v>5608</v>
          </cell>
        </row>
        <row r="55">
          <cell r="G55">
            <v>168291733.711</v>
          </cell>
          <cell r="H55">
            <v>354</v>
          </cell>
          <cell r="J55">
            <v>1262279512.3</v>
          </cell>
          <cell r="K55">
            <v>2242</v>
          </cell>
          <cell r="M55">
            <v>821693254.89999998</v>
          </cell>
          <cell r="N55">
            <v>5464</v>
          </cell>
          <cell r="R55" t="str">
            <v xml:space="preserve">  Pacific</v>
          </cell>
          <cell r="T55">
            <v>49178.7</v>
          </cell>
          <cell r="U55">
            <v>0.25885937795257769</v>
          </cell>
          <cell r="V55">
            <v>47348.3</v>
          </cell>
          <cell r="W55">
            <v>0.25007869707225766</v>
          </cell>
          <cell r="X55">
            <v>48650.6</v>
          </cell>
          <cell r="Y55">
            <v>0.25356960621360358</v>
          </cell>
          <cell r="Z55">
            <v>50144.3</v>
          </cell>
          <cell r="AA55">
            <v>0.25562359365553217</v>
          </cell>
          <cell r="AB55">
            <v>50582</v>
          </cell>
          <cell r="AC55">
            <v>0.25223275505268355</v>
          </cell>
          <cell r="AD55">
            <v>50139</v>
          </cell>
          <cell r="AE55">
            <v>0.24917874732254233</v>
          </cell>
        </row>
        <row r="56">
          <cell r="G56">
            <v>185044294.19700003</v>
          </cell>
          <cell r="H56">
            <v>333</v>
          </cell>
          <cell r="J56">
            <v>1527455277.2</v>
          </cell>
          <cell r="K56">
            <v>2233</v>
          </cell>
          <cell r="M56">
            <v>979969830</v>
          </cell>
          <cell r="N56">
            <v>5531</v>
          </cell>
          <cell r="S56" t="str">
            <v>Washington</v>
          </cell>
          <cell r="T56">
            <v>5696</v>
          </cell>
          <cell r="U56">
            <v>2.998174040423766E-2</v>
          </cell>
          <cell r="V56">
            <v>5561</v>
          </cell>
          <cell r="W56">
            <v>2.9371437505017597E-2</v>
          </cell>
          <cell r="X56">
            <v>5885</v>
          </cell>
          <cell r="Y56">
            <v>3.0672944065788646E-2</v>
          </cell>
          <cell r="Z56">
            <v>6169</v>
          </cell>
          <cell r="AA56">
            <v>3.1448079826839295E-2</v>
          </cell>
          <cell r="AB56">
            <v>6234</v>
          </cell>
          <cell r="AC56">
            <v>3.1086532659808413E-2</v>
          </cell>
          <cell r="AD56">
            <v>6336</v>
          </cell>
          <cell r="AE56">
            <v>3.1488393127817232E-2</v>
          </cell>
        </row>
        <row r="57">
          <cell r="G57">
            <v>230868388.64999998</v>
          </cell>
          <cell r="H57">
            <v>313</v>
          </cell>
          <cell r="J57">
            <v>1481428474.1000001</v>
          </cell>
          <cell r="K57">
            <v>2254</v>
          </cell>
          <cell r="M57">
            <v>938821206.89999998</v>
          </cell>
          <cell r="N57">
            <v>5696</v>
          </cell>
          <cell r="S57" t="str">
            <v>Oregon</v>
          </cell>
          <cell r="T57">
            <v>2254</v>
          </cell>
          <cell r="U57">
            <v>1.1864263144513989E-2</v>
          </cell>
          <cell r="V57">
            <v>2248</v>
          </cell>
          <cell r="W57">
            <v>1.1873222713770825E-2</v>
          </cell>
          <cell r="X57">
            <v>2379</v>
          </cell>
          <cell r="Y57">
            <v>1.2399479002975562E-2</v>
          </cell>
          <cell r="Z57">
            <v>2479</v>
          </cell>
          <cell r="AA57">
            <v>1.263734639175468E-2</v>
          </cell>
          <cell r="AB57">
            <v>2513</v>
          </cell>
          <cell r="AC57">
            <v>1.2531353316345611E-2</v>
          </cell>
          <cell r="AD57">
            <v>2514</v>
          </cell>
          <cell r="AE57">
            <v>1.2493974167192633E-2</v>
          </cell>
        </row>
        <row r="58">
          <cell r="G58">
            <v>238708494.85599998</v>
          </cell>
          <cell r="H58">
            <v>299</v>
          </cell>
          <cell r="J58">
            <v>1611305885.4000001</v>
          </cell>
          <cell r="K58">
            <v>2248</v>
          </cell>
          <cell r="M58">
            <v>1005210320.2</v>
          </cell>
          <cell r="N58">
            <v>5561</v>
          </cell>
        </row>
        <row r="59">
          <cell r="G59">
            <v>318134630.06999993</v>
          </cell>
          <cell r="H59">
            <v>284</v>
          </cell>
          <cell r="J59">
            <v>1703912175.9000001</v>
          </cell>
          <cell r="K59">
            <v>2379</v>
          </cell>
          <cell r="M59">
            <v>1020262416.5</v>
          </cell>
          <cell r="N59">
            <v>5885</v>
          </cell>
          <cell r="R59" t="str">
            <v xml:space="preserve">  United States</v>
          </cell>
          <cell r="T59">
            <v>189982.3</v>
          </cell>
          <cell r="U59">
            <v>1</v>
          </cell>
          <cell r="V59">
            <v>189333.6</v>
          </cell>
          <cell r="W59">
            <v>1</v>
          </cell>
          <cell r="X59">
            <v>191862.9</v>
          </cell>
          <cell r="Y59">
            <v>1</v>
          </cell>
          <cell r="Z59">
            <v>196164.6</v>
          </cell>
          <cell r="AA59">
            <v>1</v>
          </cell>
          <cell r="AB59">
            <v>200537</v>
          </cell>
          <cell r="AC59">
            <v>1</v>
          </cell>
          <cell r="AD59">
            <v>201217</v>
          </cell>
          <cell r="AE59">
            <v>1</v>
          </cell>
        </row>
        <row r="60">
          <cell r="G60">
            <v>310634073.77999997</v>
          </cell>
          <cell r="H60">
            <v>288</v>
          </cell>
          <cell r="J60">
            <v>1822716919.9000001</v>
          </cell>
          <cell r="K60">
            <v>2479</v>
          </cell>
          <cell r="M60">
            <v>1129759628</v>
          </cell>
          <cell r="N60">
            <v>6169</v>
          </cell>
        </row>
        <row r="61">
          <cell r="G61">
            <v>320834983.16000003</v>
          </cell>
          <cell r="H61">
            <v>299</v>
          </cell>
          <cell r="J61">
            <v>1863138987.4000001</v>
          </cell>
          <cell r="K61">
            <v>2513</v>
          </cell>
          <cell r="M61">
            <v>1167452880</v>
          </cell>
          <cell r="N61">
            <v>6234</v>
          </cell>
          <cell r="R61" t="str">
            <v>Source:  USDA/NASS Annual Milk Production, Disposition, and Income (PDI) and  Milk Production, various years.</v>
          </cell>
        </row>
        <row r="62">
          <cell r="G62">
            <v>323015623.47000003</v>
          </cell>
          <cell r="H62">
            <v>298</v>
          </cell>
          <cell r="J62">
            <v>1934947194.0999999</v>
          </cell>
          <cell r="K62">
            <v>2514</v>
          </cell>
          <cell r="M62">
            <v>1221862862</v>
          </cell>
          <cell r="N62">
            <v>6336</v>
          </cell>
        </row>
        <row r="63">
          <cell r="G63">
            <v>319071472.87</v>
          </cell>
          <cell r="J63">
            <v>2020589620.3999999</v>
          </cell>
          <cell r="M63">
            <v>1302082730</v>
          </cell>
          <cell r="S63" t="str">
            <v>http://www.ers.usda.gov/data-products/dairy-data.aspx</v>
          </cell>
        </row>
        <row r="64">
          <cell r="G64">
            <v>320041493.44999999</v>
          </cell>
          <cell r="J64">
            <v>2083950219.9000001</v>
          </cell>
          <cell r="M64">
            <v>1366273724</v>
          </cell>
        </row>
        <row r="65">
          <cell r="G65">
            <v>321220236.61000001</v>
          </cell>
          <cell r="J65">
            <v>2146630229.3</v>
          </cell>
          <cell r="M65">
            <v>1436489624</v>
          </cell>
        </row>
        <row r="66">
          <cell r="G66">
            <v>317274315.14999998</v>
          </cell>
          <cell r="J66">
            <v>2204367746.5</v>
          </cell>
          <cell r="M66">
            <v>1503739491</v>
          </cell>
        </row>
        <row r="67">
          <cell r="G67">
            <v>317242678.67000002</v>
          </cell>
          <cell r="J67">
            <v>2262579257.1000004</v>
          </cell>
          <cell r="M67">
            <v>1577162726</v>
          </cell>
        </row>
        <row r="68">
          <cell r="G68">
            <v>314343281.5</v>
          </cell>
          <cell r="J68">
            <v>2319287101.8000002</v>
          </cell>
          <cell r="M68">
            <v>1639676320</v>
          </cell>
        </row>
        <row r="69">
          <cell r="G69">
            <v>315500155.42000002</v>
          </cell>
          <cell r="J69">
            <v>2377721823.3000002</v>
          </cell>
          <cell r="M69">
            <v>1705797870</v>
          </cell>
        </row>
        <row r="70">
          <cell r="G70">
            <v>316604185.17000002</v>
          </cell>
          <cell r="J70">
            <v>2439565476.5999999</v>
          </cell>
          <cell r="M70">
            <v>1761876129</v>
          </cell>
        </row>
        <row r="71">
          <cell r="G71">
            <v>314025803.90000004</v>
          </cell>
          <cell r="J71">
            <v>2511493504.3000002</v>
          </cell>
          <cell r="M71">
            <v>1832353919</v>
          </cell>
        </row>
        <row r="72">
          <cell r="G72">
            <v>312165770.96000004</v>
          </cell>
          <cell r="J72">
            <v>2591814073.3999996</v>
          </cell>
          <cell r="M72">
            <v>1885834558</v>
          </cell>
        </row>
        <row r="73">
          <cell r="G73">
            <v>316846772.75</v>
          </cell>
          <cell r="J73">
            <v>2679434278</v>
          </cell>
          <cell r="M73">
            <v>1950702973</v>
          </cell>
        </row>
        <row r="74">
          <cell r="G74">
            <v>317154017.94000006</v>
          </cell>
          <cell r="J74">
            <v>2774540250.3000002</v>
          </cell>
          <cell r="M74">
            <v>2024878252</v>
          </cell>
        </row>
        <row r="75">
          <cell r="G75">
            <v>317132831.70999998</v>
          </cell>
          <cell r="J75">
            <v>2879612349.6999998</v>
          </cell>
          <cell r="M75">
            <v>2106253871</v>
          </cell>
        </row>
        <row r="76">
          <cell r="G76">
            <v>329619379.67999995</v>
          </cell>
          <cell r="J76">
            <v>2984193071.1999998</v>
          </cell>
          <cell r="M76">
            <v>2193325448</v>
          </cell>
        </row>
        <row r="77">
          <cell r="G77">
            <v>331066865.50999999</v>
          </cell>
          <cell r="J77">
            <v>3092428874</v>
          </cell>
          <cell r="M77">
            <v>2273964959</v>
          </cell>
        </row>
        <row r="78">
          <cell r="G78">
            <v>333952763.74000001</v>
          </cell>
          <cell r="J78">
            <v>3202917778.5999999</v>
          </cell>
          <cell r="M78">
            <v>2356511431</v>
          </cell>
        </row>
        <row r="79">
          <cell r="G79">
            <v>338486759.89000005</v>
          </cell>
          <cell r="J79">
            <v>3332498384.6999998</v>
          </cell>
          <cell r="M79">
            <v>2435921000</v>
          </cell>
        </row>
        <row r="80">
          <cell r="G80">
            <v>344005985.83999997</v>
          </cell>
          <cell r="J80">
            <v>3442249037.4000001</v>
          </cell>
          <cell r="M80">
            <v>2531172713</v>
          </cell>
        </row>
        <row r="81">
          <cell r="G81">
            <v>344015536.36000001</v>
          </cell>
          <cell r="J81">
            <v>3565172330.5999999</v>
          </cell>
          <cell r="M81">
            <v>2621004345</v>
          </cell>
        </row>
        <row r="82">
          <cell r="G82">
            <v>352166717.38</v>
          </cell>
          <cell r="J82">
            <v>3708165815.2000003</v>
          </cell>
          <cell r="M82">
            <v>2698900541</v>
          </cell>
        </row>
        <row r="83">
          <cell r="G83">
            <v>360257472.30000007</v>
          </cell>
          <cell r="J83">
            <v>3837626194.8000002</v>
          </cell>
          <cell r="M83">
            <v>2796518159</v>
          </cell>
        </row>
        <row r="84">
          <cell r="G84">
            <v>360167672.44999999</v>
          </cell>
          <cell r="J84">
            <v>3986119730.8000002</v>
          </cell>
          <cell r="M84">
            <v>2869362843</v>
          </cell>
        </row>
        <row r="88">
          <cell r="G88" t="str">
            <v>Sales</v>
          </cell>
          <cell r="H88" t="str">
            <v>Production</v>
          </cell>
          <cell r="J88" t="str">
            <v>Oregon</v>
          </cell>
          <cell r="K88" t="str">
            <v>Sales</v>
          </cell>
          <cell r="L88" t="str">
            <v>Production</v>
          </cell>
          <cell r="N88" t="str">
            <v>Washington</v>
          </cell>
          <cell r="O88" t="str">
            <v>Sales</v>
          </cell>
          <cell r="P88" t="str">
            <v>Production</v>
          </cell>
        </row>
        <row r="89">
          <cell r="G89">
            <v>157.30607861199999</v>
          </cell>
          <cell r="H89">
            <v>295</v>
          </cell>
          <cell r="J89">
            <v>1997</v>
          </cell>
          <cell r="K89">
            <v>1023.1418448300001</v>
          </cell>
          <cell r="L89">
            <v>1610</v>
          </cell>
          <cell r="N89">
            <v>1997</v>
          </cell>
          <cell r="O89">
            <v>1273.4383057999999</v>
          </cell>
          <cell r="P89">
            <v>5305</v>
          </cell>
        </row>
        <row r="90">
          <cell r="G90">
            <v>158.988866479</v>
          </cell>
          <cell r="H90">
            <v>291</v>
          </cell>
          <cell r="J90">
            <v>1998</v>
          </cell>
          <cell r="K90">
            <v>1032.52602886</v>
          </cell>
          <cell r="L90">
            <v>1583</v>
          </cell>
          <cell r="N90">
            <v>1998</v>
          </cell>
          <cell r="O90">
            <v>1241.5095497</v>
          </cell>
          <cell r="P90">
            <v>5326</v>
          </cell>
        </row>
        <row r="91">
          <cell r="G91">
            <v>148.02265932499998</v>
          </cell>
          <cell r="H91">
            <v>303</v>
          </cell>
          <cell r="J91">
            <v>1999</v>
          </cell>
          <cell r="K91">
            <v>962.71582397999998</v>
          </cell>
          <cell r="L91">
            <v>1665</v>
          </cell>
          <cell r="N91">
            <v>1999</v>
          </cell>
          <cell r="O91">
            <v>1106.3392904000002</v>
          </cell>
          <cell r="P91">
            <v>5535</v>
          </cell>
        </row>
        <row r="92">
          <cell r="G92">
            <v>155.19695557400001</v>
          </cell>
          <cell r="H92">
            <v>338</v>
          </cell>
          <cell r="J92">
            <v>2000</v>
          </cell>
          <cell r="K92">
            <v>1076.0322892000002</v>
          </cell>
          <cell r="L92">
            <v>1640</v>
          </cell>
          <cell r="N92">
            <v>2000</v>
          </cell>
          <cell r="O92">
            <v>1131.1751904</v>
          </cell>
          <cell r="P92">
            <v>5593</v>
          </cell>
        </row>
        <row r="93">
          <cell r="G93">
            <v>150.79750691999999</v>
          </cell>
          <cell r="H93">
            <v>346</v>
          </cell>
          <cell r="J93">
            <v>2001</v>
          </cell>
          <cell r="K93">
            <v>1134.5532636399998</v>
          </cell>
          <cell r="L93">
            <v>1717</v>
          </cell>
          <cell r="N93">
            <v>2001</v>
          </cell>
          <cell r="O93">
            <v>972.92047739999998</v>
          </cell>
          <cell r="P93">
            <v>5514</v>
          </cell>
        </row>
        <row r="94">
          <cell r="G94">
            <v>196.68924050000001</v>
          </cell>
          <cell r="H94">
            <v>341</v>
          </cell>
          <cell r="J94">
            <v>2002</v>
          </cell>
          <cell r="K94">
            <v>1277.5685709000002</v>
          </cell>
          <cell r="L94">
            <v>2093</v>
          </cell>
          <cell r="N94">
            <v>2002</v>
          </cell>
          <cell r="O94">
            <v>1033.088739</v>
          </cell>
          <cell r="P94">
            <v>5620</v>
          </cell>
        </row>
        <row r="95">
          <cell r="G95">
            <v>190.67715915799999</v>
          </cell>
          <cell r="H95">
            <v>345</v>
          </cell>
          <cell r="J95">
            <v>2003</v>
          </cell>
          <cell r="K95">
            <v>1325.2822727999999</v>
          </cell>
          <cell r="L95">
            <v>2177</v>
          </cell>
          <cell r="N95">
            <v>2003</v>
          </cell>
          <cell r="O95">
            <v>855.70943899999997</v>
          </cell>
          <cell r="P95">
            <v>5581</v>
          </cell>
        </row>
        <row r="96">
          <cell r="G96">
            <v>182.34140683200002</v>
          </cell>
          <cell r="H96">
            <v>348</v>
          </cell>
          <cell r="J96">
            <v>2004</v>
          </cell>
          <cell r="K96">
            <v>1385.4606170999998</v>
          </cell>
          <cell r="L96">
            <v>2270</v>
          </cell>
          <cell r="N96">
            <v>2004</v>
          </cell>
          <cell r="O96">
            <v>854.66668200000004</v>
          </cell>
          <cell r="P96">
            <v>5416</v>
          </cell>
        </row>
        <row r="97">
          <cell r="G97">
            <v>229.85347461199999</v>
          </cell>
          <cell r="H97">
            <v>372</v>
          </cell>
          <cell r="J97">
            <v>2005</v>
          </cell>
          <cell r="K97">
            <v>1327.8432724000002</v>
          </cell>
          <cell r="L97">
            <v>2284</v>
          </cell>
          <cell r="N97">
            <v>2005</v>
          </cell>
          <cell r="O97">
            <v>802.09294550000004</v>
          </cell>
          <cell r="P97">
            <v>5608</v>
          </cell>
        </row>
        <row r="98">
          <cell r="G98">
            <v>168.29173371100001</v>
          </cell>
          <cell r="H98">
            <v>354</v>
          </cell>
          <cell r="J98">
            <v>2006</v>
          </cell>
          <cell r="K98">
            <v>1262.2795122999999</v>
          </cell>
          <cell r="L98">
            <v>2242</v>
          </cell>
          <cell r="N98">
            <v>2006</v>
          </cell>
          <cell r="O98">
            <v>821.69325489999994</v>
          </cell>
          <cell r="P98">
            <v>5464</v>
          </cell>
        </row>
        <row r="99">
          <cell r="G99">
            <v>185.04429419700003</v>
          </cell>
          <cell r="H99">
            <v>333</v>
          </cell>
          <cell r="I99">
            <v>333</v>
          </cell>
          <cell r="J99">
            <v>2007</v>
          </cell>
          <cell r="K99">
            <v>1527.4552772</v>
          </cell>
          <cell r="L99">
            <v>2233</v>
          </cell>
          <cell r="M99">
            <v>2233</v>
          </cell>
          <cell r="N99">
            <v>2007</v>
          </cell>
          <cell r="O99">
            <v>979.96983</v>
          </cell>
          <cell r="P99">
            <v>5531</v>
          </cell>
        </row>
        <row r="100">
          <cell r="G100">
            <v>230.86838864999999</v>
          </cell>
          <cell r="H100">
            <v>313</v>
          </cell>
          <cell r="I100">
            <v>313</v>
          </cell>
          <cell r="J100">
            <v>2008</v>
          </cell>
          <cell r="K100">
            <v>1481.4284741000001</v>
          </cell>
          <cell r="L100">
            <v>2254</v>
          </cell>
          <cell r="M100">
            <v>2254</v>
          </cell>
          <cell r="N100">
            <v>2008</v>
          </cell>
          <cell r="O100">
            <v>938.82120689999999</v>
          </cell>
          <cell r="P100">
            <v>5696</v>
          </cell>
        </row>
        <row r="101">
          <cell r="G101">
            <v>238.70849485599999</v>
          </cell>
          <cell r="H101">
            <v>299</v>
          </cell>
          <cell r="I101">
            <v>299</v>
          </cell>
          <cell r="J101">
            <v>2009</v>
          </cell>
          <cell r="K101">
            <v>1611.3058854000001</v>
          </cell>
          <cell r="L101">
            <v>2248</v>
          </cell>
          <cell r="M101">
            <v>2248</v>
          </cell>
          <cell r="N101">
            <v>2009</v>
          </cell>
          <cell r="O101">
            <v>1005.2103202000001</v>
          </cell>
          <cell r="P101">
            <v>5561</v>
          </cell>
        </row>
        <row r="102">
          <cell r="G102">
            <v>318.13463006999996</v>
          </cell>
          <cell r="H102">
            <v>284</v>
          </cell>
          <cell r="I102">
            <v>284</v>
          </cell>
          <cell r="J102">
            <v>2010</v>
          </cell>
          <cell r="K102">
            <v>1703.9121759000002</v>
          </cell>
          <cell r="L102">
            <v>2379</v>
          </cell>
          <cell r="M102">
            <v>2379</v>
          </cell>
          <cell r="N102">
            <v>2010</v>
          </cell>
          <cell r="O102">
            <v>1020.2624165</v>
          </cell>
          <cell r="P102">
            <v>5885</v>
          </cell>
        </row>
        <row r="103">
          <cell r="G103">
            <v>310.63407377999999</v>
          </cell>
          <cell r="H103">
            <v>288</v>
          </cell>
          <cell r="I103">
            <v>288</v>
          </cell>
          <cell r="J103">
            <v>2011</v>
          </cell>
          <cell r="K103">
            <v>1822.7169199</v>
          </cell>
          <cell r="L103">
            <v>2479</v>
          </cell>
          <cell r="M103">
            <v>2479</v>
          </cell>
          <cell r="N103">
            <v>2011</v>
          </cell>
          <cell r="O103">
            <v>1129.759628</v>
          </cell>
          <cell r="P103">
            <v>6169</v>
          </cell>
        </row>
        <row r="104">
          <cell r="G104">
            <v>320.83498316000004</v>
          </cell>
          <cell r="H104">
            <v>299</v>
          </cell>
          <cell r="I104">
            <v>299</v>
          </cell>
          <cell r="J104">
            <v>2012</v>
          </cell>
          <cell r="K104">
            <v>1863.1389874000001</v>
          </cell>
          <cell r="L104">
            <v>2513</v>
          </cell>
          <cell r="M104">
            <v>2513</v>
          </cell>
          <cell r="N104">
            <v>2012</v>
          </cell>
          <cell r="O104">
            <v>1167.4528800000001</v>
          </cell>
          <cell r="P104">
            <v>6234</v>
          </cell>
        </row>
        <row r="105">
          <cell r="G105">
            <v>323.01562347000004</v>
          </cell>
          <cell r="H105">
            <v>298</v>
          </cell>
          <cell r="I105">
            <v>298</v>
          </cell>
          <cell r="J105">
            <v>2013</v>
          </cell>
          <cell r="K105">
            <v>1934.9471940999999</v>
          </cell>
          <cell r="L105">
            <v>2514</v>
          </cell>
          <cell r="M105">
            <v>2514</v>
          </cell>
          <cell r="N105">
            <v>2013</v>
          </cell>
          <cell r="O105">
            <v>1221.862862</v>
          </cell>
          <cell r="P105">
            <v>6336</v>
          </cell>
        </row>
        <row r="106">
          <cell r="G106">
            <v>319.07147286999998</v>
          </cell>
          <cell r="H106">
            <v>302.76131756126233</v>
          </cell>
          <cell r="I106">
            <v>299.47815459668072</v>
          </cell>
          <cell r="J106">
            <v>2014</v>
          </cell>
          <cell r="K106">
            <v>2020.5896203999998</v>
          </cell>
          <cell r="L106">
            <v>2659.4969224070219</v>
          </cell>
          <cell r="M106">
            <v>2721.6170570166196</v>
          </cell>
          <cell r="N106">
            <v>2014</v>
          </cell>
          <cell r="O106">
            <v>1302.0827300000001</v>
          </cell>
          <cell r="P106">
            <v>6195.1650315784418</v>
          </cell>
        </row>
        <row r="107">
          <cell r="G107">
            <v>320.04149344999996</v>
          </cell>
          <cell r="H107">
            <v>302.63604149212875</v>
          </cell>
          <cell r="I107">
            <v>299.28188401669991</v>
          </cell>
          <cell r="J107">
            <v>2015</v>
          </cell>
          <cell r="K107">
            <v>2083.9502199000003</v>
          </cell>
          <cell r="L107">
            <v>2702.7077118393454</v>
          </cell>
          <cell r="M107">
            <v>2783.5952297346525</v>
          </cell>
          <cell r="N107">
            <v>2015</v>
          </cell>
          <cell r="O107">
            <v>1366.2737239999999</v>
          </cell>
          <cell r="P107">
            <v>6297.8724834735058</v>
          </cell>
        </row>
        <row r="108">
          <cell r="G108">
            <v>321.22023661000003</v>
          </cell>
          <cell r="H108">
            <v>302.4843194019968</v>
          </cell>
          <cell r="I108">
            <v>299.0433812380665</v>
          </cell>
          <cell r="J108">
            <v>2016</v>
          </cell>
          <cell r="K108">
            <v>2146.6302292999999</v>
          </cell>
          <cell r="L108">
            <v>2744.180551622544</v>
          </cell>
          <cell r="M108">
            <v>2844.9076617384098</v>
          </cell>
          <cell r="N108">
            <v>2016</v>
          </cell>
          <cell r="O108">
            <v>1436.489624</v>
          </cell>
          <cell r="P108">
            <v>6410.2199596867358</v>
          </cell>
        </row>
        <row r="109">
          <cell r="G109">
            <v>317.27431514999995</v>
          </cell>
          <cell r="H109">
            <v>302.9944263448574</v>
          </cell>
          <cell r="I109">
            <v>299.84178521987985</v>
          </cell>
          <cell r="J109">
            <v>2017</v>
          </cell>
          <cell r="K109">
            <v>2204.3677465000001</v>
          </cell>
          <cell r="L109">
            <v>2781.3253166710429</v>
          </cell>
          <cell r="M109">
            <v>2901.3854388044556</v>
          </cell>
          <cell r="N109">
            <v>2017</v>
          </cell>
          <cell r="O109">
            <v>1503.739491</v>
          </cell>
          <cell r="P109">
            <v>6517.8216970870308</v>
          </cell>
        </row>
        <row r="110">
          <cell r="G110">
            <v>317.24267867000003</v>
          </cell>
          <cell r="H110">
            <v>302.99854171936556</v>
          </cell>
          <cell r="I110">
            <v>299.84818643487068</v>
          </cell>
          <cell r="J110">
            <v>2018</v>
          </cell>
          <cell r="K110">
            <v>2262.5792571000002</v>
          </cell>
          <cell r="L110">
            <v>2817.8028576592669</v>
          </cell>
          <cell r="M110">
            <v>2958.3268674938163</v>
          </cell>
          <cell r="N110">
            <v>2018</v>
          </cell>
          <cell r="O110">
            <v>1577.162726</v>
          </cell>
          <cell r="P110">
            <v>6635.301002310789</v>
          </cell>
        </row>
        <row r="111">
          <cell r="G111">
            <v>314.34328149999999</v>
          </cell>
          <cell r="H111">
            <v>303.37745755767685</v>
          </cell>
          <cell r="I111">
            <v>300.4348403429255</v>
          </cell>
          <cell r="J111">
            <v>2019</v>
          </cell>
          <cell r="K111">
            <v>2319.2871018000001</v>
          </cell>
          <cell r="L111">
            <v>2852.4466796581391</v>
          </cell>
          <cell r="M111">
            <v>3013.7974378643494</v>
          </cell>
          <cell r="N111">
            <v>2019</v>
          </cell>
          <cell r="O111">
            <v>1639.67632</v>
          </cell>
          <cell r="P111">
            <v>6735.3245655623969</v>
          </cell>
        </row>
        <row r="112">
          <cell r="G112">
            <v>315.50015542</v>
          </cell>
          <cell r="H112">
            <v>303.22585086442132</v>
          </cell>
          <cell r="I112">
            <v>300.20076251001694</v>
          </cell>
          <cell r="J112">
            <v>2020</v>
          </cell>
          <cell r="K112">
            <v>2377.7218233000003</v>
          </cell>
          <cell r="L112">
            <v>2887.2703785501863</v>
          </cell>
          <cell r="M112">
            <v>3070.9572073494401</v>
          </cell>
          <cell r="N112">
            <v>2020</v>
          </cell>
          <cell r="O112">
            <v>1705.7978700000001</v>
          </cell>
          <cell r="P112">
            <v>6841.1209630422682</v>
          </cell>
        </row>
        <row r="113">
          <cell r="G113">
            <v>316.60418516999999</v>
          </cell>
          <cell r="H113">
            <v>303.08168683583153</v>
          </cell>
          <cell r="I113">
            <v>299.97737698210523</v>
          </cell>
          <cell r="J113">
            <v>2021</v>
          </cell>
          <cell r="K113">
            <v>2439.5654765999998</v>
          </cell>
          <cell r="L113">
            <v>2923.2055190854799</v>
          </cell>
          <cell r="M113">
            <v>3131.4515312035173</v>
          </cell>
          <cell r="N113">
            <v>2021</v>
          </cell>
          <cell r="O113">
            <v>1761.876129</v>
          </cell>
          <cell r="P113">
            <v>6930.8478036735478</v>
          </cell>
        </row>
        <row r="114">
          <cell r="G114">
            <v>314.02580390000003</v>
          </cell>
          <cell r="H114">
            <v>303.41916012380017</v>
          </cell>
          <cell r="I114">
            <v>300.49907765290391</v>
          </cell>
          <cell r="J114">
            <v>2022</v>
          </cell>
          <cell r="K114">
            <v>2511.4935043</v>
          </cell>
          <cell r="L114">
            <v>2963.8717110873577</v>
          </cell>
          <cell r="M114">
            <v>3201.8102045626301</v>
          </cell>
          <cell r="N114">
            <v>2022</v>
          </cell>
          <cell r="O114">
            <v>1832.3539189999999</v>
          </cell>
          <cell r="P114">
            <v>7043.6143114814095</v>
          </cell>
        </row>
        <row r="115">
          <cell r="G115">
            <v>312.16577096000003</v>
          </cell>
          <cell r="H115">
            <v>303.66433680226078</v>
          </cell>
          <cell r="I115">
            <v>300.87543022876076</v>
          </cell>
          <cell r="J115">
            <v>2023</v>
          </cell>
          <cell r="K115">
            <v>2591.8140733999994</v>
          </cell>
          <cell r="L115">
            <v>3007.9285968792492</v>
          </cell>
          <cell r="M115">
            <v>3280.3783075126412</v>
          </cell>
          <cell r="N115">
            <v>2023</v>
          </cell>
          <cell r="O115">
            <v>1885.834558</v>
          </cell>
          <cell r="P115">
            <v>7129.184884783479</v>
          </cell>
        </row>
        <row r="116">
          <cell r="G116">
            <v>316.84677275000001</v>
          </cell>
          <cell r="H116">
            <v>303.05007715937325</v>
          </cell>
          <cell r="I116">
            <v>299.9282926574997</v>
          </cell>
          <cell r="J116">
            <v>2024</v>
          </cell>
          <cell r="K116">
            <v>2679.4342780000002</v>
          </cell>
          <cell r="L116">
            <v>3054.4586648127197</v>
          </cell>
          <cell r="M116">
            <v>3366.0867796095345</v>
          </cell>
          <cell r="N116">
            <v>2024</v>
          </cell>
          <cell r="O116">
            <v>1950.7029729999999</v>
          </cell>
          <cell r="P116">
            <v>7232.9762299232898</v>
          </cell>
        </row>
        <row r="117">
          <cell r="G117">
            <v>317.15401794000007</v>
          </cell>
          <cell r="H117">
            <v>303.01007717776395</v>
          </cell>
          <cell r="I117">
            <v>299.86612573766217</v>
          </cell>
          <cell r="J117">
            <v>2025</v>
          </cell>
          <cell r="K117">
            <v>2774.5402503</v>
          </cell>
          <cell r="L117">
            <v>3103.2723514737127</v>
          </cell>
          <cell r="M117">
            <v>3459.1176919468744</v>
          </cell>
          <cell r="N117">
            <v>2025</v>
          </cell>
          <cell r="O117">
            <v>2024.878252</v>
          </cell>
          <cell r="P117">
            <v>7351.6588273558118</v>
          </cell>
        </row>
        <row r="118">
          <cell r="G118">
            <v>317.13283171</v>
          </cell>
          <cell r="H118">
            <v>303.01283415030065</v>
          </cell>
          <cell r="I118">
            <v>299.87041248552657</v>
          </cell>
          <cell r="J118">
            <v>2026</v>
          </cell>
          <cell r="K118">
            <v>2879.6123496999999</v>
          </cell>
          <cell r="L118">
            <v>3155.2926430989965</v>
          </cell>
          <cell r="M118">
            <v>3561.8972864559109</v>
          </cell>
          <cell r="N118">
            <v>2026</v>
          </cell>
          <cell r="O118">
            <v>2106.2538709999999</v>
          </cell>
          <cell r="P118">
            <v>7481.8621775932852</v>
          </cell>
        </row>
        <row r="119">
          <cell r="G119">
            <v>329.61937967999995</v>
          </cell>
          <cell r="H119">
            <v>301.41907423058802</v>
          </cell>
          <cell r="I119">
            <v>297.34392793194127</v>
          </cell>
          <cell r="J119">
            <v>2027</v>
          </cell>
          <cell r="K119">
            <v>2984.1930711999998</v>
          </cell>
          <cell r="L119">
            <v>3205.2179835947745</v>
          </cell>
          <cell r="M119">
            <v>3664.196224143574</v>
          </cell>
          <cell r="N119">
            <v>2027</v>
          </cell>
          <cell r="O119">
            <v>2193.3254480000001</v>
          </cell>
          <cell r="P119">
            <v>7621.1792258096575</v>
          </cell>
        </row>
        <row r="120">
          <cell r="G120">
            <v>331.06686551000001</v>
          </cell>
          <cell r="H120">
            <v>301.23823851251768</v>
          </cell>
          <cell r="I120">
            <v>297.05104869904079</v>
          </cell>
          <cell r="J120">
            <v>2028</v>
          </cell>
          <cell r="K120">
            <v>3092.4288740000002</v>
          </cell>
          <cell r="L120">
            <v>3255.0785902298294</v>
          </cell>
          <cell r="M120">
            <v>3770.070495112448</v>
          </cell>
          <cell r="N120">
            <v>2028</v>
          </cell>
          <cell r="O120">
            <v>2273.9649589999999</v>
          </cell>
          <cell r="P120">
            <v>7750.2047819005002</v>
          </cell>
        </row>
        <row r="121">
          <cell r="G121">
            <v>333.95276374000002</v>
          </cell>
          <cell r="H121">
            <v>300.88004828067164</v>
          </cell>
          <cell r="I121">
            <v>296.46712611941098</v>
          </cell>
          <cell r="J121">
            <v>2029</v>
          </cell>
          <cell r="K121">
            <v>3202.9177786</v>
          </cell>
          <cell r="L121">
            <v>3304.2085620815005</v>
          </cell>
          <cell r="M121">
            <v>3878.1487088093527</v>
          </cell>
          <cell r="N121">
            <v>2029</v>
          </cell>
          <cell r="O121">
            <v>2356.5114309999999</v>
          </cell>
          <cell r="P121">
            <v>7882.2815308919107</v>
          </cell>
        </row>
        <row r="122">
          <cell r="G122">
            <v>338.48675989000003</v>
          </cell>
          <cell r="H122">
            <v>300.32350497753021</v>
          </cell>
          <cell r="I122">
            <v>295.54973315647896</v>
          </cell>
          <cell r="J122">
            <v>2030</v>
          </cell>
          <cell r="K122">
            <v>3332.4983846999999</v>
          </cell>
          <cell r="L122">
            <v>3359.7128554945239</v>
          </cell>
          <cell r="M122">
            <v>4004.90207366306</v>
          </cell>
          <cell r="N122">
            <v>2030</v>
          </cell>
          <cell r="O122">
            <v>2435.9209999999998</v>
          </cell>
          <cell r="P122">
            <v>8009.3391441152744</v>
          </cell>
        </row>
        <row r="123">
          <cell r="G123">
            <v>344.00598583999999</v>
          </cell>
          <cell r="H123">
            <v>299.65600067965477</v>
          </cell>
          <cell r="I123">
            <v>294.43299223305291</v>
          </cell>
          <cell r="J123">
            <v>2031</v>
          </cell>
          <cell r="K123">
            <v>3442.2490373999999</v>
          </cell>
          <cell r="L123">
            <v>3405.0605171911329</v>
          </cell>
          <cell r="M123">
            <v>4112.258142933797</v>
          </cell>
          <cell r="N123">
            <v>2031</v>
          </cell>
          <cell r="O123">
            <v>2531.1727129999999</v>
          </cell>
          <cell r="P123">
            <v>8161.7446471500134</v>
          </cell>
        </row>
        <row r="124">
          <cell r="G124">
            <v>344.01553636</v>
          </cell>
          <cell r="H124">
            <v>299.65485493072765</v>
          </cell>
          <cell r="I124">
            <v>294.43105981415562</v>
          </cell>
          <cell r="K124">
            <v>3565.1723305999999</v>
          </cell>
          <cell r="L124">
            <v>3454.1652559274162</v>
          </cell>
          <cell r="M124">
            <v>4232.4994467904453</v>
          </cell>
          <cell r="N124">
            <v>2032</v>
          </cell>
          <cell r="O124">
            <v>2621.0043449999998</v>
          </cell>
          <cell r="P124">
            <v>8305.4778634060985</v>
          </cell>
        </row>
        <row r="125">
          <cell r="G125">
            <v>352.16671738000002</v>
          </cell>
          <cell r="H125">
            <v>298.68839934499135</v>
          </cell>
          <cell r="I125">
            <v>292.78177828414539</v>
          </cell>
          <cell r="K125">
            <v>3708.1658152000005</v>
          </cell>
          <cell r="L125">
            <v>3509.2005551615157</v>
          </cell>
          <cell r="M125">
            <v>4372.3730426217498</v>
          </cell>
          <cell r="N125">
            <v>2033</v>
          </cell>
          <cell r="O125">
            <v>2698.900541</v>
          </cell>
          <cell r="P125">
            <v>8430.1140359426772</v>
          </cell>
        </row>
        <row r="126">
          <cell r="G126">
            <v>360.25747230000007</v>
          </cell>
          <cell r="H126">
            <v>297.75098083368539</v>
          </cell>
          <cell r="I126">
            <v>291.14472316039655</v>
          </cell>
          <cell r="K126">
            <v>3837.6261948000001</v>
          </cell>
          <cell r="L126">
            <v>3557.2266817524842</v>
          </cell>
          <cell r="M126">
            <v>4499.0088041250929</v>
          </cell>
          <cell r="N126">
            <v>2034</v>
          </cell>
          <cell r="O126">
            <v>2796.5181590000002</v>
          </cell>
          <cell r="P126">
            <v>8586.3050555870468</v>
          </cell>
        </row>
        <row r="127">
          <cell r="G127">
            <v>360.16767245</v>
          </cell>
          <cell r="H127">
            <v>297.76126931363558</v>
          </cell>
          <cell r="I127">
            <v>291.16289294875475</v>
          </cell>
          <cell r="K127">
            <v>3986.1197308000001</v>
          </cell>
          <cell r="L127">
            <v>3610.3576666465606</v>
          </cell>
          <cell r="M127">
            <v>4644.2624490455355</v>
          </cell>
          <cell r="N127">
            <v>2035</v>
          </cell>
          <cell r="O127">
            <v>2869.3628429999999</v>
          </cell>
          <cell r="P127">
            <v>8702.858662433222</v>
          </cell>
        </row>
        <row r="156">
          <cell r="G156">
            <v>2017</v>
          </cell>
          <cell r="H156">
            <v>2018</v>
          </cell>
          <cell r="I156">
            <v>2019</v>
          </cell>
          <cell r="J156">
            <v>2020</v>
          </cell>
          <cell r="K156">
            <v>2021</v>
          </cell>
          <cell r="L156">
            <v>2022</v>
          </cell>
          <cell r="M156">
            <v>2023</v>
          </cell>
          <cell r="N156">
            <v>2024</v>
          </cell>
          <cell r="O156">
            <v>2025</v>
          </cell>
          <cell r="P156">
            <v>2026</v>
          </cell>
          <cell r="Q156">
            <v>2027</v>
          </cell>
          <cell r="R156">
            <v>2028</v>
          </cell>
          <cell r="S156">
            <v>2029</v>
          </cell>
          <cell r="T156">
            <v>2030</v>
          </cell>
          <cell r="U156">
            <v>2031</v>
          </cell>
          <cell r="V156">
            <v>2032</v>
          </cell>
          <cell r="W156">
            <v>2033</v>
          </cell>
          <cell r="X156">
            <v>2034</v>
          </cell>
          <cell r="Y156">
            <v>2035</v>
          </cell>
        </row>
        <row r="157">
          <cell r="G157">
            <v>13842.907114251881</v>
          </cell>
          <cell r="H157">
            <v>14023.216425344392</v>
          </cell>
          <cell r="I157">
            <v>14266.319353967396</v>
          </cell>
          <cell r="J157">
            <v>14513.683501515552</v>
          </cell>
          <cell r="K157">
            <v>14784.738793280194</v>
          </cell>
          <cell r="L157">
            <v>15048.82150982591</v>
          </cell>
          <cell r="M157">
            <v>15351.081667959821</v>
          </cell>
          <cell r="N157">
            <v>15676.70161423125</v>
          </cell>
          <cell r="O157">
            <v>16022.910400199034</v>
          </cell>
          <cell r="P157">
            <v>16435.334001552066</v>
          </cell>
          <cell r="Q157">
            <v>16796.9270935268</v>
          </cell>
          <cell r="R157">
            <v>17186.008838626629</v>
          </cell>
          <cell r="S157">
            <v>17509.663776252026</v>
          </cell>
          <cell r="T157">
            <v>17849.045518001847</v>
          </cell>
          <cell r="U157">
            <v>18205.116228437721</v>
          </cell>
          <cell r="V157">
            <v>18533.843580326749</v>
          </cell>
          <cell r="W157">
            <v>18839.457555909743</v>
          </cell>
          <cell r="X157">
            <v>19186.22471079613</v>
          </cell>
          <cell r="Y157">
            <v>19422.392838095242</v>
          </cell>
        </row>
        <row r="158">
          <cell r="G158">
            <v>302.9944263448574</v>
          </cell>
          <cell r="H158">
            <v>302.99854171936556</v>
          </cell>
          <cell r="I158">
            <v>303.37745755767685</v>
          </cell>
          <cell r="J158">
            <v>303.22585086442132</v>
          </cell>
          <cell r="K158">
            <v>303.08168683583153</v>
          </cell>
          <cell r="L158">
            <v>303.41916012380017</v>
          </cell>
          <cell r="M158">
            <v>303.66433680226078</v>
          </cell>
          <cell r="N158">
            <v>303.05007715937325</v>
          </cell>
          <cell r="O158">
            <v>303.01007717776395</v>
          </cell>
          <cell r="P158">
            <v>303.01283415030065</v>
          </cell>
          <cell r="Q158">
            <v>301.41907423058802</v>
          </cell>
          <cell r="R158">
            <v>301.23823851251768</v>
          </cell>
          <cell r="S158">
            <v>300.88004828067164</v>
          </cell>
          <cell r="T158">
            <v>300.32350497753021</v>
          </cell>
          <cell r="U158">
            <v>299.65600067965477</v>
          </cell>
          <cell r="V158">
            <v>299.65485493072765</v>
          </cell>
          <cell r="W158">
            <v>298.68839934499135</v>
          </cell>
          <cell r="X158">
            <v>297.75098083368539</v>
          </cell>
          <cell r="Y158">
            <v>297.76126931363558</v>
          </cell>
        </row>
        <row r="159">
          <cell r="G159">
            <v>2781.3253166710429</v>
          </cell>
          <cell r="H159">
            <v>2817.8028576592669</v>
          </cell>
          <cell r="I159">
            <v>2852.4466796581391</v>
          </cell>
          <cell r="J159">
            <v>2887.2703785501863</v>
          </cell>
          <cell r="K159">
            <v>2923.2055190854799</v>
          </cell>
          <cell r="L159">
            <v>2963.8717110873577</v>
          </cell>
          <cell r="M159">
            <v>3007.9285968792492</v>
          </cell>
          <cell r="N159">
            <v>3054.4586648127197</v>
          </cell>
          <cell r="O159">
            <v>3103.2723514737127</v>
          </cell>
          <cell r="P159">
            <v>3155.2926430989965</v>
          </cell>
          <cell r="Q159">
            <v>3205.2179835947745</v>
          </cell>
          <cell r="R159">
            <v>3255.0785902298294</v>
          </cell>
          <cell r="S159">
            <v>3304.2085620815005</v>
          </cell>
          <cell r="T159">
            <v>3359.7128554945239</v>
          </cell>
          <cell r="U159">
            <v>3405.0605171911329</v>
          </cell>
          <cell r="V159">
            <v>3454.1652559274162</v>
          </cell>
          <cell r="W159">
            <v>3509.2005551615157</v>
          </cell>
          <cell r="X159">
            <v>3557.2266817524842</v>
          </cell>
          <cell r="Y159">
            <v>3610.3576666465606</v>
          </cell>
        </row>
        <row r="160">
          <cell r="G160">
            <v>6527.6845985495966</v>
          </cell>
          <cell r="H160">
            <v>6648.0748527559354</v>
          </cell>
          <cell r="I160">
            <v>6750.5768396680051</v>
          </cell>
          <cell r="J160">
            <v>6858.9947023924851</v>
          </cell>
          <cell r="K160">
            <v>6950.9448303929594</v>
          </cell>
          <cell r="L160">
            <v>7066.5055116132971</v>
          </cell>
          <cell r="M160">
            <v>7154.1963866384513</v>
          </cell>
          <cell r="N160">
            <v>7260.5595150379595</v>
          </cell>
          <cell r="O160">
            <v>7382.1828771063319</v>
          </cell>
          <cell r="P160">
            <v>7515.612457778011</v>
          </cell>
          <cell r="Q160">
            <v>7658.3815592644387</v>
          </cell>
          <cell r="R160">
            <v>7790.6041619373518</v>
          </cell>
          <cell r="S160">
            <v>7925.9535611829233</v>
          </cell>
          <cell r="T160">
            <v>8056.1594585167277</v>
          </cell>
          <cell r="U160">
            <v>8212.3413257643278</v>
          </cell>
          <cell r="V160">
            <v>8359.6360208598271</v>
          </cell>
          <cell r="W160">
            <v>8487.3604780857568</v>
          </cell>
          <cell r="X160">
            <v>8647.4216609802097</v>
          </cell>
          <cell r="Y160">
            <v>8766.8632794861296</v>
          </cell>
        </row>
        <row r="161">
          <cell r="G161">
            <v>23454.911455817379</v>
          </cell>
          <cell r="H161">
            <v>23792.092677478962</v>
          </cell>
          <cell r="I161">
            <v>24172.720330851218</v>
          </cell>
          <cell r="J161">
            <v>24563.174433322645</v>
          </cell>
          <cell r="K161">
            <v>24961.970829594466</v>
          </cell>
          <cell r="L161">
            <v>25382.617892650364</v>
          </cell>
          <cell r="M161">
            <v>25816.870988279781</v>
          </cell>
          <cell r="N161">
            <v>26294.7698712413</v>
          </cell>
          <cell r="O161">
            <v>26811.375705956845</v>
          </cell>
          <cell r="P161">
            <v>27409.251936579374</v>
          </cell>
          <cell r="Q161">
            <v>27961.945710616601</v>
          </cell>
          <cell r="R161">
            <v>28532.929829306326</v>
          </cell>
          <cell r="S161">
            <v>29040.705947797123</v>
          </cell>
          <cell r="T161">
            <v>29565.241336990628</v>
          </cell>
          <cell r="U161">
            <v>30122.174072072834</v>
          </cell>
          <cell r="V161">
            <v>30647.299712044718</v>
          </cell>
          <cell r="W161">
            <v>31134.706988502006</v>
          </cell>
          <cell r="X161">
            <v>31688.624034362507</v>
          </cell>
          <cell r="Y161">
            <v>32097.375053541567</v>
          </cell>
          <cell r="AB161">
            <v>0</v>
          </cell>
        </row>
      </sheetData>
      <sheetData sheetId="20">
        <row r="3">
          <cell r="H3">
            <v>2018</v>
          </cell>
        </row>
        <row r="4">
          <cell r="H4">
            <v>14023.216425344392</v>
          </cell>
        </row>
      </sheetData>
      <sheetData sheetId="21">
        <row r="3">
          <cell r="H3">
            <v>2018</v>
          </cell>
        </row>
        <row r="4">
          <cell r="H4">
            <v>14023.216425344392</v>
          </cell>
        </row>
      </sheetData>
      <sheetData sheetId="22">
        <row r="4">
          <cell r="H4">
            <v>2021</v>
          </cell>
        </row>
      </sheetData>
      <sheetData sheetId="23">
        <row r="4">
          <cell r="H4">
            <v>2021</v>
          </cell>
        </row>
      </sheetData>
      <sheetData sheetId="24">
        <row r="4">
          <cell r="H4">
            <v>2021</v>
          </cell>
        </row>
      </sheetData>
      <sheetData sheetId="25" refreshError="1"/>
      <sheetData sheetId="26"/>
      <sheetData sheetId="27"/>
      <sheetData sheetId="28"/>
      <sheetData sheetId="29"/>
      <sheetData sheetId="30"/>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Summary"/>
      <sheetName val="MeasureTable"/>
      <sheetName val="ProData"/>
      <sheetName val="Measure_InputOutput"/>
      <sheetName val="LookupTable"/>
      <sheetName val="ProCostTables"/>
      <sheetName val="Residential Analysis"/>
      <sheetName val="MF Residential Analysis"/>
      <sheetName val="Current Input Assumptions"/>
      <sheetName val="Commercial Analysis"/>
      <sheetName val="PREVIOUS Input Assumptions"/>
      <sheetName val="WasteWater System Savings"/>
      <sheetName val="Incentives"/>
      <sheetName val="Tables for Presentation"/>
      <sheetName val="Summary Feb 2, 2010"/>
      <sheetName val="Sheet1"/>
    </sheetNames>
    <sheetDataSet>
      <sheetData sheetId="0"/>
      <sheetData sheetId="1"/>
      <sheetData sheetId="2"/>
      <sheetData sheetId="3"/>
      <sheetData sheetId="4"/>
      <sheetData sheetId="5"/>
      <sheetData sheetId="6">
        <row r="19">
          <cell r="D19">
            <v>3788.0920000000001</v>
          </cell>
        </row>
      </sheetData>
      <sheetData sheetId="7"/>
      <sheetData sheetId="8"/>
      <sheetData sheetId="9"/>
      <sheetData sheetId="10"/>
      <sheetData sheetId="11"/>
      <sheetData sheetId="12"/>
      <sheetData sheetId="13"/>
      <sheetData sheetId="14"/>
      <sheetData sheetId="15"/>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7PSourceSummary"/>
      <sheetName val="forRPM"/>
      <sheetName val="SC-New"/>
      <sheetName val="SC-Retro"/>
      <sheetName val="M_Input_Retro_Out"/>
      <sheetName val="M_Input_Retro"/>
      <sheetName val="MMap"/>
      <sheetName val="Savings &amp; Cost"/>
      <sheetName val="Summary"/>
      <sheetName val="Impacts"/>
      <sheetName val="ToDo7P"/>
      <sheetName val="Notes"/>
      <sheetName val="Measure_InputOutput"/>
      <sheetName val="Regional Potential Estimates"/>
      <sheetName val="WeightingForCommercialAvg"/>
      <sheetName val="Usage"/>
      <sheetName val="Fitness Centers Survey"/>
      <sheetName val="FlowRates"/>
      <sheetName val="EnergyPerGallon"/>
      <sheetName val="WaterCostAndEnergy"/>
      <sheetName val="InstallRatesCostAndLifetime"/>
      <sheetName val="InputForProCost"/>
      <sheetName val="InputForProCost_FitnessCen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C2" t="str">
            <v>Site 1</v>
          </cell>
        </row>
      </sheetData>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2.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26" Type="http://schemas.openxmlformats.org/officeDocument/2006/relationships/hyperlink" Target="http://en.wikipedia.org/wiki/List_of_colleges_and_universities_in_Oregon" TargetMode="External"/><Relationship Id="rId117" Type="http://schemas.openxmlformats.org/officeDocument/2006/relationships/hyperlink" Target="http://en.wikipedia.org/wiki/Eugene,_Oregon" TargetMode="External"/><Relationship Id="rId21" Type="http://schemas.openxmlformats.org/officeDocument/2006/relationships/hyperlink" Target="http://en.wikipedia.org/wiki/Western_Oregon_University" TargetMode="External"/><Relationship Id="rId42" Type="http://schemas.openxmlformats.org/officeDocument/2006/relationships/hyperlink" Target="http://en.wikipedia.org/wiki/Portland,_Oregon" TargetMode="External"/><Relationship Id="rId47" Type="http://schemas.openxmlformats.org/officeDocument/2006/relationships/hyperlink" Target="http://en.wikipedia.org/wiki/Ashland,_Oregon" TargetMode="External"/><Relationship Id="rId63" Type="http://schemas.openxmlformats.org/officeDocument/2006/relationships/hyperlink" Target="http://en.wikipedia.org/wiki/Portland,_Oregon" TargetMode="External"/><Relationship Id="rId68" Type="http://schemas.openxmlformats.org/officeDocument/2006/relationships/hyperlink" Target="http://en.wikipedia.org/wiki/Oregon_State_University" TargetMode="External"/><Relationship Id="rId84" Type="http://schemas.openxmlformats.org/officeDocument/2006/relationships/hyperlink" Target="http://en.wikipedia.org/wiki/Disciples_of_Christ" TargetMode="External"/><Relationship Id="rId89" Type="http://schemas.openxmlformats.org/officeDocument/2006/relationships/hyperlink" Target="http://en.wikipedia.org/wiki/New_Hope_Christian_College" TargetMode="External"/><Relationship Id="rId112" Type="http://schemas.openxmlformats.org/officeDocument/2006/relationships/hyperlink" Target="http://en.wikipedia.org/wiki/McMinnville,_Oregon" TargetMode="External"/><Relationship Id="rId133" Type="http://schemas.openxmlformats.org/officeDocument/2006/relationships/hyperlink" Target="http://en.wikipedia.org/wiki/Eastern_Oregon_University" TargetMode="External"/><Relationship Id="rId138" Type="http://schemas.openxmlformats.org/officeDocument/2006/relationships/hyperlink" Target="http://en.wikipedia.org/wiki/Portland,_Oregon" TargetMode="External"/><Relationship Id="rId154" Type="http://schemas.openxmlformats.org/officeDocument/2006/relationships/hyperlink" Target="http://en.wikipedia.org/wiki/Central_Oregon_Community_College" TargetMode="External"/><Relationship Id="rId159" Type="http://schemas.openxmlformats.org/officeDocument/2006/relationships/hyperlink" Target="http://en.wikipedia.org/wiki/For-profit_university" TargetMode="External"/><Relationship Id="rId16" Type="http://schemas.openxmlformats.org/officeDocument/2006/relationships/hyperlink" Target="http://en.wikipedia.org/wiki/List_of_colleges_and_universities_in_Oregon" TargetMode="External"/><Relationship Id="rId107" Type="http://schemas.openxmlformats.org/officeDocument/2006/relationships/hyperlink" Target="http://en.wikipedia.org/wiki/List_of_colleges_and_universities_in_Oregon" TargetMode="External"/><Relationship Id="rId11" Type="http://schemas.openxmlformats.org/officeDocument/2006/relationships/hyperlink" Target="http://en.wikipedia.org/wiki/Portland,_Oregon" TargetMode="External"/><Relationship Id="rId32" Type="http://schemas.openxmlformats.org/officeDocument/2006/relationships/hyperlink" Target="http://en.wikipedia.org/wiki/Roseburg,_Oregon" TargetMode="External"/><Relationship Id="rId37" Type="http://schemas.openxmlformats.org/officeDocument/2006/relationships/hyperlink" Target="http://en.wikipedia.org/wiki/List_of_colleges_and_universities_in_Oregon" TargetMode="External"/><Relationship Id="rId53" Type="http://schemas.openxmlformats.org/officeDocument/2006/relationships/hyperlink" Target="http://en.wikipedia.org/wiki/Portland,_Oregon" TargetMode="External"/><Relationship Id="rId58" Type="http://schemas.openxmlformats.org/officeDocument/2006/relationships/hyperlink" Target="http://en.wikipedia.org/wiki/For-profit_university" TargetMode="External"/><Relationship Id="rId74" Type="http://schemas.openxmlformats.org/officeDocument/2006/relationships/hyperlink" Target="http://en.wikipedia.org/wiki/List_of_colleges_and_universities_in_Oregon" TargetMode="External"/><Relationship Id="rId79" Type="http://schemas.openxmlformats.org/officeDocument/2006/relationships/hyperlink" Target="http://en.wikipedia.org/wiki/Oregon_College_of_Art_and_Craft" TargetMode="External"/><Relationship Id="rId102" Type="http://schemas.openxmlformats.org/officeDocument/2006/relationships/hyperlink" Target="http://en.wikipedia.org/wiki/St._Benedict,_Oregon" TargetMode="External"/><Relationship Id="rId123" Type="http://schemas.openxmlformats.org/officeDocument/2006/relationships/hyperlink" Target="http://en.wikipedia.org/wiki/List_of_colleges_and_universities_in_Oregon" TargetMode="External"/><Relationship Id="rId128" Type="http://schemas.openxmlformats.org/officeDocument/2006/relationships/hyperlink" Target="http://en.wikipedia.org/wiki/Gutenberg_College" TargetMode="External"/><Relationship Id="rId144" Type="http://schemas.openxmlformats.org/officeDocument/2006/relationships/hyperlink" Target="http://en.wikipedia.org/wiki/Astoria,_Oregon" TargetMode="External"/><Relationship Id="rId149" Type="http://schemas.openxmlformats.org/officeDocument/2006/relationships/hyperlink" Target="http://en.wikipedia.org/wiki/List_of_colleges_and_universities_in_Oregon" TargetMode="External"/><Relationship Id="rId5" Type="http://schemas.openxmlformats.org/officeDocument/2006/relationships/hyperlink" Target="http://opi.mt.gov/pdf/Measurement/EnrollBook2012.pdf" TargetMode="External"/><Relationship Id="rId90" Type="http://schemas.openxmlformats.org/officeDocument/2006/relationships/hyperlink" Target="http://en.wikipedia.org/wiki/List_of_colleges_and_universities_in_Oregon" TargetMode="External"/><Relationship Id="rId95" Type="http://schemas.openxmlformats.org/officeDocument/2006/relationships/hyperlink" Target="http://en.wikipedia.org/wiki/Portland,_Oregon" TargetMode="External"/><Relationship Id="rId160" Type="http://schemas.openxmlformats.org/officeDocument/2006/relationships/hyperlink" Target="http://en.wikipedia.org/wiki/Portland,_Oregon" TargetMode="External"/><Relationship Id="rId165" Type="http://schemas.openxmlformats.org/officeDocument/2006/relationships/hyperlink" Target="http://en.wikipedia.org/wiki/American_College_of_Healthcare_Sciences" TargetMode="External"/><Relationship Id="rId22" Type="http://schemas.openxmlformats.org/officeDocument/2006/relationships/hyperlink" Target="http://en.wikipedia.org/wiki/Monmouth,_Oregon" TargetMode="External"/><Relationship Id="rId27" Type="http://schemas.openxmlformats.org/officeDocument/2006/relationships/hyperlink" Target="http://en.wikipedia.org/wiki/Willamette_University" TargetMode="External"/><Relationship Id="rId43" Type="http://schemas.openxmlformats.org/officeDocument/2006/relationships/hyperlink" Target="http://en.wikipedia.org/w/index.php?title=Sumner_College&amp;action=edit&amp;redlink=1" TargetMode="External"/><Relationship Id="rId48" Type="http://schemas.openxmlformats.org/officeDocument/2006/relationships/hyperlink" Target="http://en.wikipedia.org/wiki/Southern_Oregon_University" TargetMode="External"/><Relationship Id="rId64" Type="http://schemas.openxmlformats.org/officeDocument/2006/relationships/hyperlink" Target="http://en.wikipedia.org/wiki/Pacific_Northwest_College_of_Art" TargetMode="External"/><Relationship Id="rId69" Type="http://schemas.openxmlformats.org/officeDocument/2006/relationships/hyperlink" Target="http://en.wikipedia.org/wiki/Klamath_Falls,_Oregon" TargetMode="External"/><Relationship Id="rId113" Type="http://schemas.openxmlformats.org/officeDocument/2006/relationships/hyperlink" Target="http://en.wikipedia.org/wiki/Linfield_College" TargetMode="External"/><Relationship Id="rId118" Type="http://schemas.openxmlformats.org/officeDocument/2006/relationships/hyperlink" Target="http://en.wikipedia.org/wiki/Lane_Community_College" TargetMode="External"/><Relationship Id="rId134" Type="http://schemas.openxmlformats.org/officeDocument/2006/relationships/hyperlink" Target="http://en.wikipedia.org/wiki/Baptist" TargetMode="External"/><Relationship Id="rId139" Type="http://schemas.openxmlformats.org/officeDocument/2006/relationships/hyperlink" Target="http://en.wikipedia.org/wiki/Concordia_University,_Portland" TargetMode="External"/><Relationship Id="rId80" Type="http://schemas.openxmlformats.org/officeDocument/2006/relationships/hyperlink" Target="http://en.wikipedia.org/wiki/List_of_colleges_and_universities_in_Oregon" TargetMode="External"/><Relationship Id="rId85" Type="http://schemas.openxmlformats.org/officeDocument/2006/relationships/hyperlink" Target="http://en.wikipedia.org/wiki/Eugene,_Oregon" TargetMode="External"/><Relationship Id="rId150" Type="http://schemas.openxmlformats.org/officeDocument/2006/relationships/hyperlink" Target="http://en.wikipedia.org/wiki/Salem,_Oregon" TargetMode="External"/><Relationship Id="rId155" Type="http://schemas.openxmlformats.org/officeDocument/2006/relationships/hyperlink" Target="http://en.wikipedia.org/wiki/List_of_colleges_and_universities_in_Oregon" TargetMode="External"/><Relationship Id="rId12" Type="http://schemas.openxmlformats.org/officeDocument/2006/relationships/hyperlink" Target="http://en.wikipedia.org/wiki/List_of_colleges_and_universities_in_Oregon" TargetMode="External"/><Relationship Id="rId17" Type="http://schemas.openxmlformats.org/officeDocument/2006/relationships/hyperlink" Target="http://en.wikipedia.org/wiki/Western_Culinary_Institute" TargetMode="External"/><Relationship Id="rId33" Type="http://schemas.openxmlformats.org/officeDocument/2006/relationships/hyperlink" Target="http://en.wikipedia.org/wiki/Umpqua_Community_College" TargetMode="External"/><Relationship Id="rId38" Type="http://schemas.openxmlformats.org/officeDocument/2006/relationships/hyperlink" Target="http://en.wikipedia.org/wiki/Tillamook,_Oregon" TargetMode="External"/><Relationship Id="rId59" Type="http://schemas.openxmlformats.org/officeDocument/2006/relationships/hyperlink" Target="http://en.wikipedia.org/wiki/Wilsonville,_Oregon" TargetMode="External"/><Relationship Id="rId103" Type="http://schemas.openxmlformats.org/officeDocument/2006/relationships/hyperlink" Target="http://en.wikipedia.org/wiki/Mount_Angel_Seminary" TargetMode="External"/><Relationship Id="rId108" Type="http://schemas.openxmlformats.org/officeDocument/2006/relationships/hyperlink" Target="http://en.wikipedia.org/wiki/Albany,_Oregon" TargetMode="External"/><Relationship Id="rId124" Type="http://schemas.openxmlformats.org/officeDocument/2006/relationships/hyperlink" Target="http://en.wikipedia.org/wiki/List_of_colleges_and_universities_in_Oregon" TargetMode="External"/><Relationship Id="rId129" Type="http://schemas.openxmlformats.org/officeDocument/2006/relationships/hyperlink" Target="http://en.wikipedia.org/wiki/Quaker" TargetMode="External"/><Relationship Id="rId54" Type="http://schemas.openxmlformats.org/officeDocument/2006/relationships/hyperlink" Target="http://en.wikipedia.org/wiki/List_of_colleges_and_universities_in_Oregon" TargetMode="External"/><Relationship Id="rId70" Type="http://schemas.openxmlformats.org/officeDocument/2006/relationships/hyperlink" Target="http://en.wikipedia.org/wiki/Oregon_Institute_of_Technology" TargetMode="External"/><Relationship Id="rId75" Type="http://schemas.openxmlformats.org/officeDocument/2006/relationships/hyperlink" Target="http://en.wikipedia.org/wiki/Portland,_Oregon" TargetMode="External"/><Relationship Id="rId91" Type="http://schemas.openxmlformats.org/officeDocument/2006/relationships/hyperlink" Target="http://en.wikipedia.org/wiki/Portland,_Oregon" TargetMode="External"/><Relationship Id="rId96" Type="http://schemas.openxmlformats.org/officeDocument/2006/relationships/hyperlink" Target="http://en.wikipedia.org/wiki/Multnomah_University" TargetMode="External"/><Relationship Id="rId140" Type="http://schemas.openxmlformats.org/officeDocument/2006/relationships/hyperlink" Target="http://en.wikipedia.org/wiki/List_of_colleges_and_universities_in_Oregon" TargetMode="External"/><Relationship Id="rId145" Type="http://schemas.openxmlformats.org/officeDocument/2006/relationships/hyperlink" Target="http://en.wikipedia.org/wiki/Clatsop_Community_College" TargetMode="External"/><Relationship Id="rId161" Type="http://schemas.openxmlformats.org/officeDocument/2006/relationships/hyperlink" Target="http://en.wikipedia.org/wiki/Art_Institute_of_Portland" TargetMode="External"/><Relationship Id="rId166" Type="http://schemas.openxmlformats.org/officeDocument/2006/relationships/hyperlink" Target="http://en.wikipedia.org/wiki/List_of_colleges_and_universities_in_Oregon" TargetMode="External"/><Relationship Id="rId1" Type="http://schemas.openxmlformats.org/officeDocument/2006/relationships/hyperlink" Target="http://www.ahla.com/content.aspx?id=34706" TargetMode="External"/><Relationship Id="rId6" Type="http://schemas.openxmlformats.org/officeDocument/2006/relationships/hyperlink" Target="http://www.fitness.com/" TargetMode="External"/><Relationship Id="rId15" Type="http://schemas.openxmlformats.org/officeDocument/2006/relationships/hyperlink" Target="http://en.wikipedia.org/wiki/Church_of_God_(Anderson)" TargetMode="External"/><Relationship Id="rId23" Type="http://schemas.openxmlformats.org/officeDocument/2006/relationships/hyperlink" Target="http://en.wikipedia.org/wiki/Western_Seminary" TargetMode="External"/><Relationship Id="rId28" Type="http://schemas.openxmlformats.org/officeDocument/2006/relationships/hyperlink" Target="http://en.wikipedia.org/wiki/Salem,_Oregon" TargetMode="External"/><Relationship Id="rId36" Type="http://schemas.openxmlformats.org/officeDocument/2006/relationships/hyperlink" Target="http://en.wikipedia.org/wiki/Treasure_Valley_Community_College" TargetMode="External"/><Relationship Id="rId49" Type="http://schemas.openxmlformats.org/officeDocument/2006/relationships/hyperlink" Target="http://en.wikipedia.org/wiki/List_of_colleges_and_universities_in_Oregon" TargetMode="External"/><Relationship Id="rId57" Type="http://schemas.openxmlformats.org/officeDocument/2006/relationships/hyperlink" Target="http://en.wikipedia.org/wiki/List_of_colleges_and_universities_in_Oregon" TargetMode="External"/><Relationship Id="rId106" Type="http://schemas.openxmlformats.org/officeDocument/2006/relationships/hyperlink" Target="http://en.wikipedia.org/wiki/Marylhurst_University" TargetMode="External"/><Relationship Id="rId114" Type="http://schemas.openxmlformats.org/officeDocument/2006/relationships/hyperlink" Target="http://en.wikipedia.org/wiki/Portland,_Oregon" TargetMode="External"/><Relationship Id="rId119" Type="http://schemas.openxmlformats.org/officeDocument/2006/relationships/hyperlink" Target="http://en.wikipedia.org/wiki/List_of_colleges_and_universities_in_Oregon" TargetMode="External"/><Relationship Id="rId127" Type="http://schemas.openxmlformats.org/officeDocument/2006/relationships/hyperlink" Target="http://en.wikipedia.org/wiki/Eugene,_Oregon" TargetMode="External"/><Relationship Id="rId10" Type="http://schemas.openxmlformats.org/officeDocument/2006/relationships/hyperlink" Target="http://en.wikipedia.org/wiki/University_of_Western_States" TargetMode="External"/><Relationship Id="rId31" Type="http://schemas.openxmlformats.org/officeDocument/2006/relationships/hyperlink" Target="http://en.wikipedia.org/wiki/List_of_colleges_and_universities_in_Oregon" TargetMode="External"/><Relationship Id="rId44" Type="http://schemas.openxmlformats.org/officeDocument/2006/relationships/hyperlink" Target="http://en.wikipedia.org/wiki/List_of_colleges_and_universities_in_Oregon" TargetMode="External"/><Relationship Id="rId52" Type="http://schemas.openxmlformats.org/officeDocument/2006/relationships/hyperlink" Target="http://en.wikipedia.org/wiki/Reed_College" TargetMode="External"/><Relationship Id="rId60" Type="http://schemas.openxmlformats.org/officeDocument/2006/relationships/hyperlink" Target="http://en.wikipedia.org/wiki/Pioneer_Pacific_College" TargetMode="External"/><Relationship Id="rId65" Type="http://schemas.openxmlformats.org/officeDocument/2006/relationships/hyperlink" Target="http://en.wikipedia.org/wiki/Bend,_Oregon" TargetMode="External"/><Relationship Id="rId73" Type="http://schemas.openxmlformats.org/officeDocument/2006/relationships/hyperlink" Target="http://en.wikipedia.org/wiki/Oregon_Health_and_Science_University" TargetMode="External"/><Relationship Id="rId78" Type="http://schemas.openxmlformats.org/officeDocument/2006/relationships/hyperlink" Target="http://en.wikipedia.org/wiki/Portland,_Oregon" TargetMode="External"/><Relationship Id="rId81" Type="http://schemas.openxmlformats.org/officeDocument/2006/relationships/hyperlink" Target="http://en.wikipedia.org/wiki/Newport,_Oregon" TargetMode="External"/><Relationship Id="rId86" Type="http://schemas.openxmlformats.org/officeDocument/2006/relationships/hyperlink" Target="http://en.wikipedia.org/wiki/Northwest_Christian_University" TargetMode="External"/><Relationship Id="rId94" Type="http://schemas.openxmlformats.org/officeDocument/2006/relationships/hyperlink" Target="http://en.wikipedia.org/wiki/Protestant" TargetMode="External"/><Relationship Id="rId99" Type="http://schemas.openxmlformats.org/officeDocument/2006/relationships/hyperlink" Target="http://en.wikipedia.org/wiki/Mount_Hood_Community_College" TargetMode="External"/><Relationship Id="rId101" Type="http://schemas.openxmlformats.org/officeDocument/2006/relationships/hyperlink" Target="http://en.wikipedia.org/wiki/Roman_Catholic" TargetMode="External"/><Relationship Id="rId122" Type="http://schemas.openxmlformats.org/officeDocument/2006/relationships/hyperlink" Target="http://en.wikipedia.org/wiki/Klamath_Community_College" TargetMode="External"/><Relationship Id="rId130" Type="http://schemas.openxmlformats.org/officeDocument/2006/relationships/hyperlink" Target="http://en.wikipedia.org/wiki/Newberg,_Oregon" TargetMode="External"/><Relationship Id="rId135" Type="http://schemas.openxmlformats.org/officeDocument/2006/relationships/hyperlink" Target="http://en.wikipedia.org/wiki/Salem,_Oregon" TargetMode="External"/><Relationship Id="rId143" Type="http://schemas.openxmlformats.org/officeDocument/2006/relationships/hyperlink" Target="http://en.wikipedia.org/wiki/List_of_colleges_and_universities_in_Oregon" TargetMode="External"/><Relationship Id="rId148" Type="http://schemas.openxmlformats.org/officeDocument/2006/relationships/hyperlink" Target="http://en.wikipedia.org/wiki/Clackamas_Community_College" TargetMode="External"/><Relationship Id="rId151" Type="http://schemas.openxmlformats.org/officeDocument/2006/relationships/hyperlink" Target="http://en.wikipedia.org/wiki/Chemeketa_Community_College" TargetMode="External"/><Relationship Id="rId156" Type="http://schemas.openxmlformats.org/officeDocument/2006/relationships/hyperlink" Target="http://en.wikipedia.org/wiki/Pendleton,_Oregon" TargetMode="External"/><Relationship Id="rId164" Type="http://schemas.openxmlformats.org/officeDocument/2006/relationships/hyperlink" Target="http://en.wikipedia.org/wiki/Portland,_Oregon" TargetMode="External"/><Relationship Id="rId169" Type="http://schemas.openxmlformats.org/officeDocument/2006/relationships/comments" Target="../comments7.xml"/><Relationship Id="rId4" Type="http://schemas.openxmlformats.org/officeDocument/2006/relationships/hyperlink" Target="http://www.sde.idaho.gov/site/statistics/fall_enrollment.htm" TargetMode="External"/><Relationship Id="rId9" Type="http://schemas.openxmlformats.org/officeDocument/2006/relationships/hyperlink" Target="http://en.wikipedia.org/wiki/Roman_Catholic" TargetMode="External"/><Relationship Id="rId13" Type="http://schemas.openxmlformats.org/officeDocument/2006/relationships/hyperlink" Target="http://en.wikipedia.org/wiki/Warner_Pacific_College" TargetMode="External"/><Relationship Id="rId18" Type="http://schemas.openxmlformats.org/officeDocument/2006/relationships/hyperlink" Target="http://en.wikipedia.org/wiki/Portland,_Oregon" TargetMode="External"/><Relationship Id="rId39" Type="http://schemas.openxmlformats.org/officeDocument/2006/relationships/hyperlink" Target="http://en.wikipedia.org/wiki/Tillamook_Bay_Community_College" TargetMode="External"/><Relationship Id="rId109" Type="http://schemas.openxmlformats.org/officeDocument/2006/relationships/hyperlink" Target="http://en.wikipedia.org/wiki/Linn-Benton_Community_College" TargetMode="External"/><Relationship Id="rId34" Type="http://schemas.openxmlformats.org/officeDocument/2006/relationships/hyperlink" Target="http://en.wikipedia.org/wiki/List_of_colleges_and_universities_in_Oregon" TargetMode="External"/><Relationship Id="rId50" Type="http://schemas.openxmlformats.org/officeDocument/2006/relationships/hyperlink" Target="http://en.wikipedia.org/wiki/Rogue_Community_College" TargetMode="External"/><Relationship Id="rId55" Type="http://schemas.openxmlformats.org/officeDocument/2006/relationships/hyperlink" Target="http://en.wikipedia.org/wiki/Portland,_Oregon" TargetMode="External"/><Relationship Id="rId76" Type="http://schemas.openxmlformats.org/officeDocument/2006/relationships/hyperlink" Target="http://en.wikipedia.org/wiki/Oregon_College_of_Oriental_Medicine" TargetMode="External"/><Relationship Id="rId97" Type="http://schemas.openxmlformats.org/officeDocument/2006/relationships/hyperlink" Target="http://en.wikipedia.org/wiki/List_of_colleges_and_universities_in_Oregon" TargetMode="External"/><Relationship Id="rId104" Type="http://schemas.openxmlformats.org/officeDocument/2006/relationships/hyperlink" Target="http://en.wikipedia.org/wiki/Roman_Catholic" TargetMode="External"/><Relationship Id="rId120" Type="http://schemas.openxmlformats.org/officeDocument/2006/relationships/hyperlink" Target="http://en.wikipedia.org/wiki/List_of_colleges_and_universities_in_Oregon" TargetMode="External"/><Relationship Id="rId125" Type="http://schemas.openxmlformats.org/officeDocument/2006/relationships/hyperlink" Target="http://en.wikipedia.org/wiki/List_of_colleges_and_universities_in_Oregon" TargetMode="External"/><Relationship Id="rId141" Type="http://schemas.openxmlformats.org/officeDocument/2006/relationships/hyperlink" Target="http://en.wikipedia.org/wiki/The_Dalles,_Oregon" TargetMode="External"/><Relationship Id="rId146" Type="http://schemas.openxmlformats.org/officeDocument/2006/relationships/hyperlink" Target="http://en.wikipedia.org/wiki/List_of_colleges_and_universities_in_Oregon" TargetMode="External"/><Relationship Id="rId167" Type="http://schemas.openxmlformats.org/officeDocument/2006/relationships/printerSettings" Target="../printerSettings/printerSettings6.bin"/><Relationship Id="rId7" Type="http://schemas.openxmlformats.org/officeDocument/2006/relationships/hyperlink" Target="http://en.wikipedia.org/wiki/University_of_Portland" TargetMode="External"/><Relationship Id="rId71" Type="http://schemas.openxmlformats.org/officeDocument/2006/relationships/hyperlink" Target="http://en.wikipedia.org/wiki/List_of_colleges_and_universities_in_Oregon" TargetMode="External"/><Relationship Id="rId92" Type="http://schemas.openxmlformats.org/officeDocument/2006/relationships/hyperlink" Target="http://en.wikipedia.org/wiki/National_College_of_Natural_Medicine" TargetMode="External"/><Relationship Id="rId162" Type="http://schemas.openxmlformats.org/officeDocument/2006/relationships/hyperlink" Target="http://en.wikipedia.org/wiki/List_of_colleges_and_universities_in_Oregon" TargetMode="External"/><Relationship Id="rId2" Type="http://schemas.openxmlformats.org/officeDocument/2006/relationships/hyperlink" Target="http://reportcard.ospi.k12.wa.us/summary.aspx?year=2011-12" TargetMode="External"/><Relationship Id="rId29" Type="http://schemas.openxmlformats.org/officeDocument/2006/relationships/hyperlink" Target="http://en.wikipedia.org/wiki/Eugene,_Oregon" TargetMode="External"/><Relationship Id="rId24" Type="http://schemas.openxmlformats.org/officeDocument/2006/relationships/hyperlink" Target="http://en.wikipedia.org/wiki/Portland,_Oregon" TargetMode="External"/><Relationship Id="rId40" Type="http://schemas.openxmlformats.org/officeDocument/2006/relationships/hyperlink" Target="http://en.wikipedia.org/wiki/List_of_colleges_and_universities_in_Oregon" TargetMode="External"/><Relationship Id="rId45" Type="http://schemas.openxmlformats.org/officeDocument/2006/relationships/hyperlink" Target="http://en.wikipedia.org/wiki/Coos_Bay,_Oregon" TargetMode="External"/><Relationship Id="rId66" Type="http://schemas.openxmlformats.org/officeDocument/2006/relationships/hyperlink" Target="http://en.wikipedia.org/wiki/OSU-Cascades" TargetMode="External"/><Relationship Id="rId87" Type="http://schemas.openxmlformats.org/officeDocument/2006/relationships/hyperlink" Target="http://en.wikipedia.org/wiki/Pentecostal" TargetMode="External"/><Relationship Id="rId110" Type="http://schemas.openxmlformats.org/officeDocument/2006/relationships/hyperlink" Target="http://en.wikipedia.org/wiki/List_of_colleges_and_universities_in_Oregon" TargetMode="External"/><Relationship Id="rId115" Type="http://schemas.openxmlformats.org/officeDocument/2006/relationships/hyperlink" Target="http://en.wikipedia.org/wiki/Lewis_%26_Clark_College" TargetMode="External"/><Relationship Id="rId131" Type="http://schemas.openxmlformats.org/officeDocument/2006/relationships/hyperlink" Target="http://en.wikipedia.org/wiki/George_Fox_University" TargetMode="External"/><Relationship Id="rId136" Type="http://schemas.openxmlformats.org/officeDocument/2006/relationships/hyperlink" Target="http://en.wikipedia.org/wiki/Corban_University" TargetMode="External"/><Relationship Id="rId157" Type="http://schemas.openxmlformats.org/officeDocument/2006/relationships/hyperlink" Target="http://en.wikipedia.org/wiki/Blue_Mountain_Community_College" TargetMode="External"/><Relationship Id="rId61" Type="http://schemas.openxmlformats.org/officeDocument/2006/relationships/hyperlink" Target="http://en.wikipedia.org/wiki/Forest_Grove,_Oregon" TargetMode="External"/><Relationship Id="rId82" Type="http://schemas.openxmlformats.org/officeDocument/2006/relationships/hyperlink" Target="http://en.wikipedia.org/wiki/Oregon_Coast_Community_College" TargetMode="External"/><Relationship Id="rId152" Type="http://schemas.openxmlformats.org/officeDocument/2006/relationships/hyperlink" Target="http://en.wikipedia.org/wiki/List_of_colleges_and_universities_in_Oregon" TargetMode="External"/><Relationship Id="rId19" Type="http://schemas.openxmlformats.org/officeDocument/2006/relationships/hyperlink" Target="http://en.wikipedia.org/wiki/For-profit_university" TargetMode="External"/><Relationship Id="rId14" Type="http://schemas.openxmlformats.org/officeDocument/2006/relationships/hyperlink" Target="http://en.wikipedia.org/wiki/Portland,_Oregon" TargetMode="External"/><Relationship Id="rId30" Type="http://schemas.openxmlformats.org/officeDocument/2006/relationships/hyperlink" Target="http://en.wikipedia.org/wiki/University_of_Oregon" TargetMode="External"/><Relationship Id="rId35" Type="http://schemas.openxmlformats.org/officeDocument/2006/relationships/hyperlink" Target="http://en.wikipedia.org/wiki/Ontario,_Oregon" TargetMode="External"/><Relationship Id="rId56" Type="http://schemas.openxmlformats.org/officeDocument/2006/relationships/hyperlink" Target="http://en.wikipedia.org/wiki/Portland_Community_College" TargetMode="External"/><Relationship Id="rId77" Type="http://schemas.openxmlformats.org/officeDocument/2006/relationships/hyperlink" Target="http://en.wikipedia.org/wiki/List_of_colleges_and_universities_in_Oregon" TargetMode="External"/><Relationship Id="rId100" Type="http://schemas.openxmlformats.org/officeDocument/2006/relationships/hyperlink" Target="http://en.wikipedia.org/wiki/List_of_colleges_and_universities_in_Oregon" TargetMode="External"/><Relationship Id="rId105" Type="http://schemas.openxmlformats.org/officeDocument/2006/relationships/hyperlink" Target="http://en.wikipedia.org/wiki/Marylhurst,_Oregon" TargetMode="External"/><Relationship Id="rId126" Type="http://schemas.openxmlformats.org/officeDocument/2006/relationships/hyperlink" Target="http://en.wikipedia.org/wiki/Protestant" TargetMode="External"/><Relationship Id="rId147" Type="http://schemas.openxmlformats.org/officeDocument/2006/relationships/hyperlink" Target="http://en.wikipedia.org/wiki/Oregon_City,_Oregon" TargetMode="External"/><Relationship Id="rId168" Type="http://schemas.openxmlformats.org/officeDocument/2006/relationships/vmlDrawing" Target="../drawings/vmlDrawing7.vml"/><Relationship Id="rId8" Type="http://schemas.openxmlformats.org/officeDocument/2006/relationships/hyperlink" Target="http://en.wikipedia.org/wiki/Portland,_Oregon" TargetMode="External"/><Relationship Id="rId51" Type="http://schemas.openxmlformats.org/officeDocument/2006/relationships/hyperlink" Target="http://en.wikipedia.org/wiki/Portland,_Oregon" TargetMode="External"/><Relationship Id="rId72" Type="http://schemas.openxmlformats.org/officeDocument/2006/relationships/hyperlink" Target="http://en.wikipedia.org/wiki/Portland,_Oregon" TargetMode="External"/><Relationship Id="rId93" Type="http://schemas.openxmlformats.org/officeDocument/2006/relationships/hyperlink" Target="http://en.wikipedia.org/wiki/List_of_colleges_and_universities_in_Oregon" TargetMode="External"/><Relationship Id="rId98" Type="http://schemas.openxmlformats.org/officeDocument/2006/relationships/hyperlink" Target="http://en.wikipedia.org/wiki/Gresham,_Oregon" TargetMode="External"/><Relationship Id="rId121" Type="http://schemas.openxmlformats.org/officeDocument/2006/relationships/hyperlink" Target="http://en.wikipedia.org/wiki/Klamath_Falls,_Oregon" TargetMode="External"/><Relationship Id="rId142" Type="http://schemas.openxmlformats.org/officeDocument/2006/relationships/hyperlink" Target="http://en.wikipedia.org/wiki/Columbia_Gorge_Community_College" TargetMode="External"/><Relationship Id="rId163" Type="http://schemas.openxmlformats.org/officeDocument/2006/relationships/hyperlink" Target="http://en.wikipedia.org/wiki/For-profit_university" TargetMode="External"/><Relationship Id="rId3" Type="http://schemas.openxmlformats.org/officeDocument/2006/relationships/hyperlink" Target="http://www.kgw.com/news/local/190276291.html" TargetMode="External"/><Relationship Id="rId25" Type="http://schemas.openxmlformats.org/officeDocument/2006/relationships/hyperlink" Target="http://en.wikipedia.org/wiki/Christian" TargetMode="External"/><Relationship Id="rId46" Type="http://schemas.openxmlformats.org/officeDocument/2006/relationships/hyperlink" Target="http://en.wikipedia.org/wiki/Southwestern_Oregon_Community_College" TargetMode="External"/><Relationship Id="rId67" Type="http://schemas.openxmlformats.org/officeDocument/2006/relationships/hyperlink" Target="http://en.wikipedia.org/wiki/Corvallis,_Oregon" TargetMode="External"/><Relationship Id="rId116" Type="http://schemas.openxmlformats.org/officeDocument/2006/relationships/hyperlink" Target="http://en.wikipedia.org/wiki/List_of_colleges_and_universities_in_Oregon" TargetMode="External"/><Relationship Id="rId137" Type="http://schemas.openxmlformats.org/officeDocument/2006/relationships/hyperlink" Target="http://en.wikipedia.org/wiki/Lutheran_Church_-_Missouri_Synod" TargetMode="External"/><Relationship Id="rId158" Type="http://schemas.openxmlformats.org/officeDocument/2006/relationships/hyperlink" Target="http://en.wikipedia.org/wiki/List_of_colleges_and_universities_in_Oregon" TargetMode="External"/><Relationship Id="rId20" Type="http://schemas.openxmlformats.org/officeDocument/2006/relationships/hyperlink" Target="http://en.wikipedia.org/wiki/List_of_colleges_and_universities_in_Oregon" TargetMode="External"/><Relationship Id="rId41" Type="http://schemas.openxmlformats.org/officeDocument/2006/relationships/hyperlink" Target="http://en.wikipedia.org/wiki/For-profit_university" TargetMode="External"/><Relationship Id="rId62" Type="http://schemas.openxmlformats.org/officeDocument/2006/relationships/hyperlink" Target="http://en.wikipedia.org/wiki/Pacific_University" TargetMode="External"/><Relationship Id="rId83" Type="http://schemas.openxmlformats.org/officeDocument/2006/relationships/hyperlink" Target="http://en.wikipedia.org/wiki/List_of_colleges_and_universities_in_Oregon" TargetMode="External"/><Relationship Id="rId88" Type="http://schemas.openxmlformats.org/officeDocument/2006/relationships/hyperlink" Target="http://en.wikipedia.org/wiki/Eugene,_Oregon" TargetMode="External"/><Relationship Id="rId111" Type="http://schemas.openxmlformats.org/officeDocument/2006/relationships/hyperlink" Target="http://en.wikipedia.org/wiki/American_Baptist_Churches_USA" TargetMode="External"/><Relationship Id="rId132" Type="http://schemas.openxmlformats.org/officeDocument/2006/relationships/hyperlink" Target="http://en.wikipedia.org/wiki/La_Grande,_Oregon" TargetMode="External"/><Relationship Id="rId153" Type="http://schemas.openxmlformats.org/officeDocument/2006/relationships/hyperlink" Target="http://en.wikipedia.org/wiki/Bend,_Oregon" TargetMode="External"/></Relationships>
</file>

<file path=xl/worksheets/_rels/sheet15.xml.rels><?xml version="1.0" encoding="UTF-8" standalone="yes"?>
<Relationships xmlns="http://schemas.openxmlformats.org/package/2006/relationships"><Relationship Id="rId13" Type="http://schemas.openxmlformats.org/officeDocument/2006/relationships/hyperlink" Target="http://www.ahd.com/states/hospital_CT.html" TargetMode="External"/><Relationship Id="rId18" Type="http://schemas.openxmlformats.org/officeDocument/2006/relationships/hyperlink" Target="http://www.ahd.com/states/hospital_GU.html" TargetMode="External"/><Relationship Id="rId26" Type="http://schemas.openxmlformats.org/officeDocument/2006/relationships/hyperlink" Target="http://www.ahd.com/states/hospital_LA.html" TargetMode="External"/><Relationship Id="rId39" Type="http://schemas.openxmlformats.org/officeDocument/2006/relationships/hyperlink" Target="http://www.ahd.com/states/hospital_NH.html" TargetMode="External"/><Relationship Id="rId21" Type="http://schemas.openxmlformats.org/officeDocument/2006/relationships/hyperlink" Target="http://www.ahd.com/states/hospital_ID.html" TargetMode="External"/><Relationship Id="rId34" Type="http://schemas.openxmlformats.org/officeDocument/2006/relationships/hyperlink" Target="http://www.ahd.com/states/hospital_MS.html" TargetMode="External"/><Relationship Id="rId42" Type="http://schemas.openxmlformats.org/officeDocument/2006/relationships/hyperlink" Target="http://www.ahd.com/states/hospital_NV.html" TargetMode="External"/><Relationship Id="rId47" Type="http://schemas.openxmlformats.org/officeDocument/2006/relationships/hyperlink" Target="http://www.ahd.com/states/hospital_PA.html" TargetMode="External"/><Relationship Id="rId50" Type="http://schemas.openxmlformats.org/officeDocument/2006/relationships/hyperlink" Target="http://www.ahd.com/states/hospital_SC.html" TargetMode="External"/><Relationship Id="rId55" Type="http://schemas.openxmlformats.org/officeDocument/2006/relationships/hyperlink" Target="http://www.ahd.com/states/hospital_VA.html" TargetMode="External"/><Relationship Id="rId7" Type="http://schemas.openxmlformats.org/officeDocument/2006/relationships/hyperlink" Target="http://www.ahd.com/states/hospital_AL.html" TargetMode="External"/><Relationship Id="rId2" Type="http://schemas.openxmlformats.org/officeDocument/2006/relationships/hyperlink" Target="http://www.statehealthfacts.org/comparemaptable.jsp?ind=416&amp;cat=8" TargetMode="External"/><Relationship Id="rId16" Type="http://schemas.openxmlformats.org/officeDocument/2006/relationships/hyperlink" Target="http://www.ahd.com/states/hospital_FL.html" TargetMode="External"/><Relationship Id="rId20" Type="http://schemas.openxmlformats.org/officeDocument/2006/relationships/hyperlink" Target="http://www.ahd.com/states/hospital_IA.html" TargetMode="External"/><Relationship Id="rId29" Type="http://schemas.openxmlformats.org/officeDocument/2006/relationships/hyperlink" Target="http://www.ahd.com/states/hospital_ME.html" TargetMode="External"/><Relationship Id="rId41" Type="http://schemas.openxmlformats.org/officeDocument/2006/relationships/hyperlink" Target="http://www.ahd.com/states/hospital_NM.html" TargetMode="External"/><Relationship Id="rId54" Type="http://schemas.openxmlformats.org/officeDocument/2006/relationships/hyperlink" Target="http://www.ahd.com/states/hospital_UT.html" TargetMode="External"/><Relationship Id="rId62" Type="http://schemas.openxmlformats.org/officeDocument/2006/relationships/printerSettings" Target="../printerSettings/printerSettings7.bin"/><Relationship Id="rId1" Type="http://schemas.openxmlformats.org/officeDocument/2006/relationships/hyperlink" Target="http://www.ahla.com/content.aspx?id=34706" TargetMode="External"/><Relationship Id="rId6" Type="http://schemas.openxmlformats.org/officeDocument/2006/relationships/hyperlink" Target="http://www.ahd.com/states/hospital_AK.html" TargetMode="External"/><Relationship Id="rId11" Type="http://schemas.openxmlformats.org/officeDocument/2006/relationships/hyperlink" Target="http://www.ahd.com/states/hospital_CA.html" TargetMode="External"/><Relationship Id="rId24" Type="http://schemas.openxmlformats.org/officeDocument/2006/relationships/hyperlink" Target="http://www.ahd.com/states/hospital_KS.html" TargetMode="External"/><Relationship Id="rId32" Type="http://schemas.openxmlformats.org/officeDocument/2006/relationships/hyperlink" Target="http://www.ahd.com/states/hospital_MO.html" TargetMode="External"/><Relationship Id="rId37" Type="http://schemas.openxmlformats.org/officeDocument/2006/relationships/hyperlink" Target="http://www.ahd.com/states/hospital_ND.html" TargetMode="External"/><Relationship Id="rId40" Type="http://schemas.openxmlformats.org/officeDocument/2006/relationships/hyperlink" Target="http://www.ahd.com/states/hospital_NJ.html" TargetMode="External"/><Relationship Id="rId45" Type="http://schemas.openxmlformats.org/officeDocument/2006/relationships/hyperlink" Target="http://www.ahd.com/states/hospital_OK.html" TargetMode="External"/><Relationship Id="rId53" Type="http://schemas.openxmlformats.org/officeDocument/2006/relationships/hyperlink" Target="http://www.ahd.com/states/hospital_TX.html" TargetMode="External"/><Relationship Id="rId58" Type="http://schemas.openxmlformats.org/officeDocument/2006/relationships/hyperlink" Target="http://www.ahd.com/states/hospital_WA.html" TargetMode="External"/><Relationship Id="rId5" Type="http://schemas.openxmlformats.org/officeDocument/2006/relationships/hyperlink" Target="http://ufdc.ufl.edu/WC13511002/00001" TargetMode="External"/><Relationship Id="rId15" Type="http://schemas.openxmlformats.org/officeDocument/2006/relationships/hyperlink" Target="http://www.ahd.com/states/hospital_DE.html" TargetMode="External"/><Relationship Id="rId23" Type="http://schemas.openxmlformats.org/officeDocument/2006/relationships/hyperlink" Target="http://www.ahd.com/states/hospital_IN.html" TargetMode="External"/><Relationship Id="rId28" Type="http://schemas.openxmlformats.org/officeDocument/2006/relationships/hyperlink" Target="http://www.ahd.com/states/hospital_MD.html" TargetMode="External"/><Relationship Id="rId36" Type="http://schemas.openxmlformats.org/officeDocument/2006/relationships/hyperlink" Target="http://www.ahd.com/states/hospital_NC.html" TargetMode="External"/><Relationship Id="rId49" Type="http://schemas.openxmlformats.org/officeDocument/2006/relationships/hyperlink" Target="http://www.ahd.com/states/hospital_RI.html" TargetMode="External"/><Relationship Id="rId57" Type="http://schemas.openxmlformats.org/officeDocument/2006/relationships/hyperlink" Target="http://www.ahd.com/states/hospital_VT.html" TargetMode="External"/><Relationship Id="rId61" Type="http://schemas.openxmlformats.org/officeDocument/2006/relationships/hyperlink" Target="http://www.ahd.com/states/hospital_WY.html" TargetMode="External"/><Relationship Id="rId10" Type="http://schemas.openxmlformats.org/officeDocument/2006/relationships/hyperlink" Target="http://www.ahd.com/states/hospital_AZ.html" TargetMode="External"/><Relationship Id="rId19" Type="http://schemas.openxmlformats.org/officeDocument/2006/relationships/hyperlink" Target="http://www.ahd.com/states/hospital_HI.html" TargetMode="External"/><Relationship Id="rId31" Type="http://schemas.openxmlformats.org/officeDocument/2006/relationships/hyperlink" Target="http://www.ahd.com/states/hospital_MN.html" TargetMode="External"/><Relationship Id="rId44" Type="http://schemas.openxmlformats.org/officeDocument/2006/relationships/hyperlink" Target="http://www.ahd.com/states/hospital_OH.html" TargetMode="External"/><Relationship Id="rId52" Type="http://schemas.openxmlformats.org/officeDocument/2006/relationships/hyperlink" Target="http://www.ahd.com/states/hospital_TN.html" TargetMode="External"/><Relationship Id="rId60" Type="http://schemas.openxmlformats.org/officeDocument/2006/relationships/hyperlink" Target="http://www.ahd.com/states/hospital_WV.html" TargetMode="External"/><Relationship Id="rId4" Type="http://schemas.openxmlformats.org/officeDocument/2006/relationships/hyperlink" Target="http://www.statehealthfacts.org/comparemaptable.jsp?ind=416&amp;cat=8" TargetMode="External"/><Relationship Id="rId9" Type="http://schemas.openxmlformats.org/officeDocument/2006/relationships/hyperlink" Target="http://www.ahd.com/states/hospital_AS.html" TargetMode="External"/><Relationship Id="rId14" Type="http://schemas.openxmlformats.org/officeDocument/2006/relationships/hyperlink" Target="http://www.ahd.com/states/hospital_DC.html" TargetMode="External"/><Relationship Id="rId22" Type="http://schemas.openxmlformats.org/officeDocument/2006/relationships/hyperlink" Target="http://www.ahd.com/states/hospital_IL.html" TargetMode="External"/><Relationship Id="rId27" Type="http://schemas.openxmlformats.org/officeDocument/2006/relationships/hyperlink" Target="http://www.ahd.com/states/hospital_MA.html" TargetMode="External"/><Relationship Id="rId30" Type="http://schemas.openxmlformats.org/officeDocument/2006/relationships/hyperlink" Target="http://www.ahd.com/states/hospital_MI.html" TargetMode="External"/><Relationship Id="rId35" Type="http://schemas.openxmlformats.org/officeDocument/2006/relationships/hyperlink" Target="http://www.ahd.com/states/hospital_MT.html" TargetMode="External"/><Relationship Id="rId43" Type="http://schemas.openxmlformats.org/officeDocument/2006/relationships/hyperlink" Target="http://www.ahd.com/states/hospital_NY.html" TargetMode="External"/><Relationship Id="rId48" Type="http://schemas.openxmlformats.org/officeDocument/2006/relationships/hyperlink" Target="http://www.ahd.com/states/hospital_PR.html" TargetMode="External"/><Relationship Id="rId56" Type="http://schemas.openxmlformats.org/officeDocument/2006/relationships/hyperlink" Target="http://www.ahd.com/states/hospital_VI.html" TargetMode="External"/><Relationship Id="rId8" Type="http://schemas.openxmlformats.org/officeDocument/2006/relationships/hyperlink" Target="http://www.ahd.com/states/hospital_AR.html" TargetMode="External"/><Relationship Id="rId51" Type="http://schemas.openxmlformats.org/officeDocument/2006/relationships/hyperlink" Target="http://www.ahd.com/states/hospital_SD.html" TargetMode="External"/><Relationship Id="rId3" Type="http://schemas.openxmlformats.org/officeDocument/2006/relationships/hyperlink" Target="http://www.census.gov/popest/data/historical/2010s/vintage_2011/state.html" TargetMode="External"/><Relationship Id="rId12" Type="http://schemas.openxmlformats.org/officeDocument/2006/relationships/hyperlink" Target="http://www.ahd.com/states/hospital_CO.html" TargetMode="External"/><Relationship Id="rId17" Type="http://schemas.openxmlformats.org/officeDocument/2006/relationships/hyperlink" Target="http://www.ahd.com/states/hospital_GA.html" TargetMode="External"/><Relationship Id="rId25" Type="http://schemas.openxmlformats.org/officeDocument/2006/relationships/hyperlink" Target="http://www.ahd.com/states/hospital_KY.html" TargetMode="External"/><Relationship Id="rId33" Type="http://schemas.openxmlformats.org/officeDocument/2006/relationships/hyperlink" Target="http://www.ahd.com/states/hospital_MP.html" TargetMode="External"/><Relationship Id="rId38" Type="http://schemas.openxmlformats.org/officeDocument/2006/relationships/hyperlink" Target="http://www.ahd.com/states/hospital_NE.html" TargetMode="External"/><Relationship Id="rId46" Type="http://schemas.openxmlformats.org/officeDocument/2006/relationships/hyperlink" Target="http://www.ahd.com/states/hospital_OR.html" TargetMode="External"/><Relationship Id="rId59" Type="http://schemas.openxmlformats.org/officeDocument/2006/relationships/hyperlink" Target="http://www.ahd.com/states/hospital_WI.html" TargetMode="External"/></Relationships>
</file>

<file path=xl/worksheets/_rels/sheet16.xml.rels><?xml version="1.0" encoding="UTF-8" standalone="yes"?>
<Relationships xmlns="http://schemas.openxmlformats.org/package/2006/relationships"><Relationship Id="rId3" Type="http://schemas.openxmlformats.org/officeDocument/2006/relationships/hyperlink" Target="http://www.fitness.com/find_gym/?c=search&amp;name=curves&amp;country=US&amp;province=ID&amp;city=boise&amp;postal_code=" TargetMode="External"/><Relationship Id="rId2" Type="http://schemas.openxmlformats.org/officeDocument/2006/relationships/hyperlink" Target="http://www.fitness.com/find_gym/?c=search&amp;name=&amp;country=US&amp;province=ID&amp;city=idaho+falls&amp;postal_code=" TargetMode="External"/><Relationship Id="rId1" Type="http://schemas.openxmlformats.org/officeDocument/2006/relationships/hyperlink" Target="http://www.fitness.com/find_gym/?c=search&amp;name=golds&amp;country=US&amp;province=OR&amp;city=portland&amp;postal_code=" TargetMode="External"/><Relationship Id="rId5" Type="http://schemas.openxmlformats.org/officeDocument/2006/relationships/hyperlink" Target="http://www.seattleymca.org/pages/locations.aspx" TargetMode="External"/><Relationship Id="rId4" Type="http://schemas.openxmlformats.org/officeDocument/2006/relationships/hyperlink" Target="http://www.fitness.com/find_gym/?c=search&amp;name=&amp;country=US&amp;province=MT&amp;city=flathead&amp;postal_code=" TargetMode="Externa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neea.org/docs/reports/2009NorthwestCommercialBuildingStockAssessment021CA220F212.pdf?sfvrsn=10" TargetMode="External"/></Relationships>
</file>

<file path=xl/worksheets/_rels/sheet19.xml.rels><?xml version="1.0" encoding="UTF-8" standalone="yes"?>
<Relationships xmlns="http://schemas.openxmlformats.org/package/2006/relationships"><Relationship Id="rId1" Type="http://schemas.openxmlformats.org/officeDocument/2006/relationships/hyperlink" Target="http://rtf.nwcouncil.org/measures/support/files/RTFStandardInformationWorkbook_v1_3.xlsx" TargetMode="Externa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codeName="Sheet1"/>
  <dimension ref="C1:G21"/>
  <sheetViews>
    <sheetView tabSelected="1" zoomScaleNormal="100" zoomScaleSheetLayoutView="90" workbookViewId="0">
      <selection activeCell="D38" sqref="D38"/>
    </sheetView>
  </sheetViews>
  <sheetFormatPr defaultRowHeight="15"/>
  <cols>
    <col min="1" max="1" width="4" style="2" customWidth="1"/>
    <col min="2" max="2" width="4.28515625" style="2" customWidth="1"/>
    <col min="3" max="3" width="28.140625" style="2" customWidth="1"/>
    <col min="4" max="4" width="70.7109375" style="2" customWidth="1"/>
    <col min="5" max="5" width="48.42578125" style="2" customWidth="1"/>
    <col min="6" max="16384" width="9.140625" style="2"/>
  </cols>
  <sheetData>
    <row r="1" spans="3:7" ht="15.75" thickBot="1"/>
    <row r="2" spans="3:7" ht="19.5" thickBot="1">
      <c r="C2" s="8" t="s">
        <v>12</v>
      </c>
      <c r="D2" s="9" t="s">
        <v>1245</v>
      </c>
      <c r="E2" s="10"/>
    </row>
    <row r="3" spans="3:7">
      <c r="C3" s="7" t="s">
        <v>0</v>
      </c>
      <c r="D3" s="7" t="s">
        <v>1</v>
      </c>
      <c r="E3" s="7" t="s">
        <v>2</v>
      </c>
    </row>
    <row r="4" spans="3:7">
      <c r="C4" s="1" t="s">
        <v>3</v>
      </c>
      <c r="D4" s="167" t="s">
        <v>1249</v>
      </c>
      <c r="E4" s="3"/>
    </row>
    <row r="5" spans="3:7" ht="30">
      <c r="C5" s="1" t="s">
        <v>4</v>
      </c>
      <c r="D5" s="4" t="s">
        <v>1250</v>
      </c>
      <c r="E5" s="3" t="s">
        <v>1251</v>
      </c>
    </row>
    <row r="6" spans="3:7" ht="45">
      <c r="C6" s="1" t="s">
        <v>5</v>
      </c>
      <c r="D6" s="4" t="s">
        <v>1252</v>
      </c>
      <c r="E6" s="3"/>
    </row>
    <row r="7" spans="3:7">
      <c r="C7" s="1" t="s">
        <v>6</v>
      </c>
      <c r="D7" s="5" t="s">
        <v>1259</v>
      </c>
      <c r="E7" s="3"/>
    </row>
    <row r="8" spans="3:7">
      <c r="C8" s="1" t="s">
        <v>40</v>
      </c>
      <c r="D8" s="4" t="s">
        <v>1253</v>
      </c>
      <c r="E8" s="3"/>
    </row>
    <row r="9" spans="3:7">
      <c r="C9" s="1" t="s">
        <v>7</v>
      </c>
      <c r="D9" s="89" t="s">
        <v>1257</v>
      </c>
      <c r="E9" s="3"/>
      <c r="G9" s="184"/>
    </row>
    <row r="10" spans="3:7">
      <c r="C10" s="1" t="s">
        <v>8</v>
      </c>
      <c r="D10" s="4" t="s">
        <v>1254</v>
      </c>
      <c r="E10" s="3"/>
    </row>
    <row r="11" spans="3:7">
      <c r="C11" s="1" t="s">
        <v>9</v>
      </c>
      <c r="D11" s="6" t="s">
        <v>1255</v>
      </c>
      <c r="E11" s="3"/>
    </row>
    <row r="12" spans="3:7">
      <c r="C12" s="1" t="s">
        <v>10</v>
      </c>
      <c r="D12" s="46" t="s">
        <v>1242</v>
      </c>
      <c r="E12" s="3"/>
    </row>
    <row r="13" spans="3:7" ht="18.75" customHeight="1">
      <c r="C13" s="1" t="s">
        <v>11</v>
      </c>
      <c r="D13" s="6" t="s">
        <v>1256</v>
      </c>
      <c r="E13" s="3"/>
    </row>
    <row r="18" spans="3:4">
      <c r="C18" s="567" t="s">
        <v>1282</v>
      </c>
    </row>
    <row r="19" spans="3:4">
      <c r="C19" s="567" t="s">
        <v>1278</v>
      </c>
      <c r="D19" s="2" t="s">
        <v>1279</v>
      </c>
    </row>
    <row r="20" spans="3:4">
      <c r="C20" s="567" t="s">
        <v>1280</v>
      </c>
      <c r="D20" s="2" t="s">
        <v>1281</v>
      </c>
    </row>
    <row r="21" spans="3:4">
      <c r="C21" s="567" t="s">
        <v>1284</v>
      </c>
      <c r="D21" s="2" t="s">
        <v>1285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D46"/>
  <sheetViews>
    <sheetView workbookViewId="0">
      <selection activeCell="A3" sqref="A3"/>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91" t="s">
        <v>400</v>
      </c>
      <c r="B1" s="91" t="s">
        <v>414</v>
      </c>
      <c r="C1" s="91" t="s">
        <v>415</v>
      </c>
      <c r="D1" s="91" t="s">
        <v>416</v>
      </c>
      <c r="E1" s="91" t="s">
        <v>387</v>
      </c>
      <c r="F1" s="91" t="s">
        <v>417</v>
      </c>
      <c r="G1" s="91" t="s">
        <v>418</v>
      </c>
      <c r="H1" s="91" t="s">
        <v>419</v>
      </c>
      <c r="I1" s="91" t="s">
        <v>259</v>
      </c>
      <c r="J1" s="91" t="s">
        <v>260</v>
      </c>
      <c r="K1" s="92">
        <v>2016</v>
      </c>
      <c r="L1" s="186">
        <v>2017</v>
      </c>
      <c r="M1" s="186">
        <v>2018</v>
      </c>
      <c r="N1" s="186">
        <v>2019</v>
      </c>
      <c r="O1" s="186">
        <v>2020</v>
      </c>
      <c r="P1" s="186">
        <v>2021</v>
      </c>
      <c r="Q1" s="186">
        <v>2022</v>
      </c>
      <c r="R1" s="186">
        <v>2023</v>
      </c>
      <c r="S1" s="186">
        <v>2024</v>
      </c>
      <c r="T1" s="186">
        <v>2025</v>
      </c>
      <c r="U1" s="186">
        <v>2026</v>
      </c>
      <c r="V1" s="186">
        <v>2027</v>
      </c>
      <c r="W1" s="186">
        <v>2028</v>
      </c>
      <c r="X1" s="186">
        <v>2029</v>
      </c>
      <c r="Y1" s="186">
        <v>2030</v>
      </c>
      <c r="Z1" s="186">
        <v>2031</v>
      </c>
      <c r="AA1" s="186">
        <v>2032</v>
      </c>
      <c r="AB1" s="186">
        <v>2033</v>
      </c>
      <c r="AC1" s="186">
        <v>2034</v>
      </c>
      <c r="AD1" s="186">
        <v>2035</v>
      </c>
      <c r="AE1" s="187" t="s">
        <v>46</v>
      </c>
      <c r="AF1" s="87" t="s">
        <v>365</v>
      </c>
      <c r="AG1" s="88"/>
      <c r="AH1" s="88"/>
      <c r="AI1" s="88"/>
      <c r="AJ1" s="88"/>
      <c r="AK1" s="88"/>
      <c r="AL1" s="88"/>
      <c r="AM1" s="88"/>
      <c r="AN1" s="88"/>
      <c r="AO1" s="88"/>
      <c r="AP1" s="88"/>
      <c r="AQ1" s="77"/>
      <c r="AR1" s="86"/>
      <c r="AS1" s="87" t="s">
        <v>366</v>
      </c>
      <c r="AT1" s="88"/>
      <c r="AU1" s="88"/>
      <c r="AV1" s="88"/>
      <c r="AW1" s="88"/>
      <c r="AX1" s="88"/>
      <c r="AY1" s="88"/>
      <c r="AZ1" s="88"/>
      <c r="BA1" s="88"/>
      <c r="BB1" s="88"/>
      <c r="BC1" s="88"/>
      <c r="BD1" s="77"/>
    </row>
    <row r="2" spans="1:56" ht="15">
      <c r="A2" s="91"/>
      <c r="B2" s="91"/>
      <c r="C2" s="91"/>
      <c r="D2" s="91"/>
      <c r="E2" s="91"/>
      <c r="F2" s="91" t="s">
        <v>367</v>
      </c>
      <c r="G2" s="91" t="s">
        <v>50</v>
      </c>
      <c r="H2" s="91" t="s">
        <v>258</v>
      </c>
      <c r="I2" s="91">
        <v>1000</v>
      </c>
      <c r="J2" s="91"/>
      <c r="K2" s="93" t="str">
        <f t="shared" ref="K2:AD2" si="0">CONCATENATE("aMW_",K$1)</f>
        <v>aMW_2016</v>
      </c>
      <c r="L2" s="188" t="str">
        <f t="shared" si="0"/>
        <v>aMW_2017</v>
      </c>
      <c r="M2" s="188" t="str">
        <f t="shared" si="0"/>
        <v>aMW_2018</v>
      </c>
      <c r="N2" s="188" t="str">
        <f t="shared" si="0"/>
        <v>aMW_2019</v>
      </c>
      <c r="O2" s="188" t="str">
        <f t="shared" si="0"/>
        <v>aMW_2020</v>
      </c>
      <c r="P2" s="188" t="str">
        <f t="shared" si="0"/>
        <v>aMW_2021</v>
      </c>
      <c r="Q2" s="188" t="str">
        <f t="shared" si="0"/>
        <v>aMW_2022</v>
      </c>
      <c r="R2" s="188" t="str">
        <f t="shared" si="0"/>
        <v>aMW_2023</v>
      </c>
      <c r="S2" s="188" t="str">
        <f t="shared" si="0"/>
        <v>aMW_2024</v>
      </c>
      <c r="T2" s="188" t="str">
        <f t="shared" si="0"/>
        <v>aMW_2025</v>
      </c>
      <c r="U2" s="188" t="str">
        <f t="shared" si="0"/>
        <v>aMW_2026</v>
      </c>
      <c r="V2" s="188" t="str">
        <f t="shared" si="0"/>
        <v>aMW_2027</v>
      </c>
      <c r="W2" s="188" t="str">
        <f t="shared" si="0"/>
        <v>aMW_2028</v>
      </c>
      <c r="X2" s="188" t="str">
        <f t="shared" si="0"/>
        <v>aMW_2029</v>
      </c>
      <c r="Y2" s="188" t="str">
        <f t="shared" si="0"/>
        <v>aMW_2030</v>
      </c>
      <c r="Z2" s="188" t="str">
        <f t="shared" si="0"/>
        <v>aMW_2031</v>
      </c>
      <c r="AA2" s="188" t="str">
        <f t="shared" si="0"/>
        <v>aMW_2032</v>
      </c>
      <c r="AB2" s="188" t="str">
        <f t="shared" si="0"/>
        <v>aMW_2033</v>
      </c>
      <c r="AC2" s="188" t="str">
        <f t="shared" si="0"/>
        <v>aMW_2034</v>
      </c>
      <c r="AD2" s="188" t="str">
        <f t="shared" si="0"/>
        <v>aMW_2035</v>
      </c>
      <c r="AE2" s="189" t="s">
        <v>46</v>
      </c>
      <c r="AF2" s="190" t="s">
        <v>240</v>
      </c>
      <c r="AG2" s="191" t="s">
        <v>241</v>
      </c>
      <c r="AH2" s="191" t="s">
        <v>242</v>
      </c>
      <c r="AI2" s="191" t="s">
        <v>243</v>
      </c>
      <c r="AJ2" s="191" t="s">
        <v>244</v>
      </c>
      <c r="AK2" s="191" t="s">
        <v>245</v>
      </c>
      <c r="AL2" s="191" t="s">
        <v>246</v>
      </c>
      <c r="AM2" s="191" t="s">
        <v>247</v>
      </c>
      <c r="AN2" s="191" t="s">
        <v>248</v>
      </c>
      <c r="AO2" s="191" t="s">
        <v>249</v>
      </c>
      <c r="AP2" s="191" t="s">
        <v>250</v>
      </c>
      <c r="AQ2" s="191" t="s">
        <v>251</v>
      </c>
      <c r="AR2" s="71"/>
      <c r="AS2" s="71" t="s">
        <v>240</v>
      </c>
      <c r="AT2" s="71" t="s">
        <v>241</v>
      </c>
      <c r="AU2" s="71" t="s">
        <v>242</v>
      </c>
      <c r="AV2" s="71" t="s">
        <v>243</v>
      </c>
      <c r="AW2" s="71" t="s">
        <v>244</v>
      </c>
      <c r="AX2" s="71" t="s">
        <v>245</v>
      </c>
      <c r="AY2" s="71" t="s">
        <v>246</v>
      </c>
      <c r="AZ2" s="71" t="s">
        <v>247</v>
      </c>
      <c r="BA2" s="71" t="s">
        <v>248</v>
      </c>
      <c r="BB2" s="71" t="s">
        <v>249</v>
      </c>
      <c r="BC2" s="71" t="s">
        <v>250</v>
      </c>
      <c r="BD2" s="71" t="s">
        <v>251</v>
      </c>
    </row>
    <row r="3" spans="1:56" ht="15">
      <c r="A3" s="201" t="str">
        <f>VLOOKUP(CONCATENATE($C3,"-",$B3),[1]ACHIEV!$B$19:$C$100,2,FALSE)</f>
        <v>Retro20Fast</v>
      </c>
      <c r="B3" s="201" t="str">
        <f>'SC-Retro'!$C$7</f>
        <v>Retro</v>
      </c>
      <c r="C3" s="201" t="str">
        <f>'7PSourceSummary'!$D$2</f>
        <v>Showerheads</v>
      </c>
      <c r="D3" s="201" t="s">
        <v>420</v>
      </c>
      <c r="E3" s="202" t="str">
        <f>'SC-Retro'!$A$9</f>
        <v>Water Heating</v>
      </c>
      <c r="F3" s="564">
        <f t="shared" ref="F3:F20" si="1">VLOOKUP(J3,MeasureOutputR,14,FALSE)</f>
        <v>1.5056246253698094E-2</v>
      </c>
      <c r="G3" s="565">
        <f>INDEX('SC-Retro'!$A$61:$D$78,MATCH($J3,'SC-Retro'!$D$61:$D$78,0),1)</f>
        <v>87.367093971108304</v>
      </c>
      <c r="H3" s="565">
        <f>INDEX('SC-Retro'!$A$61:$D$78,MATCH($J3,'SC-Retro'!$D$61:$D$78,0),2)</f>
        <v>-231.58779709821113</v>
      </c>
      <c r="I3" s="566"/>
      <c r="J3" s="204" t="str">
        <f>'SC-Retro'!D61</f>
        <v>Showerheads-Retro-Large Off</v>
      </c>
      <c r="K3" s="204">
        <f>'SC-Retro'!E61</f>
        <v>4.8465104892916944E-2</v>
      </c>
      <c r="L3" s="204">
        <f>'SC-Retro'!F61</f>
        <v>3.4566000678623351E-2</v>
      </c>
      <c r="M3" s="204">
        <f>'SC-Retro'!G61</f>
        <v>2.4226690488434708E-2</v>
      </c>
      <c r="N3" s="204">
        <f>'SC-Retro'!H61</f>
        <v>1.9097005238059624E-2</v>
      </c>
      <c r="O3" s="204">
        <f>'SC-Retro'!I61</f>
        <v>1.6975095697889377E-2</v>
      </c>
      <c r="P3" s="204">
        <f>'SC-Retro'!J61</f>
        <v>1.4890583546663618E-2</v>
      </c>
      <c r="Q3" s="204">
        <f>'SC-Retro'!K61</f>
        <v>1.2891521026281093E-2</v>
      </c>
      <c r="R3" s="204">
        <f>'SC-Retro'!L61</f>
        <v>1.1106967341157247E-2</v>
      </c>
      <c r="S3" s="204">
        <f>'SC-Retro'!M61</f>
        <v>9.4814215811286334E-3</v>
      </c>
      <c r="T3" s="204">
        <f>'SC-Retro'!N61</f>
        <v>8.0414994706533936E-3</v>
      </c>
      <c r="U3" s="204">
        <f>'SC-Retro'!O61</f>
        <v>6.796335031568854E-3</v>
      </c>
      <c r="V3" s="204">
        <f>'SC-Retro'!P61</f>
        <v>5.360260931011108E-3</v>
      </c>
      <c r="W3" s="204">
        <f>'SC-Retro'!Q61</f>
        <v>4.2328954736059864E-3</v>
      </c>
      <c r="X3" s="204">
        <f>'SC-Retro'!R61</f>
        <v>3.3472513567948054E-3</v>
      </c>
      <c r="Y3" s="204">
        <f>'SC-Retro'!S61</f>
        <v>2.6424344954761657E-3</v>
      </c>
      <c r="Z3" s="204">
        <f>'SC-Retro'!T61</f>
        <v>2.0886024641249075E-3</v>
      </c>
      <c r="AA3" s="204">
        <f>'SC-Retro'!U61</f>
        <v>1.6499793241735923E-3</v>
      </c>
      <c r="AB3" s="204">
        <f>'SC-Retro'!V61</f>
        <v>1.3028847397334056E-3</v>
      </c>
      <c r="AC3" s="204">
        <f>'SC-Retro'!W61</f>
        <v>1.0276253387000982E-3</v>
      </c>
      <c r="AD3" s="204">
        <f>'SC-Retro'!X61</f>
        <v>8.1024536956904596E-4</v>
      </c>
      <c r="AE3" s="204">
        <f>'SC-Retro'!Y61</f>
        <v>0.20694435284826959</v>
      </c>
      <c r="AF3" s="205">
        <f t="shared" ref="AF3:AO12" si="2">VLOOKUP($J3,MeasureOutputR,COLUMN()-17,FALSE)</f>
        <v>5.5703426539821459</v>
      </c>
      <c r="AG3" s="205">
        <f t="shared" si="2"/>
        <v>5.2111368976564094</v>
      </c>
      <c r="AH3" s="205">
        <f t="shared" si="2"/>
        <v>6.0283875652372814</v>
      </c>
      <c r="AI3" s="205">
        <f t="shared" si="2"/>
        <v>5.2446433694533745</v>
      </c>
      <c r="AJ3" s="205">
        <f t="shared" si="2"/>
        <v>5.3449564618279872</v>
      </c>
      <c r="AK3" s="205">
        <f t="shared" si="2"/>
        <v>4.8186509707194993</v>
      </c>
      <c r="AL3" s="205">
        <f t="shared" si="2"/>
        <v>4.4489732715613135</v>
      </c>
      <c r="AM3" s="205">
        <f t="shared" si="2"/>
        <v>4.6716569707066</v>
      </c>
      <c r="AN3" s="205">
        <f t="shared" si="2"/>
        <v>4.1175330781619781</v>
      </c>
      <c r="AO3" s="205">
        <f t="shared" si="2"/>
        <v>4.7255565101602306</v>
      </c>
      <c r="AP3" s="205">
        <f t="shared" ref="AP3:BD12" si="3">VLOOKUP($J3,MeasureOutputR,COLUMN()-17,FALSE)</f>
        <v>4.5721365809108176</v>
      </c>
      <c r="AQ3" s="205">
        <f t="shared" si="3"/>
        <v>5.2009072450833527</v>
      </c>
      <c r="AR3" s="205">
        <f t="shared" si="3"/>
        <v>0</v>
      </c>
      <c r="AS3" s="205">
        <f t="shared" si="3"/>
        <v>2.7333137444797755</v>
      </c>
      <c r="AT3" s="205">
        <f t="shared" si="3"/>
        <v>2.4323150478663238</v>
      </c>
      <c r="AU3" s="205">
        <f t="shared" si="3"/>
        <v>2.3793794068340586</v>
      </c>
      <c r="AV3" s="205">
        <f t="shared" si="3"/>
        <v>2.4099536291846264</v>
      </c>
      <c r="AW3" s="205">
        <f t="shared" si="3"/>
        <v>2.4226073250257278</v>
      </c>
      <c r="AX3" s="205">
        <f t="shared" si="3"/>
        <v>1.9849143552785575</v>
      </c>
      <c r="AY3" s="205">
        <f t="shared" si="3"/>
        <v>2.2382463850728045</v>
      </c>
      <c r="AZ3" s="205">
        <f t="shared" si="3"/>
        <v>1.8826110042918325</v>
      </c>
      <c r="BA3" s="205">
        <f t="shared" si="3"/>
        <v>2.122477070065302</v>
      </c>
      <c r="BB3" s="205">
        <f t="shared" si="3"/>
        <v>1.9045708754172395</v>
      </c>
      <c r="BC3" s="205">
        <f t="shared" si="3"/>
        <v>2.3211292681733657</v>
      </c>
      <c r="BD3" s="205">
        <f t="shared" si="3"/>
        <v>2.5806942839577012</v>
      </c>
    </row>
    <row r="4" spans="1:56" ht="15">
      <c r="A4" s="201" t="str">
        <f>VLOOKUP(CONCATENATE($C4,"-",$B4),[1]ACHIEV!$B$19:$C$100,2,FALSE)</f>
        <v>Retro20Fast</v>
      </c>
      <c r="B4" s="201" t="str">
        <f>B3</f>
        <v>Retro</v>
      </c>
      <c r="C4" s="201" t="str">
        <f>'7PSourceSummary'!$D$2</f>
        <v>Showerheads</v>
      </c>
      <c r="D4" s="201" t="s">
        <v>420</v>
      </c>
      <c r="E4" s="202" t="str">
        <f>'SC-Retro'!$A$9</f>
        <v>Water Heating</v>
      </c>
      <c r="F4" s="565">
        <f t="shared" si="1"/>
        <v>1.5056246253698094E-2</v>
      </c>
      <c r="G4" s="565">
        <f>INDEX('SC-Retro'!$A$61:$D$78,MATCH($J4,'SC-Retro'!$D$61:$D$78,0),1)</f>
        <v>87.367093971108304</v>
      </c>
      <c r="H4" s="565">
        <f>INDEX('SC-Retro'!$A$61:$D$78,MATCH($J4,'SC-Retro'!$D$61:$D$78,0),2)</f>
        <v>-231.58779709821113</v>
      </c>
      <c r="I4" s="566"/>
      <c r="J4" s="203" t="str">
        <f>'SC-Retro'!D62</f>
        <v>Showerheads-Retro-Medium Off</v>
      </c>
      <c r="K4" s="204">
        <f>'SC-Retro'!E62</f>
        <v>4.1546480947709907E-2</v>
      </c>
      <c r="L4" s="204">
        <f>'SC-Retro'!F62</f>
        <v>2.9999965542496822E-2</v>
      </c>
      <c r="M4" s="204">
        <f>'SC-Retro'!G62</f>
        <v>2.1196478723118122E-2</v>
      </c>
      <c r="N4" s="204">
        <f>'SC-Retro'!H62</f>
        <v>1.6847512019546259E-2</v>
      </c>
      <c r="O4" s="204">
        <f>'SC-Retro'!I62</f>
        <v>1.5120769512114029E-2</v>
      </c>
      <c r="P4" s="204">
        <f>'SC-Retro'!J62</f>
        <v>1.3379388176337359E-2</v>
      </c>
      <c r="Q4" s="204">
        <f>'SC-Retro'!K62</f>
        <v>1.1650684994407471E-2</v>
      </c>
      <c r="R4" s="204">
        <f>'SC-Retro'!L62</f>
        <v>1.0128024185924296E-2</v>
      </c>
      <c r="S4" s="204">
        <f>'SC-Retro'!M62</f>
        <v>8.711056428898559E-3</v>
      </c>
      <c r="T4" s="204">
        <f>'SC-Retro'!N62</f>
        <v>7.4375076004809726E-3</v>
      </c>
      <c r="U4" s="204">
        <f>'SC-Retro'!O62</f>
        <v>6.3348938371754733E-3</v>
      </c>
      <c r="V4" s="204">
        <f>'SC-Retro'!P62</f>
        <v>5.0336666431347338E-3</v>
      </c>
      <c r="W4" s="204">
        <f>'SC-Retro'!Q62</f>
        <v>4.0042148454964835E-3</v>
      </c>
      <c r="X4" s="204">
        <f>'SC-Retro'!R62</f>
        <v>3.1895885193659853E-3</v>
      </c>
      <c r="Y4" s="204">
        <f>'SC-Retro'!S62</f>
        <v>2.5358537085549285E-3</v>
      </c>
      <c r="Z4" s="204">
        <f>'SC-Retro'!T62</f>
        <v>2.0201417211142378E-3</v>
      </c>
      <c r="AA4" s="204">
        <f>'SC-Retro'!U62</f>
        <v>1.606565113663228E-3</v>
      </c>
      <c r="AB4" s="204">
        <f>'SC-Retro'!V62</f>
        <v>1.278076221828876E-3</v>
      </c>
      <c r="AC4" s="204">
        <f>'SC-Retro'!W62</f>
        <v>1.0135026649899506E-3</v>
      </c>
      <c r="AD4" s="204">
        <f>'SC-Retro'!X62</f>
        <v>8.0340680135940136E-4</v>
      </c>
      <c r="AE4" s="204">
        <f>'SC-Retro'!Y62</f>
        <v>0.1774020634401503</v>
      </c>
      <c r="AF4" s="205">
        <f t="shared" si="2"/>
        <v>5.5703426539821459</v>
      </c>
      <c r="AG4" s="205">
        <f t="shared" si="2"/>
        <v>5.2111368976564094</v>
      </c>
      <c r="AH4" s="205">
        <f t="shared" si="2"/>
        <v>6.0283875652372814</v>
      </c>
      <c r="AI4" s="205">
        <f t="shared" si="2"/>
        <v>5.2446433694533745</v>
      </c>
      <c r="AJ4" s="205">
        <f t="shared" si="2"/>
        <v>5.3449564618279872</v>
      </c>
      <c r="AK4" s="205">
        <f t="shared" si="2"/>
        <v>4.8186509707194993</v>
      </c>
      <c r="AL4" s="205">
        <f t="shared" si="2"/>
        <v>4.4489732715613135</v>
      </c>
      <c r="AM4" s="205">
        <f t="shared" si="2"/>
        <v>4.6716569707066</v>
      </c>
      <c r="AN4" s="205">
        <f t="shared" si="2"/>
        <v>4.1175330781619781</v>
      </c>
      <c r="AO4" s="205">
        <f t="shared" si="2"/>
        <v>4.7255565101602306</v>
      </c>
      <c r="AP4" s="205">
        <f t="shared" si="3"/>
        <v>4.5721365809108176</v>
      </c>
      <c r="AQ4" s="205">
        <f t="shared" si="3"/>
        <v>5.2009072450833527</v>
      </c>
      <c r="AR4" s="205">
        <f t="shared" si="3"/>
        <v>0</v>
      </c>
      <c r="AS4" s="205">
        <f t="shared" si="3"/>
        <v>2.7333137444797755</v>
      </c>
      <c r="AT4" s="205">
        <f t="shared" si="3"/>
        <v>2.4323150478663238</v>
      </c>
      <c r="AU4" s="205">
        <f t="shared" si="3"/>
        <v>2.3793794068340586</v>
      </c>
      <c r="AV4" s="205">
        <f t="shared" si="3"/>
        <v>2.4099536291846264</v>
      </c>
      <c r="AW4" s="205">
        <f t="shared" si="3"/>
        <v>2.4226073250257278</v>
      </c>
      <c r="AX4" s="205">
        <f t="shared" si="3"/>
        <v>1.9849143552785575</v>
      </c>
      <c r="AY4" s="205">
        <f t="shared" si="3"/>
        <v>2.2382463850728045</v>
      </c>
      <c r="AZ4" s="205">
        <f t="shared" si="3"/>
        <v>1.8826110042918325</v>
      </c>
      <c r="BA4" s="205">
        <f t="shared" si="3"/>
        <v>2.122477070065302</v>
      </c>
      <c r="BB4" s="205">
        <f t="shared" si="3"/>
        <v>1.9045708754172395</v>
      </c>
      <c r="BC4" s="205">
        <f t="shared" si="3"/>
        <v>2.3211292681733657</v>
      </c>
      <c r="BD4" s="205">
        <f t="shared" si="3"/>
        <v>2.5806942839577012</v>
      </c>
    </row>
    <row r="5" spans="1:56" ht="15">
      <c r="A5" s="201" t="str">
        <f>VLOOKUP(CONCATENATE($C5,"-",$B5),[1]ACHIEV!$B$19:$C$100,2,FALSE)</f>
        <v>Retro20Fast</v>
      </c>
      <c r="B5" s="201" t="str">
        <f t="shared" ref="B5:B20" si="4">B4</f>
        <v>Retro</v>
      </c>
      <c r="C5" s="201" t="str">
        <f>'7PSourceSummary'!$D$2</f>
        <v>Showerheads</v>
      </c>
      <c r="D5" s="201" t="s">
        <v>420</v>
      </c>
      <c r="E5" s="202" t="str">
        <f>'SC-Retro'!$A$9</f>
        <v>Water Heating</v>
      </c>
      <c r="F5" s="565">
        <f t="shared" si="1"/>
        <v>1.5056246253698094E-2</v>
      </c>
      <c r="G5" s="565">
        <f>INDEX('SC-Retro'!$A$61:$D$78,MATCH($J5,'SC-Retro'!$D$61:$D$78,0),1)</f>
        <v>87.367093971108304</v>
      </c>
      <c r="H5" s="565">
        <f>INDEX('SC-Retro'!$A$61:$D$78,MATCH($J5,'SC-Retro'!$D$61:$D$78,0),2)</f>
        <v>-231.58779709821113</v>
      </c>
      <c r="I5" s="566"/>
      <c r="J5" s="203" t="str">
        <f>'SC-Retro'!D63</f>
        <v>Showerheads-Retro-Small Off</v>
      </c>
      <c r="K5" s="204">
        <f>'SC-Retro'!E63</f>
        <v>7.4985224368546025E-3</v>
      </c>
      <c r="L5" s="204">
        <f>'SC-Retro'!F63</f>
        <v>5.2875560936352746E-3</v>
      </c>
      <c r="M5" s="204">
        <f>'SC-Retro'!G63</f>
        <v>3.6735745097067544E-3</v>
      </c>
      <c r="N5" s="204">
        <f>'SC-Retro'!H63</f>
        <v>2.871687751179667E-3</v>
      </c>
      <c r="O5" s="204">
        <f>'SC-Retro'!I63</f>
        <v>2.5283216257725354E-3</v>
      </c>
      <c r="P5" s="204">
        <f>'SC-Retro'!J63</f>
        <v>2.1978179612685013E-3</v>
      </c>
      <c r="Q5" s="204">
        <f>'SC-Retro'!K63</f>
        <v>1.8881745980059764E-3</v>
      </c>
      <c r="R5" s="204">
        <f>'SC-Retro'!L63</f>
        <v>1.6121144000819853E-3</v>
      </c>
      <c r="S5" s="204">
        <f>'SC-Retro'!M63</f>
        <v>1.3655088319501495E-3</v>
      </c>
      <c r="T5" s="204">
        <f>'SC-Retro'!N63</f>
        <v>1.1493797037009121E-3</v>
      </c>
      <c r="U5" s="204">
        <f>'SC-Retro'!O63</f>
        <v>9.6340796764677499E-4</v>
      </c>
      <c r="V5" s="204">
        <f>'SC-Retro'!P63</f>
        <v>7.5367448785430358E-4</v>
      </c>
      <c r="W5" s="204">
        <f>'SC-Retro'!Q63</f>
        <v>5.8989867743422487E-4</v>
      </c>
      <c r="X5" s="204">
        <f>'SC-Retro'!R63</f>
        <v>4.6198886341923171E-4</v>
      </c>
      <c r="Y5" s="204">
        <f>'SC-Retro'!S63</f>
        <v>3.6161947708065491E-4</v>
      </c>
      <c r="Z5" s="204">
        <f>'SC-Retro'!T63</f>
        <v>2.8329570003149477E-4</v>
      </c>
      <c r="AA5" s="204">
        <f>'SC-Retro'!U63</f>
        <v>2.2182752865922652E-4</v>
      </c>
      <c r="AB5" s="204">
        <f>'SC-Retro'!V63</f>
        <v>1.7373043488451347E-4</v>
      </c>
      <c r="AC5" s="204">
        <f>'SC-Retro'!W63</f>
        <v>1.3593387044756104E-4</v>
      </c>
      <c r="AD5" s="204">
        <f>'SC-Retro'!X63</f>
        <v>1.0635699787223797E-4</v>
      </c>
      <c r="AE5" s="204">
        <f>'SC-Retro'!Y63</f>
        <v>3.2018436284038533E-2</v>
      </c>
      <c r="AF5" s="205">
        <f t="shared" si="2"/>
        <v>5.5703426539821459</v>
      </c>
      <c r="AG5" s="205">
        <f t="shared" si="2"/>
        <v>5.2111368976564094</v>
      </c>
      <c r="AH5" s="205">
        <f t="shared" si="2"/>
        <v>6.0283875652372814</v>
      </c>
      <c r="AI5" s="205">
        <f t="shared" si="2"/>
        <v>5.2446433694533745</v>
      </c>
      <c r="AJ5" s="205">
        <f t="shared" si="2"/>
        <v>5.3449564618279872</v>
      </c>
      <c r="AK5" s="205">
        <f t="shared" si="2"/>
        <v>4.8186509707194993</v>
      </c>
      <c r="AL5" s="205">
        <f t="shared" si="2"/>
        <v>4.4489732715613135</v>
      </c>
      <c r="AM5" s="205">
        <f t="shared" si="2"/>
        <v>4.6716569707066</v>
      </c>
      <c r="AN5" s="205">
        <f t="shared" si="2"/>
        <v>4.1175330781619781</v>
      </c>
      <c r="AO5" s="205">
        <f t="shared" si="2"/>
        <v>4.7255565101602306</v>
      </c>
      <c r="AP5" s="205">
        <f t="shared" si="3"/>
        <v>4.5721365809108176</v>
      </c>
      <c r="AQ5" s="205">
        <f t="shared" si="3"/>
        <v>5.2009072450833527</v>
      </c>
      <c r="AR5" s="205">
        <f t="shared" si="3"/>
        <v>0</v>
      </c>
      <c r="AS5" s="205">
        <f t="shared" si="3"/>
        <v>2.7333137444797755</v>
      </c>
      <c r="AT5" s="205">
        <f t="shared" si="3"/>
        <v>2.4323150478663238</v>
      </c>
      <c r="AU5" s="205">
        <f t="shared" si="3"/>
        <v>2.3793794068340586</v>
      </c>
      <c r="AV5" s="205">
        <f t="shared" si="3"/>
        <v>2.4099536291846264</v>
      </c>
      <c r="AW5" s="205">
        <f t="shared" si="3"/>
        <v>2.4226073250257278</v>
      </c>
      <c r="AX5" s="205">
        <f t="shared" si="3"/>
        <v>1.9849143552785575</v>
      </c>
      <c r="AY5" s="205">
        <f t="shared" si="3"/>
        <v>2.2382463850728045</v>
      </c>
      <c r="AZ5" s="205">
        <f t="shared" si="3"/>
        <v>1.8826110042918325</v>
      </c>
      <c r="BA5" s="205">
        <f t="shared" si="3"/>
        <v>2.122477070065302</v>
      </c>
      <c r="BB5" s="205">
        <f t="shared" si="3"/>
        <v>1.9045708754172395</v>
      </c>
      <c r="BC5" s="205">
        <f t="shared" si="3"/>
        <v>2.3211292681733657</v>
      </c>
      <c r="BD5" s="205">
        <f t="shared" si="3"/>
        <v>2.5806942839577012</v>
      </c>
    </row>
    <row r="6" spans="1:56" ht="15">
      <c r="A6" s="201" t="str">
        <f>VLOOKUP(CONCATENATE($C6,"-",$B6),[1]ACHIEV!$B$19:$C$100,2,FALSE)</f>
        <v>Retro20Fast</v>
      </c>
      <c r="B6" s="201" t="str">
        <f t="shared" si="4"/>
        <v>Retro</v>
      </c>
      <c r="C6" s="201" t="str">
        <f>'7PSourceSummary'!$D$2</f>
        <v>Showerheads</v>
      </c>
      <c r="D6" s="201" t="s">
        <v>420</v>
      </c>
      <c r="E6" s="202" t="str">
        <f>'SC-Retro'!$A$9</f>
        <v>Water Heating</v>
      </c>
      <c r="F6" s="565">
        <f t="shared" si="1"/>
        <v>0</v>
      </c>
      <c r="G6" s="565">
        <f>INDEX('SC-Retro'!$A$61:$D$78,MATCH($J6,'SC-Retro'!$D$61:$D$78,0),1)</f>
        <v>0</v>
      </c>
      <c r="H6" s="565">
        <f>INDEX('SC-Retro'!$A$61:$D$78,MATCH($J6,'SC-Retro'!$D$61:$D$78,0),2)</f>
        <v>9999</v>
      </c>
      <c r="I6" s="566"/>
      <c r="J6" s="203" t="str">
        <f>'SC-Retro'!D64</f>
        <v>Showerheads-Retro-XLarge Ret</v>
      </c>
      <c r="K6" s="204">
        <f>'SC-Retro'!E64</f>
        <v>0</v>
      </c>
      <c r="L6" s="204">
        <f>'SC-Retro'!F64</f>
        <v>0</v>
      </c>
      <c r="M6" s="204">
        <f>'SC-Retro'!G64</f>
        <v>0</v>
      </c>
      <c r="N6" s="204">
        <f>'SC-Retro'!H64</f>
        <v>0</v>
      </c>
      <c r="O6" s="204">
        <f>'SC-Retro'!I64</f>
        <v>0</v>
      </c>
      <c r="P6" s="204">
        <f>'SC-Retro'!J64</f>
        <v>0</v>
      </c>
      <c r="Q6" s="204">
        <f>'SC-Retro'!K64</f>
        <v>0</v>
      </c>
      <c r="R6" s="204">
        <f>'SC-Retro'!L64</f>
        <v>0</v>
      </c>
      <c r="S6" s="204">
        <f>'SC-Retro'!M64</f>
        <v>0</v>
      </c>
      <c r="T6" s="204">
        <f>'SC-Retro'!N64</f>
        <v>0</v>
      </c>
      <c r="U6" s="204">
        <f>'SC-Retro'!O64</f>
        <v>0</v>
      </c>
      <c r="V6" s="204">
        <f>'SC-Retro'!P64</f>
        <v>0</v>
      </c>
      <c r="W6" s="204">
        <f>'SC-Retro'!Q64</f>
        <v>0</v>
      </c>
      <c r="X6" s="204">
        <f>'SC-Retro'!R64</f>
        <v>0</v>
      </c>
      <c r="Y6" s="204">
        <f>'SC-Retro'!S64</f>
        <v>0</v>
      </c>
      <c r="Z6" s="204">
        <f>'SC-Retro'!T64</f>
        <v>0</v>
      </c>
      <c r="AA6" s="204">
        <f>'SC-Retro'!U64</f>
        <v>0</v>
      </c>
      <c r="AB6" s="204">
        <f>'SC-Retro'!V64</f>
        <v>0</v>
      </c>
      <c r="AC6" s="204">
        <f>'SC-Retro'!W64</f>
        <v>0</v>
      </c>
      <c r="AD6" s="204">
        <f>'SC-Retro'!X64</f>
        <v>0</v>
      </c>
      <c r="AE6" s="204">
        <f>'SC-Retro'!Y64</f>
        <v>0</v>
      </c>
      <c r="AF6" s="205">
        <f t="shared" si="2"/>
        <v>0</v>
      </c>
      <c r="AG6" s="205">
        <f t="shared" si="2"/>
        <v>0</v>
      </c>
      <c r="AH6" s="205">
        <f t="shared" si="2"/>
        <v>0</v>
      </c>
      <c r="AI6" s="205">
        <f t="shared" si="2"/>
        <v>0</v>
      </c>
      <c r="AJ6" s="205">
        <f t="shared" si="2"/>
        <v>0</v>
      </c>
      <c r="AK6" s="205">
        <f t="shared" si="2"/>
        <v>0</v>
      </c>
      <c r="AL6" s="205">
        <f t="shared" si="2"/>
        <v>0</v>
      </c>
      <c r="AM6" s="205">
        <f t="shared" si="2"/>
        <v>0</v>
      </c>
      <c r="AN6" s="205">
        <f t="shared" si="2"/>
        <v>0</v>
      </c>
      <c r="AO6" s="205">
        <f t="shared" si="2"/>
        <v>0</v>
      </c>
      <c r="AP6" s="205">
        <f t="shared" si="3"/>
        <v>0</v>
      </c>
      <c r="AQ6" s="205">
        <f t="shared" si="3"/>
        <v>0</v>
      </c>
      <c r="AR6" s="205">
        <f t="shared" si="3"/>
        <v>0</v>
      </c>
      <c r="AS6" s="205">
        <f t="shared" si="3"/>
        <v>0</v>
      </c>
      <c r="AT6" s="205">
        <f t="shared" si="3"/>
        <v>0</v>
      </c>
      <c r="AU6" s="205">
        <f t="shared" si="3"/>
        <v>0</v>
      </c>
      <c r="AV6" s="205">
        <f t="shared" si="3"/>
        <v>0</v>
      </c>
      <c r="AW6" s="205">
        <f t="shared" si="3"/>
        <v>0</v>
      </c>
      <c r="AX6" s="205">
        <f t="shared" si="3"/>
        <v>0</v>
      </c>
      <c r="AY6" s="205">
        <f t="shared" si="3"/>
        <v>0</v>
      </c>
      <c r="AZ6" s="205">
        <f t="shared" si="3"/>
        <v>0</v>
      </c>
      <c r="BA6" s="205">
        <f t="shared" si="3"/>
        <v>0</v>
      </c>
      <c r="BB6" s="205">
        <f t="shared" si="3"/>
        <v>0</v>
      </c>
      <c r="BC6" s="205">
        <f t="shared" si="3"/>
        <v>0</v>
      </c>
      <c r="BD6" s="205">
        <f t="shared" si="3"/>
        <v>0</v>
      </c>
    </row>
    <row r="7" spans="1:56" ht="15">
      <c r="A7" s="201" t="str">
        <f>VLOOKUP(CONCATENATE($C7,"-",$B7),[1]ACHIEV!$B$19:$C$100,2,FALSE)</f>
        <v>Retro20Fast</v>
      </c>
      <c r="B7" s="201" t="str">
        <f t="shared" si="4"/>
        <v>Retro</v>
      </c>
      <c r="C7" s="201" t="str">
        <f>'7PSourceSummary'!$D$2</f>
        <v>Showerheads</v>
      </c>
      <c r="D7" s="201" t="s">
        <v>420</v>
      </c>
      <c r="E7" s="202" t="str">
        <f>'SC-Retro'!$A$9</f>
        <v>Water Heating</v>
      </c>
      <c r="F7" s="565">
        <f t="shared" si="1"/>
        <v>0</v>
      </c>
      <c r="G7" s="565">
        <f>INDEX('SC-Retro'!$A$61:$D$78,MATCH($J7,'SC-Retro'!$D$61:$D$78,0),1)</f>
        <v>0</v>
      </c>
      <c r="H7" s="565">
        <f>INDEX('SC-Retro'!$A$61:$D$78,MATCH($J7,'SC-Retro'!$D$61:$D$78,0),2)</f>
        <v>9999</v>
      </c>
      <c r="I7" s="566"/>
      <c r="J7" s="203" t="str">
        <f>'SC-Retro'!D65</f>
        <v>Showerheads-Retro-Large Ret</v>
      </c>
      <c r="K7" s="204">
        <f>'SC-Retro'!E65</f>
        <v>0</v>
      </c>
      <c r="L7" s="204">
        <f>'SC-Retro'!F65</f>
        <v>0</v>
      </c>
      <c r="M7" s="204">
        <f>'SC-Retro'!G65</f>
        <v>0</v>
      </c>
      <c r="N7" s="204">
        <f>'SC-Retro'!H65</f>
        <v>0</v>
      </c>
      <c r="O7" s="204">
        <f>'SC-Retro'!I65</f>
        <v>0</v>
      </c>
      <c r="P7" s="204">
        <f>'SC-Retro'!J65</f>
        <v>0</v>
      </c>
      <c r="Q7" s="204">
        <f>'SC-Retro'!K65</f>
        <v>0</v>
      </c>
      <c r="R7" s="204">
        <f>'SC-Retro'!L65</f>
        <v>0</v>
      </c>
      <c r="S7" s="204">
        <f>'SC-Retro'!M65</f>
        <v>0</v>
      </c>
      <c r="T7" s="204">
        <f>'SC-Retro'!N65</f>
        <v>0</v>
      </c>
      <c r="U7" s="204">
        <f>'SC-Retro'!O65</f>
        <v>0</v>
      </c>
      <c r="V7" s="204">
        <f>'SC-Retro'!P65</f>
        <v>0</v>
      </c>
      <c r="W7" s="204">
        <f>'SC-Retro'!Q65</f>
        <v>0</v>
      </c>
      <c r="X7" s="204">
        <f>'SC-Retro'!R65</f>
        <v>0</v>
      </c>
      <c r="Y7" s="204">
        <f>'SC-Retro'!S65</f>
        <v>0</v>
      </c>
      <c r="Z7" s="204">
        <f>'SC-Retro'!T65</f>
        <v>0</v>
      </c>
      <c r="AA7" s="204">
        <f>'SC-Retro'!U65</f>
        <v>0</v>
      </c>
      <c r="AB7" s="204">
        <f>'SC-Retro'!V65</f>
        <v>0</v>
      </c>
      <c r="AC7" s="204">
        <f>'SC-Retro'!W65</f>
        <v>0</v>
      </c>
      <c r="AD7" s="204">
        <f>'SC-Retro'!X65</f>
        <v>0</v>
      </c>
      <c r="AE7" s="204">
        <f>'SC-Retro'!Y65</f>
        <v>0</v>
      </c>
      <c r="AF7" s="205">
        <f t="shared" si="2"/>
        <v>0</v>
      </c>
      <c r="AG7" s="205">
        <f t="shared" si="2"/>
        <v>0</v>
      </c>
      <c r="AH7" s="205">
        <f t="shared" si="2"/>
        <v>0</v>
      </c>
      <c r="AI7" s="205">
        <f t="shared" si="2"/>
        <v>0</v>
      </c>
      <c r="AJ7" s="205">
        <f t="shared" si="2"/>
        <v>0</v>
      </c>
      <c r="AK7" s="205">
        <f t="shared" si="2"/>
        <v>0</v>
      </c>
      <c r="AL7" s="205">
        <f t="shared" si="2"/>
        <v>0</v>
      </c>
      <c r="AM7" s="205">
        <f t="shared" si="2"/>
        <v>0</v>
      </c>
      <c r="AN7" s="205">
        <f t="shared" si="2"/>
        <v>0</v>
      </c>
      <c r="AO7" s="205">
        <f t="shared" si="2"/>
        <v>0</v>
      </c>
      <c r="AP7" s="205">
        <f t="shared" si="3"/>
        <v>0</v>
      </c>
      <c r="AQ7" s="205">
        <f t="shared" si="3"/>
        <v>0</v>
      </c>
      <c r="AR7" s="205">
        <f t="shared" si="3"/>
        <v>0</v>
      </c>
      <c r="AS7" s="205">
        <f t="shared" si="3"/>
        <v>0</v>
      </c>
      <c r="AT7" s="205">
        <f t="shared" si="3"/>
        <v>0</v>
      </c>
      <c r="AU7" s="205">
        <f t="shared" si="3"/>
        <v>0</v>
      </c>
      <c r="AV7" s="205">
        <f t="shared" si="3"/>
        <v>0</v>
      </c>
      <c r="AW7" s="205">
        <f t="shared" si="3"/>
        <v>0</v>
      </c>
      <c r="AX7" s="205">
        <f t="shared" si="3"/>
        <v>0</v>
      </c>
      <c r="AY7" s="205">
        <f t="shared" si="3"/>
        <v>0</v>
      </c>
      <c r="AZ7" s="205">
        <f t="shared" si="3"/>
        <v>0</v>
      </c>
      <c r="BA7" s="205">
        <f t="shared" si="3"/>
        <v>0</v>
      </c>
      <c r="BB7" s="205">
        <f t="shared" si="3"/>
        <v>0</v>
      </c>
      <c r="BC7" s="205">
        <f t="shared" si="3"/>
        <v>0</v>
      </c>
      <c r="BD7" s="205">
        <f t="shared" si="3"/>
        <v>0</v>
      </c>
    </row>
    <row r="8" spans="1:56" ht="15">
      <c r="A8" s="201" t="str">
        <f>VLOOKUP(CONCATENATE($C8,"-",$B8),[1]ACHIEV!$B$19:$C$100,2,FALSE)</f>
        <v>Retro20Fast</v>
      </c>
      <c r="B8" s="201" t="str">
        <f t="shared" si="4"/>
        <v>Retro</v>
      </c>
      <c r="C8" s="201" t="str">
        <f>'7PSourceSummary'!$D$2</f>
        <v>Showerheads</v>
      </c>
      <c r="D8" s="201" t="s">
        <v>420</v>
      </c>
      <c r="E8" s="202" t="str">
        <f>'SC-Retro'!$A$9</f>
        <v>Water Heating</v>
      </c>
      <c r="F8" s="565">
        <f t="shared" si="1"/>
        <v>0</v>
      </c>
      <c r="G8" s="565">
        <f>INDEX('SC-Retro'!$A$61:$D$78,MATCH($J8,'SC-Retro'!$D$61:$D$78,0),1)</f>
        <v>0</v>
      </c>
      <c r="H8" s="565">
        <f>INDEX('SC-Retro'!$A$61:$D$78,MATCH($J8,'SC-Retro'!$D$61:$D$78,0),2)</f>
        <v>9999</v>
      </c>
      <c r="I8" s="566"/>
      <c r="J8" s="203" t="str">
        <f>'SC-Retro'!D66</f>
        <v>Showerheads-Retro-Medium Ret</v>
      </c>
      <c r="K8" s="204">
        <f>'SC-Retro'!E66</f>
        <v>0</v>
      </c>
      <c r="L8" s="204">
        <f>'SC-Retro'!F66</f>
        <v>0</v>
      </c>
      <c r="M8" s="204">
        <f>'SC-Retro'!G66</f>
        <v>0</v>
      </c>
      <c r="N8" s="204">
        <f>'SC-Retro'!H66</f>
        <v>0</v>
      </c>
      <c r="O8" s="204">
        <f>'SC-Retro'!I66</f>
        <v>0</v>
      </c>
      <c r="P8" s="204">
        <f>'SC-Retro'!J66</f>
        <v>0</v>
      </c>
      <c r="Q8" s="204">
        <f>'SC-Retro'!K66</f>
        <v>0</v>
      </c>
      <c r="R8" s="204">
        <f>'SC-Retro'!L66</f>
        <v>0</v>
      </c>
      <c r="S8" s="204">
        <f>'SC-Retro'!M66</f>
        <v>0</v>
      </c>
      <c r="T8" s="204">
        <f>'SC-Retro'!N66</f>
        <v>0</v>
      </c>
      <c r="U8" s="204">
        <f>'SC-Retro'!O66</f>
        <v>0</v>
      </c>
      <c r="V8" s="204">
        <f>'SC-Retro'!P66</f>
        <v>0</v>
      </c>
      <c r="W8" s="204">
        <f>'SC-Retro'!Q66</f>
        <v>0</v>
      </c>
      <c r="X8" s="204">
        <f>'SC-Retro'!R66</f>
        <v>0</v>
      </c>
      <c r="Y8" s="204">
        <f>'SC-Retro'!S66</f>
        <v>0</v>
      </c>
      <c r="Z8" s="204">
        <f>'SC-Retro'!T66</f>
        <v>0</v>
      </c>
      <c r="AA8" s="204">
        <f>'SC-Retro'!U66</f>
        <v>0</v>
      </c>
      <c r="AB8" s="204">
        <f>'SC-Retro'!V66</f>
        <v>0</v>
      </c>
      <c r="AC8" s="204">
        <f>'SC-Retro'!W66</f>
        <v>0</v>
      </c>
      <c r="AD8" s="204">
        <f>'SC-Retro'!X66</f>
        <v>0</v>
      </c>
      <c r="AE8" s="204">
        <f>'SC-Retro'!Y66</f>
        <v>0</v>
      </c>
      <c r="AF8" s="205">
        <f t="shared" si="2"/>
        <v>0</v>
      </c>
      <c r="AG8" s="205">
        <f t="shared" si="2"/>
        <v>0</v>
      </c>
      <c r="AH8" s="205">
        <f t="shared" si="2"/>
        <v>0</v>
      </c>
      <c r="AI8" s="205">
        <f t="shared" si="2"/>
        <v>0</v>
      </c>
      <c r="AJ8" s="205">
        <f t="shared" si="2"/>
        <v>0</v>
      </c>
      <c r="AK8" s="205">
        <f t="shared" si="2"/>
        <v>0</v>
      </c>
      <c r="AL8" s="205">
        <f t="shared" si="2"/>
        <v>0</v>
      </c>
      <c r="AM8" s="205">
        <f t="shared" si="2"/>
        <v>0</v>
      </c>
      <c r="AN8" s="205">
        <f t="shared" si="2"/>
        <v>0</v>
      </c>
      <c r="AO8" s="205">
        <f t="shared" si="2"/>
        <v>0</v>
      </c>
      <c r="AP8" s="205">
        <f t="shared" si="3"/>
        <v>0</v>
      </c>
      <c r="AQ8" s="205">
        <f t="shared" si="3"/>
        <v>0</v>
      </c>
      <c r="AR8" s="205">
        <f t="shared" si="3"/>
        <v>0</v>
      </c>
      <c r="AS8" s="205">
        <f t="shared" si="3"/>
        <v>0</v>
      </c>
      <c r="AT8" s="205">
        <f t="shared" si="3"/>
        <v>0</v>
      </c>
      <c r="AU8" s="205">
        <f t="shared" si="3"/>
        <v>0</v>
      </c>
      <c r="AV8" s="205">
        <f t="shared" si="3"/>
        <v>0</v>
      </c>
      <c r="AW8" s="205">
        <f t="shared" si="3"/>
        <v>0</v>
      </c>
      <c r="AX8" s="205">
        <f t="shared" si="3"/>
        <v>0</v>
      </c>
      <c r="AY8" s="205">
        <f t="shared" si="3"/>
        <v>0</v>
      </c>
      <c r="AZ8" s="205">
        <f t="shared" si="3"/>
        <v>0</v>
      </c>
      <c r="BA8" s="205">
        <f t="shared" si="3"/>
        <v>0</v>
      </c>
      <c r="BB8" s="205">
        <f t="shared" si="3"/>
        <v>0</v>
      </c>
      <c r="BC8" s="205">
        <f t="shared" si="3"/>
        <v>0</v>
      </c>
      <c r="BD8" s="205">
        <f t="shared" si="3"/>
        <v>0</v>
      </c>
    </row>
    <row r="9" spans="1:56" ht="15">
      <c r="A9" s="201" t="str">
        <f>VLOOKUP(CONCATENATE($C9,"-",$B9),[1]ACHIEV!$B$19:$C$100,2,FALSE)</f>
        <v>Retro20Fast</v>
      </c>
      <c r="B9" s="201" t="str">
        <f t="shared" si="4"/>
        <v>Retro</v>
      </c>
      <c r="C9" s="201" t="str">
        <f>'7PSourceSummary'!$D$2</f>
        <v>Showerheads</v>
      </c>
      <c r="D9" s="201" t="s">
        <v>420</v>
      </c>
      <c r="E9" s="202" t="str">
        <f>'SC-Retro'!$A$9</f>
        <v>Water Heating</v>
      </c>
      <c r="F9" s="565">
        <f t="shared" si="1"/>
        <v>0</v>
      </c>
      <c r="G9" s="565">
        <f>INDEX('SC-Retro'!$A$61:$D$78,MATCH($J9,'SC-Retro'!$D$61:$D$78,0),1)</f>
        <v>0</v>
      </c>
      <c r="H9" s="565">
        <f>INDEX('SC-Retro'!$A$61:$D$78,MATCH($J9,'SC-Retro'!$D$61:$D$78,0),2)</f>
        <v>9999</v>
      </c>
      <c r="I9" s="566"/>
      <c r="J9" s="203" t="str">
        <f>'SC-Retro'!D67</f>
        <v>Showerheads-Retro-Small Ret</v>
      </c>
      <c r="K9" s="204">
        <f>'SC-Retro'!E67</f>
        <v>0</v>
      </c>
      <c r="L9" s="204">
        <f>'SC-Retro'!F67</f>
        <v>0</v>
      </c>
      <c r="M9" s="204">
        <f>'SC-Retro'!G67</f>
        <v>0</v>
      </c>
      <c r="N9" s="204">
        <f>'SC-Retro'!H67</f>
        <v>0</v>
      </c>
      <c r="O9" s="204">
        <f>'SC-Retro'!I67</f>
        <v>0</v>
      </c>
      <c r="P9" s="204">
        <f>'SC-Retro'!J67</f>
        <v>0</v>
      </c>
      <c r="Q9" s="204">
        <f>'SC-Retro'!K67</f>
        <v>0</v>
      </c>
      <c r="R9" s="204">
        <f>'SC-Retro'!L67</f>
        <v>0</v>
      </c>
      <c r="S9" s="204">
        <f>'SC-Retro'!M67</f>
        <v>0</v>
      </c>
      <c r="T9" s="204">
        <f>'SC-Retro'!N67</f>
        <v>0</v>
      </c>
      <c r="U9" s="204">
        <f>'SC-Retro'!O67</f>
        <v>0</v>
      </c>
      <c r="V9" s="204">
        <f>'SC-Retro'!P67</f>
        <v>0</v>
      </c>
      <c r="W9" s="204">
        <f>'SC-Retro'!Q67</f>
        <v>0</v>
      </c>
      <c r="X9" s="204">
        <f>'SC-Retro'!R67</f>
        <v>0</v>
      </c>
      <c r="Y9" s="204">
        <f>'SC-Retro'!S67</f>
        <v>0</v>
      </c>
      <c r="Z9" s="204">
        <f>'SC-Retro'!T67</f>
        <v>0</v>
      </c>
      <c r="AA9" s="204">
        <f>'SC-Retro'!U67</f>
        <v>0</v>
      </c>
      <c r="AB9" s="204">
        <f>'SC-Retro'!V67</f>
        <v>0</v>
      </c>
      <c r="AC9" s="204">
        <f>'SC-Retro'!W67</f>
        <v>0</v>
      </c>
      <c r="AD9" s="204">
        <f>'SC-Retro'!X67</f>
        <v>0</v>
      </c>
      <c r="AE9" s="204">
        <f>'SC-Retro'!Y67</f>
        <v>0</v>
      </c>
      <c r="AF9" s="205">
        <f t="shared" si="2"/>
        <v>0</v>
      </c>
      <c r="AG9" s="205">
        <f t="shared" si="2"/>
        <v>0</v>
      </c>
      <c r="AH9" s="205">
        <f t="shared" si="2"/>
        <v>0</v>
      </c>
      <c r="AI9" s="205">
        <f t="shared" si="2"/>
        <v>0</v>
      </c>
      <c r="AJ9" s="205">
        <f t="shared" si="2"/>
        <v>0</v>
      </c>
      <c r="AK9" s="205">
        <f t="shared" si="2"/>
        <v>0</v>
      </c>
      <c r="AL9" s="205">
        <f t="shared" si="2"/>
        <v>0</v>
      </c>
      <c r="AM9" s="205">
        <f t="shared" si="2"/>
        <v>0</v>
      </c>
      <c r="AN9" s="205">
        <f t="shared" si="2"/>
        <v>0</v>
      </c>
      <c r="AO9" s="205">
        <f t="shared" si="2"/>
        <v>0</v>
      </c>
      <c r="AP9" s="205">
        <f t="shared" si="3"/>
        <v>0</v>
      </c>
      <c r="AQ9" s="205">
        <f t="shared" si="3"/>
        <v>0</v>
      </c>
      <c r="AR9" s="205">
        <f t="shared" si="3"/>
        <v>0</v>
      </c>
      <c r="AS9" s="205">
        <f t="shared" si="3"/>
        <v>0</v>
      </c>
      <c r="AT9" s="205">
        <f t="shared" si="3"/>
        <v>0</v>
      </c>
      <c r="AU9" s="205">
        <f t="shared" si="3"/>
        <v>0</v>
      </c>
      <c r="AV9" s="205">
        <f t="shared" si="3"/>
        <v>0</v>
      </c>
      <c r="AW9" s="205">
        <f t="shared" si="3"/>
        <v>0</v>
      </c>
      <c r="AX9" s="205">
        <f t="shared" si="3"/>
        <v>0</v>
      </c>
      <c r="AY9" s="205">
        <f t="shared" si="3"/>
        <v>0</v>
      </c>
      <c r="AZ9" s="205">
        <f t="shared" si="3"/>
        <v>0</v>
      </c>
      <c r="BA9" s="205">
        <f t="shared" si="3"/>
        <v>0</v>
      </c>
      <c r="BB9" s="205">
        <f t="shared" si="3"/>
        <v>0</v>
      </c>
      <c r="BC9" s="205">
        <f t="shared" si="3"/>
        <v>0</v>
      </c>
      <c r="BD9" s="205">
        <f t="shared" si="3"/>
        <v>0</v>
      </c>
    </row>
    <row r="10" spans="1:56" ht="15">
      <c r="A10" s="201" t="str">
        <f>VLOOKUP(CONCATENATE($C10,"-",$B10),[1]ACHIEV!$B$19:$C$100,2,FALSE)</f>
        <v>Retro20Fast</v>
      </c>
      <c r="B10" s="201" t="str">
        <f t="shared" si="4"/>
        <v>Retro</v>
      </c>
      <c r="C10" s="201" t="str">
        <f>'7PSourceSummary'!$D$2</f>
        <v>Showerheads</v>
      </c>
      <c r="D10" s="201" t="s">
        <v>420</v>
      </c>
      <c r="E10" s="202" t="str">
        <f>'SC-Retro'!$A$9</f>
        <v>Water Heating</v>
      </c>
      <c r="F10" s="565">
        <f t="shared" si="1"/>
        <v>5.3757305839855826E-3</v>
      </c>
      <c r="G10" s="565">
        <f>INDEX('SC-Retro'!$A$61:$D$78,MATCH($J10,'SC-Retro'!$D$61:$D$78,0),1)</f>
        <v>31.19382820794868</v>
      </c>
      <c r="H10" s="565">
        <f>INDEX('SC-Retro'!$A$61:$D$78,MATCH($J10,'SC-Retro'!$D$61:$D$78,0),2)</f>
        <v>-689.3403146610957</v>
      </c>
      <c r="I10" s="566"/>
      <c r="J10" s="203" t="str">
        <f>'SC-Retro'!D68</f>
        <v>Showerheads-Retro-School K-12</v>
      </c>
      <c r="K10" s="204">
        <f>'SC-Retro'!E68</f>
        <v>2.7184261859607762E-3</v>
      </c>
      <c r="L10" s="204">
        <f>'SC-Retro'!F68</f>
        <v>1.9014878552817973E-3</v>
      </c>
      <c r="M10" s="204">
        <f>'SC-Retro'!G68</f>
        <v>1.3169859326507417E-3</v>
      </c>
      <c r="N10" s="204">
        <f>'SC-Retro'!H68</f>
        <v>1.0255394415583537E-3</v>
      </c>
      <c r="O10" s="204">
        <f>'SC-Retro'!I68</f>
        <v>8.9755949462611733E-4</v>
      </c>
      <c r="P10" s="204">
        <f>'SC-Retro'!J68</f>
        <v>7.7595168177405018E-4</v>
      </c>
      <c r="Q10" s="204">
        <f>'SC-Retro'!K68</f>
        <v>6.644189696620019E-4</v>
      </c>
      <c r="R10" s="204">
        <f>'SC-Retro'!L68</f>
        <v>5.6455412772675592E-4</v>
      </c>
      <c r="S10" s="204">
        <f>'SC-Retro'!M68</f>
        <v>4.7738771072113083E-4</v>
      </c>
      <c r="T10" s="204">
        <f>'SC-Retro'!N68</f>
        <v>4.0190830574026999E-4</v>
      </c>
      <c r="U10" s="204">
        <f>'SC-Retro'!O68</f>
        <v>3.3632552394857778E-4</v>
      </c>
      <c r="V10" s="204">
        <f>'SC-Retro'!P68</f>
        <v>2.6271603827606843E-4</v>
      </c>
      <c r="W10" s="204">
        <f>'SC-Retro'!Q68</f>
        <v>2.0531862862591547E-4</v>
      </c>
      <c r="X10" s="204">
        <f>'SC-Retro'!R68</f>
        <v>1.6050649778653005E-4</v>
      </c>
      <c r="Y10" s="204">
        <f>'SC-Retro'!S68</f>
        <v>1.2541713534038954E-4</v>
      </c>
      <c r="Z10" s="204">
        <f>'SC-Retro'!T68</f>
        <v>9.8018685016305841E-5</v>
      </c>
      <c r="AA10" s="204">
        <f>'SC-Retro'!U68</f>
        <v>7.6550758714537815E-5</v>
      </c>
      <c r="AB10" s="204">
        <f>'SC-Retro'!V68</f>
        <v>5.9834041268150447E-5</v>
      </c>
      <c r="AC10" s="204">
        <f>'SC-Retro'!W68</f>
        <v>4.6732518534302599E-5</v>
      </c>
      <c r="AD10" s="204">
        <f>'SC-Retro'!X68</f>
        <v>3.6521810745249925E-5</v>
      </c>
      <c r="AE10" s="204">
        <f>'SC-Retro'!Y68</f>
        <v>1.1366660139079832E-2</v>
      </c>
      <c r="AF10" s="205">
        <f t="shared" si="2"/>
        <v>1.9888530556503268</v>
      </c>
      <c r="AG10" s="205">
        <f t="shared" si="2"/>
        <v>1.8606010771899155</v>
      </c>
      <c r="AH10" s="205">
        <f t="shared" si="2"/>
        <v>2.1523948838578986</v>
      </c>
      <c r="AI10" s="205">
        <f t="shared" si="2"/>
        <v>1.8725643356386243</v>
      </c>
      <c r="AJ10" s="205">
        <f t="shared" si="2"/>
        <v>1.9083804447514736</v>
      </c>
      <c r="AK10" s="205">
        <f t="shared" si="2"/>
        <v>1.7204666395839654</v>
      </c>
      <c r="AL10" s="205">
        <f t="shared" si="2"/>
        <v>1.5884757249764172</v>
      </c>
      <c r="AM10" s="205">
        <f t="shared" si="2"/>
        <v>1.6679834290800435</v>
      </c>
      <c r="AN10" s="205">
        <f t="shared" si="2"/>
        <v>1.4701372523985476</v>
      </c>
      <c r="AO10" s="205">
        <f t="shared" si="2"/>
        <v>1.6872278939899112</v>
      </c>
      <c r="AP10" s="205">
        <f t="shared" si="3"/>
        <v>1.6324503490453073</v>
      </c>
      <c r="AQ10" s="205">
        <f t="shared" si="3"/>
        <v>1.8569486491362084</v>
      </c>
      <c r="AR10" s="205">
        <f t="shared" si="3"/>
        <v>0</v>
      </c>
      <c r="AS10" s="205">
        <f t="shared" si="3"/>
        <v>0.97591112978901173</v>
      </c>
      <c r="AT10" s="205">
        <f t="shared" si="3"/>
        <v>0.86844158712479702</v>
      </c>
      <c r="AU10" s="205">
        <f t="shared" si="3"/>
        <v>0.84954127560723436</v>
      </c>
      <c r="AV10" s="205">
        <f t="shared" si="3"/>
        <v>0.86045759428335544</v>
      </c>
      <c r="AW10" s="205">
        <f t="shared" si="3"/>
        <v>0.86497551054131738</v>
      </c>
      <c r="AX10" s="205">
        <f t="shared" si="3"/>
        <v>0.70870020498250852</v>
      </c>
      <c r="AY10" s="205">
        <f t="shared" si="3"/>
        <v>0.79915068762744979</v>
      </c>
      <c r="AZ10" s="205">
        <f t="shared" si="3"/>
        <v>0.67217348753402961</v>
      </c>
      <c r="BA10" s="205">
        <f t="shared" si="3"/>
        <v>0.75781603907784634</v>
      </c>
      <c r="BB10" s="205">
        <f t="shared" si="3"/>
        <v>0.68001411054457817</v>
      </c>
      <c r="BC10" s="205">
        <f t="shared" si="3"/>
        <v>0.8287434587647543</v>
      </c>
      <c r="BD10" s="205">
        <f t="shared" si="3"/>
        <v>0.92141938677316015</v>
      </c>
    </row>
    <row r="11" spans="1:56" ht="15">
      <c r="A11" s="201" t="str">
        <f>VLOOKUP(CONCATENATE($C11,"-",$B11),[1]ACHIEV!$B$19:$C$100,2,FALSE)</f>
        <v>Retro20Fast</v>
      </c>
      <c r="B11" s="201" t="str">
        <f t="shared" si="4"/>
        <v>Retro</v>
      </c>
      <c r="C11" s="201" t="str">
        <f>'7PSourceSummary'!$D$2</f>
        <v>Showerheads</v>
      </c>
      <c r="D11" s="201" t="s">
        <v>420</v>
      </c>
      <c r="E11" s="202" t="str">
        <f>'SC-Retro'!$A$9</f>
        <v>Water Heating</v>
      </c>
      <c r="F11" s="565">
        <f t="shared" si="1"/>
        <v>9.1683230019442945E-3</v>
      </c>
      <c r="G11" s="565">
        <f>INDEX('SC-Retro'!$A$61:$D$78,MATCH($J11,'SC-Retro'!$D$61:$D$78,0),1)</f>
        <v>53.201158095537785</v>
      </c>
      <c r="H11" s="565">
        <f>INDEX('SC-Retro'!$A$61:$D$78,MATCH($J11,'SC-Retro'!$D$61:$D$78,0),2)</f>
        <v>-712.11950988115018</v>
      </c>
      <c r="I11" s="566"/>
      <c r="J11" s="203" t="str">
        <f>'SC-Retro'!D69</f>
        <v>Showerheads-Retro-University</v>
      </c>
      <c r="K11" s="204">
        <f>'SC-Retro'!E69</f>
        <v>2.0397656017675146E-2</v>
      </c>
      <c r="L11" s="204">
        <f>'SC-Retro'!F69</f>
        <v>1.4271295516083641E-2</v>
      </c>
      <c r="M11" s="204">
        <f>'SC-Retro'!G69</f>
        <v>9.8632194057564054E-3</v>
      </c>
      <c r="N11" s="204">
        <f>'SC-Retro'!H69</f>
        <v>7.6868656417719257E-3</v>
      </c>
      <c r="O11" s="204">
        <f>'SC-Retro'!I69</f>
        <v>6.7534968990606847E-3</v>
      </c>
      <c r="P11" s="204">
        <f>'SC-Retro'!J69</f>
        <v>5.8523294660175456E-3</v>
      </c>
      <c r="Q11" s="204">
        <f>'SC-Retro'!K69</f>
        <v>5.023654279917588E-3</v>
      </c>
      <c r="R11" s="204">
        <f>'SC-Retro'!L69</f>
        <v>4.2734880359870109E-3</v>
      </c>
      <c r="S11" s="204">
        <f>'SC-Retro'!M69</f>
        <v>3.619831154737416E-3</v>
      </c>
      <c r="T11" s="204">
        <f>'SC-Retro'!N69</f>
        <v>3.0531687334634221E-3</v>
      </c>
      <c r="U11" s="204">
        <f>'SC-Retro'!O69</f>
        <v>2.5619613551870783E-3</v>
      </c>
      <c r="V11" s="204">
        <f>'SC-Retro'!P69</f>
        <v>2.0083001471042886E-3</v>
      </c>
      <c r="W11" s="204">
        <f>'SC-Retro'!Q69</f>
        <v>1.5745936068317537E-3</v>
      </c>
      <c r="X11" s="204">
        <f>'SC-Retro'!R69</f>
        <v>1.2354839718979795E-3</v>
      </c>
      <c r="Y11" s="204">
        <f>'SC-Retro'!S69</f>
        <v>9.6951935594237677E-4</v>
      </c>
      <c r="Z11" s="204">
        <f>'SC-Retro'!T69</f>
        <v>7.5989016922144625E-4</v>
      </c>
      <c r="AA11" s="204">
        <f>'SC-Retro'!U69</f>
        <v>5.9504930257628548E-4</v>
      </c>
      <c r="AB11" s="204">
        <f>'SC-Retro'!V69</f>
        <v>4.6654904281034405E-4</v>
      </c>
      <c r="AC11" s="204">
        <f>'SC-Retro'!W69</f>
        <v>3.6546212808867898E-4</v>
      </c>
      <c r="AD11" s="204">
        <f>'SC-Retro'!X69</f>
        <v>2.8633852649847543E-4</v>
      </c>
      <c r="AE11" s="204">
        <f>'SC-Retro'!Y69</f>
        <v>8.5289504929053586E-2</v>
      </c>
      <c r="AF11" s="205">
        <f t="shared" si="2"/>
        <v>3.3919942476148077</v>
      </c>
      <c r="AG11" s="205">
        <f t="shared" si="2"/>
        <v>3.1732601526312623</v>
      </c>
      <c r="AH11" s="205">
        <f t="shared" si="2"/>
        <v>3.6709152764703572</v>
      </c>
      <c r="AI11" s="205">
        <f t="shared" si="2"/>
        <v>3.1936635221640004</v>
      </c>
      <c r="AJ11" s="205">
        <f t="shared" si="2"/>
        <v>3.2547479928027849</v>
      </c>
      <c r="AK11" s="205">
        <f t="shared" si="2"/>
        <v>2.9342604915443395</v>
      </c>
      <c r="AL11" s="205">
        <f t="shared" si="2"/>
        <v>2.70914963088308</v>
      </c>
      <c r="AM11" s="205">
        <f t="shared" si="2"/>
        <v>2.8447502345548159</v>
      </c>
      <c r="AN11" s="205">
        <f t="shared" si="2"/>
        <v>2.5073230469053094</v>
      </c>
      <c r="AO11" s="205">
        <f t="shared" si="2"/>
        <v>2.8775717213344674</v>
      </c>
      <c r="AP11" s="205">
        <f t="shared" si="3"/>
        <v>2.7841484707716933</v>
      </c>
      <c r="AQ11" s="205">
        <f t="shared" si="3"/>
        <v>3.167030926740086</v>
      </c>
      <c r="AR11" s="205">
        <f t="shared" si="3"/>
        <v>0</v>
      </c>
      <c r="AS11" s="205">
        <f t="shared" si="3"/>
        <v>1.6644190625461666</v>
      </c>
      <c r="AT11" s="205">
        <f t="shared" si="3"/>
        <v>1.4811294678347</v>
      </c>
      <c r="AU11" s="205">
        <f t="shared" si="3"/>
        <v>1.4488949355933336</v>
      </c>
      <c r="AV11" s="205">
        <f t="shared" si="3"/>
        <v>1.4675127465217659</v>
      </c>
      <c r="AW11" s="205">
        <f t="shared" si="3"/>
        <v>1.4752180648783306</v>
      </c>
      <c r="AX11" s="205">
        <f t="shared" si="3"/>
        <v>1.2086901099880707</v>
      </c>
      <c r="AY11" s="205">
        <f t="shared" si="3"/>
        <v>1.3629536519596528</v>
      </c>
      <c r="AZ11" s="205">
        <f t="shared" si="3"/>
        <v>1.1463936949173359</v>
      </c>
      <c r="BA11" s="205">
        <f t="shared" si="3"/>
        <v>1.2924572974355681</v>
      </c>
      <c r="BB11" s="205">
        <f t="shared" si="3"/>
        <v>1.1597658985972106</v>
      </c>
      <c r="BC11" s="205">
        <f t="shared" si="3"/>
        <v>1.4134242029053568</v>
      </c>
      <c r="BD11" s="205">
        <f t="shared" si="3"/>
        <v>1.5714832479432952</v>
      </c>
    </row>
    <row r="12" spans="1:56" ht="15">
      <c r="A12" s="201" t="str">
        <f>VLOOKUP(CONCATENATE($C12,"-",$B12),[1]ACHIEV!$B$19:$C$100,2,FALSE)</f>
        <v>Retro20Fast</v>
      </c>
      <c r="B12" s="201" t="str">
        <f t="shared" si="4"/>
        <v>Retro</v>
      </c>
      <c r="C12" s="201" t="str">
        <f>'7PSourceSummary'!$D$2</f>
        <v>Showerheads</v>
      </c>
      <c r="D12" s="201" t="s">
        <v>420</v>
      </c>
      <c r="E12" s="202" t="str">
        <f>'SC-Retro'!$A$9</f>
        <v>Water Heating</v>
      </c>
      <c r="F12" s="565">
        <f t="shared" si="1"/>
        <v>0</v>
      </c>
      <c r="G12" s="565">
        <f>INDEX('SC-Retro'!$A$61:$D$78,MATCH($J12,'SC-Retro'!$D$61:$D$78,0),1)</f>
        <v>0</v>
      </c>
      <c r="H12" s="565">
        <f>INDEX('SC-Retro'!$A$61:$D$78,MATCH($J12,'SC-Retro'!$D$61:$D$78,0),2)</f>
        <v>9999</v>
      </c>
      <c r="I12" s="566"/>
      <c r="J12" s="203" t="str">
        <f>'SC-Retro'!D70</f>
        <v>Showerheads-Retro-Warehouse</v>
      </c>
      <c r="K12" s="204">
        <f>'SC-Retro'!E70</f>
        <v>0</v>
      </c>
      <c r="L12" s="204">
        <f>'SC-Retro'!F70</f>
        <v>0</v>
      </c>
      <c r="M12" s="204">
        <f>'SC-Retro'!G70</f>
        <v>0</v>
      </c>
      <c r="N12" s="204">
        <f>'SC-Retro'!H70</f>
        <v>0</v>
      </c>
      <c r="O12" s="204">
        <f>'SC-Retro'!I70</f>
        <v>0</v>
      </c>
      <c r="P12" s="204">
        <f>'SC-Retro'!J70</f>
        <v>0</v>
      </c>
      <c r="Q12" s="204">
        <f>'SC-Retro'!K70</f>
        <v>0</v>
      </c>
      <c r="R12" s="204">
        <f>'SC-Retro'!L70</f>
        <v>0</v>
      </c>
      <c r="S12" s="204">
        <f>'SC-Retro'!M70</f>
        <v>0</v>
      </c>
      <c r="T12" s="204">
        <f>'SC-Retro'!N70</f>
        <v>0</v>
      </c>
      <c r="U12" s="204">
        <f>'SC-Retro'!O70</f>
        <v>0</v>
      </c>
      <c r="V12" s="204">
        <f>'SC-Retro'!P70</f>
        <v>0</v>
      </c>
      <c r="W12" s="204">
        <f>'SC-Retro'!Q70</f>
        <v>0</v>
      </c>
      <c r="X12" s="204">
        <f>'SC-Retro'!R70</f>
        <v>0</v>
      </c>
      <c r="Y12" s="204">
        <f>'SC-Retro'!S70</f>
        <v>0</v>
      </c>
      <c r="Z12" s="204">
        <f>'SC-Retro'!T70</f>
        <v>0</v>
      </c>
      <c r="AA12" s="204">
        <f>'SC-Retro'!U70</f>
        <v>0</v>
      </c>
      <c r="AB12" s="204">
        <f>'SC-Retro'!V70</f>
        <v>0</v>
      </c>
      <c r="AC12" s="204">
        <f>'SC-Retro'!W70</f>
        <v>0</v>
      </c>
      <c r="AD12" s="204">
        <f>'SC-Retro'!X70</f>
        <v>0</v>
      </c>
      <c r="AE12" s="204">
        <f>'SC-Retro'!Y70</f>
        <v>0</v>
      </c>
      <c r="AF12" s="205">
        <f t="shared" si="2"/>
        <v>0</v>
      </c>
      <c r="AG12" s="205">
        <f t="shared" si="2"/>
        <v>0</v>
      </c>
      <c r="AH12" s="205">
        <f t="shared" si="2"/>
        <v>0</v>
      </c>
      <c r="AI12" s="205">
        <f t="shared" si="2"/>
        <v>0</v>
      </c>
      <c r="AJ12" s="205">
        <f t="shared" si="2"/>
        <v>0</v>
      </c>
      <c r="AK12" s="205">
        <f t="shared" si="2"/>
        <v>0</v>
      </c>
      <c r="AL12" s="205">
        <f t="shared" si="2"/>
        <v>0</v>
      </c>
      <c r="AM12" s="205">
        <f t="shared" si="2"/>
        <v>0</v>
      </c>
      <c r="AN12" s="205">
        <f t="shared" si="2"/>
        <v>0</v>
      </c>
      <c r="AO12" s="205">
        <f t="shared" si="2"/>
        <v>0</v>
      </c>
      <c r="AP12" s="205">
        <f t="shared" si="3"/>
        <v>0</v>
      </c>
      <c r="AQ12" s="205">
        <f t="shared" si="3"/>
        <v>0</v>
      </c>
      <c r="AR12" s="205">
        <f t="shared" si="3"/>
        <v>0</v>
      </c>
      <c r="AS12" s="205">
        <f t="shared" si="3"/>
        <v>0</v>
      </c>
      <c r="AT12" s="205">
        <f t="shared" si="3"/>
        <v>0</v>
      </c>
      <c r="AU12" s="205">
        <f t="shared" si="3"/>
        <v>0</v>
      </c>
      <c r="AV12" s="205">
        <f t="shared" si="3"/>
        <v>0</v>
      </c>
      <c r="AW12" s="205">
        <f t="shared" si="3"/>
        <v>0</v>
      </c>
      <c r="AX12" s="205">
        <f t="shared" si="3"/>
        <v>0</v>
      </c>
      <c r="AY12" s="205">
        <f t="shared" si="3"/>
        <v>0</v>
      </c>
      <c r="AZ12" s="205">
        <f t="shared" si="3"/>
        <v>0</v>
      </c>
      <c r="BA12" s="205">
        <f t="shared" si="3"/>
        <v>0</v>
      </c>
      <c r="BB12" s="205">
        <f t="shared" si="3"/>
        <v>0</v>
      </c>
      <c r="BC12" s="205">
        <f t="shared" si="3"/>
        <v>0</v>
      </c>
      <c r="BD12" s="205">
        <f t="shared" si="3"/>
        <v>0</v>
      </c>
    </row>
    <row r="13" spans="1:56" ht="15">
      <c r="A13" s="201" t="str">
        <f>VLOOKUP(CONCATENATE($C13,"-",$B13),[1]ACHIEV!$B$19:$C$100,2,FALSE)</f>
        <v>Retro20Fast</v>
      </c>
      <c r="B13" s="201" t="str">
        <f t="shared" si="4"/>
        <v>Retro</v>
      </c>
      <c r="C13" s="201" t="str">
        <f>'7PSourceSummary'!$D$2</f>
        <v>Showerheads</v>
      </c>
      <c r="D13" s="201" t="s">
        <v>420</v>
      </c>
      <c r="E13" s="202" t="str">
        <f>'SC-Retro'!$A$9</f>
        <v>Water Heating</v>
      </c>
      <c r="F13" s="565">
        <f t="shared" si="1"/>
        <v>0</v>
      </c>
      <c r="G13" s="565">
        <f>INDEX('SC-Retro'!$A$61:$D$78,MATCH($J13,'SC-Retro'!$D$61:$D$78,0),1)</f>
        <v>0</v>
      </c>
      <c r="H13" s="565">
        <f>INDEX('SC-Retro'!$A$61:$D$78,MATCH($J13,'SC-Retro'!$D$61:$D$78,0),2)</f>
        <v>9999</v>
      </c>
      <c r="I13" s="566"/>
      <c r="J13" s="203" t="str">
        <f>'SC-Retro'!D71</f>
        <v>Showerheads-Retro-Supermarket</v>
      </c>
      <c r="K13" s="204">
        <f>'SC-Retro'!E71</f>
        <v>0</v>
      </c>
      <c r="L13" s="204">
        <f>'SC-Retro'!F71</f>
        <v>0</v>
      </c>
      <c r="M13" s="204">
        <f>'SC-Retro'!G71</f>
        <v>0</v>
      </c>
      <c r="N13" s="204">
        <f>'SC-Retro'!H71</f>
        <v>0</v>
      </c>
      <c r="O13" s="204">
        <f>'SC-Retro'!I71</f>
        <v>0</v>
      </c>
      <c r="P13" s="204">
        <f>'SC-Retro'!J71</f>
        <v>0</v>
      </c>
      <c r="Q13" s="204">
        <f>'SC-Retro'!K71</f>
        <v>0</v>
      </c>
      <c r="R13" s="204">
        <f>'SC-Retro'!L71</f>
        <v>0</v>
      </c>
      <c r="S13" s="204">
        <f>'SC-Retro'!M71</f>
        <v>0</v>
      </c>
      <c r="T13" s="204">
        <f>'SC-Retro'!N71</f>
        <v>0</v>
      </c>
      <c r="U13" s="204">
        <f>'SC-Retro'!O71</f>
        <v>0</v>
      </c>
      <c r="V13" s="204">
        <f>'SC-Retro'!P71</f>
        <v>0</v>
      </c>
      <c r="W13" s="204">
        <f>'SC-Retro'!Q71</f>
        <v>0</v>
      </c>
      <c r="X13" s="204">
        <f>'SC-Retro'!R71</f>
        <v>0</v>
      </c>
      <c r="Y13" s="204">
        <f>'SC-Retro'!S71</f>
        <v>0</v>
      </c>
      <c r="Z13" s="204">
        <f>'SC-Retro'!T71</f>
        <v>0</v>
      </c>
      <c r="AA13" s="204">
        <f>'SC-Retro'!U71</f>
        <v>0</v>
      </c>
      <c r="AB13" s="204">
        <f>'SC-Retro'!V71</f>
        <v>0</v>
      </c>
      <c r="AC13" s="204">
        <f>'SC-Retro'!W71</f>
        <v>0</v>
      </c>
      <c r="AD13" s="204">
        <f>'SC-Retro'!X71</f>
        <v>0</v>
      </c>
      <c r="AE13" s="204">
        <f>'SC-Retro'!Y71</f>
        <v>0</v>
      </c>
      <c r="AF13" s="205">
        <f t="shared" ref="AF13:AO20" si="5">VLOOKUP($J13,MeasureOutputR,COLUMN()-17,FALSE)</f>
        <v>0</v>
      </c>
      <c r="AG13" s="205">
        <f t="shared" si="5"/>
        <v>0</v>
      </c>
      <c r="AH13" s="205">
        <f t="shared" si="5"/>
        <v>0</v>
      </c>
      <c r="AI13" s="205">
        <f t="shared" si="5"/>
        <v>0</v>
      </c>
      <c r="AJ13" s="205">
        <f t="shared" si="5"/>
        <v>0</v>
      </c>
      <c r="AK13" s="205">
        <f t="shared" si="5"/>
        <v>0</v>
      </c>
      <c r="AL13" s="205">
        <f t="shared" si="5"/>
        <v>0</v>
      </c>
      <c r="AM13" s="205">
        <f t="shared" si="5"/>
        <v>0</v>
      </c>
      <c r="AN13" s="205">
        <f t="shared" si="5"/>
        <v>0</v>
      </c>
      <c r="AO13" s="205">
        <f t="shared" si="5"/>
        <v>0</v>
      </c>
      <c r="AP13" s="205">
        <f t="shared" ref="AP13:BD20" si="6">VLOOKUP($J13,MeasureOutputR,COLUMN()-17,FALSE)</f>
        <v>0</v>
      </c>
      <c r="AQ13" s="205">
        <f t="shared" si="6"/>
        <v>0</v>
      </c>
      <c r="AR13" s="205">
        <f t="shared" si="6"/>
        <v>0</v>
      </c>
      <c r="AS13" s="205">
        <f t="shared" si="6"/>
        <v>0</v>
      </c>
      <c r="AT13" s="205">
        <f t="shared" si="6"/>
        <v>0</v>
      </c>
      <c r="AU13" s="205">
        <f t="shared" si="6"/>
        <v>0</v>
      </c>
      <c r="AV13" s="205">
        <f t="shared" si="6"/>
        <v>0</v>
      </c>
      <c r="AW13" s="205">
        <f t="shared" si="6"/>
        <v>0</v>
      </c>
      <c r="AX13" s="205">
        <f t="shared" si="6"/>
        <v>0</v>
      </c>
      <c r="AY13" s="205">
        <f t="shared" si="6"/>
        <v>0</v>
      </c>
      <c r="AZ13" s="205">
        <f t="shared" si="6"/>
        <v>0</v>
      </c>
      <c r="BA13" s="205">
        <f t="shared" si="6"/>
        <v>0</v>
      </c>
      <c r="BB13" s="205">
        <f t="shared" si="6"/>
        <v>0</v>
      </c>
      <c r="BC13" s="205">
        <f t="shared" si="6"/>
        <v>0</v>
      </c>
      <c r="BD13" s="205">
        <f t="shared" si="6"/>
        <v>0</v>
      </c>
    </row>
    <row r="14" spans="1:56" ht="15">
      <c r="A14" s="201" t="str">
        <f>VLOOKUP(CONCATENATE($C14,"-",$B14),[1]ACHIEV!$B$19:$C$100,2,FALSE)</f>
        <v>Retro20Fast</v>
      </c>
      <c r="B14" s="201" t="str">
        <f t="shared" si="4"/>
        <v>Retro</v>
      </c>
      <c r="C14" s="201" t="str">
        <f>'7PSourceSummary'!$D$2</f>
        <v>Showerheads</v>
      </c>
      <c r="D14" s="201" t="s">
        <v>420</v>
      </c>
      <c r="E14" s="202" t="str">
        <f>'SC-Retro'!$A$9</f>
        <v>Water Heating</v>
      </c>
      <c r="F14" s="565">
        <f t="shared" si="1"/>
        <v>0</v>
      </c>
      <c r="G14" s="565">
        <f>INDEX('SC-Retro'!$A$61:$D$78,MATCH($J14,'SC-Retro'!$D$61:$D$78,0),1)</f>
        <v>0</v>
      </c>
      <c r="H14" s="565">
        <f>INDEX('SC-Retro'!$A$61:$D$78,MATCH($J14,'SC-Retro'!$D$61:$D$78,0),2)</f>
        <v>9999</v>
      </c>
      <c r="I14" s="566"/>
      <c r="J14" s="203" t="str">
        <f>'SC-Retro'!D72</f>
        <v>Showerheads-Retro-MiniMart</v>
      </c>
      <c r="K14" s="204">
        <f>'SC-Retro'!E72</f>
        <v>0</v>
      </c>
      <c r="L14" s="204">
        <f>'SC-Retro'!F72</f>
        <v>0</v>
      </c>
      <c r="M14" s="204">
        <f>'SC-Retro'!G72</f>
        <v>0</v>
      </c>
      <c r="N14" s="204">
        <f>'SC-Retro'!H72</f>
        <v>0</v>
      </c>
      <c r="O14" s="204">
        <f>'SC-Retro'!I72</f>
        <v>0</v>
      </c>
      <c r="P14" s="204">
        <f>'SC-Retro'!J72</f>
        <v>0</v>
      </c>
      <c r="Q14" s="204">
        <f>'SC-Retro'!K72</f>
        <v>0</v>
      </c>
      <c r="R14" s="204">
        <f>'SC-Retro'!L72</f>
        <v>0</v>
      </c>
      <c r="S14" s="204">
        <f>'SC-Retro'!M72</f>
        <v>0</v>
      </c>
      <c r="T14" s="204">
        <f>'SC-Retro'!N72</f>
        <v>0</v>
      </c>
      <c r="U14" s="204">
        <f>'SC-Retro'!O72</f>
        <v>0</v>
      </c>
      <c r="V14" s="204">
        <f>'SC-Retro'!P72</f>
        <v>0</v>
      </c>
      <c r="W14" s="204">
        <f>'SC-Retro'!Q72</f>
        <v>0</v>
      </c>
      <c r="X14" s="204">
        <f>'SC-Retro'!R72</f>
        <v>0</v>
      </c>
      <c r="Y14" s="204">
        <f>'SC-Retro'!S72</f>
        <v>0</v>
      </c>
      <c r="Z14" s="204">
        <f>'SC-Retro'!T72</f>
        <v>0</v>
      </c>
      <c r="AA14" s="204">
        <f>'SC-Retro'!U72</f>
        <v>0</v>
      </c>
      <c r="AB14" s="204">
        <f>'SC-Retro'!V72</f>
        <v>0</v>
      </c>
      <c r="AC14" s="204">
        <f>'SC-Retro'!W72</f>
        <v>0</v>
      </c>
      <c r="AD14" s="204">
        <f>'SC-Retro'!X72</f>
        <v>0</v>
      </c>
      <c r="AE14" s="204">
        <f>'SC-Retro'!Y72</f>
        <v>0</v>
      </c>
      <c r="AF14" s="205">
        <f t="shared" si="5"/>
        <v>0</v>
      </c>
      <c r="AG14" s="205">
        <f t="shared" si="5"/>
        <v>0</v>
      </c>
      <c r="AH14" s="205">
        <f t="shared" si="5"/>
        <v>0</v>
      </c>
      <c r="AI14" s="205">
        <f t="shared" si="5"/>
        <v>0</v>
      </c>
      <c r="AJ14" s="205">
        <f t="shared" si="5"/>
        <v>0</v>
      </c>
      <c r="AK14" s="205">
        <f t="shared" si="5"/>
        <v>0</v>
      </c>
      <c r="AL14" s="205">
        <f t="shared" si="5"/>
        <v>0</v>
      </c>
      <c r="AM14" s="205">
        <f t="shared" si="5"/>
        <v>0</v>
      </c>
      <c r="AN14" s="205">
        <f t="shared" si="5"/>
        <v>0</v>
      </c>
      <c r="AO14" s="205">
        <f t="shared" si="5"/>
        <v>0</v>
      </c>
      <c r="AP14" s="205">
        <f t="shared" si="6"/>
        <v>0</v>
      </c>
      <c r="AQ14" s="205">
        <f t="shared" si="6"/>
        <v>0</v>
      </c>
      <c r="AR14" s="205">
        <f t="shared" si="6"/>
        <v>0</v>
      </c>
      <c r="AS14" s="205">
        <f t="shared" si="6"/>
        <v>0</v>
      </c>
      <c r="AT14" s="205">
        <f t="shared" si="6"/>
        <v>0</v>
      </c>
      <c r="AU14" s="205">
        <f t="shared" si="6"/>
        <v>0</v>
      </c>
      <c r="AV14" s="205">
        <f t="shared" si="6"/>
        <v>0</v>
      </c>
      <c r="AW14" s="205">
        <f t="shared" si="6"/>
        <v>0</v>
      </c>
      <c r="AX14" s="205">
        <f t="shared" si="6"/>
        <v>0</v>
      </c>
      <c r="AY14" s="205">
        <f t="shared" si="6"/>
        <v>0</v>
      </c>
      <c r="AZ14" s="205">
        <f t="shared" si="6"/>
        <v>0</v>
      </c>
      <c r="BA14" s="205">
        <f t="shared" si="6"/>
        <v>0</v>
      </c>
      <c r="BB14" s="205">
        <f t="shared" si="6"/>
        <v>0</v>
      </c>
      <c r="BC14" s="205">
        <f t="shared" si="6"/>
        <v>0</v>
      </c>
      <c r="BD14" s="205">
        <f t="shared" si="6"/>
        <v>0</v>
      </c>
    </row>
    <row r="15" spans="1:56" ht="15">
      <c r="A15" s="201" t="str">
        <f>VLOOKUP(CONCATENATE($C15,"-",$B15),[1]ACHIEV!$B$19:$C$100,2,FALSE)</f>
        <v>Retro20Fast</v>
      </c>
      <c r="B15" s="201" t="str">
        <f t="shared" si="4"/>
        <v>Retro</v>
      </c>
      <c r="C15" s="201" t="str">
        <f>'7PSourceSummary'!$D$2</f>
        <v>Showerheads</v>
      </c>
      <c r="D15" s="201" t="s">
        <v>420</v>
      </c>
      <c r="E15" s="202" t="str">
        <f>'SC-Retro'!$A$9</f>
        <v>Water Heating</v>
      </c>
      <c r="F15" s="565">
        <f t="shared" si="1"/>
        <v>0</v>
      </c>
      <c r="G15" s="565">
        <f>INDEX('SC-Retro'!$A$61:$D$78,MATCH($J15,'SC-Retro'!$D$61:$D$78,0),1)</f>
        <v>0</v>
      </c>
      <c r="H15" s="565">
        <f>INDEX('SC-Retro'!$A$61:$D$78,MATCH($J15,'SC-Retro'!$D$61:$D$78,0),2)</f>
        <v>9999</v>
      </c>
      <c r="I15" s="566"/>
      <c r="J15" s="203" t="str">
        <f>'SC-Retro'!D73</f>
        <v>Showerheads-Retro-Restaurant</v>
      </c>
      <c r="K15" s="204">
        <f>'SC-Retro'!E73</f>
        <v>0</v>
      </c>
      <c r="L15" s="204">
        <f>'SC-Retro'!F73</f>
        <v>0</v>
      </c>
      <c r="M15" s="204">
        <f>'SC-Retro'!G73</f>
        <v>0</v>
      </c>
      <c r="N15" s="204">
        <f>'SC-Retro'!H73</f>
        <v>0</v>
      </c>
      <c r="O15" s="204">
        <f>'SC-Retro'!I73</f>
        <v>0</v>
      </c>
      <c r="P15" s="204">
        <f>'SC-Retro'!J73</f>
        <v>0</v>
      </c>
      <c r="Q15" s="204">
        <f>'SC-Retro'!K73</f>
        <v>0</v>
      </c>
      <c r="R15" s="204">
        <f>'SC-Retro'!L73</f>
        <v>0</v>
      </c>
      <c r="S15" s="204">
        <f>'SC-Retro'!M73</f>
        <v>0</v>
      </c>
      <c r="T15" s="204">
        <f>'SC-Retro'!N73</f>
        <v>0</v>
      </c>
      <c r="U15" s="204">
        <f>'SC-Retro'!O73</f>
        <v>0</v>
      </c>
      <c r="V15" s="204">
        <f>'SC-Retro'!P73</f>
        <v>0</v>
      </c>
      <c r="W15" s="204">
        <f>'SC-Retro'!Q73</f>
        <v>0</v>
      </c>
      <c r="X15" s="204">
        <f>'SC-Retro'!R73</f>
        <v>0</v>
      </c>
      <c r="Y15" s="204">
        <f>'SC-Retro'!S73</f>
        <v>0</v>
      </c>
      <c r="Z15" s="204">
        <f>'SC-Retro'!T73</f>
        <v>0</v>
      </c>
      <c r="AA15" s="204">
        <f>'SC-Retro'!U73</f>
        <v>0</v>
      </c>
      <c r="AB15" s="204">
        <f>'SC-Retro'!V73</f>
        <v>0</v>
      </c>
      <c r="AC15" s="204">
        <f>'SC-Retro'!W73</f>
        <v>0</v>
      </c>
      <c r="AD15" s="204">
        <f>'SC-Retro'!X73</f>
        <v>0</v>
      </c>
      <c r="AE15" s="204">
        <f>'SC-Retro'!Y73</f>
        <v>0</v>
      </c>
      <c r="AF15" s="205">
        <f t="shared" si="5"/>
        <v>0</v>
      </c>
      <c r="AG15" s="205">
        <f t="shared" si="5"/>
        <v>0</v>
      </c>
      <c r="AH15" s="205">
        <f t="shared" si="5"/>
        <v>0</v>
      </c>
      <c r="AI15" s="205">
        <f t="shared" si="5"/>
        <v>0</v>
      </c>
      <c r="AJ15" s="205">
        <f t="shared" si="5"/>
        <v>0</v>
      </c>
      <c r="AK15" s="205">
        <f t="shared" si="5"/>
        <v>0</v>
      </c>
      <c r="AL15" s="205">
        <f t="shared" si="5"/>
        <v>0</v>
      </c>
      <c r="AM15" s="205">
        <f t="shared" si="5"/>
        <v>0</v>
      </c>
      <c r="AN15" s="205">
        <f t="shared" si="5"/>
        <v>0</v>
      </c>
      <c r="AO15" s="205">
        <f t="shared" si="5"/>
        <v>0</v>
      </c>
      <c r="AP15" s="205">
        <f t="shared" si="6"/>
        <v>0</v>
      </c>
      <c r="AQ15" s="205">
        <f t="shared" si="6"/>
        <v>0</v>
      </c>
      <c r="AR15" s="205">
        <f t="shared" si="6"/>
        <v>0</v>
      </c>
      <c r="AS15" s="205">
        <f t="shared" si="6"/>
        <v>0</v>
      </c>
      <c r="AT15" s="205">
        <f t="shared" si="6"/>
        <v>0</v>
      </c>
      <c r="AU15" s="205">
        <f t="shared" si="6"/>
        <v>0</v>
      </c>
      <c r="AV15" s="205">
        <f t="shared" si="6"/>
        <v>0</v>
      </c>
      <c r="AW15" s="205">
        <f t="shared" si="6"/>
        <v>0</v>
      </c>
      <c r="AX15" s="205">
        <f t="shared" si="6"/>
        <v>0</v>
      </c>
      <c r="AY15" s="205">
        <f t="shared" si="6"/>
        <v>0</v>
      </c>
      <c r="AZ15" s="205">
        <f t="shared" si="6"/>
        <v>0</v>
      </c>
      <c r="BA15" s="205">
        <f t="shared" si="6"/>
        <v>0</v>
      </c>
      <c r="BB15" s="205">
        <f t="shared" si="6"/>
        <v>0</v>
      </c>
      <c r="BC15" s="205">
        <f t="shared" si="6"/>
        <v>0</v>
      </c>
      <c r="BD15" s="205">
        <f t="shared" si="6"/>
        <v>0</v>
      </c>
    </row>
    <row r="16" spans="1:56" ht="15">
      <c r="A16" s="201" t="str">
        <f>VLOOKUP(CONCATENATE($C16,"-",$B16),[1]ACHIEV!$B$19:$C$100,2,FALSE)</f>
        <v>Retro20Fast</v>
      </c>
      <c r="B16" s="201" t="str">
        <f t="shared" si="4"/>
        <v>Retro</v>
      </c>
      <c r="C16" s="201" t="str">
        <f>'7PSourceSummary'!$D$2</f>
        <v>Showerheads</v>
      </c>
      <c r="D16" s="201" t="s">
        <v>420</v>
      </c>
      <c r="E16" s="202" t="str">
        <f>'SC-Retro'!$A$9</f>
        <v>Water Heating</v>
      </c>
      <c r="F16" s="565">
        <f t="shared" si="1"/>
        <v>9.1683230019442945E-3</v>
      </c>
      <c r="G16" s="565">
        <f>INDEX('SC-Retro'!$A$61:$D$78,MATCH($J16,'SC-Retro'!$D$61:$D$78,0),1)</f>
        <v>53.201158095537785</v>
      </c>
      <c r="H16" s="565">
        <f>INDEX('SC-Retro'!$A$61:$D$78,MATCH($J16,'SC-Retro'!$D$61:$D$78,0),2)</f>
        <v>-712.11950988115018</v>
      </c>
      <c r="I16" s="566"/>
      <c r="J16" s="203" t="str">
        <f>'SC-Retro'!D74</f>
        <v>Showerheads-Retro-Lodging</v>
      </c>
      <c r="K16" s="204">
        <f>'SC-Retro'!E74</f>
        <v>0.24729364178930632</v>
      </c>
      <c r="L16" s="204">
        <f>'SC-Retro'!F74</f>
        <v>0.17396921937524562</v>
      </c>
      <c r="M16" s="204">
        <f>'SC-Retro'!G74</f>
        <v>0.12086232857749697</v>
      </c>
      <c r="N16" s="204">
        <f>'SC-Retro'!H74</f>
        <v>9.4312566428532918E-2</v>
      </c>
      <c r="O16" s="204">
        <f>'SC-Retro'!I74</f>
        <v>8.2802916360097983E-2</v>
      </c>
      <c r="P16" s="204">
        <f>'SC-Retro'!J74</f>
        <v>7.1757005272110486E-2</v>
      </c>
      <c r="Q16" s="204">
        <f>'SC-Retro'!K74</f>
        <v>6.1552780631737469E-2</v>
      </c>
      <c r="R16" s="204">
        <f>'SC-Retro'!L74</f>
        <v>5.2358246657576539E-2</v>
      </c>
      <c r="S16" s="204">
        <f>'SC-Retro'!M74</f>
        <v>4.4226901776972222E-2</v>
      </c>
      <c r="T16" s="204">
        <f>'SC-Retro'!N74</f>
        <v>3.7147177984275727E-2</v>
      </c>
      <c r="U16" s="204">
        <f>'SC-Retro'!O74</f>
        <v>3.1049232122751562E-2</v>
      </c>
      <c r="V16" s="204">
        <f>'SC-Retro'!P74</f>
        <v>2.4235486929846842E-2</v>
      </c>
      <c r="W16" s="204">
        <f>'SC-Retro'!Q74</f>
        <v>1.8979557095590901E-2</v>
      </c>
      <c r="X16" s="204">
        <f>'SC-Retro'!R74</f>
        <v>1.4883276299693077E-2</v>
      </c>
      <c r="Y16" s="204">
        <f>'SC-Retro'!S74</f>
        <v>1.1673098579664814E-2</v>
      </c>
      <c r="Z16" s="204">
        <f>'SC-Retro'!T74</f>
        <v>9.1564094525027773E-3</v>
      </c>
      <c r="AA16" s="204">
        <f>'SC-Retro'!U74</f>
        <v>7.1853924590787269E-3</v>
      </c>
      <c r="AB16" s="204">
        <f>'SC-Retro'!V74</f>
        <v>5.6300146297881019E-3</v>
      </c>
      <c r="AC16" s="204">
        <f>'SC-Retro'!W74</f>
        <v>4.4100401116903666E-3</v>
      </c>
      <c r="AD16" s="204">
        <f>'SC-Retro'!X74</f>
        <v>3.4526284095725787E-3</v>
      </c>
      <c r="AE16" s="204">
        <f>'SC-Retro'!Y74</f>
        <v>1.0680749611680334</v>
      </c>
      <c r="AF16" s="205">
        <f t="shared" si="5"/>
        <v>3.3919942476148077</v>
      </c>
      <c r="AG16" s="205">
        <f t="shared" si="5"/>
        <v>3.1732601526312623</v>
      </c>
      <c r="AH16" s="205">
        <f t="shared" si="5"/>
        <v>3.6709152764703572</v>
      </c>
      <c r="AI16" s="205">
        <f t="shared" si="5"/>
        <v>3.1936635221640004</v>
      </c>
      <c r="AJ16" s="205">
        <f t="shared" si="5"/>
        <v>3.2547479928027849</v>
      </c>
      <c r="AK16" s="205">
        <f t="shared" si="5"/>
        <v>2.9342604915443395</v>
      </c>
      <c r="AL16" s="205">
        <f t="shared" si="5"/>
        <v>2.70914963088308</v>
      </c>
      <c r="AM16" s="205">
        <f t="shared" si="5"/>
        <v>2.8447502345548159</v>
      </c>
      <c r="AN16" s="205">
        <f t="shared" si="5"/>
        <v>2.5073230469053094</v>
      </c>
      <c r="AO16" s="205">
        <f t="shared" si="5"/>
        <v>2.8775717213344674</v>
      </c>
      <c r="AP16" s="205">
        <f t="shared" si="6"/>
        <v>2.7841484707716933</v>
      </c>
      <c r="AQ16" s="205">
        <f t="shared" si="6"/>
        <v>3.167030926740086</v>
      </c>
      <c r="AR16" s="205">
        <f t="shared" si="6"/>
        <v>0</v>
      </c>
      <c r="AS16" s="205">
        <f t="shared" si="6"/>
        <v>1.6644190625461666</v>
      </c>
      <c r="AT16" s="205">
        <f t="shared" si="6"/>
        <v>1.4811294678347</v>
      </c>
      <c r="AU16" s="205">
        <f t="shared" si="6"/>
        <v>1.4488949355933336</v>
      </c>
      <c r="AV16" s="205">
        <f t="shared" si="6"/>
        <v>1.4675127465217659</v>
      </c>
      <c r="AW16" s="205">
        <f t="shared" si="6"/>
        <v>1.4752180648783306</v>
      </c>
      <c r="AX16" s="205">
        <f t="shared" si="6"/>
        <v>1.2086901099880707</v>
      </c>
      <c r="AY16" s="205">
        <f t="shared" si="6"/>
        <v>1.3629536519596528</v>
      </c>
      <c r="AZ16" s="205">
        <f t="shared" si="6"/>
        <v>1.1463936949173359</v>
      </c>
      <c r="BA16" s="205">
        <f t="shared" si="6"/>
        <v>1.2924572974355681</v>
      </c>
      <c r="BB16" s="205">
        <f t="shared" si="6"/>
        <v>1.1597658985972106</v>
      </c>
      <c r="BC16" s="205">
        <f t="shared" si="6"/>
        <v>1.4134242029053568</v>
      </c>
      <c r="BD16" s="205">
        <f t="shared" si="6"/>
        <v>1.5714832479432952</v>
      </c>
    </row>
    <row r="17" spans="1:56" ht="15">
      <c r="A17" s="201" t="str">
        <f>VLOOKUP(CONCATENATE($C17,"-",$B17),[1]ACHIEV!$B$19:$C$100,2,FALSE)</f>
        <v>Retro20Fast</v>
      </c>
      <c r="B17" s="201" t="str">
        <f t="shared" si="4"/>
        <v>Retro</v>
      </c>
      <c r="C17" s="201" t="str">
        <f>'7PSourceSummary'!$D$2</f>
        <v>Showerheads</v>
      </c>
      <c r="D17" s="201" t="s">
        <v>420</v>
      </c>
      <c r="E17" s="202" t="str">
        <f>'SC-Retro'!$A$9</f>
        <v>Water Heating</v>
      </c>
      <c r="F17" s="565">
        <f t="shared" si="1"/>
        <v>1.2770142032209168E-2</v>
      </c>
      <c r="G17" s="565">
        <f>INDEX('SC-Retro'!$A$61:$D$78,MATCH($J17,'SC-Retro'!$D$61:$D$78,0),1)</f>
        <v>74.10148453691663</v>
      </c>
      <c r="H17" s="565">
        <f>INDEX('SC-Retro'!$A$61:$D$78,MATCH($J17,'SC-Retro'!$D$61:$D$78,0),2)</f>
        <v>-366.59792668389559</v>
      </c>
      <c r="I17" s="566"/>
      <c r="J17" s="203" t="str">
        <f>'SC-Retro'!D75</f>
        <v>Showerheads-Retro-Hospital</v>
      </c>
      <c r="K17" s="204">
        <f>'SC-Retro'!E75</f>
        <v>4.6131901458495918E-2</v>
      </c>
      <c r="L17" s="204">
        <f>'SC-Retro'!F75</f>
        <v>3.353949094886613E-2</v>
      </c>
      <c r="M17" s="204">
        <f>'SC-Retro'!G75</f>
        <v>2.3930139825005643E-2</v>
      </c>
      <c r="N17" s="204">
        <f>'SC-Retro'!H75</f>
        <v>1.9131625332410612E-2</v>
      </c>
      <c r="O17" s="204">
        <f>'SC-Retro'!I75</f>
        <v>1.7116149928819119E-2</v>
      </c>
      <c r="P17" s="204">
        <f>'SC-Retro'!J75</f>
        <v>1.5019367820774086E-2</v>
      </c>
      <c r="Q17" s="204">
        <f>'SC-Retro'!K75</f>
        <v>1.3020802254662666E-2</v>
      </c>
      <c r="R17" s="204">
        <f>'SC-Retro'!L75</f>
        <v>1.118172121412936E-2</v>
      </c>
      <c r="S17" s="204">
        <f>'SC-Retro'!M75</f>
        <v>9.5202270663833841E-3</v>
      </c>
      <c r="T17" s="204">
        <f>'SC-Retro'!N75</f>
        <v>8.0573078976777634E-3</v>
      </c>
      <c r="U17" s="204">
        <f>'SC-Retro'!O75</f>
        <v>6.7877323096986837E-3</v>
      </c>
      <c r="V17" s="204">
        <f>'SC-Retro'!P75</f>
        <v>5.3476416893746036E-3</v>
      </c>
      <c r="W17" s="204">
        <f>'SC-Retro'!Q75</f>
        <v>4.2238015237002274E-3</v>
      </c>
      <c r="X17" s="204">
        <f>'SC-Retro'!R75</f>
        <v>3.3428479097906893E-3</v>
      </c>
      <c r="Y17" s="204">
        <f>'SC-Retro'!S75</f>
        <v>2.6402052532894494E-3</v>
      </c>
      <c r="Z17" s="204">
        <f>'SC-Retro'!T75</f>
        <v>2.0836787019365734E-3</v>
      </c>
      <c r="AA17" s="204">
        <f>'SC-Retro'!U75</f>
        <v>1.6435322175024391E-3</v>
      </c>
      <c r="AB17" s="204">
        <f>'SC-Retro'!V75</f>
        <v>1.2946565354698635E-3</v>
      </c>
      <c r="AC17" s="204">
        <f>'SC-Retro'!W75</f>
        <v>1.0189621933662549E-3</v>
      </c>
      <c r="AD17" s="204">
        <f>'SC-Retro'!X75</f>
        <v>8.0114431231060907E-4</v>
      </c>
      <c r="AE17" s="204">
        <f>'SC-Retro'!Y75</f>
        <v>0.20038776450548643</v>
      </c>
      <c r="AF17" s="205">
        <f t="shared" si="5"/>
        <v>4.7245552218537279</v>
      </c>
      <c r="AG17" s="205">
        <f t="shared" si="5"/>
        <v>4.4198904036929534</v>
      </c>
      <c r="AH17" s="205">
        <f t="shared" si="5"/>
        <v>5.1130516953636524</v>
      </c>
      <c r="AI17" s="205">
        <f t="shared" si="5"/>
        <v>4.4483093333939978</v>
      </c>
      <c r="AJ17" s="205">
        <f t="shared" si="5"/>
        <v>4.5333911270714413</v>
      </c>
      <c r="AK17" s="205">
        <f t="shared" si="5"/>
        <v>4.0869985959891215</v>
      </c>
      <c r="AL17" s="205">
        <f t="shared" si="5"/>
        <v>3.7734518696109718</v>
      </c>
      <c r="AM17" s="205">
        <f t="shared" si="5"/>
        <v>3.9623238114234653</v>
      </c>
      <c r="AN17" s="205">
        <f t="shared" si="5"/>
        <v>3.4923367580769265</v>
      </c>
      <c r="AO17" s="205">
        <f t="shared" si="5"/>
        <v>4.0080393744327028</v>
      </c>
      <c r="AP17" s="205">
        <f t="shared" si="6"/>
        <v>3.8779143582717004</v>
      </c>
      <c r="AQ17" s="205">
        <f t="shared" si="6"/>
        <v>4.4112139969646824</v>
      </c>
      <c r="AR17" s="205">
        <f t="shared" si="6"/>
        <v>0</v>
      </c>
      <c r="AS17" s="205">
        <f t="shared" si="6"/>
        <v>2.3182939590286615</v>
      </c>
      <c r="AT17" s="205">
        <f t="shared" si="6"/>
        <v>2.0629981806191191</v>
      </c>
      <c r="AU17" s="205">
        <f t="shared" si="6"/>
        <v>2.0181001600130846</v>
      </c>
      <c r="AV17" s="205">
        <f t="shared" si="6"/>
        <v>2.044032065971729</v>
      </c>
      <c r="AW17" s="205">
        <f t="shared" si="6"/>
        <v>2.0547644550679522</v>
      </c>
      <c r="AX17" s="205">
        <f t="shared" si="6"/>
        <v>1.6835297332130321</v>
      </c>
      <c r="AY17" s="205">
        <f t="shared" si="6"/>
        <v>1.8983964368567627</v>
      </c>
      <c r="AZ17" s="205">
        <f t="shared" si="6"/>
        <v>1.5967598770046467</v>
      </c>
      <c r="BA17" s="205">
        <f t="shared" si="6"/>
        <v>1.8002052562194073</v>
      </c>
      <c r="BB17" s="205">
        <f t="shared" si="6"/>
        <v>1.6153854141109873</v>
      </c>
      <c r="BC17" s="205">
        <f t="shared" si="6"/>
        <v>1.9686945823173674</v>
      </c>
      <c r="BD17" s="205">
        <f t="shared" si="6"/>
        <v>2.188847870348535</v>
      </c>
    </row>
    <row r="18" spans="1:56" ht="15">
      <c r="A18" s="201" t="str">
        <f>VLOOKUP(CONCATENATE($C18,"-",$B18),[1]ACHIEV!$B$19:$C$100,2,FALSE)</f>
        <v>Retro20Fast</v>
      </c>
      <c r="B18" s="201" t="str">
        <f t="shared" si="4"/>
        <v>Retro</v>
      </c>
      <c r="C18" s="201" t="str">
        <f>'7PSourceSummary'!$D$2</f>
        <v>Showerheads</v>
      </c>
      <c r="D18" s="201" t="s">
        <v>420</v>
      </c>
      <c r="E18" s="202" t="str">
        <f>'SC-Retro'!$A$9</f>
        <v>Water Heating</v>
      </c>
      <c r="F18" s="565">
        <f t="shared" si="1"/>
        <v>9.1683230019442945E-3</v>
      </c>
      <c r="G18" s="565">
        <f>INDEX('SC-Retro'!$A$61:$D$78,MATCH($J18,'SC-Retro'!$D$61:$D$78,0),1)</f>
        <v>53.201158095537785</v>
      </c>
      <c r="H18" s="565">
        <f>INDEX('SC-Retro'!$A$61:$D$78,MATCH($J18,'SC-Retro'!$D$61:$D$78,0),2)</f>
        <v>-712.11950988115018</v>
      </c>
      <c r="I18" s="566"/>
      <c r="J18" s="203" t="str">
        <f>'SC-Retro'!D76</f>
        <v>Showerheads-Retro-Residential Care</v>
      </c>
      <c r="K18" s="204">
        <f>'SC-Retro'!E76</f>
        <v>0.13572181278777093</v>
      </c>
      <c r="L18" s="204">
        <f>'SC-Retro'!F76</f>
        <v>9.8229075238804447E-2</v>
      </c>
      <c r="M18" s="204">
        <f>'SC-Retro'!G76</f>
        <v>6.9929343081061329E-2</v>
      </c>
      <c r="N18" s="204">
        <f>'SC-Retro'!H76</f>
        <v>5.5769433883212573E-2</v>
      </c>
      <c r="O18" s="204">
        <f>'SC-Retro'!I76</f>
        <v>4.9816434554087297E-2</v>
      </c>
      <c r="P18" s="204">
        <f>'SC-Retro'!J76</f>
        <v>4.3710650855304629E-2</v>
      </c>
      <c r="Q18" s="204">
        <f>'SC-Retro'!K76</f>
        <v>3.7918750428625768E-2</v>
      </c>
      <c r="R18" s="204">
        <f>'SC-Retro'!L76</f>
        <v>3.2583474838853314E-2</v>
      </c>
      <c r="S18" s="204">
        <f>'SC-Retro'!M76</f>
        <v>2.7769972710736623E-2</v>
      </c>
      <c r="T18" s="204">
        <f>'SC-Retro'!N76</f>
        <v>2.3539676414112615E-2</v>
      </c>
      <c r="U18" s="204">
        <f>'SC-Retro'!O76</f>
        <v>1.9864227517903503E-2</v>
      </c>
      <c r="V18" s="204">
        <f>'SC-Retro'!P76</f>
        <v>1.5672686662181499E-2</v>
      </c>
      <c r="W18" s="204">
        <f>'SC-Retro'!Q76</f>
        <v>1.2402581443395842E-2</v>
      </c>
      <c r="X18" s="204">
        <f>'SC-Retro'!R76</f>
        <v>9.8288519248475332E-3</v>
      </c>
      <c r="Y18" s="204">
        <f>'SC-Retro'!S76</f>
        <v>7.7714497033881391E-3</v>
      </c>
      <c r="Z18" s="204">
        <f>'SC-Retro'!T76</f>
        <v>6.1455982734275908E-3</v>
      </c>
      <c r="AA18" s="204">
        <f>'SC-Retro'!U76</f>
        <v>4.85657988782224E-3</v>
      </c>
      <c r="AB18" s="204">
        <f>'SC-Retro'!V76</f>
        <v>3.8318987549275573E-3</v>
      </c>
      <c r="AC18" s="204">
        <f>'SC-Retro'!W76</f>
        <v>3.0219224097275963E-3</v>
      </c>
      <c r="AD18" s="204">
        <f>'SC-Retro'!X76</f>
        <v>2.3814217119960731E-3</v>
      </c>
      <c r="AE18" s="204">
        <f>'SC-Retro'!Y76</f>
        <v>0.58619004060953617</v>
      </c>
      <c r="AF18" s="205">
        <f t="shared" si="5"/>
        <v>3.3919942476148077</v>
      </c>
      <c r="AG18" s="205">
        <f t="shared" si="5"/>
        <v>3.1732601526312623</v>
      </c>
      <c r="AH18" s="205">
        <f t="shared" si="5"/>
        <v>3.6709152764703572</v>
      </c>
      <c r="AI18" s="205">
        <f t="shared" si="5"/>
        <v>3.1936635221640004</v>
      </c>
      <c r="AJ18" s="205">
        <f t="shared" si="5"/>
        <v>3.2547479928027849</v>
      </c>
      <c r="AK18" s="205">
        <f t="shared" si="5"/>
        <v>2.9342604915443395</v>
      </c>
      <c r="AL18" s="205">
        <f t="shared" si="5"/>
        <v>2.70914963088308</v>
      </c>
      <c r="AM18" s="205">
        <f t="shared" si="5"/>
        <v>2.8447502345548159</v>
      </c>
      <c r="AN18" s="205">
        <f t="shared" si="5"/>
        <v>2.5073230469053094</v>
      </c>
      <c r="AO18" s="205">
        <f t="shared" si="5"/>
        <v>2.8775717213344674</v>
      </c>
      <c r="AP18" s="205">
        <f t="shared" si="6"/>
        <v>2.7841484707716933</v>
      </c>
      <c r="AQ18" s="205">
        <f t="shared" si="6"/>
        <v>3.167030926740086</v>
      </c>
      <c r="AR18" s="205">
        <f t="shared" si="6"/>
        <v>0</v>
      </c>
      <c r="AS18" s="205">
        <f t="shared" si="6"/>
        <v>1.6644190625461666</v>
      </c>
      <c r="AT18" s="205">
        <f t="shared" si="6"/>
        <v>1.4811294678347</v>
      </c>
      <c r="AU18" s="205">
        <f t="shared" si="6"/>
        <v>1.4488949355933336</v>
      </c>
      <c r="AV18" s="205">
        <f t="shared" si="6"/>
        <v>1.4675127465217659</v>
      </c>
      <c r="AW18" s="205">
        <f t="shared" si="6"/>
        <v>1.4752180648783306</v>
      </c>
      <c r="AX18" s="205">
        <f t="shared" si="6"/>
        <v>1.2086901099880707</v>
      </c>
      <c r="AY18" s="205">
        <f t="shared" si="6"/>
        <v>1.3629536519596528</v>
      </c>
      <c r="AZ18" s="205">
        <f t="shared" si="6"/>
        <v>1.1463936949173359</v>
      </c>
      <c r="BA18" s="205">
        <f t="shared" si="6"/>
        <v>1.2924572974355681</v>
      </c>
      <c r="BB18" s="205">
        <f t="shared" si="6"/>
        <v>1.1597658985972106</v>
      </c>
      <c r="BC18" s="205">
        <f t="shared" si="6"/>
        <v>1.4134242029053568</v>
      </c>
      <c r="BD18" s="205">
        <f t="shared" si="6"/>
        <v>1.5714832479432952</v>
      </c>
    </row>
    <row r="19" spans="1:56" ht="15">
      <c r="A19" s="201" t="str">
        <f>VLOOKUP(CONCATENATE($C19,"-",$B19),[1]ACHIEV!$B$19:$C$100,2,FALSE)</f>
        <v>Retro20Fast</v>
      </c>
      <c r="B19" s="201" t="str">
        <f t="shared" si="4"/>
        <v>Retro</v>
      </c>
      <c r="C19" s="201" t="str">
        <f>'7PSourceSummary'!$D$2</f>
        <v>Showerheads</v>
      </c>
      <c r="D19" s="201" t="s">
        <v>420</v>
      </c>
      <c r="E19" s="202" t="str">
        <f>'SC-Retro'!$A$9</f>
        <v>Water Heating</v>
      </c>
      <c r="F19" s="565">
        <f t="shared" si="1"/>
        <v>9.1683230019442945E-3</v>
      </c>
      <c r="G19" s="565">
        <f>INDEX('SC-Retro'!$A$61:$D$78,MATCH($J19,'SC-Retro'!$D$61:$D$78,0),1)</f>
        <v>53.201158095537785</v>
      </c>
      <c r="H19" s="565">
        <f>INDEX('SC-Retro'!$A$61:$D$78,MATCH($J19,'SC-Retro'!$D$61:$D$78,0),2)</f>
        <v>-712.11950988115018</v>
      </c>
      <c r="I19" s="566"/>
      <c r="J19" s="203" t="str">
        <f>'SC-Retro'!D77</f>
        <v>Showerheads-Retro-Assembly</v>
      </c>
      <c r="K19" s="204">
        <f>'SC-Retro'!E77</f>
        <v>3.1521616526726855E-3</v>
      </c>
      <c r="L19" s="204">
        <f>'SC-Retro'!F77</f>
        <v>2.2182255556452289E-3</v>
      </c>
      <c r="M19" s="204">
        <f>'SC-Retro'!G77</f>
        <v>1.5416715686275293E-3</v>
      </c>
      <c r="N19" s="204">
        <f>'SC-Retro'!H77</f>
        <v>1.202529102101982E-3</v>
      </c>
      <c r="O19" s="204">
        <f>'SC-Retro'!I77</f>
        <v>1.0562023389271533E-3</v>
      </c>
      <c r="P19" s="204">
        <f>'SC-Retro'!J77</f>
        <v>9.1549477005208177E-4</v>
      </c>
      <c r="Q19" s="204">
        <f>'SC-Retro'!K77</f>
        <v>7.8532951228157683E-4</v>
      </c>
      <c r="R19" s="204">
        <f>'SC-Retro'!L77</f>
        <v>6.6693751946670591E-4</v>
      </c>
      <c r="S19" s="204">
        <f>'SC-Retro'!M77</f>
        <v>5.62586649514376E-4</v>
      </c>
      <c r="T19" s="204">
        <f>'SC-Retro'!N77</f>
        <v>4.7274660263784503E-4</v>
      </c>
      <c r="U19" s="204">
        <f>'SC-Retro'!O77</f>
        <v>3.9618181455274964E-4</v>
      </c>
      <c r="V19" s="204">
        <f>'SC-Retro'!P77</f>
        <v>3.1016440390066848E-4</v>
      </c>
      <c r="W19" s="204">
        <f>'SC-Retro'!Q77</f>
        <v>2.4333283818863061E-4</v>
      </c>
      <c r="X19" s="204">
        <f>'SC-Retro'!R77</f>
        <v>1.9156815273894861E-4</v>
      </c>
      <c r="Y19" s="204">
        <f>'SC-Retro'!S77</f>
        <v>1.5104309016328584E-4</v>
      </c>
      <c r="Z19" s="204">
        <f>'SC-Retro'!T77</f>
        <v>1.1920557347014546E-4</v>
      </c>
      <c r="AA19" s="204">
        <f>'SC-Retro'!U77</f>
        <v>9.4028919581287096E-5</v>
      </c>
      <c r="AB19" s="204">
        <f>'SC-Retro'!V77</f>
        <v>7.4103038747641846E-5</v>
      </c>
      <c r="AC19" s="204">
        <f>'SC-Retro'!W77</f>
        <v>5.8374245093498387E-5</v>
      </c>
      <c r="AD19" s="204">
        <f>'SC-Retro'!X77</f>
        <v>4.5969926712542207E-5</v>
      </c>
      <c r="AE19" s="204">
        <f>'SC-Retro'!Y77</f>
        <v>1.3083364380319165E-2</v>
      </c>
      <c r="AF19" s="205">
        <f t="shared" si="5"/>
        <v>3.3919942476148077</v>
      </c>
      <c r="AG19" s="205">
        <f t="shared" si="5"/>
        <v>3.1732601526312623</v>
      </c>
      <c r="AH19" s="205">
        <f t="shared" si="5"/>
        <v>3.6709152764703572</v>
      </c>
      <c r="AI19" s="205">
        <f t="shared" si="5"/>
        <v>3.1936635221640004</v>
      </c>
      <c r="AJ19" s="205">
        <f t="shared" si="5"/>
        <v>3.2547479928027849</v>
      </c>
      <c r="AK19" s="205">
        <f t="shared" si="5"/>
        <v>2.9342604915443395</v>
      </c>
      <c r="AL19" s="205">
        <f t="shared" si="5"/>
        <v>2.70914963088308</v>
      </c>
      <c r="AM19" s="205">
        <f t="shared" si="5"/>
        <v>2.8447502345548159</v>
      </c>
      <c r="AN19" s="205">
        <f t="shared" si="5"/>
        <v>2.5073230469053094</v>
      </c>
      <c r="AO19" s="205">
        <f t="shared" si="5"/>
        <v>2.8775717213344674</v>
      </c>
      <c r="AP19" s="205">
        <f t="shared" si="6"/>
        <v>2.7841484707716933</v>
      </c>
      <c r="AQ19" s="205">
        <f t="shared" si="6"/>
        <v>3.167030926740086</v>
      </c>
      <c r="AR19" s="205">
        <f t="shared" si="6"/>
        <v>0</v>
      </c>
      <c r="AS19" s="205">
        <f t="shared" si="6"/>
        <v>1.6644190625461666</v>
      </c>
      <c r="AT19" s="205">
        <f t="shared" si="6"/>
        <v>1.4811294678347</v>
      </c>
      <c r="AU19" s="205">
        <f t="shared" si="6"/>
        <v>1.4488949355933336</v>
      </c>
      <c r="AV19" s="205">
        <f t="shared" si="6"/>
        <v>1.4675127465217659</v>
      </c>
      <c r="AW19" s="205">
        <f t="shared" si="6"/>
        <v>1.4752180648783306</v>
      </c>
      <c r="AX19" s="205">
        <f t="shared" si="6"/>
        <v>1.2086901099880707</v>
      </c>
      <c r="AY19" s="205">
        <f t="shared" si="6"/>
        <v>1.3629536519596528</v>
      </c>
      <c r="AZ19" s="205">
        <f t="shared" si="6"/>
        <v>1.1463936949173359</v>
      </c>
      <c r="BA19" s="205">
        <f t="shared" si="6"/>
        <v>1.2924572974355681</v>
      </c>
      <c r="BB19" s="205">
        <f t="shared" si="6"/>
        <v>1.1597658985972106</v>
      </c>
      <c r="BC19" s="205">
        <f t="shared" si="6"/>
        <v>1.4134242029053568</v>
      </c>
      <c r="BD19" s="205">
        <f t="shared" si="6"/>
        <v>1.5714832479432952</v>
      </c>
    </row>
    <row r="20" spans="1:56" ht="15">
      <c r="A20" s="201" t="str">
        <f>VLOOKUP(CONCATENATE($C20,"-",$B20),[1]ACHIEV!$B$19:$C$100,2,FALSE)</f>
        <v>Retro20Fast</v>
      </c>
      <c r="B20" s="201" t="str">
        <f t="shared" si="4"/>
        <v>Retro</v>
      </c>
      <c r="C20" s="201" t="str">
        <f>'7PSourceSummary'!$D$2</f>
        <v>Showerheads</v>
      </c>
      <c r="D20" s="201" t="s">
        <v>420</v>
      </c>
      <c r="E20" s="202" t="str">
        <f>'SC-Retro'!$A$9</f>
        <v>Water Heating</v>
      </c>
      <c r="F20" s="565">
        <f t="shared" si="1"/>
        <v>0.28738159806208408</v>
      </c>
      <c r="G20" s="565">
        <f>INDEX('SC-Retro'!$A$61:$D$78,MATCH($J20,'SC-Retro'!$D$61:$D$78,0),1)</f>
        <v>1667.5932805821674</v>
      </c>
      <c r="H20" s="565">
        <f>INDEX('SC-Retro'!$A$61:$D$78,MATCH($J20,'SC-Retro'!$D$61:$D$78,0),2)</f>
        <v>-388.74893866765819</v>
      </c>
      <c r="I20" s="566"/>
      <c r="J20" s="203" t="str">
        <f>'SC-Retro'!D78</f>
        <v>Showerheads-Retro-Other</v>
      </c>
      <c r="K20" s="204">
        <f>'SC-Retro'!E78</f>
        <v>0.35219810437742305</v>
      </c>
      <c r="L20" s="204">
        <f>'SC-Retro'!F78</f>
        <v>0.2539084339264287</v>
      </c>
      <c r="M20" s="204">
        <f>'SC-Retro'!G78</f>
        <v>0.17959587835792035</v>
      </c>
      <c r="N20" s="204">
        <f>'SC-Retro'!H78</f>
        <v>0.14263247675349394</v>
      </c>
      <c r="O20" s="204">
        <f>'SC-Retro'!I78</f>
        <v>0.12716597449904329</v>
      </c>
      <c r="P20" s="204">
        <f>'SC-Retro'!J78</f>
        <v>0.11133373492718483</v>
      </c>
      <c r="Q20" s="204">
        <f>'SC-Retro'!K78</f>
        <v>9.6692274352225466E-2</v>
      </c>
      <c r="R20" s="204">
        <f>'SC-Retro'!L78</f>
        <v>8.322996965079564E-2</v>
      </c>
      <c r="S20" s="204">
        <f>'SC-Retro'!M78</f>
        <v>7.1253400730254796E-2</v>
      </c>
      <c r="T20" s="204">
        <f>'SC-Retro'!N78</f>
        <v>6.0739430104165652E-2</v>
      </c>
      <c r="U20" s="204">
        <f>'SC-Retro'!O78</f>
        <v>5.1469254221744275E-2</v>
      </c>
      <c r="V20" s="204">
        <f>'SC-Retro'!P78</f>
        <v>4.0810430113395815E-2</v>
      </c>
      <c r="W20" s="204">
        <f>'SC-Retro'!Q78</f>
        <v>3.2396960686596421E-2</v>
      </c>
      <c r="X20" s="204">
        <f>'SC-Retro'!R78</f>
        <v>2.5723297569297487E-2</v>
      </c>
      <c r="Y20" s="204">
        <f>'SC-Retro'!S78</f>
        <v>2.0383683334276339E-2</v>
      </c>
      <c r="Z20" s="204">
        <f>'SC-Retro'!T78</f>
        <v>1.6176155475089427E-2</v>
      </c>
      <c r="AA20" s="204">
        <f>'SC-Retro'!U78</f>
        <v>1.2803248379792832E-2</v>
      </c>
      <c r="AB20" s="204">
        <f>'SC-Retro'!V78</f>
        <v>1.0139896387875347E-2</v>
      </c>
      <c r="AC20" s="204">
        <f>'SC-Retro'!W78</f>
        <v>8.0201747626180622E-3</v>
      </c>
      <c r="AD20" s="204">
        <f>'SC-Retro'!X78</f>
        <v>6.3355920802159677E-3</v>
      </c>
      <c r="AE20" s="204">
        <f>'SC-Retro'!Y78</f>
        <v>1.3409199870464108</v>
      </c>
      <c r="AF20" s="205">
        <f t="shared" si="5"/>
        <v>106.32224969497891</v>
      </c>
      <c r="AG20" s="205">
        <f t="shared" si="5"/>
        <v>99.466017235269064</v>
      </c>
      <c r="AH20" s="205">
        <f t="shared" si="5"/>
        <v>115.06504496829443</v>
      </c>
      <c r="AI20" s="205">
        <f t="shared" si="5"/>
        <v>100.10556199617311</v>
      </c>
      <c r="AJ20" s="205">
        <f t="shared" si="5"/>
        <v>102.02025815000927</v>
      </c>
      <c r="AK20" s="205">
        <f t="shared" si="5"/>
        <v>91.974559470867561</v>
      </c>
      <c r="AL20" s="205">
        <f t="shared" si="5"/>
        <v>84.91844693379349</v>
      </c>
      <c r="AM20" s="205">
        <f t="shared" si="5"/>
        <v>89.168855451589238</v>
      </c>
      <c r="AN20" s="205">
        <f t="shared" si="5"/>
        <v>78.592181353638537</v>
      </c>
      <c r="AO20" s="205">
        <f t="shared" si="5"/>
        <v>90.19764679320204</v>
      </c>
      <c r="AP20" s="205">
        <f t="shared" si="6"/>
        <v>87.269289771182756</v>
      </c>
      <c r="AQ20" s="205">
        <f t="shared" si="6"/>
        <v>99.270761800778345</v>
      </c>
      <c r="AR20" s="205">
        <f t="shared" si="6"/>
        <v>0</v>
      </c>
      <c r="AS20" s="205">
        <f t="shared" si="6"/>
        <v>52.171308748402168</v>
      </c>
      <c r="AT20" s="205">
        <f t="shared" si="6"/>
        <v>46.42608613515408</v>
      </c>
      <c r="AU20" s="205">
        <f t="shared" si="6"/>
        <v>45.415692916422238</v>
      </c>
      <c r="AV20" s="205">
        <f t="shared" si="6"/>
        <v>45.99926924285576</v>
      </c>
      <c r="AW20" s="205">
        <f t="shared" si="6"/>
        <v>46.240792878357816</v>
      </c>
      <c r="AX20" s="205">
        <f t="shared" si="6"/>
        <v>37.886459202685757</v>
      </c>
      <c r="AY20" s="205">
        <f t="shared" si="6"/>
        <v>42.721858566899826</v>
      </c>
      <c r="AZ20" s="205">
        <f t="shared" si="6"/>
        <v>35.933774582742714</v>
      </c>
      <c r="BA20" s="205">
        <f t="shared" si="6"/>
        <v>40.512146385469663</v>
      </c>
      <c r="BB20" s="205">
        <f t="shared" si="6"/>
        <v>36.35292705613606</v>
      </c>
      <c r="BC20" s="205">
        <f t="shared" si="6"/>
        <v>44.303860813414737</v>
      </c>
      <c r="BD20" s="205">
        <f t="shared" si="6"/>
        <v>49.258230433849896</v>
      </c>
    </row>
    <row r="21" spans="1:56" ht="15">
      <c r="A21" s="192"/>
      <c r="B21" s="192"/>
      <c r="C21" s="192"/>
      <c r="D21" s="192"/>
      <c r="E21" s="193"/>
      <c r="F21" s="194"/>
      <c r="G21" s="195"/>
      <c r="H21" s="195"/>
      <c r="I21" s="155"/>
      <c r="J21" s="155"/>
      <c r="K21" s="196"/>
      <c r="L21" s="196"/>
      <c r="M21" s="196"/>
      <c r="N21" s="196"/>
      <c r="O21" s="196"/>
      <c r="P21" s="196"/>
      <c r="Q21" s="196"/>
      <c r="R21" s="196"/>
      <c r="S21" s="196"/>
      <c r="T21" s="196"/>
      <c r="U21" s="196"/>
      <c r="V21" s="196"/>
      <c r="W21" s="196"/>
      <c r="X21" s="196"/>
      <c r="Y21" s="196"/>
      <c r="Z21" s="196"/>
      <c r="AA21" s="196"/>
      <c r="AB21" s="196"/>
      <c r="AC21" s="196"/>
      <c r="AD21" s="196"/>
      <c r="AE21" s="196"/>
      <c r="AF21" s="197"/>
      <c r="AG21" s="197"/>
      <c r="AH21" s="197"/>
      <c r="AI21" s="197"/>
      <c r="AJ21" s="197"/>
      <c r="AK21" s="197"/>
      <c r="AL21" s="197"/>
      <c r="AM21" s="197"/>
      <c r="AN21" s="197"/>
      <c r="AO21" s="197"/>
      <c r="AP21" s="197"/>
      <c r="AQ21" s="197"/>
      <c r="AR21" s="197"/>
      <c r="AS21" s="197"/>
      <c r="AT21" s="197"/>
      <c r="AU21" s="197"/>
      <c r="AV21" s="197"/>
      <c r="AW21" s="197"/>
      <c r="AX21" s="197"/>
      <c r="AY21" s="197"/>
      <c r="AZ21" s="197"/>
      <c r="BA21" s="197"/>
      <c r="BB21" s="197"/>
      <c r="BC21" s="197"/>
      <c r="BD21" s="197"/>
    </row>
    <row r="22" spans="1:56" ht="15">
      <c r="A22" s="192"/>
      <c r="B22" s="192"/>
      <c r="C22" s="192"/>
      <c r="D22" s="192"/>
      <c r="E22" s="193"/>
      <c r="F22" s="194"/>
      <c r="G22" s="195"/>
      <c r="H22" s="195"/>
      <c r="I22" s="155"/>
      <c r="J22" s="155"/>
      <c r="K22" s="196"/>
      <c r="L22" s="196"/>
      <c r="M22" s="196"/>
      <c r="N22" s="196"/>
      <c r="O22" s="196"/>
      <c r="P22" s="196"/>
      <c r="Q22" s="196"/>
      <c r="R22" s="196"/>
      <c r="S22" s="196"/>
      <c r="T22" s="196"/>
      <c r="U22" s="196"/>
      <c r="V22" s="196"/>
      <c r="W22" s="196"/>
      <c r="X22" s="196"/>
      <c r="Y22" s="196"/>
      <c r="Z22" s="196"/>
      <c r="AA22" s="196"/>
      <c r="AB22" s="196"/>
      <c r="AC22" s="196"/>
      <c r="AD22" s="196"/>
      <c r="AE22" s="196"/>
      <c r="AF22" s="197"/>
      <c r="AG22" s="197"/>
      <c r="AH22" s="197"/>
      <c r="AI22" s="197"/>
      <c r="AJ22" s="197"/>
      <c r="AK22" s="197"/>
      <c r="AL22" s="197"/>
      <c r="AM22" s="197"/>
      <c r="AN22" s="197"/>
      <c r="AO22" s="197"/>
      <c r="AP22" s="197"/>
      <c r="AQ22" s="197"/>
      <c r="AR22" s="197"/>
      <c r="AS22" s="197"/>
      <c r="AT22" s="197"/>
      <c r="AU22" s="197"/>
      <c r="AV22" s="197"/>
      <c r="AW22" s="197"/>
      <c r="AX22" s="197"/>
      <c r="AY22" s="197"/>
      <c r="AZ22" s="197"/>
      <c r="BA22" s="197"/>
      <c r="BB22" s="197"/>
      <c r="BC22" s="197"/>
      <c r="BD22" s="197"/>
    </row>
    <row r="23" spans="1:56" ht="15">
      <c r="A23" s="192"/>
      <c r="B23" s="192"/>
      <c r="C23" s="192"/>
      <c r="D23" s="192"/>
      <c r="E23" s="193"/>
      <c r="F23" s="194"/>
      <c r="G23" s="195"/>
      <c r="H23" s="195"/>
      <c r="I23" s="155"/>
      <c r="J23" s="155"/>
      <c r="K23" s="196"/>
      <c r="L23" s="196"/>
      <c r="M23" s="196"/>
      <c r="N23" s="196"/>
      <c r="O23" s="196"/>
      <c r="P23" s="196"/>
      <c r="Q23" s="196"/>
      <c r="R23" s="196"/>
      <c r="S23" s="196"/>
      <c r="T23" s="196"/>
      <c r="U23" s="196"/>
      <c r="V23" s="196"/>
      <c r="W23" s="196"/>
      <c r="X23" s="196"/>
      <c r="Y23" s="196"/>
      <c r="Z23" s="196"/>
      <c r="AA23" s="196"/>
      <c r="AB23" s="196"/>
      <c r="AC23" s="196"/>
      <c r="AD23" s="196"/>
      <c r="AE23" s="196"/>
      <c r="AF23" s="197"/>
      <c r="AG23" s="197"/>
      <c r="AH23" s="197"/>
      <c r="AI23" s="197"/>
      <c r="AJ23" s="197"/>
      <c r="AK23" s="197"/>
      <c r="AL23" s="197"/>
      <c r="AM23" s="197"/>
      <c r="AN23" s="197"/>
      <c r="AO23" s="197"/>
      <c r="AP23" s="197"/>
      <c r="AQ23" s="197"/>
      <c r="AR23" s="197"/>
      <c r="AS23" s="197"/>
      <c r="AT23" s="197"/>
      <c r="AU23" s="197"/>
      <c r="AV23" s="197"/>
      <c r="AW23" s="197"/>
      <c r="AX23" s="197"/>
      <c r="AY23" s="197"/>
      <c r="AZ23" s="197"/>
      <c r="BA23" s="197"/>
      <c r="BB23" s="197"/>
      <c r="BC23" s="197"/>
      <c r="BD23" s="197"/>
    </row>
    <row r="24" spans="1:56" ht="15">
      <c r="A24" s="192"/>
      <c r="B24" s="192"/>
      <c r="C24" s="192"/>
      <c r="D24" s="192"/>
      <c r="E24" s="193"/>
      <c r="F24" s="194"/>
      <c r="G24" s="195"/>
      <c r="H24" s="195"/>
      <c r="I24" s="155"/>
      <c r="J24" s="155"/>
      <c r="K24" s="196"/>
      <c r="L24" s="196"/>
      <c r="M24" s="196"/>
      <c r="N24" s="196"/>
      <c r="O24" s="196"/>
      <c r="P24" s="196"/>
      <c r="Q24" s="196"/>
      <c r="R24" s="196"/>
      <c r="S24" s="196"/>
      <c r="T24" s="196"/>
      <c r="U24" s="196"/>
      <c r="V24" s="196"/>
      <c r="W24" s="196"/>
      <c r="X24" s="196"/>
      <c r="Y24" s="196"/>
      <c r="Z24" s="196"/>
      <c r="AA24" s="196"/>
      <c r="AB24" s="196"/>
      <c r="AC24" s="196"/>
      <c r="AD24" s="196"/>
      <c r="AE24" s="196"/>
      <c r="AF24" s="197"/>
      <c r="AG24" s="197"/>
      <c r="AH24" s="197"/>
      <c r="AI24" s="197"/>
      <c r="AJ24" s="197"/>
      <c r="AK24" s="197"/>
      <c r="AL24" s="197"/>
      <c r="AM24" s="197"/>
      <c r="AN24" s="197"/>
      <c r="AO24" s="197"/>
      <c r="AP24" s="197"/>
      <c r="AQ24" s="197"/>
      <c r="AR24" s="197"/>
      <c r="AS24" s="197"/>
      <c r="AT24" s="197"/>
      <c r="AU24" s="197"/>
      <c r="AV24" s="197"/>
      <c r="AW24" s="197"/>
      <c r="AX24" s="197"/>
      <c r="AY24" s="197"/>
      <c r="AZ24" s="197"/>
      <c r="BA24" s="197"/>
      <c r="BB24" s="197"/>
      <c r="BC24" s="197"/>
      <c r="BD24" s="197"/>
    </row>
    <row r="25" spans="1:56" ht="15">
      <c r="A25" s="192"/>
      <c r="B25" s="192"/>
      <c r="C25" s="192"/>
      <c r="D25" s="192"/>
      <c r="E25" s="193"/>
      <c r="F25" s="194"/>
      <c r="G25" s="195"/>
      <c r="H25" s="195"/>
      <c r="I25" s="155"/>
      <c r="J25" s="155"/>
      <c r="K25" s="196"/>
      <c r="L25" s="196"/>
      <c r="M25" s="196"/>
      <c r="N25" s="196"/>
      <c r="O25" s="196"/>
      <c r="P25" s="196"/>
      <c r="Q25" s="196"/>
      <c r="R25" s="196"/>
      <c r="S25" s="196"/>
      <c r="T25" s="196"/>
      <c r="U25" s="196"/>
      <c r="V25" s="196"/>
      <c r="W25" s="196"/>
      <c r="X25" s="196"/>
      <c r="Y25" s="196"/>
      <c r="Z25" s="196"/>
      <c r="AA25" s="196"/>
      <c r="AB25" s="196"/>
      <c r="AC25" s="196"/>
      <c r="AD25" s="196"/>
      <c r="AE25" s="196"/>
      <c r="AF25" s="197"/>
      <c r="AG25" s="197"/>
      <c r="AH25" s="197"/>
      <c r="AI25" s="197"/>
      <c r="AJ25" s="197"/>
      <c r="AK25" s="197"/>
      <c r="AL25" s="197"/>
      <c r="AM25" s="197"/>
      <c r="AN25" s="197"/>
      <c r="AO25" s="197"/>
      <c r="AP25" s="197"/>
      <c r="AQ25" s="197"/>
      <c r="AR25" s="197"/>
      <c r="AS25" s="197"/>
      <c r="AT25" s="197"/>
      <c r="AU25" s="197"/>
      <c r="AV25" s="197"/>
      <c r="AW25" s="197"/>
      <c r="AX25" s="197"/>
      <c r="AY25" s="197"/>
      <c r="AZ25" s="197"/>
      <c r="BA25" s="197"/>
      <c r="BB25" s="197"/>
      <c r="BC25" s="197"/>
      <c r="BD25" s="197"/>
    </row>
    <row r="26" spans="1:56" ht="15">
      <c r="A26" s="192"/>
      <c r="B26" s="192"/>
      <c r="C26" s="192"/>
      <c r="D26" s="192"/>
      <c r="E26" s="193"/>
      <c r="F26" s="194"/>
      <c r="G26" s="195"/>
      <c r="H26" s="195"/>
      <c r="I26" s="155"/>
      <c r="J26" s="155"/>
      <c r="K26" s="196"/>
      <c r="L26" s="196"/>
      <c r="M26" s="196"/>
      <c r="N26" s="196"/>
      <c r="O26" s="196"/>
      <c r="P26" s="196"/>
      <c r="Q26" s="196"/>
      <c r="R26" s="196"/>
      <c r="S26" s="196"/>
      <c r="T26" s="196"/>
      <c r="U26" s="196"/>
      <c r="V26" s="196"/>
      <c r="W26" s="196"/>
      <c r="X26" s="196"/>
      <c r="Y26" s="196"/>
      <c r="Z26" s="196"/>
      <c r="AA26" s="196"/>
      <c r="AB26" s="196"/>
      <c r="AC26" s="196"/>
      <c r="AD26" s="196"/>
      <c r="AE26" s="196"/>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row>
    <row r="27" spans="1:56" ht="15">
      <c r="A27" s="192"/>
      <c r="B27" s="192"/>
      <c r="C27" s="192"/>
      <c r="D27" s="192"/>
      <c r="E27" s="193"/>
      <c r="F27" s="194"/>
      <c r="G27" s="195"/>
      <c r="H27" s="195"/>
      <c r="I27" s="155"/>
      <c r="J27" s="155"/>
      <c r="K27" s="196"/>
      <c r="L27" s="196"/>
      <c r="M27" s="196"/>
      <c r="N27" s="196"/>
      <c r="O27" s="196"/>
      <c r="P27" s="196"/>
      <c r="Q27" s="196"/>
      <c r="R27" s="196"/>
      <c r="S27" s="196"/>
      <c r="T27" s="196"/>
      <c r="U27" s="196"/>
      <c r="V27" s="196"/>
      <c r="W27" s="196"/>
      <c r="X27" s="196"/>
      <c r="Y27" s="196"/>
      <c r="Z27" s="196"/>
      <c r="AA27" s="196"/>
      <c r="AB27" s="196"/>
      <c r="AC27" s="196"/>
      <c r="AD27" s="196"/>
      <c r="AE27" s="196"/>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row>
    <row r="28" spans="1:56" ht="15">
      <c r="A28" s="192"/>
      <c r="B28" s="192"/>
      <c r="C28" s="192"/>
      <c r="D28" s="192"/>
      <c r="E28" s="193"/>
      <c r="F28" s="194"/>
      <c r="G28" s="195"/>
      <c r="H28" s="195"/>
      <c r="I28" s="155"/>
      <c r="J28" s="155"/>
      <c r="K28" s="196"/>
      <c r="L28" s="196"/>
      <c r="M28" s="196"/>
      <c r="N28" s="196"/>
      <c r="O28" s="196"/>
      <c r="P28" s="196"/>
      <c r="Q28" s="196"/>
      <c r="R28" s="196"/>
      <c r="S28" s="196"/>
      <c r="T28" s="196"/>
      <c r="U28" s="196"/>
      <c r="V28" s="196"/>
      <c r="W28" s="196"/>
      <c r="X28" s="196"/>
      <c r="Y28" s="196"/>
      <c r="Z28" s="196"/>
      <c r="AA28" s="196"/>
      <c r="AB28" s="196"/>
      <c r="AC28" s="196"/>
      <c r="AD28" s="196"/>
      <c r="AE28" s="196"/>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row>
    <row r="29" spans="1:56" ht="15">
      <c r="A29" s="192"/>
      <c r="B29" s="192"/>
      <c r="C29" s="192"/>
      <c r="D29" s="192"/>
      <c r="E29" s="193"/>
      <c r="F29" s="194"/>
      <c r="G29" s="195"/>
      <c r="H29" s="195"/>
      <c r="I29" s="155"/>
      <c r="J29" s="155"/>
      <c r="K29" s="196"/>
      <c r="L29" s="196"/>
      <c r="M29" s="196"/>
      <c r="N29" s="196"/>
      <c r="O29" s="196"/>
      <c r="P29" s="196"/>
      <c r="Q29" s="196"/>
      <c r="R29" s="196"/>
      <c r="S29" s="196"/>
      <c r="T29" s="196"/>
      <c r="U29" s="196"/>
      <c r="V29" s="196"/>
      <c r="W29" s="196"/>
      <c r="X29" s="196"/>
      <c r="Y29" s="196"/>
      <c r="Z29" s="196"/>
      <c r="AA29" s="196"/>
      <c r="AB29" s="196"/>
      <c r="AC29" s="196"/>
      <c r="AD29" s="196"/>
      <c r="AE29" s="196"/>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row>
    <row r="30" spans="1:56" ht="15">
      <c r="A30" s="192"/>
      <c r="B30" s="192"/>
      <c r="C30" s="192"/>
      <c r="D30" s="192"/>
      <c r="E30" s="193"/>
      <c r="F30" s="194"/>
      <c r="G30" s="195"/>
      <c r="H30" s="195"/>
      <c r="I30" s="155"/>
      <c r="J30" s="155"/>
      <c r="K30" s="196"/>
      <c r="L30" s="196"/>
      <c r="M30" s="196"/>
      <c r="N30" s="196"/>
      <c r="O30" s="196"/>
      <c r="P30" s="196"/>
      <c r="Q30" s="196"/>
      <c r="R30" s="196"/>
      <c r="S30" s="196"/>
      <c r="T30" s="196"/>
      <c r="U30" s="196"/>
      <c r="V30" s="196"/>
      <c r="W30" s="196"/>
      <c r="X30" s="196"/>
      <c r="Y30" s="196"/>
      <c r="Z30" s="196"/>
      <c r="AA30" s="196"/>
      <c r="AB30" s="196"/>
      <c r="AC30" s="196"/>
      <c r="AD30" s="196"/>
      <c r="AE30" s="196"/>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row>
    <row r="31" spans="1:56" ht="15">
      <c r="A31" s="192"/>
      <c r="B31" s="192"/>
      <c r="C31" s="192"/>
      <c r="D31" s="192"/>
      <c r="E31" s="193"/>
      <c r="F31" s="194"/>
      <c r="G31" s="195"/>
      <c r="H31" s="195"/>
      <c r="I31" s="155"/>
      <c r="J31" s="155"/>
      <c r="K31" s="196"/>
      <c r="L31" s="196"/>
      <c r="M31" s="196"/>
      <c r="N31" s="196"/>
      <c r="O31" s="196"/>
      <c r="P31" s="196"/>
      <c r="Q31" s="196"/>
      <c r="R31" s="196"/>
      <c r="S31" s="196"/>
      <c r="T31" s="196"/>
      <c r="U31" s="196"/>
      <c r="V31" s="196"/>
      <c r="W31" s="196"/>
      <c r="X31" s="196"/>
      <c r="Y31" s="196"/>
      <c r="Z31" s="196"/>
      <c r="AA31" s="196"/>
      <c r="AB31" s="196"/>
      <c r="AC31" s="196"/>
      <c r="AD31" s="196"/>
      <c r="AE31" s="196"/>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row>
    <row r="32" spans="1:56" ht="15">
      <c r="A32" s="192"/>
      <c r="B32" s="192"/>
      <c r="C32" s="192"/>
      <c r="D32" s="192"/>
      <c r="E32" s="193"/>
      <c r="F32" s="194"/>
      <c r="G32" s="195"/>
      <c r="H32" s="195"/>
      <c r="I32" s="155"/>
      <c r="J32" s="155"/>
      <c r="K32" s="196"/>
      <c r="L32" s="196"/>
      <c r="M32" s="196"/>
      <c r="N32" s="196"/>
      <c r="O32" s="196"/>
      <c r="P32" s="196"/>
      <c r="Q32" s="196"/>
      <c r="R32" s="196"/>
      <c r="S32" s="196"/>
      <c r="T32" s="196"/>
      <c r="U32" s="196"/>
      <c r="V32" s="196"/>
      <c r="W32" s="196"/>
      <c r="X32" s="196"/>
      <c r="Y32" s="196"/>
      <c r="Z32" s="196"/>
      <c r="AA32" s="196"/>
      <c r="AB32" s="196"/>
      <c r="AC32" s="196"/>
      <c r="AD32" s="196"/>
      <c r="AE32" s="196"/>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row>
    <row r="33" spans="1:56" ht="15">
      <c r="A33" s="192"/>
      <c r="B33" s="192"/>
      <c r="C33" s="192"/>
      <c r="D33" s="192"/>
      <c r="E33" s="193"/>
      <c r="F33" s="194"/>
      <c r="G33" s="195"/>
      <c r="H33" s="195"/>
      <c r="I33" s="155"/>
      <c r="J33" s="155"/>
      <c r="K33" s="196"/>
      <c r="L33" s="196"/>
      <c r="M33" s="196"/>
      <c r="N33" s="196"/>
      <c r="O33" s="196"/>
      <c r="P33" s="196"/>
      <c r="Q33" s="196"/>
      <c r="R33" s="196"/>
      <c r="S33" s="196"/>
      <c r="T33" s="196"/>
      <c r="U33" s="196"/>
      <c r="V33" s="196"/>
      <c r="W33" s="196"/>
      <c r="X33" s="196"/>
      <c r="Y33" s="196"/>
      <c r="Z33" s="196"/>
      <c r="AA33" s="196"/>
      <c r="AB33" s="196"/>
      <c r="AC33" s="196"/>
      <c r="AD33" s="196"/>
      <c r="AE33" s="196"/>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row>
    <row r="34" spans="1:56" ht="15">
      <c r="A34" s="192"/>
      <c r="B34" s="192"/>
      <c r="C34" s="192"/>
      <c r="D34" s="192"/>
      <c r="E34" s="193"/>
      <c r="F34" s="194"/>
      <c r="G34" s="195"/>
      <c r="H34" s="195"/>
      <c r="I34" s="155"/>
      <c r="J34" s="155"/>
      <c r="K34" s="196"/>
      <c r="L34" s="196"/>
      <c r="M34" s="196"/>
      <c r="N34" s="196"/>
      <c r="O34" s="196"/>
      <c r="P34" s="196"/>
      <c r="Q34" s="196"/>
      <c r="R34" s="196"/>
      <c r="S34" s="196"/>
      <c r="T34" s="196"/>
      <c r="U34" s="196"/>
      <c r="V34" s="196"/>
      <c r="W34" s="196"/>
      <c r="X34" s="196"/>
      <c r="Y34" s="196"/>
      <c r="Z34" s="196"/>
      <c r="AA34" s="196"/>
      <c r="AB34" s="196"/>
      <c r="AC34" s="196"/>
      <c r="AD34" s="196"/>
      <c r="AE34" s="196"/>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row>
    <row r="35" spans="1:56" ht="15">
      <c r="A35" s="192"/>
      <c r="B35" s="192"/>
      <c r="C35" s="192"/>
      <c r="D35" s="192"/>
      <c r="E35" s="193"/>
      <c r="F35" s="194"/>
      <c r="G35" s="195"/>
      <c r="H35" s="195"/>
      <c r="I35" s="155"/>
      <c r="J35" s="155"/>
      <c r="K35" s="196"/>
      <c r="L35" s="196"/>
      <c r="M35" s="196"/>
      <c r="N35" s="196"/>
      <c r="O35" s="196"/>
      <c r="P35" s="196"/>
      <c r="Q35" s="196"/>
      <c r="R35" s="196"/>
      <c r="S35" s="196"/>
      <c r="T35" s="196"/>
      <c r="U35" s="196"/>
      <c r="V35" s="196"/>
      <c r="W35" s="196"/>
      <c r="X35" s="196"/>
      <c r="Y35" s="196"/>
      <c r="Z35" s="196"/>
      <c r="AA35" s="196"/>
      <c r="AB35" s="196"/>
      <c r="AC35" s="196"/>
      <c r="AD35" s="196"/>
      <c r="AE35" s="196"/>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row>
    <row r="36" spans="1:56" ht="15">
      <c r="A36" s="192"/>
      <c r="B36" s="192"/>
      <c r="C36" s="192"/>
      <c r="D36" s="192"/>
      <c r="E36" s="193"/>
      <c r="F36" s="194"/>
      <c r="G36" s="195"/>
      <c r="H36" s="195"/>
      <c r="I36" s="155"/>
      <c r="J36" s="155"/>
      <c r="K36" s="196"/>
      <c r="L36" s="196"/>
      <c r="M36" s="196"/>
      <c r="N36" s="196"/>
      <c r="O36" s="196"/>
      <c r="P36" s="196"/>
      <c r="Q36" s="196"/>
      <c r="R36" s="196"/>
      <c r="S36" s="196"/>
      <c r="T36" s="196"/>
      <c r="U36" s="196"/>
      <c r="V36" s="196"/>
      <c r="W36" s="196"/>
      <c r="X36" s="196"/>
      <c r="Y36" s="196"/>
      <c r="Z36" s="196"/>
      <c r="AA36" s="196"/>
      <c r="AB36" s="196"/>
      <c r="AC36" s="196"/>
      <c r="AD36" s="196"/>
      <c r="AE36" s="196"/>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row>
    <row r="37" spans="1:56" ht="15">
      <c r="A37" s="192"/>
      <c r="B37" s="192"/>
      <c r="C37" s="192"/>
      <c r="D37" s="192"/>
      <c r="E37" s="193"/>
      <c r="F37" s="194"/>
      <c r="G37" s="195"/>
      <c r="H37" s="195"/>
      <c r="I37" s="155"/>
      <c r="J37" s="155"/>
      <c r="K37" s="196"/>
      <c r="L37" s="196"/>
      <c r="M37" s="196"/>
      <c r="N37" s="196"/>
      <c r="O37" s="196"/>
      <c r="P37" s="196"/>
      <c r="Q37" s="196"/>
      <c r="R37" s="196"/>
      <c r="S37" s="196"/>
      <c r="T37" s="196"/>
      <c r="U37" s="196"/>
      <c r="V37" s="196"/>
      <c r="W37" s="196"/>
      <c r="X37" s="196"/>
      <c r="Y37" s="196"/>
      <c r="Z37" s="196"/>
      <c r="AA37" s="196"/>
      <c r="AB37" s="196"/>
      <c r="AC37" s="196"/>
      <c r="AD37" s="196"/>
      <c r="AE37" s="196"/>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row>
    <row r="38" spans="1:56" ht="15">
      <c r="A38" s="192"/>
      <c r="B38" s="192"/>
      <c r="C38" s="192"/>
      <c r="D38" s="192"/>
      <c r="E38" s="193"/>
      <c r="F38" s="194"/>
      <c r="G38" s="195"/>
      <c r="H38" s="195"/>
      <c r="I38" s="155"/>
      <c r="J38" s="155"/>
      <c r="K38" s="196"/>
      <c r="L38" s="196"/>
      <c r="M38" s="196"/>
      <c r="N38" s="196"/>
      <c r="O38" s="196"/>
      <c r="P38" s="196"/>
      <c r="Q38" s="196"/>
      <c r="R38" s="196"/>
      <c r="S38" s="196"/>
      <c r="T38" s="196"/>
      <c r="U38" s="196"/>
      <c r="V38" s="196"/>
      <c r="W38" s="196"/>
      <c r="X38" s="196"/>
      <c r="Y38" s="196"/>
      <c r="Z38" s="196"/>
      <c r="AA38" s="196"/>
      <c r="AB38" s="196"/>
      <c r="AC38" s="196"/>
      <c r="AD38" s="196"/>
      <c r="AE38" s="196"/>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row>
    <row r="39" spans="1:56" ht="15">
      <c r="A39" s="192"/>
      <c r="B39" s="192"/>
      <c r="C39" s="192"/>
      <c r="D39" s="192"/>
      <c r="E39" s="193"/>
      <c r="F39" s="194"/>
      <c r="G39" s="195"/>
      <c r="H39" s="195"/>
      <c r="I39" s="155"/>
      <c r="J39" s="155"/>
      <c r="K39" s="196"/>
      <c r="L39" s="196"/>
      <c r="M39" s="196"/>
      <c r="N39" s="196"/>
      <c r="O39" s="196"/>
      <c r="P39" s="196"/>
      <c r="Q39" s="196"/>
      <c r="R39" s="196"/>
      <c r="S39" s="196"/>
      <c r="T39" s="196"/>
      <c r="U39" s="196"/>
      <c r="V39" s="196"/>
      <c r="W39" s="196"/>
      <c r="X39" s="196"/>
      <c r="Y39" s="196"/>
      <c r="Z39" s="196"/>
      <c r="AA39" s="196"/>
      <c r="AB39" s="196"/>
      <c r="AC39" s="196"/>
      <c r="AD39" s="196"/>
      <c r="AE39" s="196"/>
      <c r="AF39" s="197"/>
      <c r="AG39" s="197"/>
      <c r="AH39" s="197"/>
      <c r="AI39" s="197"/>
      <c r="AJ39" s="197"/>
      <c r="AK39" s="197"/>
      <c r="AL39" s="197"/>
      <c r="AM39" s="197"/>
      <c r="AN39" s="197"/>
      <c r="AO39" s="197"/>
      <c r="AP39" s="197"/>
      <c r="AQ39" s="197"/>
      <c r="AR39" s="197"/>
      <c r="AS39" s="197"/>
      <c r="AT39" s="197"/>
      <c r="AU39" s="197"/>
      <c r="AV39" s="197"/>
      <c r="AW39" s="197"/>
      <c r="AX39" s="197"/>
      <c r="AY39" s="197"/>
      <c r="AZ39" s="197"/>
      <c r="BA39" s="197"/>
      <c r="BB39" s="197"/>
      <c r="BC39" s="197"/>
      <c r="BD39" s="197"/>
    </row>
    <row r="40" spans="1:56" ht="15">
      <c r="A40" s="192"/>
      <c r="B40" s="192"/>
      <c r="C40" s="192"/>
      <c r="D40" s="192"/>
      <c r="E40" s="193"/>
      <c r="F40" s="194"/>
      <c r="G40" s="195"/>
      <c r="H40" s="195"/>
      <c r="I40" s="155"/>
      <c r="J40" s="155"/>
      <c r="K40" s="196"/>
      <c r="L40" s="196"/>
      <c r="M40" s="196"/>
      <c r="N40" s="196"/>
      <c r="O40" s="196"/>
      <c r="P40" s="196"/>
      <c r="Q40" s="196"/>
      <c r="R40" s="196"/>
      <c r="S40" s="196"/>
      <c r="T40" s="196"/>
      <c r="U40" s="196"/>
      <c r="V40" s="196"/>
      <c r="W40" s="196"/>
      <c r="X40" s="196"/>
      <c r="Y40" s="196"/>
      <c r="Z40" s="196"/>
      <c r="AA40" s="196"/>
      <c r="AB40" s="196"/>
      <c r="AC40" s="196"/>
      <c r="AD40" s="196"/>
      <c r="AE40" s="196"/>
      <c r="AF40" s="197"/>
      <c r="AG40" s="197"/>
      <c r="AH40" s="197"/>
      <c r="AI40" s="197"/>
      <c r="AJ40" s="197"/>
      <c r="AK40" s="197"/>
      <c r="AL40" s="197"/>
      <c r="AM40" s="197"/>
      <c r="AN40" s="197"/>
      <c r="AO40" s="197"/>
      <c r="AP40" s="197"/>
      <c r="AQ40" s="197"/>
      <c r="AR40" s="197"/>
      <c r="AS40" s="197"/>
      <c r="AT40" s="197"/>
      <c r="AU40" s="197"/>
      <c r="AV40" s="197"/>
      <c r="AW40" s="197"/>
      <c r="AX40" s="197"/>
      <c r="AY40" s="197"/>
      <c r="AZ40" s="197"/>
      <c r="BA40" s="197"/>
      <c r="BB40" s="197"/>
      <c r="BC40" s="197"/>
      <c r="BD40" s="197"/>
    </row>
    <row r="41" spans="1:56" ht="15">
      <c r="A41" s="192"/>
      <c r="B41" s="192"/>
      <c r="C41" s="192"/>
      <c r="D41" s="192"/>
      <c r="E41" s="193"/>
      <c r="F41" s="194"/>
      <c r="G41" s="195"/>
      <c r="H41" s="195"/>
      <c r="I41" s="155"/>
      <c r="J41" s="155"/>
      <c r="K41" s="196"/>
      <c r="L41" s="196"/>
      <c r="M41" s="196"/>
      <c r="N41" s="196"/>
      <c r="O41" s="196"/>
      <c r="P41" s="196"/>
      <c r="Q41" s="196"/>
      <c r="R41" s="196"/>
      <c r="S41" s="196"/>
      <c r="T41" s="196"/>
      <c r="U41" s="196"/>
      <c r="V41" s="196"/>
      <c r="W41" s="196"/>
      <c r="X41" s="196"/>
      <c r="Y41" s="196"/>
      <c r="Z41" s="196"/>
      <c r="AA41" s="196"/>
      <c r="AB41" s="196"/>
      <c r="AC41" s="196"/>
      <c r="AD41" s="196"/>
      <c r="AE41" s="196"/>
      <c r="AF41" s="197"/>
      <c r="AG41" s="197"/>
      <c r="AH41" s="197"/>
      <c r="AI41" s="197"/>
      <c r="AJ41" s="197"/>
      <c r="AK41" s="197"/>
      <c r="AL41" s="197"/>
      <c r="AM41" s="197"/>
      <c r="AN41" s="197"/>
      <c r="AO41" s="197"/>
      <c r="AP41" s="197"/>
      <c r="AQ41" s="197"/>
      <c r="AR41" s="197"/>
      <c r="AS41" s="197"/>
      <c r="AT41" s="197"/>
      <c r="AU41" s="197"/>
      <c r="AV41" s="197"/>
      <c r="AW41" s="197"/>
      <c r="AX41" s="197"/>
      <c r="AY41" s="197"/>
      <c r="AZ41" s="197"/>
      <c r="BA41" s="197"/>
      <c r="BB41" s="197"/>
      <c r="BC41" s="197"/>
      <c r="BD41" s="197"/>
    </row>
    <row r="42" spans="1:56" ht="15">
      <c r="A42" s="192"/>
      <c r="B42" s="192"/>
      <c r="C42" s="192"/>
      <c r="D42" s="192"/>
      <c r="E42" s="193"/>
      <c r="F42" s="194"/>
      <c r="G42" s="195"/>
      <c r="H42" s="195"/>
      <c r="I42" s="155"/>
      <c r="J42" s="155"/>
      <c r="K42" s="196"/>
      <c r="L42" s="196"/>
      <c r="M42" s="196"/>
      <c r="N42" s="196"/>
      <c r="O42" s="196"/>
      <c r="P42" s="196"/>
      <c r="Q42" s="196"/>
      <c r="R42" s="196"/>
      <c r="S42" s="196"/>
      <c r="T42" s="196"/>
      <c r="U42" s="196"/>
      <c r="V42" s="196"/>
      <c r="W42" s="196"/>
      <c r="X42" s="196"/>
      <c r="Y42" s="196"/>
      <c r="Z42" s="196"/>
      <c r="AA42" s="196"/>
      <c r="AB42" s="196"/>
      <c r="AC42" s="196"/>
      <c r="AD42" s="196"/>
      <c r="AE42" s="196"/>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row>
    <row r="43" spans="1:56" ht="15">
      <c r="A43" s="192"/>
      <c r="B43" s="192"/>
      <c r="C43" s="192"/>
      <c r="D43" s="192"/>
      <c r="E43" s="193"/>
      <c r="F43" s="194"/>
      <c r="G43" s="195"/>
      <c r="H43" s="195"/>
      <c r="I43" s="155"/>
      <c r="J43" s="155"/>
      <c r="K43" s="196"/>
      <c r="L43" s="196"/>
      <c r="M43" s="196"/>
      <c r="N43" s="196"/>
      <c r="O43" s="196"/>
      <c r="P43" s="196"/>
      <c r="Q43" s="196"/>
      <c r="R43" s="196"/>
      <c r="S43" s="196"/>
      <c r="T43" s="196"/>
      <c r="U43" s="196"/>
      <c r="V43" s="196"/>
      <c r="W43" s="196"/>
      <c r="X43" s="196"/>
      <c r="Y43" s="196"/>
      <c r="Z43" s="196"/>
      <c r="AA43" s="196"/>
      <c r="AB43" s="196"/>
      <c r="AC43" s="196"/>
      <c r="AD43" s="196"/>
      <c r="AE43" s="196"/>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row>
    <row r="44" spans="1:56" ht="15">
      <c r="A44" s="192"/>
      <c r="B44" s="192"/>
      <c r="C44" s="192"/>
      <c r="D44" s="192"/>
      <c r="E44" s="193"/>
      <c r="F44" s="194"/>
      <c r="G44" s="195"/>
      <c r="H44" s="195"/>
      <c r="I44" s="155"/>
      <c r="J44" s="155"/>
      <c r="K44" s="196"/>
      <c r="L44" s="196"/>
      <c r="M44" s="196"/>
      <c r="N44" s="196"/>
      <c r="O44" s="196"/>
      <c r="P44" s="196"/>
      <c r="Q44" s="196"/>
      <c r="R44" s="196"/>
      <c r="S44" s="196"/>
      <c r="T44" s="196"/>
      <c r="U44" s="196"/>
      <c r="V44" s="196"/>
      <c r="W44" s="196"/>
      <c r="X44" s="196"/>
      <c r="Y44" s="196"/>
      <c r="Z44" s="196"/>
      <c r="AA44" s="196"/>
      <c r="AB44" s="196"/>
      <c r="AC44" s="196"/>
      <c r="AD44" s="196"/>
      <c r="AE44" s="196"/>
      <c r="AF44" s="197"/>
      <c r="AG44" s="197"/>
      <c r="AH44" s="197"/>
      <c r="AI44" s="197"/>
      <c r="AJ44" s="197"/>
      <c r="AK44" s="197"/>
      <c r="AL44" s="197"/>
      <c r="AM44" s="197"/>
      <c r="AN44" s="197"/>
      <c r="AO44" s="197"/>
      <c r="AP44" s="197"/>
      <c r="AQ44" s="197"/>
      <c r="AR44" s="197"/>
      <c r="AS44" s="197"/>
      <c r="AT44" s="197"/>
      <c r="AU44" s="197"/>
      <c r="AV44" s="197"/>
      <c r="AW44" s="197"/>
      <c r="AX44" s="197"/>
      <c r="AY44" s="197"/>
      <c r="AZ44" s="197"/>
      <c r="BA44" s="197"/>
      <c r="BB44" s="197"/>
      <c r="BC44" s="197"/>
      <c r="BD44" s="197"/>
    </row>
    <row r="45" spans="1:56" ht="15">
      <c r="A45" s="192"/>
      <c r="B45" s="192"/>
      <c r="C45" s="192"/>
      <c r="D45" s="192"/>
      <c r="E45" s="193"/>
      <c r="F45" s="194"/>
      <c r="G45" s="195"/>
      <c r="H45" s="195"/>
      <c r="I45" s="155"/>
      <c r="J45" s="155"/>
      <c r="K45" s="196"/>
      <c r="L45" s="196"/>
      <c r="M45" s="196"/>
      <c r="N45" s="196"/>
      <c r="O45" s="196"/>
      <c r="P45" s="196"/>
      <c r="Q45" s="196"/>
      <c r="R45" s="196"/>
      <c r="S45" s="196"/>
      <c r="T45" s="196"/>
      <c r="U45" s="196"/>
      <c r="V45" s="196"/>
      <c r="W45" s="196"/>
      <c r="X45" s="196"/>
      <c r="Y45" s="196"/>
      <c r="Z45" s="196"/>
      <c r="AA45" s="196"/>
      <c r="AB45" s="196"/>
      <c r="AC45" s="196"/>
      <c r="AD45" s="196"/>
      <c r="AE45" s="196"/>
      <c r="AF45" s="197"/>
      <c r="AG45" s="197"/>
      <c r="AH45" s="197"/>
      <c r="AI45" s="197"/>
      <c r="AJ45" s="197"/>
      <c r="AK45" s="197"/>
      <c r="AL45" s="197"/>
      <c r="AM45" s="197"/>
      <c r="AN45" s="197"/>
      <c r="AO45" s="197"/>
      <c r="AP45" s="197"/>
      <c r="AQ45" s="197"/>
      <c r="AR45" s="197"/>
      <c r="AS45" s="197"/>
      <c r="AT45" s="197"/>
      <c r="AU45" s="197"/>
      <c r="AV45" s="197"/>
      <c r="AW45" s="197"/>
      <c r="AX45" s="197"/>
      <c r="AY45" s="197"/>
      <c r="AZ45" s="197"/>
      <c r="BA45" s="197"/>
      <c r="BB45" s="197"/>
      <c r="BC45" s="197"/>
      <c r="BD45" s="197"/>
    </row>
    <row r="46" spans="1:56" ht="15">
      <c r="A46" s="192"/>
      <c r="B46" s="192"/>
      <c r="C46" s="192"/>
      <c r="D46" s="192"/>
      <c r="E46" s="193"/>
      <c r="F46" s="194"/>
      <c r="G46" s="195"/>
      <c r="H46" s="195"/>
      <c r="I46" s="155"/>
      <c r="J46" s="155"/>
      <c r="K46" s="196"/>
      <c r="L46" s="196"/>
      <c r="M46" s="196"/>
      <c r="N46" s="196"/>
      <c r="O46" s="196"/>
      <c r="P46" s="196"/>
      <c r="Q46" s="196"/>
      <c r="R46" s="196"/>
      <c r="S46" s="196"/>
      <c r="T46" s="196"/>
      <c r="U46" s="196"/>
      <c r="V46" s="196"/>
      <c r="W46" s="196"/>
      <c r="X46" s="196"/>
      <c r="Y46" s="196"/>
      <c r="Z46" s="196"/>
      <c r="AA46" s="196"/>
      <c r="AB46" s="196"/>
      <c r="AC46" s="196"/>
      <c r="AD46" s="196"/>
      <c r="AE46" s="196"/>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80"/>
  <sheetViews>
    <sheetView topLeftCell="A125" zoomScale="85" zoomScaleNormal="85" workbookViewId="0">
      <selection activeCell="E163" sqref="E163"/>
    </sheetView>
  </sheetViews>
  <sheetFormatPr defaultRowHeight="12.75"/>
  <cols>
    <col min="1" max="1" width="22" style="20" customWidth="1"/>
    <col min="2" max="2" width="20.28515625" style="20" customWidth="1"/>
    <col min="3" max="3" width="29.28515625" style="20" customWidth="1"/>
    <col min="4" max="4" width="33.85546875" style="20" customWidth="1"/>
    <col min="5" max="5" width="12" style="20" customWidth="1"/>
    <col min="6" max="24" width="10.42578125" style="20" bestFit="1" customWidth="1"/>
    <col min="25" max="25" width="17.7109375" style="20" bestFit="1" customWidth="1"/>
    <col min="26"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5" ht="12.75" customHeight="1">
      <c r="A1" s="104" t="s">
        <v>41</v>
      </c>
      <c r="B1" s="570" t="s">
        <v>1246</v>
      </c>
      <c r="C1" s="571"/>
      <c r="D1" s="571"/>
      <c r="E1" s="571"/>
      <c r="F1" s="571"/>
      <c r="G1" s="571"/>
      <c r="H1" s="571"/>
      <c r="I1" s="571"/>
      <c r="J1" s="571"/>
      <c r="K1" s="571"/>
      <c r="L1" s="571"/>
      <c r="M1" s="571"/>
      <c r="N1" s="571"/>
      <c r="O1" s="571"/>
      <c r="P1" s="571"/>
      <c r="Q1" s="571"/>
      <c r="R1" s="571"/>
      <c r="S1" s="572"/>
      <c r="T1" s="42"/>
      <c r="U1" s="42"/>
      <c r="V1" s="42"/>
      <c r="W1" s="42"/>
    </row>
    <row r="2" spans="1:25" ht="12.75" customHeight="1">
      <c r="A2" s="105"/>
      <c r="B2" s="573"/>
      <c r="C2" s="574"/>
      <c r="D2" s="574"/>
      <c r="E2" s="574"/>
      <c r="F2" s="574"/>
      <c r="G2" s="574"/>
      <c r="H2" s="574"/>
      <c r="I2" s="574"/>
      <c r="J2" s="574"/>
      <c r="K2" s="574"/>
      <c r="L2" s="574"/>
      <c r="M2" s="574"/>
      <c r="N2" s="574"/>
      <c r="O2" s="574"/>
      <c r="P2" s="574"/>
      <c r="Q2" s="574"/>
      <c r="R2" s="574"/>
      <c r="S2" s="575"/>
      <c r="T2" s="43"/>
      <c r="U2" s="43"/>
      <c r="V2" s="43"/>
      <c r="W2" s="43"/>
    </row>
    <row r="3" spans="1:25">
      <c r="A3" s="105"/>
      <c r="B3" s="573"/>
      <c r="C3" s="574"/>
      <c r="D3" s="574"/>
      <c r="E3" s="574"/>
      <c r="F3" s="574"/>
      <c r="G3" s="574"/>
      <c r="H3" s="574"/>
      <c r="I3" s="574"/>
      <c r="J3" s="574"/>
      <c r="K3" s="574"/>
      <c r="L3" s="574"/>
      <c r="M3" s="574"/>
      <c r="N3" s="574"/>
      <c r="O3" s="574"/>
      <c r="P3" s="574"/>
      <c r="Q3" s="574"/>
      <c r="R3" s="574"/>
      <c r="S3" s="575"/>
      <c r="T3" s="43"/>
      <c r="U3" s="43"/>
      <c r="V3" s="43"/>
      <c r="W3" s="43"/>
    </row>
    <row r="4" spans="1:25">
      <c r="A4" s="105"/>
      <c r="B4" s="573"/>
      <c r="C4" s="574"/>
      <c r="D4" s="574"/>
      <c r="E4" s="574"/>
      <c r="F4" s="574"/>
      <c r="G4" s="574"/>
      <c r="H4" s="574"/>
      <c r="I4" s="574"/>
      <c r="J4" s="574"/>
      <c r="K4" s="574"/>
      <c r="L4" s="574"/>
      <c r="M4" s="574"/>
      <c r="N4" s="574"/>
      <c r="O4" s="574"/>
      <c r="P4" s="574"/>
      <c r="Q4" s="574"/>
      <c r="R4" s="574"/>
      <c r="S4" s="575"/>
      <c r="T4" s="43"/>
      <c r="U4" s="43"/>
      <c r="V4" s="43"/>
      <c r="W4" s="43"/>
    </row>
    <row r="5" spans="1:25">
      <c r="A5" s="106" t="s">
        <v>42</v>
      </c>
      <c r="B5" s="573"/>
      <c r="C5" s="574"/>
      <c r="D5" s="576"/>
      <c r="E5" s="576"/>
      <c r="F5" s="576"/>
      <c r="G5" s="576"/>
      <c r="H5" s="576"/>
      <c r="I5" s="576"/>
      <c r="J5" s="576"/>
      <c r="K5" s="576"/>
      <c r="L5" s="576"/>
      <c r="M5" s="576"/>
      <c r="N5" s="576"/>
      <c r="O5" s="576"/>
      <c r="P5" s="576"/>
      <c r="Q5" s="576"/>
      <c r="R5" s="576"/>
      <c r="S5" s="577"/>
      <c r="T5" s="43"/>
      <c r="U5" s="43"/>
      <c r="V5" s="43"/>
      <c r="W5" s="43"/>
    </row>
    <row r="6" spans="1:25">
      <c r="A6" s="111" t="s">
        <v>257</v>
      </c>
      <c r="B6" s="110"/>
      <c r="C6" s="110"/>
      <c r="D6" s="109"/>
      <c r="E6" s="107"/>
      <c r="F6" s="107"/>
      <c r="G6" s="107"/>
      <c r="H6" s="107"/>
      <c r="I6" s="107"/>
      <c r="J6" s="107"/>
      <c r="K6" s="107"/>
      <c r="L6" s="107"/>
      <c r="M6" s="107"/>
      <c r="N6" s="107"/>
      <c r="O6" s="107"/>
      <c r="P6" s="107"/>
      <c r="Q6" s="107"/>
      <c r="R6" s="107"/>
      <c r="S6" s="108"/>
      <c r="T6" s="43"/>
      <c r="U6" s="43"/>
      <c r="V6" s="43"/>
      <c r="W6" s="43"/>
    </row>
    <row r="7" spans="1:25">
      <c r="A7" s="198"/>
      <c r="B7" s="552" t="s">
        <v>324</v>
      </c>
      <c r="C7" s="553" t="s">
        <v>372</v>
      </c>
      <c r="D7" s="554" t="s">
        <v>372</v>
      </c>
    </row>
    <row r="8" spans="1:25">
      <c r="A8" s="199" t="s">
        <v>421</v>
      </c>
      <c r="B8" s="555" t="s">
        <v>43</v>
      </c>
      <c r="C8" s="556" t="s">
        <v>1244</v>
      </c>
      <c r="D8" s="557" t="str">
        <f>[2]!switch_ForecastState</f>
        <v>Region</v>
      </c>
      <c r="E8" s="112"/>
      <c r="F8" s="98"/>
    </row>
    <row r="9" spans="1:25">
      <c r="A9" s="199" t="str">
        <f>INDEX([1]ACHIEV!$A$19:$B$100,MATCH(C8,[1]ACHIEV!$B$19:$B$100,0),1)</f>
        <v>Water Heating</v>
      </c>
      <c r="B9" s="558" t="s">
        <v>44</v>
      </c>
      <c r="C9" s="556">
        <f>[1]FILES!$H$4</f>
        <v>2035</v>
      </c>
      <c r="D9" s="557" t="str">
        <f>[2]!switch_ForecastScenario</f>
        <v>Base</v>
      </c>
      <c r="E9" s="113"/>
    </row>
    <row r="10" spans="1:25">
      <c r="A10" s="200"/>
      <c r="B10" s="559" t="s">
        <v>325</v>
      </c>
      <c r="C10" s="560"/>
      <c r="D10" s="568"/>
      <c r="E10" s="20">
        <v>1</v>
      </c>
      <c r="F10" s="20">
        <f>E10+1</f>
        <v>2</v>
      </c>
      <c r="G10" s="20">
        <f t="shared" ref="G10:V11"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V10+1</f>
        <v>19</v>
      </c>
      <c r="X10" s="20">
        <f>W10+1</f>
        <v>20</v>
      </c>
    </row>
    <row r="11" spans="1:25">
      <c r="A11" s="47" t="s">
        <v>45</v>
      </c>
      <c r="B11" s="47"/>
      <c r="C11" s="47"/>
      <c r="D11" s="47"/>
      <c r="E11" s="47">
        <f>C9-20+1</f>
        <v>2016</v>
      </c>
      <c r="F11" s="47">
        <f>E11+1</f>
        <v>2017</v>
      </c>
      <c r="G11" s="47">
        <f t="shared" si="0"/>
        <v>2018</v>
      </c>
      <c r="H11" s="47">
        <f t="shared" si="0"/>
        <v>2019</v>
      </c>
      <c r="I11" s="47">
        <f t="shared" si="0"/>
        <v>2020</v>
      </c>
      <c r="J11" s="47">
        <f t="shared" si="0"/>
        <v>2021</v>
      </c>
      <c r="K11" s="47">
        <f t="shared" si="0"/>
        <v>2022</v>
      </c>
      <c r="L11" s="47">
        <f t="shared" si="0"/>
        <v>2023</v>
      </c>
      <c r="M11" s="47">
        <f t="shared" si="0"/>
        <v>2024</v>
      </c>
      <c r="N11" s="47">
        <f t="shared" si="0"/>
        <v>2025</v>
      </c>
      <c r="O11" s="47">
        <f t="shared" si="0"/>
        <v>2026</v>
      </c>
      <c r="P11" s="47">
        <f t="shared" si="0"/>
        <v>2027</v>
      </c>
      <c r="Q11" s="47">
        <f t="shared" si="0"/>
        <v>2028</v>
      </c>
      <c r="R11" s="47">
        <f t="shared" si="0"/>
        <v>2029</v>
      </c>
      <c r="S11" s="47">
        <f t="shared" si="0"/>
        <v>2030</v>
      </c>
      <c r="T11" s="47">
        <f t="shared" si="0"/>
        <v>2031</v>
      </c>
      <c r="U11" s="47">
        <f t="shared" si="0"/>
        <v>2032</v>
      </c>
      <c r="V11" s="47">
        <f t="shared" si="0"/>
        <v>2033</v>
      </c>
      <c r="W11" s="47">
        <f>V11+1</f>
        <v>2034</v>
      </c>
      <c r="X11" s="47">
        <f>W11+1</f>
        <v>2035</v>
      </c>
    </row>
    <row r="12" spans="1:25">
      <c r="A12" s="47"/>
      <c r="B12" s="47"/>
      <c r="C12" s="47"/>
      <c r="D12" s="47"/>
      <c r="E12" s="47" t="str">
        <f>CONCATENATE("FLOOR_",E11)</f>
        <v>FLOOR_2016</v>
      </c>
      <c r="F12" s="47" t="str">
        <f t="shared" ref="F12:X12" si="1">CONCATENATE("FLOOR_",F11)</f>
        <v>FLOOR_2017</v>
      </c>
      <c r="G12" s="47" t="str">
        <f t="shared" si="1"/>
        <v>FLOOR_2018</v>
      </c>
      <c r="H12" s="47" t="str">
        <f t="shared" si="1"/>
        <v>FLOOR_2019</v>
      </c>
      <c r="I12" s="47" t="str">
        <f t="shared" si="1"/>
        <v>FLOOR_2020</v>
      </c>
      <c r="J12" s="47" t="str">
        <f t="shared" si="1"/>
        <v>FLOOR_2021</v>
      </c>
      <c r="K12" s="47" t="str">
        <f t="shared" si="1"/>
        <v>FLOOR_2022</v>
      </c>
      <c r="L12" s="47" t="str">
        <f t="shared" si="1"/>
        <v>FLOOR_2023</v>
      </c>
      <c r="M12" s="47" t="str">
        <f t="shared" si="1"/>
        <v>FLOOR_2024</v>
      </c>
      <c r="N12" s="47" t="str">
        <f t="shared" si="1"/>
        <v>FLOOR_2025</v>
      </c>
      <c r="O12" s="47" t="str">
        <f t="shared" si="1"/>
        <v>FLOOR_2026</v>
      </c>
      <c r="P12" s="47" t="str">
        <f t="shared" si="1"/>
        <v>FLOOR_2027</v>
      </c>
      <c r="Q12" s="47" t="str">
        <f t="shared" si="1"/>
        <v>FLOOR_2028</v>
      </c>
      <c r="R12" s="47" t="str">
        <f t="shared" si="1"/>
        <v>FLOOR_2029</v>
      </c>
      <c r="S12" s="47" t="str">
        <f t="shared" si="1"/>
        <v>FLOOR_2030</v>
      </c>
      <c r="T12" s="47" t="str">
        <f t="shared" si="1"/>
        <v>FLOOR_2031</v>
      </c>
      <c r="U12" s="47" t="str">
        <f t="shared" si="1"/>
        <v>FLOOR_2032</v>
      </c>
      <c r="V12" s="47" t="str">
        <f t="shared" si="1"/>
        <v>FLOOR_2033</v>
      </c>
      <c r="W12" s="47" t="str">
        <f t="shared" si="1"/>
        <v>FLOOR_2034</v>
      </c>
      <c r="X12" s="47" t="str">
        <f t="shared" si="1"/>
        <v>FLOOR_2035</v>
      </c>
    </row>
    <row r="13" spans="1:25">
      <c r="C13" s="20" t="s">
        <v>371</v>
      </c>
      <c r="E13" s="112">
        <f>INDEX([2]!tbl_Forecast,MATCH($D$8&amp;$C13&amp;$D$7,[2]!rng_ForecastRowLookup,0),MATCH(E$11,[2]!rng_ForecastColumnLookup,0))</f>
        <v>7.8066550111953834</v>
      </c>
      <c r="F13" s="112">
        <f>INDEX([2]!tbl_Forecast,MATCH($D$8&amp;$C13&amp;$D$7,[2]!rng_ForecastRowLookup,0),MATCH(F$11,[2]!rng_ForecastColumnLookup,0))</f>
        <v>5.9496992573140863</v>
      </c>
      <c r="G13" s="112">
        <f>INDEX([2]!tbl_Forecast,MATCH($D$8&amp;$C13&amp;$D$7,[2]!rng_ForecastRowLookup,0),MATCH(G$11,[2]!rng_ForecastColumnLookup,0))</f>
        <v>5.890903545908837</v>
      </c>
      <c r="H13" s="112">
        <f>INDEX([2]!tbl_Forecast,MATCH($D$8&amp;$C13&amp;$D$7,[2]!rng_ForecastRowLookup,0),MATCH(H$11,[2]!rng_ForecastColumnLookup,0))</f>
        <v>6.8915688291332424</v>
      </c>
      <c r="I13" s="112">
        <f>INDEX([2]!tbl_Forecast,MATCH($D$8&amp;$C13&amp;$D$7,[2]!rng_ForecastRowLookup,0),MATCH(I$11,[2]!rng_ForecastColumnLookup,0))</f>
        <v>6.6410191533148355</v>
      </c>
      <c r="J13" s="112">
        <f>INDEX([2]!tbl_Forecast,MATCH($D$8&amp;$C13&amp;$D$7,[2]!rng_ForecastRowLookup,0),MATCH(J$11,[2]!rng_ForecastColumnLookup,0))</f>
        <v>5.4382226791221893</v>
      </c>
      <c r="K13" s="112">
        <f>INDEX([2]!tbl_Forecast,MATCH($D$8&amp;$C13&amp;$D$7,[2]!rng_ForecastRowLookup,0),MATCH(K$11,[2]!rng_ForecastColumnLookup,0))</f>
        <v>6.9236851515846078</v>
      </c>
      <c r="L13" s="112">
        <f>INDEX([2]!tbl_Forecast,MATCH($D$8&amp;$C13&amp;$D$7,[2]!rng_ForecastRowLookup,0),MATCH(L$11,[2]!rng_ForecastColumnLookup,0))</f>
        <v>6.040566884985755</v>
      </c>
      <c r="M13" s="112">
        <f>INDEX([2]!tbl_Forecast,MATCH($D$8&amp;$C13&amp;$D$7,[2]!rng_ForecastRowLookup,0),MATCH(M$11,[2]!rng_ForecastColumnLookup,0))</f>
        <v>5.8620040343764588</v>
      </c>
      <c r="N13" s="112">
        <f>INDEX([2]!tbl_Forecast,MATCH($D$8&amp;$C13&amp;$D$7,[2]!rng_ForecastRowLookup,0),MATCH(N$11,[2]!rng_ForecastColumnLookup,0))</f>
        <v>6.6048352977963205</v>
      </c>
      <c r="O13" s="112">
        <f>INDEX([2]!tbl_Forecast,MATCH($D$8&amp;$C13&amp;$D$7,[2]!rng_ForecastRowLookup,0),MATCH(O$11,[2]!rng_ForecastColumnLookup,0))</f>
        <v>6.6081856774849808</v>
      </c>
      <c r="P13" s="112">
        <f>INDEX([2]!tbl_Forecast,MATCH($D$8&amp;$C13&amp;$D$7,[2]!rng_ForecastRowLookup,0),MATCH(P$11,[2]!rng_ForecastColumnLookup,0))</f>
        <v>7.2276230030590352</v>
      </c>
      <c r="Q13" s="112">
        <f>INDEX([2]!tbl_Forecast,MATCH($D$8&amp;$C13&amp;$D$7,[2]!rng_ForecastRowLookup,0),MATCH(Q$11,[2]!rng_ForecastColumnLookup,0))</f>
        <v>7.9321378463678132</v>
      </c>
      <c r="R13" s="112">
        <f>INDEX([2]!tbl_Forecast,MATCH($D$8&amp;$C13&amp;$D$7,[2]!rng_ForecastRowLookup,0),MATCH(R$11,[2]!rng_ForecastColumnLookup,0))</f>
        <v>7.2590370336019197</v>
      </c>
      <c r="S13" s="112">
        <f>INDEX([2]!tbl_Forecast,MATCH($D$8&amp;$C13&amp;$D$7,[2]!rng_ForecastRowLookup,0),MATCH(S$11,[2]!rng_ForecastColumnLookup,0))</f>
        <v>7.9122271387396417</v>
      </c>
      <c r="T13" s="112">
        <f>INDEX([2]!tbl_Forecast,MATCH($D$8&amp;$C13&amp;$D$7,[2]!rng_ForecastRowLookup,0),MATCH(T$11,[2]!rng_ForecastColumnLookup,0))</f>
        <v>7.7623340380974311</v>
      </c>
      <c r="U13" s="112">
        <f>INDEX([2]!tbl_Forecast,MATCH($D$8&amp;$C13&amp;$D$7,[2]!rng_ForecastRowLookup,0),MATCH(U$11,[2]!rng_ForecastColumnLookup,0))</f>
        <v>7.6402299023279152</v>
      </c>
      <c r="V13" s="112">
        <f>INDEX([2]!tbl_Forecast,MATCH($D$8&amp;$C13&amp;$D$7,[2]!rng_ForecastRowLookup,0),MATCH(V$11,[2]!rng_ForecastColumnLookup,0))</f>
        <v>7.1724831299946894</v>
      </c>
      <c r="W13" s="112">
        <f>INDEX([2]!tbl_Forecast,MATCH($D$8&amp;$C13&amp;$D$7,[2]!rng_ForecastRowLookup,0),MATCH(W$11,[2]!rng_ForecastColumnLookup,0))</f>
        <v>7.0810470955732994</v>
      </c>
      <c r="X13" s="112">
        <f>INDEX([2]!tbl_Forecast,MATCH($D$8&amp;$C13&amp;$D$7,[2]!rng_ForecastRowLookup,0),MATCH(X$11,[2]!rng_ForecastColumnLookup,0))</f>
        <v>7.4281005850341701</v>
      </c>
      <c r="Y13" s="45"/>
    </row>
    <row r="14" spans="1:25">
      <c r="C14" s="20" t="s">
        <v>373</v>
      </c>
      <c r="E14" s="112">
        <f>INDEX([2]!tbl_Forecast,MATCH($D$8&amp;$C14&amp;$D$7,[2]!rng_ForecastRowLookup,0),MATCH(E$11,[2]!rng_ForecastColumnLookup,0))</f>
        <v>6.3306892326899415</v>
      </c>
      <c r="F14" s="112">
        <f>INDEX([2]!tbl_Forecast,MATCH($D$8&amp;$C14&amp;$D$7,[2]!rng_ForecastRowLookup,0),MATCH(F$11,[2]!rng_ForecastColumnLookup,0))</f>
        <v>4.6245517962703104</v>
      </c>
      <c r="G14" s="112">
        <f>INDEX([2]!tbl_Forecast,MATCH($D$8&amp;$C14&amp;$D$7,[2]!rng_ForecastRowLookup,0),MATCH(G$11,[2]!rng_ForecastColumnLookup,0))</f>
        <v>4.6954401235311058</v>
      </c>
      <c r="H14" s="112">
        <f>INDEX([2]!tbl_Forecast,MATCH($D$8&amp;$C14&amp;$D$7,[2]!rng_ForecastRowLookup,0),MATCH(H$11,[2]!rng_ForecastColumnLookup,0))</f>
        <v>5.5561738496820645</v>
      </c>
      <c r="I14" s="112">
        <f>INDEX([2]!tbl_Forecast,MATCH($D$8&amp;$C14&amp;$D$7,[2]!rng_ForecastRowLookup,0),MATCH(I$11,[2]!rng_ForecastColumnLookup,0))</f>
        <v>5.2903315868283292</v>
      </c>
      <c r="J14" s="112">
        <f>INDEX([2]!tbl_Forecast,MATCH($D$8&amp;$C14&amp;$D$7,[2]!rng_ForecastRowLookup,0),MATCH(J$11,[2]!rng_ForecastColumnLookup,0))</f>
        <v>4.0954748538564614</v>
      </c>
      <c r="K14" s="112">
        <f>INDEX([2]!tbl_Forecast,MATCH($D$8&amp;$C14&amp;$D$7,[2]!rng_ForecastRowLookup,0),MATCH(K$11,[2]!rng_ForecastColumnLookup,0))</f>
        <v>5.6166455086822502</v>
      </c>
      <c r="L14" s="112">
        <f>INDEX([2]!tbl_Forecast,MATCH($D$8&amp;$C14&amp;$D$7,[2]!rng_ForecastRowLookup,0),MATCH(L$11,[2]!rng_ForecastColumnLookup,0))</f>
        <v>4.8928421056079552</v>
      </c>
      <c r="M14" s="112">
        <f>INDEX([2]!tbl_Forecast,MATCH($D$8&amp;$C14&amp;$D$7,[2]!rng_ForecastRowLookup,0),MATCH(M$11,[2]!rng_ForecastColumnLookup,0))</f>
        <v>4.6489885594062974</v>
      </c>
      <c r="N14" s="112">
        <f>INDEX([2]!tbl_Forecast,MATCH($D$8&amp;$C14&amp;$D$7,[2]!rng_ForecastRowLookup,0),MATCH(N$11,[2]!rng_ForecastColumnLookup,0))</f>
        <v>5.3600762751998365</v>
      </c>
      <c r="O14" s="112">
        <f>INDEX([2]!tbl_Forecast,MATCH($D$8&amp;$C14&amp;$D$7,[2]!rng_ForecastRowLookup,0),MATCH(O$11,[2]!rng_ForecastColumnLookup,0))</f>
        <v>5.3451061612370649</v>
      </c>
      <c r="P14" s="112">
        <f>INDEX([2]!tbl_Forecast,MATCH($D$8&amp;$C14&amp;$D$7,[2]!rng_ForecastRowLookup,0),MATCH(P$11,[2]!rng_ForecastColumnLookup,0))</f>
        <v>5.7169042762389006</v>
      </c>
      <c r="Q14" s="112">
        <f>INDEX([2]!tbl_Forecast,MATCH($D$8&amp;$C14&amp;$D$7,[2]!rng_ForecastRowLookup,0),MATCH(Q$11,[2]!rng_ForecastColumnLookup,0))</f>
        <v>6.1644080859749115</v>
      </c>
      <c r="R14" s="112">
        <f>INDEX([2]!tbl_Forecast,MATCH($D$8&amp;$C14&amp;$D$7,[2]!rng_ForecastRowLookup,0),MATCH(R$11,[2]!rng_ForecastColumnLookup,0))</f>
        <v>5.8003829082546376</v>
      </c>
      <c r="S14" s="112">
        <f>INDEX([2]!tbl_Forecast,MATCH($D$8&amp;$C14&amp;$D$7,[2]!rng_ForecastRowLookup,0),MATCH(S$11,[2]!rng_ForecastColumnLookup,0))</f>
        <v>6.4331999103991837</v>
      </c>
      <c r="T14" s="112">
        <f>INDEX([2]!tbl_Forecast,MATCH($D$8&amp;$C14&amp;$D$7,[2]!rng_ForecastRowLookup,0),MATCH(T$11,[2]!rng_ForecastColumnLookup,0))</f>
        <v>6.1077443299386847</v>
      </c>
      <c r="U14" s="112">
        <f>INDEX([2]!tbl_Forecast,MATCH($D$8&amp;$C14&amp;$D$7,[2]!rng_ForecastRowLookup,0),MATCH(U$11,[2]!rng_ForecastColumnLookup,0))</f>
        <v>6.3133258324543373</v>
      </c>
      <c r="V14" s="112">
        <f>INDEX([2]!tbl_Forecast,MATCH($D$8&amp;$C14&amp;$D$7,[2]!rng_ForecastRowLookup,0),MATCH(V$11,[2]!rng_ForecastColumnLookup,0))</f>
        <v>5.5403053352108875</v>
      </c>
      <c r="W14" s="112">
        <f>INDEX([2]!tbl_Forecast,MATCH($D$8&amp;$C14&amp;$D$7,[2]!rng_ForecastRowLookup,0),MATCH(W$11,[2]!rng_ForecastColumnLookup,0))</f>
        <v>5.5266028757425794</v>
      </c>
      <c r="X14" s="112">
        <f>INDEX([2]!tbl_Forecast,MATCH($D$8&amp;$C14&amp;$D$7,[2]!rng_ForecastRowLookup,0),MATCH(X$11,[2]!rng_ForecastColumnLookup,0))</f>
        <v>5.9833355534459063</v>
      </c>
      <c r="Y14" s="45"/>
    </row>
    <row r="15" spans="1:25">
      <c r="C15" s="20" t="s">
        <v>374</v>
      </c>
      <c r="E15" s="112">
        <f>INDEX([2]!tbl_Forecast,MATCH($D$8&amp;$C15&amp;$D$7,[2]!rng_ForecastRowLookup,0),MATCH(E$11,[2]!rng_ForecastColumnLookup,0))</f>
        <v>1.6621196768024407</v>
      </c>
      <c r="F15" s="112">
        <f>INDEX([2]!tbl_Forecast,MATCH($D$8&amp;$C15&amp;$D$7,[2]!rng_ForecastRowLookup,0),MATCH(F$11,[2]!rng_ForecastColumnLookup,0))</f>
        <v>1.2170657423442173</v>
      </c>
      <c r="G15" s="112">
        <f>INDEX([2]!tbl_Forecast,MATCH($D$8&amp;$C15&amp;$D$7,[2]!rng_ForecastRowLookup,0),MATCH(G$11,[2]!rng_ForecastColumnLookup,0))</f>
        <v>1.2444333527444498</v>
      </c>
      <c r="H15" s="112">
        <f>INDEX([2]!tbl_Forecast,MATCH($D$8&amp;$C15&amp;$D$7,[2]!rng_ForecastRowLookup,0),MATCH(H$11,[2]!rng_ForecastColumnLookup,0))</f>
        <v>1.4586094503549032</v>
      </c>
      <c r="I15" s="112">
        <f>INDEX([2]!tbl_Forecast,MATCH($D$8&amp;$C15&amp;$D$7,[2]!rng_ForecastRowLookup,0),MATCH(I$11,[2]!rng_ForecastColumnLookup,0))</f>
        <v>1.4004070058555529</v>
      </c>
      <c r="J15" s="112">
        <f>INDEX([2]!tbl_Forecast,MATCH($D$8&amp;$C15&amp;$D$7,[2]!rng_ForecastRowLookup,0),MATCH(J$11,[2]!rng_ForecastColumnLookup,0))</f>
        <v>1.0787722980410579</v>
      </c>
      <c r="K15" s="112">
        <f>INDEX([2]!tbl_Forecast,MATCH($D$8&amp;$C15&amp;$D$7,[2]!rng_ForecastRowLookup,0),MATCH(K$11,[2]!rng_ForecastColumnLookup,0))</f>
        <v>1.4747976167420549</v>
      </c>
      <c r="L15" s="112">
        <f>INDEX([2]!tbl_Forecast,MATCH($D$8&amp;$C15&amp;$D$7,[2]!rng_ForecastRowLookup,0),MATCH(L$11,[2]!rng_ForecastColumnLookup,0))</f>
        <v>1.2896357804774434</v>
      </c>
      <c r="M15" s="112">
        <f>INDEX([2]!tbl_Forecast,MATCH($D$8&amp;$C15&amp;$D$7,[2]!rng_ForecastRowLookup,0),MATCH(M$11,[2]!rng_ForecastColumnLookup,0))</f>
        <v>1.2239291307589197</v>
      </c>
      <c r="N15" s="112">
        <f>INDEX([2]!tbl_Forecast,MATCH($D$8&amp;$C15&amp;$D$7,[2]!rng_ForecastRowLookup,0),MATCH(N$11,[2]!rng_ForecastColumnLookup,0))</f>
        <v>1.4012443744673324</v>
      </c>
      <c r="O15" s="112">
        <f>INDEX([2]!tbl_Forecast,MATCH($D$8&amp;$C15&amp;$D$7,[2]!rng_ForecastRowLookup,0),MATCH(O$11,[2]!rng_ForecastColumnLookup,0))</f>
        <v>1.3991315932028052</v>
      </c>
      <c r="P15" s="112">
        <f>INDEX([2]!tbl_Forecast,MATCH($D$8&amp;$C15&amp;$D$7,[2]!rng_ForecastRowLookup,0),MATCH(P$11,[2]!rng_ForecastColumnLookup,0))</f>
        <v>1.4996248899933684</v>
      </c>
      <c r="Q15" s="112">
        <f>INDEX([2]!tbl_Forecast,MATCH($D$8&amp;$C15&amp;$D$7,[2]!rng_ForecastRowLookup,0),MATCH(Q$11,[2]!rng_ForecastColumnLookup,0))</f>
        <v>1.6197763904689295</v>
      </c>
      <c r="R15" s="112">
        <f>INDEX([2]!tbl_Forecast,MATCH($D$8&amp;$C15&amp;$D$7,[2]!rng_ForecastRowLookup,0),MATCH(R$11,[2]!rng_ForecastColumnLookup,0))</f>
        <v>1.5187400891362097</v>
      </c>
      <c r="S15" s="112">
        <f>INDEX([2]!tbl_Forecast,MATCH($D$8&amp;$C15&amp;$D$7,[2]!rng_ForecastRowLookup,0),MATCH(S$11,[2]!rng_ForecastColumnLookup,0))</f>
        <v>1.6890757136254622</v>
      </c>
      <c r="T15" s="112">
        <f>INDEX([2]!tbl_Forecast,MATCH($D$8&amp;$C15&amp;$D$7,[2]!rng_ForecastRowLookup,0),MATCH(T$11,[2]!rng_ForecastColumnLookup,0))</f>
        <v>1.5972356158259797</v>
      </c>
      <c r="U15" s="112">
        <f>INDEX([2]!tbl_Forecast,MATCH($D$8&amp;$C15&amp;$D$7,[2]!rng_ForecastRowLookup,0),MATCH(U$11,[2]!rng_ForecastColumnLookup,0))</f>
        <v>1.640465747141107</v>
      </c>
      <c r="V15" s="112">
        <f>INDEX([2]!tbl_Forecast,MATCH($D$8&amp;$C15&amp;$D$7,[2]!rng_ForecastRowLookup,0),MATCH(V$11,[2]!rng_ForecastColumnLookup,0))</f>
        <v>1.4565955217811706</v>
      </c>
      <c r="W15" s="112">
        <f>INDEX([2]!tbl_Forecast,MATCH($D$8&amp;$C15&amp;$D$7,[2]!rng_ForecastRowLookup,0),MATCH(W$11,[2]!rng_ForecastColumnLookup,0))</f>
        <v>1.4531741906643101</v>
      </c>
      <c r="X15" s="112">
        <f>INDEX([2]!tbl_Forecast,MATCH($D$8&amp;$C15&amp;$D$7,[2]!rng_ForecastRowLookup,0),MATCH(X$11,[2]!rng_ForecastColumnLookup,0))</f>
        <v>1.5648660344158036</v>
      </c>
      <c r="Y15" s="45"/>
    </row>
    <row r="16" spans="1:25">
      <c r="C16" s="98" t="s">
        <v>397</v>
      </c>
      <c r="E16" s="112">
        <f>INDEX([2]!tbl_Forecast,MATCH($D$8&amp;$C16&amp;$D$7,[2]!rng_ForecastRowLookup,0),MATCH(E$11,[2]!rng_ForecastColumnLookup,0))</f>
        <v>1.799418169017593</v>
      </c>
      <c r="F16" s="112">
        <f>INDEX([2]!tbl_Forecast,MATCH($D$8&amp;$C16&amp;$D$7,[2]!rng_ForecastRowLookup,0),MATCH(F$11,[2]!rng_ForecastColumnLookup,0))</f>
        <v>1.485755176968429</v>
      </c>
      <c r="G16" s="112">
        <f>INDEX([2]!tbl_Forecast,MATCH($D$8&amp;$C16&amp;$D$7,[2]!rng_ForecastRowLookup,0),MATCH(G$11,[2]!rng_ForecastColumnLookup,0))</f>
        <v>0.89794362681754358</v>
      </c>
      <c r="H16" s="112">
        <f>INDEX([2]!tbl_Forecast,MATCH($D$8&amp;$C16&amp;$D$7,[2]!rng_ForecastRowLookup,0),MATCH(H$11,[2]!rng_ForecastColumnLookup,0))</f>
        <v>0.91201694404352718</v>
      </c>
      <c r="I16" s="112">
        <f>INDEX([2]!tbl_Forecast,MATCH($D$8&amp;$C16&amp;$D$7,[2]!rng_ForecastRowLookup,0),MATCH(I$11,[2]!rng_ForecastColumnLookup,0))</f>
        <v>0.85125423267540556</v>
      </c>
      <c r="J16" s="112">
        <f>INDEX([2]!tbl_Forecast,MATCH($D$8&amp;$C16&amp;$D$7,[2]!rng_ForecastRowLookup,0),MATCH(J$11,[2]!rng_ForecastColumnLookup,0))</f>
        <v>0.73204497427617965</v>
      </c>
      <c r="K16" s="112">
        <f>INDEX([2]!tbl_Forecast,MATCH($D$8&amp;$C16&amp;$D$7,[2]!rng_ForecastRowLookup,0),MATCH(K$11,[2]!rng_ForecastColumnLookup,0))</f>
        <v>0.73428349109996394</v>
      </c>
      <c r="L16" s="112">
        <f>INDEX([2]!tbl_Forecast,MATCH($D$8&amp;$C16&amp;$D$7,[2]!rng_ForecastRowLookup,0),MATCH(L$11,[2]!rng_ForecastColumnLookup,0))</f>
        <v>0.71341173425108251</v>
      </c>
      <c r="M16" s="112">
        <f>INDEX([2]!tbl_Forecast,MATCH($D$8&amp;$C16&amp;$D$7,[2]!rng_ForecastRowLookup,0),MATCH(M$11,[2]!rng_ForecastColumnLookup,0))</f>
        <v>0.89455902577447755</v>
      </c>
      <c r="N16" s="112">
        <f>INDEX([2]!tbl_Forecast,MATCH($D$8&amp;$C16&amp;$D$7,[2]!rng_ForecastRowLookup,0),MATCH(N$11,[2]!rng_ForecastColumnLookup,0))</f>
        <v>1.032083805968905</v>
      </c>
      <c r="O16" s="112">
        <f>INDEX([2]!tbl_Forecast,MATCH($D$8&amp;$C16&amp;$D$7,[2]!rng_ForecastRowLookup,0),MATCH(O$11,[2]!rng_ForecastColumnLookup,0))</f>
        <v>1.0963398187475875</v>
      </c>
      <c r="P16" s="112">
        <f>INDEX([2]!tbl_Forecast,MATCH($D$8&amp;$C16&amp;$D$7,[2]!rng_ForecastRowLookup,0),MATCH(P$11,[2]!rng_ForecastColumnLookup,0))</f>
        <v>1.617287860192538</v>
      </c>
      <c r="Q16" s="112">
        <f>INDEX([2]!tbl_Forecast,MATCH($D$8&amp;$C16&amp;$D$7,[2]!rng_ForecastRowLookup,0),MATCH(Q$11,[2]!rng_ForecastColumnLookup,0))</f>
        <v>1.8239074921539626</v>
      </c>
      <c r="R16" s="112">
        <f>INDEX([2]!tbl_Forecast,MATCH($D$8&amp;$C16&amp;$D$7,[2]!rng_ForecastRowLookup,0),MATCH(R$11,[2]!rng_ForecastColumnLookup,0))</f>
        <v>1.6267354909009817</v>
      </c>
      <c r="S16" s="112">
        <f>INDEX([2]!tbl_Forecast,MATCH($D$8&amp;$C16&amp;$D$7,[2]!rng_ForecastRowLookup,0),MATCH(S$11,[2]!rng_ForecastColumnLookup,0))</f>
        <v>1.5970323938843554</v>
      </c>
      <c r="T16" s="112">
        <f>INDEX([2]!tbl_Forecast,MATCH($D$8&amp;$C16&amp;$D$7,[2]!rng_ForecastRowLookup,0),MATCH(T$11,[2]!rng_ForecastColumnLookup,0))</f>
        <v>1.5393396581386409</v>
      </c>
      <c r="U16" s="112">
        <f>INDEX([2]!tbl_Forecast,MATCH($D$8&amp;$C16&amp;$D$7,[2]!rng_ForecastRowLookup,0),MATCH(U$11,[2]!rng_ForecastColumnLookup,0))</f>
        <v>1.2960530677092543</v>
      </c>
      <c r="V16" s="112">
        <f>INDEX([2]!tbl_Forecast,MATCH($D$8&amp;$C16&amp;$D$7,[2]!rng_ForecastRowLookup,0),MATCH(V$11,[2]!rng_ForecastColumnLookup,0))</f>
        <v>1.3176455108269955</v>
      </c>
      <c r="W16" s="112">
        <f>INDEX([2]!tbl_Forecast,MATCH($D$8&amp;$C16&amp;$D$7,[2]!rng_ForecastRowLookup,0),MATCH(W$11,[2]!rng_ForecastColumnLookup,0))</f>
        <v>1.2469979474733393</v>
      </c>
      <c r="X16" s="112">
        <f>INDEX([2]!tbl_Forecast,MATCH($D$8&amp;$C16&amp;$D$7,[2]!rng_ForecastRowLookup,0),MATCH(X$11,[2]!rng_ForecastColumnLookup,0))</f>
        <v>1.3540449607593745</v>
      </c>
      <c r="Y16" s="45"/>
    </row>
    <row r="17" spans="2:25">
      <c r="C17" s="98" t="s">
        <v>391</v>
      </c>
      <c r="E17" s="112">
        <f>INDEX([2]!tbl_Forecast,MATCH($D$8&amp;$C17&amp;$D$7,[2]!rng_ForecastRowLookup,0),MATCH(E$11,[2]!rng_ForecastColumnLookup,0))</f>
        <v>0.71960427219664069</v>
      </c>
      <c r="F17" s="112">
        <f>INDEX([2]!tbl_Forecast,MATCH($D$8&amp;$C17&amp;$D$7,[2]!rng_ForecastRowLookup,0),MATCH(F$11,[2]!rng_ForecastColumnLookup,0))</f>
        <v>0.59647847099566831</v>
      </c>
      <c r="G17" s="112">
        <f>INDEX([2]!tbl_Forecast,MATCH($D$8&amp;$C17&amp;$D$7,[2]!rng_ForecastRowLookup,0),MATCH(G$11,[2]!rng_ForecastColumnLookup,0))</f>
        <v>0.36611838042447359</v>
      </c>
      <c r="H17" s="112">
        <f>INDEX([2]!tbl_Forecast,MATCH($D$8&amp;$C17&amp;$D$7,[2]!rng_ForecastRowLookup,0),MATCH(H$11,[2]!rng_ForecastColumnLookup,0))</f>
        <v>0.3731768350638246</v>
      </c>
      <c r="I17" s="112">
        <f>INDEX([2]!tbl_Forecast,MATCH($D$8&amp;$C17&amp;$D$7,[2]!rng_ForecastRowLookup,0),MATCH(I$11,[2]!rng_ForecastColumnLookup,0))</f>
        <v>0.34504559304633386</v>
      </c>
      <c r="J17" s="112">
        <f>INDEX([2]!tbl_Forecast,MATCH($D$8&amp;$C17&amp;$D$7,[2]!rng_ForecastRowLookup,0),MATCH(J$11,[2]!rng_ForecastColumnLookup,0))</f>
        <v>0.2928623587115301</v>
      </c>
      <c r="K17" s="112">
        <f>INDEX([2]!tbl_Forecast,MATCH($D$8&amp;$C17&amp;$D$7,[2]!rng_ForecastRowLookup,0),MATCH(K$11,[2]!rng_ForecastColumnLookup,0))</f>
        <v>0.29376294298921468</v>
      </c>
      <c r="L17" s="112">
        <f>INDEX([2]!tbl_Forecast,MATCH($D$8&amp;$C17&amp;$D$7,[2]!rng_ForecastRowLookup,0),MATCH(L$11,[2]!rng_ForecastColumnLookup,0))</f>
        <v>0.28416308329236456</v>
      </c>
      <c r="M17" s="112">
        <f>INDEX([2]!tbl_Forecast,MATCH($D$8&amp;$C17&amp;$D$7,[2]!rng_ForecastRowLookup,0),MATCH(M$11,[2]!rng_ForecastColumnLookup,0))</f>
        <v>0.36455471421578001</v>
      </c>
      <c r="N17" s="112">
        <f>INDEX([2]!tbl_Forecast,MATCH($D$8&amp;$C17&amp;$D$7,[2]!rng_ForecastRowLookup,0),MATCH(N$11,[2]!rng_ForecastColumnLookup,0))</f>
        <v>0.42646627810709853</v>
      </c>
      <c r="O17" s="112">
        <f>INDEX([2]!tbl_Forecast,MATCH($D$8&amp;$C17&amp;$D$7,[2]!rng_ForecastRowLookup,0),MATCH(O$11,[2]!rng_ForecastColumnLookup,0))</f>
        <v>0.44956380488737768</v>
      </c>
      <c r="P17" s="112">
        <f>INDEX([2]!tbl_Forecast,MATCH($D$8&amp;$C17&amp;$D$7,[2]!rng_ForecastRowLookup,0),MATCH(P$11,[2]!rng_ForecastColumnLookup,0))</f>
        <v>0.65213839834683018</v>
      </c>
      <c r="Q17" s="112">
        <f>INDEX([2]!tbl_Forecast,MATCH($D$8&amp;$C17&amp;$D$7,[2]!rng_ForecastRowLookup,0),MATCH(Q$11,[2]!rng_ForecastColumnLookup,0))</f>
        <v>0.73353807331773047</v>
      </c>
      <c r="R17" s="112">
        <f>INDEX([2]!tbl_Forecast,MATCH($D$8&amp;$C17&amp;$D$7,[2]!rng_ForecastRowLookup,0),MATCH(R$11,[2]!rng_ForecastColumnLookup,0))</f>
        <v>0.65560780242911365</v>
      </c>
      <c r="S17" s="112">
        <f>INDEX([2]!tbl_Forecast,MATCH($D$8&amp;$C17&amp;$D$7,[2]!rng_ForecastRowLookup,0),MATCH(S$11,[2]!rng_ForecastColumnLookup,0))</f>
        <v>0.64604928436358278</v>
      </c>
      <c r="T17" s="112">
        <f>INDEX([2]!tbl_Forecast,MATCH($D$8&amp;$C17&amp;$D$7,[2]!rng_ForecastRowLookup,0),MATCH(T$11,[2]!rng_ForecastColumnLookup,0))</f>
        <v>0.62178261445398098</v>
      </c>
      <c r="U17" s="112">
        <f>INDEX([2]!tbl_Forecast,MATCH($D$8&amp;$C17&amp;$D$7,[2]!rng_ForecastRowLookup,0),MATCH(U$11,[2]!rng_ForecastColumnLookup,0))</f>
        <v>0.52554853465709617</v>
      </c>
      <c r="V17" s="112">
        <f>INDEX([2]!tbl_Forecast,MATCH($D$8&amp;$C17&amp;$D$7,[2]!rng_ForecastRowLookup,0),MATCH(V$11,[2]!rng_ForecastColumnLookup,0))</f>
        <v>0.53266253778165396</v>
      </c>
      <c r="W17" s="112">
        <f>INDEX([2]!tbl_Forecast,MATCH($D$8&amp;$C17&amp;$D$7,[2]!rng_ForecastRowLookup,0),MATCH(W$11,[2]!rng_ForecastColumnLookup,0))</f>
        <v>0.50454130308386236</v>
      </c>
      <c r="X17" s="112">
        <f>INDEX([2]!tbl_Forecast,MATCH($D$8&amp;$C17&amp;$D$7,[2]!rng_ForecastRowLookup,0),MATCH(X$11,[2]!rng_ForecastColumnLookup,0))</f>
        <v>0.54553111610891503</v>
      </c>
      <c r="Y17" s="45"/>
    </row>
    <row r="18" spans="2:25">
      <c r="C18" s="98" t="s">
        <v>392</v>
      </c>
      <c r="E18" s="112">
        <f>INDEX([2]!tbl_Forecast,MATCH($D$8&amp;$C18&amp;$D$7,[2]!rng_ForecastRowLookup,0),MATCH(E$11,[2]!rng_ForecastColumnLookup,0))</f>
        <v>2.7275899469990224</v>
      </c>
      <c r="F18" s="112">
        <f>INDEX([2]!tbl_Forecast,MATCH($D$8&amp;$C18&amp;$D$7,[2]!rng_ForecastRowLookup,0),MATCH(F$11,[2]!rng_ForecastColumnLookup,0))</f>
        <v>2.2451802625726844</v>
      </c>
      <c r="G18" s="112">
        <f>INDEX([2]!tbl_Forecast,MATCH($D$8&amp;$C18&amp;$D$7,[2]!rng_ForecastRowLookup,0),MATCH(G$11,[2]!rng_ForecastColumnLookup,0))</f>
        <v>1.3846551620328988</v>
      </c>
      <c r="H18" s="112">
        <f>INDEX([2]!tbl_Forecast,MATCH($D$8&amp;$C18&amp;$D$7,[2]!rng_ForecastRowLookup,0),MATCH(H$11,[2]!rng_ForecastColumnLookup,0))</f>
        <v>1.414332931216091</v>
      </c>
      <c r="I18" s="112">
        <f>INDEX([2]!tbl_Forecast,MATCH($D$8&amp;$C18&amp;$D$7,[2]!rng_ForecastRowLookup,0),MATCH(I$11,[2]!rng_ForecastColumnLookup,0))</f>
        <v>1.3048976182463843</v>
      </c>
      <c r="J18" s="112">
        <f>INDEX([2]!tbl_Forecast,MATCH($D$8&amp;$C18&amp;$D$7,[2]!rng_ForecastRowLookup,0),MATCH(J$11,[2]!rng_ForecastColumnLookup,0))</f>
        <v>1.1035456427042536</v>
      </c>
      <c r="K18" s="112">
        <f>INDEX([2]!tbl_Forecast,MATCH($D$8&amp;$C18&amp;$D$7,[2]!rng_ForecastRowLookup,0),MATCH(K$11,[2]!rng_ForecastColumnLookup,0))</f>
        <v>1.0932193385059683</v>
      </c>
      <c r="L18" s="112">
        <f>INDEX([2]!tbl_Forecast,MATCH($D$8&amp;$C18&amp;$D$7,[2]!rng_ForecastRowLookup,0),MATCH(L$11,[2]!rng_ForecastColumnLookup,0))</f>
        <v>1.0602010304011045</v>
      </c>
      <c r="M18" s="112">
        <f>INDEX([2]!tbl_Forecast,MATCH($D$8&amp;$C18&amp;$D$7,[2]!rng_ForecastRowLookup,0),MATCH(M$11,[2]!rng_ForecastColumnLookup,0))</f>
        <v>1.3687417218066935</v>
      </c>
      <c r="N18" s="112">
        <f>INDEX([2]!tbl_Forecast,MATCH($D$8&amp;$C18&amp;$D$7,[2]!rng_ForecastRowLookup,0),MATCH(N$11,[2]!rng_ForecastColumnLookup,0))</f>
        <v>1.6102119957699914</v>
      </c>
      <c r="O18" s="112">
        <f>INDEX([2]!tbl_Forecast,MATCH($D$8&amp;$C18&amp;$D$7,[2]!rng_ForecastRowLookup,0),MATCH(O$11,[2]!rng_ForecastColumnLookup,0))</f>
        <v>1.7014476793012303</v>
      </c>
      <c r="P18" s="112">
        <f>INDEX([2]!tbl_Forecast,MATCH($D$8&amp;$C18&amp;$D$7,[2]!rng_ForecastRowLookup,0),MATCH(P$11,[2]!rng_ForecastColumnLookup,0))</f>
        <v>2.4475448442766612</v>
      </c>
      <c r="Q18" s="112">
        <f>INDEX([2]!tbl_Forecast,MATCH($D$8&amp;$C18&amp;$D$7,[2]!rng_ForecastRowLookup,0),MATCH(Q$11,[2]!rng_ForecastColumnLookup,0))</f>
        <v>2.7642584104961641</v>
      </c>
      <c r="R18" s="112">
        <f>INDEX([2]!tbl_Forecast,MATCH($D$8&amp;$C18&amp;$D$7,[2]!rng_ForecastRowLookup,0),MATCH(R$11,[2]!rng_ForecastColumnLookup,0))</f>
        <v>2.4645092385842489</v>
      </c>
      <c r="S18" s="112">
        <f>INDEX([2]!tbl_Forecast,MATCH($D$8&amp;$C18&amp;$D$7,[2]!rng_ForecastRowLookup,0),MATCH(S$11,[2]!rng_ForecastColumnLookup,0))</f>
        <v>2.435211674558635</v>
      </c>
      <c r="T18" s="112">
        <f>INDEX([2]!tbl_Forecast,MATCH($D$8&amp;$C18&amp;$D$7,[2]!rng_ForecastRowLookup,0),MATCH(T$11,[2]!rng_ForecastColumnLookup,0))</f>
        <v>2.3436666024455817</v>
      </c>
      <c r="U18" s="112">
        <f>INDEX([2]!tbl_Forecast,MATCH($D$8&amp;$C18&amp;$D$7,[2]!rng_ForecastRowLookup,0),MATCH(U$11,[2]!rng_ForecastColumnLookup,0))</f>
        <v>1.9970991421399598</v>
      </c>
      <c r="V18" s="112">
        <f>INDEX([2]!tbl_Forecast,MATCH($D$8&amp;$C18&amp;$D$7,[2]!rng_ForecastRowLookup,0),MATCH(V$11,[2]!rng_ForecastColumnLookup,0))</f>
        <v>2.0220850932468024</v>
      </c>
      <c r="W18" s="112">
        <f>INDEX([2]!tbl_Forecast,MATCH($D$8&amp;$C18&amp;$D$7,[2]!rng_ForecastRowLookup,0),MATCH(W$11,[2]!rng_ForecastColumnLookup,0))</f>
        <v>1.9074632582746243</v>
      </c>
      <c r="X18" s="112">
        <f>INDEX([2]!tbl_Forecast,MATCH($D$8&amp;$C18&amp;$D$7,[2]!rng_ForecastRowLookup,0),MATCH(X$11,[2]!rng_ForecastColumnLookup,0))</f>
        <v>2.0633846520749657</v>
      </c>
      <c r="Y18" s="45"/>
    </row>
    <row r="19" spans="2:25">
      <c r="C19" s="98" t="s">
        <v>393</v>
      </c>
      <c r="E19" s="112">
        <f>INDEX([2]!tbl_Forecast,MATCH($D$8&amp;$C19&amp;$D$7,[2]!rng_ForecastRowLookup,0),MATCH(E$11,[2]!rng_ForecastColumnLookup,0))</f>
        <v>0.86249938561661099</v>
      </c>
      <c r="F19" s="112">
        <f>INDEX([2]!tbl_Forecast,MATCH($D$8&amp;$C19&amp;$D$7,[2]!rng_ForecastRowLookup,0),MATCH(F$11,[2]!rng_ForecastColumnLookup,0))</f>
        <v>0.71243811393533818</v>
      </c>
      <c r="G19" s="112">
        <f>INDEX([2]!tbl_Forecast,MATCH($D$8&amp;$C19&amp;$D$7,[2]!rng_ForecastRowLookup,0),MATCH(G$11,[2]!rng_ForecastColumnLookup,0))</f>
        <v>0.43988135050703958</v>
      </c>
      <c r="H19" s="112">
        <f>INDEX([2]!tbl_Forecast,MATCH($D$8&amp;$C19&amp;$D$7,[2]!rng_ForecastRowLookup,0),MATCH(H$11,[2]!rng_ForecastColumnLookup,0))</f>
        <v>0.44879648252082133</v>
      </c>
      <c r="I19" s="112">
        <f>INDEX([2]!tbl_Forecast,MATCH($D$8&amp;$C19&amp;$D$7,[2]!rng_ForecastRowLookup,0),MATCH(I$11,[2]!rng_ForecastColumnLookup,0))</f>
        <v>0.41374173801952452</v>
      </c>
      <c r="J19" s="112">
        <f>INDEX([2]!tbl_Forecast,MATCH($D$8&amp;$C19&amp;$D$7,[2]!rng_ForecastRowLookup,0),MATCH(J$11,[2]!rng_ForecastColumnLookup,0))</f>
        <v>0.34301620014224921</v>
      </c>
      <c r="K19" s="112">
        <f>INDEX([2]!tbl_Forecast,MATCH($D$8&amp;$C19&amp;$D$7,[2]!rng_ForecastRowLookup,0),MATCH(K$11,[2]!rng_ForecastColumnLookup,0))</f>
        <v>0.33946657261656726</v>
      </c>
      <c r="L19" s="112">
        <f>INDEX([2]!tbl_Forecast,MATCH($D$8&amp;$C19&amp;$D$7,[2]!rng_ForecastRowLookup,0),MATCH(L$11,[2]!rng_ForecastColumnLookup,0))</f>
        <v>0.32965754978673117</v>
      </c>
      <c r="M19" s="112">
        <f>INDEX([2]!tbl_Forecast,MATCH($D$8&amp;$C19&amp;$D$7,[2]!rng_ForecastRowLookup,0),MATCH(M$11,[2]!rng_ForecastColumnLookup,0))</f>
        <v>0.43689232903555525</v>
      </c>
      <c r="N19" s="112">
        <f>INDEX([2]!tbl_Forecast,MATCH($D$8&amp;$C19&amp;$D$7,[2]!rng_ForecastRowLookup,0),MATCH(N$11,[2]!rng_ForecastColumnLookup,0))</f>
        <v>0.51886957722704219</v>
      </c>
      <c r="O19" s="112">
        <f>INDEX([2]!tbl_Forecast,MATCH($D$8&amp;$C19&amp;$D$7,[2]!rng_ForecastRowLookup,0),MATCH(O$11,[2]!rng_ForecastColumnLookup,0))</f>
        <v>0.54817313334918127</v>
      </c>
      <c r="P19" s="112">
        <f>INDEX([2]!tbl_Forecast,MATCH($D$8&amp;$C19&amp;$D$7,[2]!rng_ForecastRowLookup,0),MATCH(P$11,[2]!rng_ForecastColumnLookup,0))</f>
        <v>0.77969532117377649</v>
      </c>
      <c r="Q19" s="112">
        <f>INDEX([2]!tbl_Forecast,MATCH($D$8&amp;$C19&amp;$D$7,[2]!rng_ForecastRowLookup,0),MATCH(Q$11,[2]!rng_ForecastColumnLookup,0))</f>
        <v>0.87858644381951334</v>
      </c>
      <c r="R19" s="112">
        <f>INDEX([2]!tbl_Forecast,MATCH($D$8&amp;$C19&amp;$D$7,[2]!rng_ForecastRowLookup,0),MATCH(R$11,[2]!rng_ForecastColumnLookup,0))</f>
        <v>0.78420074698109388</v>
      </c>
      <c r="S19" s="112">
        <f>INDEX([2]!tbl_Forecast,MATCH($D$8&amp;$C19&amp;$D$7,[2]!rng_ForecastRowLookup,0),MATCH(S$11,[2]!rng_ForecastColumnLookup,0))</f>
        <v>0.77728841592354081</v>
      </c>
      <c r="T19" s="112">
        <f>INDEX([2]!tbl_Forecast,MATCH($D$8&amp;$C19&amp;$D$7,[2]!rng_ForecastRowLookup,0),MATCH(T$11,[2]!rng_ForecastColumnLookup,0))</f>
        <v>0.74886674252534069</v>
      </c>
      <c r="U19" s="112">
        <f>INDEX([2]!tbl_Forecast,MATCH($D$8&amp;$C19&amp;$D$7,[2]!rng_ForecastRowLookup,0),MATCH(U$11,[2]!rng_ForecastColumnLookup,0))</f>
        <v>0.63964179951326661</v>
      </c>
      <c r="V19" s="112">
        <f>INDEX([2]!tbl_Forecast,MATCH($D$8&amp;$C19&amp;$D$7,[2]!rng_ForecastRowLookup,0),MATCH(V$11,[2]!rng_ForecastColumnLookup,0))</f>
        <v>0.64714740319049269</v>
      </c>
      <c r="W19" s="112">
        <f>INDEX([2]!tbl_Forecast,MATCH($D$8&amp;$C19&amp;$D$7,[2]!rng_ForecastRowLookup,0),MATCH(W$11,[2]!rng_ForecastColumnLookup,0))</f>
        <v>0.61166389038687663</v>
      </c>
      <c r="X19" s="112">
        <f>INDEX([2]!tbl_Forecast,MATCH($D$8&amp;$C19&amp;$D$7,[2]!rng_ForecastRowLookup,0),MATCH(X$11,[2]!rng_ForecastColumnLookup,0))</f>
        <v>0.66242443593788758</v>
      </c>
      <c r="Y19" s="45"/>
    </row>
    <row r="20" spans="2:25">
      <c r="C20" s="20" t="s">
        <v>394</v>
      </c>
      <c r="E20" s="112">
        <f>INDEX([2]!tbl_Forecast,MATCH($D$8&amp;$C20&amp;$D$7,[2]!rng_ForecastRowLookup,0),MATCH(E$11,[2]!rng_ForecastColumnLookup,0))</f>
        <v>0.49337113702797691</v>
      </c>
      <c r="F20" s="112">
        <f>INDEX([2]!tbl_Forecast,MATCH($D$8&amp;$C20&amp;$D$7,[2]!rng_ForecastRowLookup,0),MATCH(F$11,[2]!rng_ForecastColumnLookup,0))</f>
        <v>1.1029723159217257</v>
      </c>
      <c r="G20" s="112">
        <f>INDEX([2]!tbl_Forecast,MATCH($D$8&amp;$C20&amp;$D$7,[2]!rng_ForecastRowLookup,0),MATCH(G$11,[2]!rng_ForecastColumnLookup,0))</f>
        <v>0.94992456965043459</v>
      </c>
      <c r="H20" s="112">
        <f>INDEX([2]!tbl_Forecast,MATCH($D$8&amp;$C20&amp;$D$7,[2]!rng_ForecastRowLookup,0),MATCH(H$11,[2]!rng_ForecastColumnLookup,0))</f>
        <v>0.71720701164062661</v>
      </c>
      <c r="I20" s="112">
        <f>INDEX([2]!tbl_Forecast,MATCH($D$8&amp;$C20&amp;$D$7,[2]!rng_ForecastRowLookup,0),MATCH(I$11,[2]!rng_ForecastColumnLookup,0))</f>
        <v>0.7442281187428561</v>
      </c>
      <c r="J20" s="112">
        <f>INDEX([2]!tbl_Forecast,MATCH($D$8&amp;$C20&amp;$D$7,[2]!rng_ForecastRowLookup,0),MATCH(J$11,[2]!rng_ForecastColumnLookup,0))</f>
        <v>0.85140099810585501</v>
      </c>
      <c r="K20" s="112">
        <f>INDEX([2]!tbl_Forecast,MATCH($D$8&amp;$C20&amp;$D$7,[2]!rng_ForecastRowLookup,0),MATCH(K$11,[2]!rng_ForecastColumnLookup,0))</f>
        <v>0.99139466996200198</v>
      </c>
      <c r="L20" s="112">
        <f>INDEX([2]!tbl_Forecast,MATCH($D$8&amp;$C20&amp;$D$7,[2]!rng_ForecastRowLookup,0),MATCH(L$11,[2]!rng_ForecastColumnLookup,0))</f>
        <v>1.5014629353162949</v>
      </c>
      <c r="M20" s="112">
        <f>INDEX([2]!tbl_Forecast,MATCH($D$8&amp;$C20&amp;$D$7,[2]!rng_ForecastRowLookup,0),MATCH(M$11,[2]!rng_ForecastColumnLookup,0))</f>
        <v>1.8697826256608596</v>
      </c>
      <c r="N20" s="112">
        <f>INDEX([2]!tbl_Forecast,MATCH($D$8&amp;$C20&amp;$D$7,[2]!rng_ForecastRowLookup,0),MATCH(N$11,[2]!rng_ForecastColumnLookup,0))</f>
        <v>1.6452707482432332</v>
      </c>
      <c r="O20" s="112">
        <f>INDEX([2]!tbl_Forecast,MATCH($D$8&amp;$C20&amp;$D$7,[2]!rng_ForecastRowLookup,0),MATCH(O$11,[2]!rng_ForecastColumnLookup,0))</f>
        <v>1.6753181172445872</v>
      </c>
      <c r="P20" s="112">
        <f>INDEX([2]!tbl_Forecast,MATCH($D$8&amp;$C20&amp;$D$7,[2]!rng_ForecastRowLookup,0),MATCH(P$11,[2]!rng_ForecastColumnLookup,0))</f>
        <v>1.7943041099264481</v>
      </c>
      <c r="Q20" s="112">
        <f>INDEX([2]!tbl_Forecast,MATCH($D$8&amp;$C20&amp;$D$7,[2]!rng_ForecastRowLookup,0),MATCH(Q$11,[2]!rng_ForecastColumnLookup,0))</f>
        <v>1.8624299937819393</v>
      </c>
      <c r="R20" s="112">
        <f>INDEX([2]!tbl_Forecast,MATCH($D$8&amp;$C20&amp;$D$7,[2]!rng_ForecastRowLookup,0),MATCH(R$11,[2]!rng_ForecastColumnLookup,0))</f>
        <v>1.7489264522150836</v>
      </c>
      <c r="S20" s="112">
        <f>INDEX([2]!tbl_Forecast,MATCH($D$8&amp;$C20&amp;$D$7,[2]!rng_ForecastRowLookup,0),MATCH(S$11,[2]!rng_ForecastColumnLookup,0))</f>
        <v>1.7975598556031414</v>
      </c>
      <c r="T20" s="112">
        <f>INDEX([2]!tbl_Forecast,MATCH($D$8&amp;$C20&amp;$D$7,[2]!rng_ForecastRowLookup,0),MATCH(T$11,[2]!rng_ForecastColumnLookup,0))</f>
        <v>1.6195220459723754</v>
      </c>
      <c r="U20" s="112">
        <f>INDEX([2]!tbl_Forecast,MATCH($D$8&amp;$C20&amp;$D$7,[2]!rng_ForecastRowLookup,0),MATCH(U$11,[2]!rng_ForecastColumnLookup,0))</f>
        <v>1.8221433074925411</v>
      </c>
      <c r="V20" s="112">
        <f>INDEX([2]!tbl_Forecast,MATCH($D$8&amp;$C20&amp;$D$7,[2]!rng_ForecastRowLookup,0),MATCH(V$11,[2]!rng_ForecastColumnLookup,0))</f>
        <v>1.6336676691608698</v>
      </c>
      <c r="W20" s="112">
        <f>INDEX([2]!tbl_Forecast,MATCH($D$8&amp;$C20&amp;$D$7,[2]!rng_ForecastRowLookup,0),MATCH(W$11,[2]!rng_ForecastColumnLookup,0))</f>
        <v>1.7826242149357872</v>
      </c>
      <c r="X20" s="112">
        <f>INDEX([2]!tbl_Forecast,MATCH($D$8&amp;$C20&amp;$D$7,[2]!rng_ForecastRowLookup,0),MATCH(X$11,[2]!rng_ForecastColumnLookup,0))</f>
        <v>1.6891002859244486</v>
      </c>
      <c r="Y20" s="45"/>
    </row>
    <row r="21" spans="2:25">
      <c r="C21" s="20" t="s">
        <v>375</v>
      </c>
      <c r="E21" s="112">
        <f>INDEX([2]!tbl_Forecast,MATCH($D$8&amp;$C21&amp;$D$7,[2]!rng_ForecastRowLookup,0),MATCH(E$11,[2]!rng_ForecastColumnLookup,0))</f>
        <v>0.2800209986196866</v>
      </c>
      <c r="F21" s="112">
        <f>INDEX([2]!tbl_Forecast,MATCH($D$8&amp;$C21&amp;$D$7,[2]!rng_ForecastRowLookup,0),MATCH(F$11,[2]!rng_ForecastColumnLookup,0))</f>
        <v>0.29719871383536939</v>
      </c>
      <c r="G21" s="112">
        <f>INDEX([2]!tbl_Forecast,MATCH($D$8&amp;$C21&amp;$D$7,[2]!rng_ForecastRowLookup,0),MATCH(G$11,[2]!rng_ForecastColumnLookup,0))</f>
        <v>0.58203115602335975</v>
      </c>
      <c r="H21" s="112">
        <f>INDEX([2]!tbl_Forecast,MATCH($D$8&amp;$C21&amp;$D$7,[2]!rng_ForecastRowLookup,0),MATCH(H$11,[2]!rng_ForecastColumnLookup,0))</f>
        <v>0.83189457735737737</v>
      </c>
      <c r="I21" s="112">
        <f>INDEX([2]!tbl_Forecast,MATCH($D$8&amp;$C21&amp;$D$7,[2]!rng_ForecastRowLookup,0),MATCH(I$11,[2]!rng_ForecastColumnLookup,0))</f>
        <v>0.66610454718876777</v>
      </c>
      <c r="J21" s="112">
        <f>INDEX([2]!tbl_Forecast,MATCH($D$8&amp;$C21&amp;$D$7,[2]!rng_ForecastRowLookup,0),MATCH(J$11,[2]!rng_ForecastColumnLookup,0))</f>
        <v>0.73648247778559484</v>
      </c>
      <c r="K21" s="112">
        <f>INDEX([2]!tbl_Forecast,MATCH($D$8&amp;$C21&amp;$D$7,[2]!rng_ForecastRowLookup,0),MATCH(K$11,[2]!rng_ForecastColumnLookup,0))</f>
        <v>0.64334185638367225</v>
      </c>
      <c r="L21" s="112">
        <f>INDEX([2]!tbl_Forecast,MATCH($D$8&amp;$C21&amp;$D$7,[2]!rng_ForecastRowLookup,0),MATCH(L$11,[2]!rng_ForecastColumnLookup,0))</f>
        <v>0.97289424291238524</v>
      </c>
      <c r="M21" s="112">
        <f>INDEX([2]!tbl_Forecast,MATCH($D$8&amp;$C21&amp;$D$7,[2]!rng_ForecastRowLookup,0),MATCH(M$11,[2]!rng_ForecastColumnLookup,0))</f>
        <v>1.1820978013224126</v>
      </c>
      <c r="N21" s="112">
        <f>INDEX([2]!tbl_Forecast,MATCH($D$8&amp;$C21&amp;$D$7,[2]!rng_ForecastRowLookup,0),MATCH(N$11,[2]!rng_ForecastColumnLookup,0))</f>
        <v>1.1785313924254113</v>
      </c>
      <c r="O21" s="112">
        <f>INDEX([2]!tbl_Forecast,MATCH($D$8&amp;$C21&amp;$D$7,[2]!rng_ForecastRowLookup,0),MATCH(O$11,[2]!rng_ForecastColumnLookup,0))</f>
        <v>1.2952038876416079</v>
      </c>
      <c r="P21" s="112">
        <f>INDEX([2]!tbl_Forecast,MATCH($D$8&amp;$C21&amp;$D$7,[2]!rng_ForecastRowLookup,0),MATCH(P$11,[2]!rng_ForecastColumnLookup,0))</f>
        <v>1.3229243736280945</v>
      </c>
      <c r="Q21" s="112">
        <f>INDEX([2]!tbl_Forecast,MATCH($D$8&amp;$C21&amp;$D$7,[2]!rng_ForecastRowLookup,0),MATCH(Q$11,[2]!rng_ForecastColumnLookup,0))</f>
        <v>1.422909455419719</v>
      </c>
      <c r="R21" s="112">
        <f>INDEX([2]!tbl_Forecast,MATCH($D$8&amp;$C21&amp;$D$7,[2]!rng_ForecastRowLookup,0),MATCH(R$11,[2]!rng_ForecastColumnLookup,0))</f>
        <v>1.4430187909981058</v>
      </c>
      <c r="S21" s="112">
        <f>INDEX([2]!tbl_Forecast,MATCH($D$8&amp;$C21&amp;$D$7,[2]!rng_ForecastRowLookup,0),MATCH(S$11,[2]!rng_ForecastColumnLookup,0))</f>
        <v>1.2923971403480323</v>
      </c>
      <c r="T21" s="112">
        <f>INDEX([2]!tbl_Forecast,MATCH($D$8&amp;$C21&amp;$D$7,[2]!rng_ForecastRowLookup,0),MATCH(T$11,[2]!rng_ForecastColumnLookup,0))</f>
        <v>1.1785050733908478</v>
      </c>
      <c r="U21" s="112">
        <f>INDEX([2]!tbl_Forecast,MATCH($D$8&amp;$C21&amp;$D$7,[2]!rng_ForecastRowLookup,0),MATCH(U$11,[2]!rng_ForecastColumnLookup,0))</f>
        <v>1.3433889489273994</v>
      </c>
      <c r="V21" s="112">
        <f>INDEX([2]!tbl_Forecast,MATCH($D$8&amp;$C21&amp;$D$7,[2]!rng_ForecastRowLookup,0),MATCH(V$11,[2]!rng_ForecastColumnLookup,0))</f>
        <v>1.2265545990556588</v>
      </c>
      <c r="W21" s="112">
        <f>INDEX([2]!tbl_Forecast,MATCH($D$8&amp;$C21&amp;$D$7,[2]!rng_ForecastRowLookup,0),MATCH(W$11,[2]!rng_ForecastColumnLookup,0))</f>
        <v>1.2571458643971927</v>
      </c>
      <c r="X21" s="112">
        <f>INDEX([2]!tbl_Forecast,MATCH($D$8&amp;$C21&amp;$D$7,[2]!rng_ForecastRowLookup,0),MATCH(X$11,[2]!rng_ForecastColumnLookup,0))</f>
        <v>1.2979913333963795</v>
      </c>
      <c r="Y21" s="45"/>
    </row>
    <row r="22" spans="2:25">
      <c r="C22" s="20" t="s">
        <v>376</v>
      </c>
      <c r="E22" s="112">
        <f>INDEX([2]!tbl_Forecast,MATCH($D$8&amp;$C22&amp;$D$7,[2]!rng_ForecastRowLookup,0),MATCH(E$11,[2]!rng_ForecastColumnLookup,0))</f>
        <v>7.6586609772993617</v>
      </c>
      <c r="F22" s="112">
        <f>INDEX([2]!tbl_Forecast,MATCH($D$8&amp;$C22&amp;$D$7,[2]!rng_ForecastRowLookup,0),MATCH(F$11,[2]!rng_ForecastColumnLookup,0))</f>
        <v>7.5774552212762423</v>
      </c>
      <c r="G22" s="112">
        <f>INDEX([2]!tbl_Forecast,MATCH($D$8&amp;$C22&amp;$D$7,[2]!rng_ForecastRowLookup,0),MATCH(G$11,[2]!rng_ForecastColumnLookup,0))</f>
        <v>5.6453939930651131</v>
      </c>
      <c r="H22" s="112">
        <f>INDEX([2]!tbl_Forecast,MATCH($D$8&amp;$C22&amp;$D$7,[2]!rng_ForecastRowLookup,0),MATCH(H$11,[2]!rng_ForecastColumnLookup,0))</f>
        <v>4.800793231843981</v>
      </c>
      <c r="I22" s="112">
        <f>INDEX([2]!tbl_Forecast,MATCH($D$8&amp;$C22&amp;$D$7,[2]!rng_ForecastRowLookup,0),MATCH(I$11,[2]!rng_ForecastColumnLookup,0))</f>
        <v>3.5881391412601156</v>
      </c>
      <c r="J22" s="112">
        <f>INDEX([2]!tbl_Forecast,MATCH($D$8&amp;$C22&amp;$D$7,[2]!rng_ForecastRowLookup,0),MATCH(J$11,[2]!rng_ForecastColumnLookup,0))</f>
        <v>3.1529819033971824</v>
      </c>
      <c r="K22" s="112">
        <f>INDEX([2]!tbl_Forecast,MATCH($D$8&amp;$C22&amp;$D$7,[2]!rng_ForecastRowLookup,0),MATCH(K$11,[2]!rng_ForecastColumnLookup,0))</f>
        <v>4.0691744688008198</v>
      </c>
      <c r="L22" s="112">
        <f>INDEX([2]!tbl_Forecast,MATCH($D$8&amp;$C22&amp;$D$7,[2]!rng_ForecastRowLookup,0),MATCH(L$11,[2]!rng_ForecastColumnLookup,0))</f>
        <v>4.5400289951106014</v>
      </c>
      <c r="M22" s="112">
        <f>INDEX([2]!tbl_Forecast,MATCH($D$8&amp;$C22&amp;$D$7,[2]!rng_ForecastRowLookup,0),MATCH(M$11,[2]!rng_ForecastColumnLookup,0))</f>
        <v>4.8555474587969272</v>
      </c>
      <c r="N22" s="112">
        <f>INDEX([2]!tbl_Forecast,MATCH($D$8&amp;$C22&amp;$D$7,[2]!rng_ForecastRowLookup,0),MATCH(N$11,[2]!rng_ForecastColumnLookup,0))</f>
        <v>4.6966359797376018</v>
      </c>
      <c r="O22" s="112">
        <f>INDEX([2]!tbl_Forecast,MATCH($D$8&amp;$C22&amp;$D$7,[2]!rng_ForecastRowLookup,0),MATCH(O$11,[2]!rng_ForecastColumnLookup,0))</f>
        <v>4.8557170740974245</v>
      </c>
      <c r="P22" s="112">
        <f>INDEX([2]!tbl_Forecast,MATCH($D$8&amp;$C22&amp;$D$7,[2]!rng_ForecastRowLookup,0),MATCH(P$11,[2]!rng_ForecastColumnLookup,0))</f>
        <v>4.451750056135543</v>
      </c>
      <c r="Q22" s="112">
        <f>INDEX([2]!tbl_Forecast,MATCH($D$8&amp;$C22&amp;$D$7,[2]!rng_ForecastRowLookup,0),MATCH(Q$11,[2]!rng_ForecastColumnLookup,0))</f>
        <v>3.8657972013430704</v>
      </c>
      <c r="R22" s="112">
        <f>INDEX([2]!tbl_Forecast,MATCH($D$8&amp;$C22&amp;$D$7,[2]!rng_ForecastRowLookup,0),MATCH(R$11,[2]!rng_ForecastColumnLookup,0))</f>
        <v>3.9817445148405937</v>
      </c>
      <c r="S22" s="112">
        <f>INDEX([2]!tbl_Forecast,MATCH($D$8&amp;$C22&amp;$D$7,[2]!rng_ForecastRowLookup,0),MATCH(S$11,[2]!rng_ForecastColumnLookup,0))</f>
        <v>3.9951806948216846</v>
      </c>
      <c r="T22" s="112">
        <f>INDEX([2]!tbl_Forecast,MATCH($D$8&amp;$C22&amp;$D$7,[2]!rng_ForecastRowLookup,0),MATCH(T$11,[2]!rng_ForecastColumnLookup,0))</f>
        <v>4.4738164673360306</v>
      </c>
      <c r="U22" s="112">
        <f>INDEX([2]!tbl_Forecast,MATCH($D$8&amp;$C22&amp;$D$7,[2]!rng_ForecastRowLookup,0),MATCH(U$11,[2]!rng_ForecastColumnLookup,0))</f>
        <v>4.2737219736102183</v>
      </c>
      <c r="V22" s="112">
        <f>INDEX([2]!tbl_Forecast,MATCH($D$8&amp;$C22&amp;$D$7,[2]!rng_ForecastRowLookup,0),MATCH(V$11,[2]!rng_ForecastColumnLookup,0))</f>
        <v>4.0870251812551333</v>
      </c>
      <c r="W22" s="112">
        <f>INDEX([2]!tbl_Forecast,MATCH($D$8&amp;$C22&amp;$D$7,[2]!rng_ForecastRowLookup,0),MATCH(W$11,[2]!rng_ForecastColumnLookup,0))</f>
        <v>4.137725578117939</v>
      </c>
      <c r="X22" s="112">
        <f>INDEX([2]!tbl_Forecast,MATCH($D$8&amp;$C22&amp;$D$7,[2]!rng_ForecastRowLookup,0),MATCH(X$11,[2]!rng_ForecastColumnLookup,0))</f>
        <v>3.6922064696454697</v>
      </c>
      <c r="Y22" s="45"/>
    </row>
    <row r="23" spans="2:25">
      <c r="C23" s="20" t="s">
        <v>377</v>
      </c>
      <c r="E23" s="112">
        <f>INDEX([2]!tbl_Forecast,MATCH($D$8&amp;$C23&amp;$D$7,[2]!rng_ForecastRowLookup,0),MATCH(E$11,[2]!rng_ForecastColumnLookup,0))</f>
        <v>0.38924897939746522</v>
      </c>
      <c r="F23" s="112">
        <f>INDEX([2]!tbl_Forecast,MATCH($D$8&amp;$C23&amp;$D$7,[2]!rng_ForecastRowLookup,0),MATCH(F$11,[2]!rng_ForecastColumnLookup,0))</f>
        <v>0.34341311895347121</v>
      </c>
      <c r="G23" s="112">
        <f>INDEX([2]!tbl_Forecast,MATCH($D$8&amp;$C23&amp;$D$7,[2]!rng_ForecastRowLookup,0),MATCH(G$11,[2]!rng_ForecastColumnLookup,0))</f>
        <v>0.29927348040561341</v>
      </c>
      <c r="H23" s="112">
        <f>INDEX([2]!tbl_Forecast,MATCH($D$8&amp;$C23&amp;$D$7,[2]!rng_ForecastRowLookup,0),MATCH(H$11,[2]!rng_ForecastColumnLookup,0))</f>
        <v>0.29688874456634085</v>
      </c>
      <c r="I23" s="112">
        <f>INDEX([2]!tbl_Forecast,MATCH($D$8&amp;$C23&amp;$D$7,[2]!rng_ForecastRowLookup,0),MATCH(I$11,[2]!rng_ForecastColumnLookup,0))</f>
        <v>0.29379933994281465</v>
      </c>
      <c r="J23" s="112">
        <f>INDEX([2]!tbl_Forecast,MATCH($D$8&amp;$C23&amp;$D$7,[2]!rng_ForecastRowLookup,0),MATCH(J$11,[2]!rng_ForecastColumnLookup,0))</f>
        <v>0.29041766271303127</v>
      </c>
      <c r="K23" s="112">
        <f>INDEX([2]!tbl_Forecast,MATCH($D$8&amp;$C23&amp;$D$7,[2]!rng_ForecastRowLookup,0),MATCH(K$11,[2]!rng_ForecastColumnLookup,0))</f>
        <v>0.28614144770449462</v>
      </c>
      <c r="L23" s="112">
        <f>INDEX([2]!tbl_Forecast,MATCH($D$8&amp;$C23&amp;$D$7,[2]!rng_ForecastRowLookup,0),MATCH(L$11,[2]!rng_ForecastColumnLookup,0))</f>
        <v>0.28163861967746157</v>
      </c>
      <c r="M23" s="112">
        <f>INDEX([2]!tbl_Forecast,MATCH($D$8&amp;$C23&amp;$D$7,[2]!rng_ForecastRowLookup,0),MATCH(M$11,[2]!rng_ForecastColumnLookup,0))</f>
        <v>0.27688800876616482</v>
      </c>
      <c r="N23" s="112">
        <f>INDEX([2]!tbl_Forecast,MATCH($D$8&amp;$C23&amp;$D$7,[2]!rng_ForecastRowLookup,0),MATCH(N$11,[2]!rng_ForecastColumnLookup,0))</f>
        <v>0.27357754310134663</v>
      </c>
      <c r="O23" s="112">
        <f>INDEX([2]!tbl_Forecast,MATCH($D$8&amp;$C23&amp;$D$7,[2]!rng_ForecastRowLookup,0),MATCH(O$11,[2]!rng_ForecastColumnLookup,0))</f>
        <v>0.27063184585003941</v>
      </c>
      <c r="P23" s="112">
        <f>INDEX([2]!tbl_Forecast,MATCH($D$8&amp;$C23&amp;$D$7,[2]!rng_ForecastRowLookup,0),MATCH(P$11,[2]!rng_ForecastColumnLookup,0))</f>
        <v>0.26801411864303953</v>
      </c>
      <c r="Q23" s="112">
        <f>INDEX([2]!tbl_Forecast,MATCH($D$8&amp;$C23&amp;$D$7,[2]!rng_ForecastRowLookup,0),MATCH(Q$11,[2]!rng_ForecastColumnLookup,0))</f>
        <v>0.26660240614409092</v>
      </c>
      <c r="R23" s="112">
        <f>INDEX([2]!tbl_Forecast,MATCH($D$8&amp;$C23&amp;$D$7,[2]!rng_ForecastRowLookup,0),MATCH(R$11,[2]!rng_ForecastColumnLookup,0))</f>
        <v>0.25138198684402913</v>
      </c>
      <c r="S23" s="112">
        <f>INDEX([2]!tbl_Forecast,MATCH($D$8&amp;$C23&amp;$D$7,[2]!rng_ForecastRowLookup,0),MATCH(S$11,[2]!rng_ForecastColumnLookup,0))</f>
        <v>0.26455339135243683</v>
      </c>
      <c r="T23" s="112">
        <f>INDEX([2]!tbl_Forecast,MATCH($D$8&amp;$C23&amp;$D$7,[2]!rng_ForecastRowLookup,0),MATCH(T$11,[2]!rng_ForecastColumnLookup,0))</f>
        <v>0.26299167309250365</v>
      </c>
      <c r="U23" s="112">
        <f>INDEX([2]!tbl_Forecast,MATCH($D$8&amp;$C23&amp;$D$7,[2]!rng_ForecastRowLookup,0),MATCH(U$11,[2]!rng_ForecastColumnLookup,0))</f>
        <v>0.26140909607327911</v>
      </c>
      <c r="V23" s="112">
        <f>INDEX([2]!tbl_Forecast,MATCH($D$8&amp;$C23&amp;$D$7,[2]!rng_ForecastRowLookup,0),MATCH(V$11,[2]!rng_ForecastColumnLookup,0))</f>
        <v>0.25947687815142023</v>
      </c>
      <c r="W23" s="112">
        <f>INDEX([2]!tbl_Forecast,MATCH($D$8&amp;$C23&amp;$D$7,[2]!rng_ForecastRowLookup,0),MATCH(W$11,[2]!rng_ForecastColumnLookup,0))</f>
        <v>0.25750619496776178</v>
      </c>
      <c r="X23" s="112">
        <f>INDEX([2]!tbl_Forecast,MATCH($D$8&amp;$C23&amp;$D$7,[2]!rng_ForecastRowLookup,0),MATCH(X$11,[2]!rng_ForecastColumnLookup,0))</f>
        <v>0.25562560804995926</v>
      </c>
      <c r="Y23" s="45"/>
    </row>
    <row r="24" spans="2:25">
      <c r="C24" s="20" t="s">
        <v>395</v>
      </c>
      <c r="E24" s="112">
        <f>INDEX([2]!tbl_Forecast,MATCH($D$8&amp;$C24&amp;$D$7,[2]!rng_ForecastRowLookup,0),MATCH(E$11,[2]!rng_ForecastColumnLookup,0))</f>
        <v>0.19765540078516197</v>
      </c>
      <c r="F24" s="112">
        <f>INDEX([2]!tbl_Forecast,MATCH($D$8&amp;$C24&amp;$D$7,[2]!rng_ForecastRowLookup,0),MATCH(F$11,[2]!rng_ForecastColumnLookup,0))</f>
        <v>0.18600542935034625</v>
      </c>
      <c r="G24" s="112">
        <f>INDEX([2]!tbl_Forecast,MATCH($D$8&amp;$C24&amp;$D$7,[2]!rng_ForecastRowLookup,0),MATCH(G$11,[2]!rng_ForecastColumnLookup,0))</f>
        <v>9.5760802585072302E-2</v>
      </c>
      <c r="H24" s="112">
        <f>INDEX([2]!tbl_Forecast,MATCH($D$8&amp;$C24&amp;$D$7,[2]!rng_ForecastRowLookup,0),MATCH(H$11,[2]!rng_ForecastColumnLookup,0))</f>
        <v>0.10062051473914659</v>
      </c>
      <c r="I24" s="112">
        <f>INDEX([2]!tbl_Forecast,MATCH($D$8&amp;$C24&amp;$D$7,[2]!rng_ForecastRowLookup,0),MATCH(I$11,[2]!rng_ForecastColumnLookup,0))</f>
        <v>8.5646792534183808E-2</v>
      </c>
      <c r="J24" s="112">
        <f>INDEX([2]!tbl_Forecast,MATCH($D$8&amp;$C24&amp;$D$7,[2]!rng_ForecastRowLookup,0),MATCH(J$11,[2]!rng_ForecastColumnLookup,0))</f>
        <v>6.5415041923045286E-2</v>
      </c>
      <c r="K24" s="112">
        <f>INDEX([2]!tbl_Forecast,MATCH($D$8&amp;$C24&amp;$D$7,[2]!rng_ForecastRowLookup,0),MATCH(K$11,[2]!rng_ForecastColumnLookup,0))</f>
        <v>5.7242996146950373E-2</v>
      </c>
      <c r="L24" s="112">
        <f>INDEX([2]!tbl_Forecast,MATCH($D$8&amp;$C24&amp;$D$7,[2]!rng_ForecastRowLookup,0),MATCH(L$11,[2]!rng_ForecastColumnLookup,0))</f>
        <v>5.5087150941189433E-2</v>
      </c>
      <c r="M24" s="112">
        <f>INDEX([2]!tbl_Forecast,MATCH($D$8&amp;$C24&amp;$D$7,[2]!rng_ForecastRowLookup,0),MATCH(M$11,[2]!rng_ForecastColumnLookup,0))</f>
        <v>7.3916214299540497E-2</v>
      </c>
      <c r="N24" s="112">
        <f>INDEX([2]!tbl_Forecast,MATCH($D$8&amp;$C24&amp;$D$7,[2]!rng_ForecastRowLookup,0),MATCH(N$11,[2]!rng_ForecastColumnLookup,0))</f>
        <v>9.2056169088318471E-2</v>
      </c>
      <c r="O24" s="112">
        <f>INDEX([2]!tbl_Forecast,MATCH($D$8&amp;$C24&amp;$D$7,[2]!rng_ForecastRowLookup,0),MATCH(O$11,[2]!rng_ForecastColumnLookup,0))</f>
        <v>0.10393709432109566</v>
      </c>
      <c r="P24" s="112">
        <f>INDEX([2]!tbl_Forecast,MATCH($D$8&amp;$C24&amp;$D$7,[2]!rng_ForecastRowLookup,0),MATCH(P$11,[2]!rng_ForecastColumnLookup,0))</f>
        <v>0.15172170448022598</v>
      </c>
      <c r="Q24" s="112">
        <f>INDEX([2]!tbl_Forecast,MATCH($D$8&amp;$C24&amp;$D$7,[2]!rng_ForecastRowLookup,0),MATCH(Q$11,[2]!rng_ForecastColumnLookup,0))</f>
        <v>0.15706997726929292</v>
      </c>
      <c r="R24" s="112">
        <f>INDEX([2]!tbl_Forecast,MATCH($D$8&amp;$C24&amp;$D$7,[2]!rng_ForecastRowLookup,0),MATCH(R$11,[2]!rng_ForecastColumnLookup,0))</f>
        <v>0.14510580631504899</v>
      </c>
      <c r="S24" s="112">
        <f>INDEX([2]!tbl_Forecast,MATCH($D$8&amp;$C24&amp;$D$7,[2]!rng_ForecastRowLookup,0),MATCH(S$11,[2]!rng_ForecastColumnLookup,0))</f>
        <v>0.15272706829792246</v>
      </c>
      <c r="T24" s="112">
        <f>INDEX([2]!tbl_Forecast,MATCH($D$8&amp;$C24&amp;$D$7,[2]!rng_ForecastRowLookup,0),MATCH(T$11,[2]!rng_ForecastColumnLookup,0))</f>
        <v>0.14104647748606622</v>
      </c>
      <c r="U24" s="112">
        <f>INDEX([2]!tbl_Forecast,MATCH($D$8&amp;$C24&amp;$D$7,[2]!rng_ForecastRowLookup,0),MATCH(U$11,[2]!rng_ForecastColumnLookup,0))</f>
        <v>0.11700741064540764</v>
      </c>
      <c r="V24" s="112">
        <f>INDEX([2]!tbl_Forecast,MATCH($D$8&amp;$C24&amp;$D$7,[2]!rng_ForecastRowLookup,0),MATCH(V$11,[2]!rng_ForecastColumnLookup,0))</f>
        <v>0.1200067315077773</v>
      </c>
      <c r="W24" s="112">
        <f>INDEX([2]!tbl_Forecast,MATCH($D$8&amp;$C24&amp;$D$7,[2]!rng_ForecastRowLookup,0),MATCH(W$11,[2]!rng_ForecastColumnLookup,0))</f>
        <v>0.11457442878633581</v>
      </c>
      <c r="X24" s="112">
        <f>INDEX([2]!tbl_Forecast,MATCH($D$8&amp;$C24&amp;$D$7,[2]!rng_ForecastRowLookup,0),MATCH(X$11,[2]!rng_ForecastColumnLookup,0))</f>
        <v>0.1211768182439132</v>
      </c>
      <c r="Y24" s="45"/>
    </row>
    <row r="25" spans="2:25">
      <c r="C25" s="20" t="s">
        <v>378</v>
      </c>
      <c r="E25" s="112">
        <f>INDEX([2]!tbl_Forecast,MATCH($D$8&amp;$C25&amp;$D$7,[2]!rng_ForecastRowLookup,0),MATCH(E$11,[2]!rng_ForecastColumnLookup,0))</f>
        <v>0.46894871790011039</v>
      </c>
      <c r="F25" s="112">
        <f>INDEX([2]!tbl_Forecast,MATCH($D$8&amp;$C25&amp;$D$7,[2]!rng_ForecastRowLookup,0),MATCH(F$11,[2]!rng_ForecastColumnLookup,0))</f>
        <v>0.47387410836125871</v>
      </c>
      <c r="G25" s="112">
        <f>INDEX([2]!tbl_Forecast,MATCH($D$8&amp;$C25&amp;$D$7,[2]!rng_ForecastRowLookup,0),MATCH(G$11,[2]!rng_ForecastColumnLookup,0))</f>
        <v>0.45144590813821411</v>
      </c>
      <c r="H25" s="112">
        <f>INDEX([2]!tbl_Forecast,MATCH($D$8&amp;$C25&amp;$D$7,[2]!rng_ForecastRowLookup,0),MATCH(H$11,[2]!rng_ForecastColumnLookup,0))</f>
        <v>0.4505136151455652</v>
      </c>
      <c r="I25" s="112">
        <f>INDEX([2]!tbl_Forecast,MATCH($D$8&amp;$C25&amp;$D$7,[2]!rng_ForecastRowLookup,0),MATCH(I$11,[2]!rng_ForecastColumnLookup,0))</f>
        <v>0.44778046039172248</v>
      </c>
      <c r="J25" s="112">
        <f>INDEX([2]!tbl_Forecast,MATCH($D$8&amp;$C25&amp;$D$7,[2]!rng_ForecastRowLookup,0),MATCH(J$11,[2]!rng_ForecastColumnLookup,0))</f>
        <v>0.44523396067124349</v>
      </c>
      <c r="K25" s="112">
        <f>INDEX([2]!tbl_Forecast,MATCH($D$8&amp;$C25&amp;$D$7,[2]!rng_ForecastRowLookup,0),MATCH(K$11,[2]!rng_ForecastColumnLookup,0))</f>
        <v>0.44273536313864043</v>
      </c>
      <c r="L25" s="112">
        <f>INDEX([2]!tbl_Forecast,MATCH($D$8&amp;$C25&amp;$D$7,[2]!rng_ForecastRowLookup,0),MATCH(L$11,[2]!rng_ForecastColumnLookup,0))</f>
        <v>0.4399078135546039</v>
      </c>
      <c r="M25" s="112">
        <f>INDEX([2]!tbl_Forecast,MATCH($D$8&amp;$C25&amp;$D$7,[2]!rng_ForecastRowLookup,0),MATCH(M$11,[2]!rng_ForecastColumnLookup,0))</f>
        <v>0.43708606600163591</v>
      </c>
      <c r="N25" s="112">
        <f>INDEX([2]!tbl_Forecast,MATCH($D$8&amp;$C25&amp;$D$7,[2]!rng_ForecastRowLookup,0),MATCH(N$11,[2]!rng_ForecastColumnLookup,0))</f>
        <v>0.43513915585550955</v>
      </c>
      <c r="O25" s="112">
        <f>INDEX([2]!tbl_Forecast,MATCH($D$8&amp;$C25&amp;$D$7,[2]!rng_ForecastRowLookup,0),MATCH(O$11,[2]!rng_ForecastColumnLookup,0))</f>
        <v>0.43580404899906589</v>
      </c>
      <c r="P25" s="112">
        <f>INDEX([2]!tbl_Forecast,MATCH($D$8&amp;$C25&amp;$D$7,[2]!rng_ForecastRowLookup,0),MATCH(P$11,[2]!rng_ForecastColumnLookup,0))</f>
        <v>0.59161866303702282</v>
      </c>
      <c r="Q25" s="112">
        <f>INDEX([2]!tbl_Forecast,MATCH($D$8&amp;$C25&amp;$D$7,[2]!rng_ForecastRowLookup,0),MATCH(Q$11,[2]!rng_ForecastColumnLookup,0))</f>
        <v>0.66467702134516005</v>
      </c>
      <c r="R25" s="112">
        <f>INDEX([2]!tbl_Forecast,MATCH($D$8&amp;$C25&amp;$D$7,[2]!rng_ForecastRowLookup,0),MATCH(R$11,[2]!rng_ForecastColumnLookup,0))</f>
        <v>0.65353995366480533</v>
      </c>
      <c r="S25" s="112">
        <f>INDEX([2]!tbl_Forecast,MATCH($D$8&amp;$C25&amp;$D$7,[2]!rng_ForecastRowLookup,0),MATCH(S$11,[2]!rng_ForecastColumnLookup,0))</f>
        <v>0.676060915960916</v>
      </c>
      <c r="T25" s="112">
        <f>INDEX([2]!tbl_Forecast,MATCH($D$8&amp;$C25&amp;$D$7,[2]!rng_ForecastRowLookup,0),MATCH(T$11,[2]!rng_ForecastColumnLookup,0))</f>
        <v>0.70559825286541389</v>
      </c>
      <c r="U25" s="112">
        <f>INDEX([2]!tbl_Forecast,MATCH($D$8&amp;$C25&amp;$D$7,[2]!rng_ForecastRowLookup,0),MATCH(U$11,[2]!rng_ForecastColumnLookup,0))</f>
        <v>0.63206878506691044</v>
      </c>
      <c r="V25" s="112">
        <f>INDEX([2]!tbl_Forecast,MATCH($D$8&amp;$C25&amp;$D$7,[2]!rng_ForecastRowLookup,0),MATCH(V$11,[2]!rng_ForecastColumnLookup,0))</f>
        <v>0.63726309269471215</v>
      </c>
      <c r="W25" s="112">
        <f>INDEX([2]!tbl_Forecast,MATCH($D$8&amp;$C25&amp;$D$7,[2]!rng_ForecastRowLookup,0),MATCH(W$11,[2]!rng_ForecastColumnLookup,0))</f>
        <v>0.5828366650853003</v>
      </c>
      <c r="X25" s="112">
        <f>INDEX([2]!tbl_Forecast,MATCH($D$8&amp;$C25&amp;$D$7,[2]!rng_ForecastRowLookup,0),MATCH(X$11,[2]!rng_ForecastColumnLookup,0))</f>
        <v>0.63928201324113043</v>
      </c>
      <c r="Y25" s="45"/>
    </row>
    <row r="26" spans="2:25">
      <c r="C26" s="20" t="s">
        <v>379</v>
      </c>
      <c r="E26" s="112">
        <f>INDEX([2]!tbl_Forecast,MATCH($D$8&amp;$C26&amp;$D$7,[2]!rng_ForecastRowLookup,0),MATCH(E$11,[2]!rng_ForecastColumnLookup,0))</f>
        <v>1.0326774321313152</v>
      </c>
      <c r="F26" s="112">
        <f>INDEX([2]!tbl_Forecast,MATCH($D$8&amp;$C26&amp;$D$7,[2]!rng_ForecastRowLookup,0),MATCH(F$11,[2]!rng_ForecastColumnLookup,0))</f>
        <v>1.0158776160943388</v>
      </c>
      <c r="G26" s="112">
        <f>INDEX([2]!tbl_Forecast,MATCH($D$8&amp;$C26&amp;$D$7,[2]!rng_ForecastRowLookup,0),MATCH(G$11,[2]!rng_ForecastColumnLookup,0))</f>
        <v>0.74304915446037911</v>
      </c>
      <c r="H26" s="112">
        <f>INDEX([2]!tbl_Forecast,MATCH($D$8&amp;$C26&amp;$D$7,[2]!rng_ForecastRowLookup,0),MATCH(H$11,[2]!rng_ForecastColumnLookup,0))</f>
        <v>0.76054102414226543</v>
      </c>
      <c r="I26" s="112">
        <f>INDEX([2]!tbl_Forecast,MATCH($D$8&amp;$C26&amp;$D$7,[2]!rng_ForecastRowLookup,0),MATCH(I$11,[2]!rng_ForecastColumnLookup,0))</f>
        <v>0.65616402459427536</v>
      </c>
      <c r="J26" s="112">
        <f>INDEX([2]!tbl_Forecast,MATCH($D$8&amp;$C26&amp;$D$7,[2]!rng_ForecastRowLookup,0),MATCH(J$11,[2]!rng_ForecastColumnLookup,0))</f>
        <v>0.62755023267601961</v>
      </c>
      <c r="K26" s="112">
        <f>INDEX([2]!tbl_Forecast,MATCH($D$8&amp;$C26&amp;$D$7,[2]!rng_ForecastRowLookup,0),MATCH(K$11,[2]!rng_ForecastColumnLookup,0))</f>
        <v>0.61023293273354484</v>
      </c>
      <c r="L26" s="112">
        <f>INDEX([2]!tbl_Forecast,MATCH($D$8&amp;$C26&amp;$D$7,[2]!rng_ForecastRowLookup,0),MATCH(L$11,[2]!rng_ForecastColumnLookup,0))</f>
        <v>0.60571699788717037</v>
      </c>
      <c r="M26" s="112">
        <f>INDEX([2]!tbl_Forecast,MATCH($D$8&amp;$C26&amp;$D$7,[2]!rng_ForecastRowLookup,0),MATCH(M$11,[2]!rng_ForecastColumnLookup,0))</f>
        <v>0.65097903457434547</v>
      </c>
      <c r="N26" s="112">
        <f>INDEX([2]!tbl_Forecast,MATCH($D$8&amp;$C26&amp;$D$7,[2]!rng_ForecastRowLookup,0),MATCH(N$11,[2]!rng_ForecastColumnLookup,0))</f>
        <v>0.69319811486407867</v>
      </c>
      <c r="O26" s="112">
        <f>INDEX([2]!tbl_Forecast,MATCH($D$8&amp;$C26&amp;$D$7,[2]!rng_ForecastRowLookup,0),MATCH(O$11,[2]!rng_ForecastColumnLookup,0))</f>
        <v>0.78843795894088464</v>
      </c>
      <c r="P26" s="112">
        <f>INDEX([2]!tbl_Forecast,MATCH($D$8&amp;$C26&amp;$D$7,[2]!rng_ForecastRowLookup,0),MATCH(P$11,[2]!rng_ForecastColumnLookup,0))</f>
        <v>1.3645659476947984</v>
      </c>
      <c r="Q26" s="112">
        <f>INDEX([2]!tbl_Forecast,MATCH($D$8&amp;$C26&amp;$D$7,[2]!rng_ForecastRowLookup,0),MATCH(Q$11,[2]!rng_ForecastColumnLookup,0))</f>
        <v>1.6032227373726178</v>
      </c>
      <c r="R26" s="112">
        <f>INDEX([2]!tbl_Forecast,MATCH($D$8&amp;$C26&amp;$D$7,[2]!rng_ForecastRowLookup,0),MATCH(R$11,[2]!rng_ForecastColumnLookup,0))</f>
        <v>1.6412696995684901</v>
      </c>
      <c r="S26" s="112">
        <f>INDEX([2]!tbl_Forecast,MATCH($D$8&amp;$C26&amp;$D$7,[2]!rng_ForecastRowLookup,0),MATCH(S$11,[2]!rng_ForecastColumnLookup,0))</f>
        <v>1.670283030615213</v>
      </c>
      <c r="T26" s="112">
        <f>INDEX([2]!tbl_Forecast,MATCH($D$8&amp;$C26&amp;$D$7,[2]!rng_ForecastRowLookup,0),MATCH(T$11,[2]!rng_ForecastColumnLookup,0))</f>
        <v>1.755661848186447</v>
      </c>
      <c r="U26" s="112">
        <f>INDEX([2]!tbl_Forecast,MATCH($D$8&amp;$C26&amp;$D$7,[2]!rng_ForecastRowLookup,0),MATCH(U$11,[2]!rng_ForecastColumnLookup,0))</f>
        <v>1.4871375295645746</v>
      </c>
      <c r="V26" s="112">
        <f>INDEX([2]!tbl_Forecast,MATCH($D$8&amp;$C26&amp;$D$7,[2]!rng_ForecastRowLookup,0),MATCH(V$11,[2]!rng_ForecastColumnLookup,0))</f>
        <v>1.4400033906080374</v>
      </c>
      <c r="W26" s="112">
        <f>INDEX([2]!tbl_Forecast,MATCH($D$8&amp;$C26&amp;$D$7,[2]!rng_ForecastRowLookup,0),MATCH(W$11,[2]!rng_ForecastColumnLookup,0))</f>
        <v>1.3499648074414823</v>
      </c>
      <c r="X26" s="112">
        <f>INDEX([2]!tbl_Forecast,MATCH($D$8&amp;$C26&amp;$D$7,[2]!rng_ForecastRowLookup,0),MATCH(X$11,[2]!rng_ForecastColumnLookup,0))</f>
        <v>1.4487057151095009</v>
      </c>
      <c r="Y26" s="45"/>
    </row>
    <row r="27" spans="2:25">
      <c r="C27" s="20" t="s">
        <v>380</v>
      </c>
      <c r="E27" s="112">
        <f>INDEX([2]!tbl_Forecast,MATCH($D$8&amp;$C27&amp;$D$7,[2]!rng_ForecastRowLookup,0),MATCH(E$11,[2]!rng_ForecastColumnLookup,0))</f>
        <v>4.1336070304911159</v>
      </c>
      <c r="F27" s="112">
        <f>INDEX([2]!tbl_Forecast,MATCH($D$8&amp;$C27&amp;$D$7,[2]!rng_ForecastRowLookup,0),MATCH(F$11,[2]!rng_ForecastColumnLookup,0))</f>
        <v>3.5601449453189118</v>
      </c>
      <c r="G27" s="112">
        <f>INDEX([2]!tbl_Forecast,MATCH($D$8&amp;$C27&amp;$D$7,[2]!rng_ForecastRowLookup,0),MATCH(G$11,[2]!rng_ForecastColumnLookup,0))</f>
        <v>3.2007770264658664</v>
      </c>
      <c r="H27" s="112">
        <f>INDEX([2]!tbl_Forecast,MATCH($D$8&amp;$C27&amp;$D$7,[2]!rng_ForecastRowLookup,0),MATCH(H$11,[2]!rng_ForecastColumnLookup,0))</f>
        <v>2.6531465767673241</v>
      </c>
      <c r="I27" s="112">
        <f>INDEX([2]!tbl_Forecast,MATCH($D$8&amp;$C27&amp;$D$7,[2]!rng_ForecastRowLookup,0),MATCH(I$11,[2]!rng_ForecastColumnLookup,0))</f>
        <v>1.8730082465149496</v>
      </c>
      <c r="J27" s="112">
        <f>INDEX([2]!tbl_Forecast,MATCH($D$8&amp;$C27&amp;$D$7,[2]!rng_ForecastRowLookup,0),MATCH(J$11,[2]!rng_ForecastColumnLookup,0))</f>
        <v>1.6467285324389391</v>
      </c>
      <c r="K27" s="112">
        <f>INDEX([2]!tbl_Forecast,MATCH($D$8&amp;$C27&amp;$D$7,[2]!rng_ForecastRowLookup,0),MATCH(K$11,[2]!rng_ForecastColumnLookup,0))</f>
        <v>1.5196240263467067</v>
      </c>
      <c r="L27" s="112">
        <f>INDEX([2]!tbl_Forecast,MATCH($D$8&amp;$C27&amp;$D$7,[2]!rng_ForecastRowLookup,0),MATCH(L$11,[2]!rng_ForecastColumnLookup,0))</f>
        <v>1.3328145698119136</v>
      </c>
      <c r="M27" s="112">
        <f>INDEX([2]!tbl_Forecast,MATCH($D$8&amp;$C27&amp;$D$7,[2]!rng_ForecastRowLookup,0),MATCH(M$11,[2]!rng_ForecastColumnLookup,0))</f>
        <v>1.3372342578617185</v>
      </c>
      <c r="N27" s="112">
        <f>INDEX([2]!tbl_Forecast,MATCH($D$8&amp;$C27&amp;$D$7,[2]!rng_ForecastRowLookup,0),MATCH(N$11,[2]!rng_ForecastColumnLookup,0))</f>
        <v>1.4086686461757902</v>
      </c>
      <c r="O27" s="112">
        <f>INDEX([2]!tbl_Forecast,MATCH($D$8&amp;$C27&amp;$D$7,[2]!rng_ForecastRowLookup,0),MATCH(O$11,[2]!rng_ForecastColumnLookup,0))</f>
        <v>1.6725933548501446</v>
      </c>
      <c r="P27" s="112">
        <f>INDEX([2]!tbl_Forecast,MATCH($D$8&amp;$C27&amp;$D$7,[2]!rng_ForecastRowLookup,0),MATCH(P$11,[2]!rng_ForecastColumnLookup,0))</f>
        <v>2.0158466086985318</v>
      </c>
      <c r="Q27" s="112">
        <f>INDEX([2]!tbl_Forecast,MATCH($D$8&amp;$C27&amp;$D$7,[2]!rng_ForecastRowLookup,0),MATCH(Q$11,[2]!rng_ForecastColumnLookup,0))</f>
        <v>2.3033709594417431</v>
      </c>
      <c r="R27" s="112">
        <f>INDEX([2]!tbl_Forecast,MATCH($D$8&amp;$C27&amp;$D$7,[2]!rng_ForecastRowLookup,0),MATCH(R$11,[2]!rng_ForecastColumnLookup,0))</f>
        <v>2.063930246052466</v>
      </c>
      <c r="S27" s="112">
        <f>INDEX([2]!tbl_Forecast,MATCH($D$8&amp;$C27&amp;$D$7,[2]!rng_ForecastRowLookup,0),MATCH(S$11,[2]!rng_ForecastColumnLookup,0))</f>
        <v>1.9880083370090949</v>
      </c>
      <c r="T27" s="112">
        <f>INDEX([2]!tbl_Forecast,MATCH($D$8&amp;$C27&amp;$D$7,[2]!rng_ForecastRowLookup,0),MATCH(T$11,[2]!rng_ForecastColumnLookup,0))</f>
        <v>1.9342270452860566</v>
      </c>
      <c r="U27" s="112">
        <f>INDEX([2]!tbl_Forecast,MATCH($D$8&amp;$C27&amp;$D$7,[2]!rng_ForecastRowLookup,0),MATCH(U$11,[2]!rng_ForecastColumnLookup,0))</f>
        <v>1.774507966199161</v>
      </c>
      <c r="V27" s="112">
        <f>INDEX([2]!tbl_Forecast,MATCH($D$8&amp;$C27&amp;$D$7,[2]!rng_ForecastRowLookup,0),MATCH(V$11,[2]!rng_ForecastColumnLookup,0))</f>
        <v>1.6723841845019074</v>
      </c>
      <c r="W27" s="112">
        <f>INDEX([2]!tbl_Forecast,MATCH($D$8&amp;$C27&amp;$D$7,[2]!rng_ForecastRowLookup,0),MATCH(W$11,[2]!rng_ForecastColumnLookup,0))</f>
        <v>1.5414284807799123</v>
      </c>
      <c r="X27" s="112">
        <f>INDEX([2]!tbl_Forecast,MATCH($D$8&amp;$C27&amp;$D$7,[2]!rng_ForecastRowLookup,0),MATCH(X$11,[2]!rng_ForecastColumnLookup,0))</f>
        <v>1.5563040522680198</v>
      </c>
      <c r="Y27" s="45"/>
    </row>
    <row r="28" spans="2:25">
      <c r="C28" s="98" t="s">
        <v>396</v>
      </c>
      <c r="E28" s="112">
        <f>INDEX([2]!tbl_Forecast,MATCH($D$8&amp;$C28&amp;$D$7,[2]!rng_ForecastRowLookup,0),MATCH(E$11,[2]!rng_ForecastColumnLookup,0))</f>
        <v>4.5029406937179912</v>
      </c>
      <c r="F28" s="112">
        <f>INDEX([2]!tbl_Forecast,MATCH($D$8&amp;$C28&amp;$D$7,[2]!rng_ForecastRowLookup,0),MATCH(F$11,[2]!rng_ForecastColumnLookup,0))</f>
        <v>4.0786070344439063</v>
      </c>
      <c r="G28" s="112">
        <f>INDEX([2]!tbl_Forecast,MATCH($D$8&amp;$C28&amp;$D$7,[2]!rng_ForecastRowLookup,0),MATCH(G$11,[2]!rng_ForecastColumnLookup,0))</f>
        <v>3.5919834720533679</v>
      </c>
      <c r="H28" s="112">
        <f>INDEX([2]!tbl_Forecast,MATCH($D$8&amp;$C28&amp;$D$7,[2]!rng_ForecastRowLookup,0),MATCH(H$11,[2]!rng_ForecastColumnLookup,0))</f>
        <v>3.0400934926407626</v>
      </c>
      <c r="I28" s="112">
        <f>INDEX([2]!tbl_Forecast,MATCH($D$8&amp;$C28&amp;$D$7,[2]!rng_ForecastRowLookup,0),MATCH(I$11,[2]!rng_ForecastColumnLookup,0))</f>
        <v>2.3018670718031324</v>
      </c>
      <c r="J28" s="112">
        <f>INDEX([2]!tbl_Forecast,MATCH($D$8&amp;$C28&amp;$D$7,[2]!rng_ForecastRowLookup,0),MATCH(J$11,[2]!rng_ForecastColumnLookup,0))</f>
        <v>2.1321468422073435</v>
      </c>
      <c r="K28" s="112">
        <f>INDEX([2]!tbl_Forecast,MATCH($D$8&amp;$C28&amp;$D$7,[2]!rng_ForecastRowLookup,0),MATCH(K$11,[2]!rng_ForecastColumnLookup,0))</f>
        <v>1.9771504564110642</v>
      </c>
      <c r="L28" s="112">
        <f>INDEX([2]!tbl_Forecast,MATCH($D$8&amp;$C28&amp;$D$7,[2]!rng_ForecastRowLookup,0),MATCH(L$11,[2]!rng_ForecastColumnLookup,0))</f>
        <v>1.8096072137015302</v>
      </c>
      <c r="M28" s="112">
        <f>INDEX([2]!tbl_Forecast,MATCH($D$8&amp;$C28&amp;$D$7,[2]!rng_ForecastRowLookup,0),MATCH(M$11,[2]!rng_ForecastColumnLookup,0))</f>
        <v>1.9023478055732992</v>
      </c>
      <c r="N28" s="112">
        <f>INDEX([2]!tbl_Forecast,MATCH($D$8&amp;$C28&amp;$D$7,[2]!rng_ForecastRowLookup,0),MATCH(N$11,[2]!rng_ForecastColumnLookup,0))</f>
        <v>2.0129777404511922</v>
      </c>
      <c r="O28" s="112">
        <f>INDEX([2]!tbl_Forecast,MATCH($D$8&amp;$C28&amp;$D$7,[2]!rng_ForecastRowLookup,0),MATCH(O$11,[2]!rng_ForecastColumnLookup,0))</f>
        <v>2.304026079874093</v>
      </c>
      <c r="P28" s="112">
        <f>INDEX([2]!tbl_Forecast,MATCH($D$8&amp;$C28&amp;$D$7,[2]!rng_ForecastRowLookup,0),MATCH(P$11,[2]!rng_ForecastColumnLookup,0))</f>
        <v>2.7992417645016405</v>
      </c>
      <c r="Q28" s="112">
        <f>INDEX([2]!tbl_Forecast,MATCH($D$8&amp;$C28&amp;$D$7,[2]!rng_ForecastRowLookup,0),MATCH(Q$11,[2]!rng_ForecastColumnLookup,0))</f>
        <v>3.0682339807477179</v>
      </c>
      <c r="R28" s="112">
        <f>INDEX([2]!tbl_Forecast,MATCH($D$8&amp;$C28&amp;$D$7,[2]!rng_ForecastRowLookup,0),MATCH(R$11,[2]!rng_ForecastColumnLookup,0))</f>
        <v>2.7441690138981158</v>
      </c>
      <c r="S28" s="112">
        <f>INDEX([2]!tbl_Forecast,MATCH($D$8&amp;$C28&amp;$D$7,[2]!rng_ForecastRowLookup,0),MATCH(S$11,[2]!rng_ForecastColumnLookup,0))</f>
        <v>2.8046561391012603</v>
      </c>
      <c r="T28" s="112">
        <f>INDEX([2]!tbl_Forecast,MATCH($D$8&amp;$C28&amp;$D$7,[2]!rng_ForecastRowLookup,0),MATCH(T$11,[2]!rng_ForecastColumnLookup,0))</f>
        <v>2.7282838662201567</v>
      </c>
      <c r="U28" s="112">
        <f>INDEX([2]!tbl_Forecast,MATCH($D$8&amp;$C28&amp;$D$7,[2]!rng_ForecastRowLookup,0),MATCH(U$11,[2]!rng_ForecastColumnLookup,0))</f>
        <v>2.4959637785038216</v>
      </c>
      <c r="V28" s="112">
        <f>INDEX([2]!tbl_Forecast,MATCH($D$8&amp;$C28&amp;$D$7,[2]!rng_ForecastRowLookup,0),MATCH(V$11,[2]!rng_ForecastColumnLookup,0))</f>
        <v>2.4392052334479857</v>
      </c>
      <c r="W28" s="112">
        <f>INDEX([2]!tbl_Forecast,MATCH($D$8&amp;$C28&amp;$D$7,[2]!rng_ForecastRowLookup,0),MATCH(W$11,[2]!rng_ForecastColumnLookup,0))</f>
        <v>2.3386950979959957</v>
      </c>
      <c r="X28" s="112">
        <f>INDEX([2]!tbl_Forecast,MATCH($D$8&amp;$C28&amp;$D$7,[2]!rng_ForecastRowLookup,0),MATCH(X$11,[2]!rng_ForecastColumnLookup,0))</f>
        <v>2.3103955399373803</v>
      </c>
      <c r="Y28" s="45"/>
    </row>
    <row r="29" spans="2:25">
      <c r="C29" s="20" t="s">
        <v>381</v>
      </c>
      <c r="E29" s="112">
        <f>INDEX([2]!tbl_Forecast,MATCH($D$8&amp;$C29&amp;$D$7,[2]!rng_ForecastRowLookup,0),MATCH(E$11,[2]!rng_ForecastColumnLookup,0))</f>
        <v>3.1854829351393543</v>
      </c>
      <c r="F29" s="112">
        <f>INDEX([2]!tbl_Forecast,MATCH($D$8&amp;$C29&amp;$D$7,[2]!rng_ForecastRowLookup,0),MATCH(F$11,[2]!rng_ForecastColumnLookup,0))</f>
        <v>3.1699057451518957</v>
      </c>
      <c r="G29" s="112">
        <f>INDEX([2]!tbl_Forecast,MATCH($D$8&amp;$C29&amp;$D$7,[2]!rng_ForecastRowLookup,0),MATCH(G$11,[2]!rng_ForecastColumnLookup,0))</f>
        <v>2.2628528186826316</v>
      </c>
      <c r="H29" s="112">
        <f>INDEX([2]!tbl_Forecast,MATCH($D$8&amp;$C29&amp;$D$7,[2]!rng_ForecastRowLookup,0),MATCH(H$11,[2]!rng_ForecastColumnLookup,0))</f>
        <v>2.6023617076700645</v>
      </c>
      <c r="I29" s="112">
        <f>INDEX([2]!tbl_Forecast,MATCH($D$8&amp;$C29&amp;$D$7,[2]!rng_ForecastRowLookup,0),MATCH(I$11,[2]!rng_ForecastColumnLookup,0))</f>
        <v>2.2919684786454506</v>
      </c>
      <c r="J29" s="112">
        <f>INDEX([2]!tbl_Forecast,MATCH($D$8&amp;$C29&amp;$D$7,[2]!rng_ForecastRowLookup,0),MATCH(J$11,[2]!rng_ForecastColumnLookup,0))</f>
        <v>2.1556450092355899</v>
      </c>
      <c r="K29" s="112">
        <f>INDEX([2]!tbl_Forecast,MATCH($D$8&amp;$C29&amp;$D$7,[2]!rng_ForecastRowLookup,0),MATCH(K$11,[2]!rng_ForecastColumnLookup,0))</f>
        <v>1.4820394508668711</v>
      </c>
      <c r="L29" s="112">
        <f>INDEX([2]!tbl_Forecast,MATCH($D$8&amp;$C29&amp;$D$7,[2]!rng_ForecastRowLookup,0),MATCH(L$11,[2]!rng_ForecastColumnLookup,0))</f>
        <v>1.5603361472368396</v>
      </c>
      <c r="M29" s="112">
        <f>INDEX([2]!tbl_Forecast,MATCH($D$8&amp;$C29&amp;$D$7,[2]!rng_ForecastRowLookup,0),MATCH(M$11,[2]!rng_ForecastColumnLookup,0))</f>
        <v>2.3546097038898557</v>
      </c>
      <c r="N29" s="112">
        <f>INDEX([2]!tbl_Forecast,MATCH($D$8&amp;$C29&amp;$D$7,[2]!rng_ForecastRowLookup,0),MATCH(N$11,[2]!rng_ForecastColumnLookup,0))</f>
        <v>3.2740386396924066</v>
      </c>
      <c r="O29" s="112">
        <f>INDEX([2]!tbl_Forecast,MATCH($D$8&amp;$C29&amp;$D$7,[2]!rng_ForecastRowLookup,0),MATCH(O$11,[2]!rng_ForecastColumnLookup,0))</f>
        <v>3.6241751874536021</v>
      </c>
      <c r="P29" s="112">
        <f>INDEX([2]!tbl_Forecast,MATCH($D$8&amp;$C29&amp;$D$7,[2]!rng_ForecastRowLookup,0),MATCH(P$11,[2]!rng_ForecastColumnLookup,0))</f>
        <v>4.4420137300219826</v>
      </c>
      <c r="Q29" s="112">
        <f>INDEX([2]!tbl_Forecast,MATCH($D$8&amp;$C29&amp;$D$7,[2]!rng_ForecastRowLookup,0),MATCH(Q$11,[2]!rng_ForecastColumnLookup,0))</f>
        <v>5.8224273473135861</v>
      </c>
      <c r="R29" s="112">
        <f>INDEX([2]!tbl_Forecast,MATCH($D$8&amp;$C29&amp;$D$7,[2]!rng_ForecastRowLookup,0),MATCH(R$11,[2]!rng_ForecastColumnLookup,0))</f>
        <v>6.4604400946422142</v>
      </c>
      <c r="S29" s="112">
        <f>INDEX([2]!tbl_Forecast,MATCH($D$8&amp;$C29&amp;$D$7,[2]!rng_ForecastRowLookup,0),MATCH(S$11,[2]!rng_ForecastColumnLookup,0))</f>
        <v>6.9014803298142597</v>
      </c>
      <c r="T29" s="112">
        <f>INDEX([2]!tbl_Forecast,MATCH($D$8&amp;$C29&amp;$D$7,[2]!rng_ForecastRowLookup,0),MATCH(T$11,[2]!rng_ForecastColumnLookup,0))</f>
        <v>6.748515751490312</v>
      </c>
      <c r="U29" s="112">
        <f>INDEX([2]!tbl_Forecast,MATCH($D$8&amp;$C29&amp;$D$7,[2]!rng_ForecastRowLookup,0),MATCH(U$11,[2]!rng_ForecastColumnLookup,0))</f>
        <v>6.4364694734288266</v>
      </c>
      <c r="V29" s="112">
        <f>INDEX([2]!tbl_Forecast,MATCH($D$8&amp;$C29&amp;$D$7,[2]!rng_ForecastRowLookup,0),MATCH(V$11,[2]!rng_ForecastColumnLookup,0))</f>
        <v>6.3053235195290611</v>
      </c>
      <c r="W29" s="112">
        <f>INDEX([2]!tbl_Forecast,MATCH($D$8&amp;$C29&amp;$D$7,[2]!rng_ForecastRowLookup,0),MATCH(W$11,[2]!rng_ForecastColumnLookup,0))</f>
        <v>6.2236620394663484</v>
      </c>
      <c r="X29" s="112">
        <f>INDEX([2]!tbl_Forecast,MATCH($D$8&amp;$C29&amp;$D$7,[2]!rng_ForecastRowLookup,0),MATCH(X$11,[2]!rng_ForecastColumnLookup,0))</f>
        <v>6.0386522880717726</v>
      </c>
      <c r="Y29" s="45"/>
    </row>
    <row r="30" spans="2:25">
      <c r="C30" s="20" t="s">
        <v>382</v>
      </c>
      <c r="E30" s="112">
        <f>INDEX([2]!tbl_Forecast,MATCH($D$8&amp;$C30&amp;$D$7,[2]!rng_ForecastRowLookup,0),MATCH(E$11,[2]!rng_ForecastColumnLookup,0))</f>
        <v>12.863107129152304</v>
      </c>
      <c r="F30" s="112">
        <f>INDEX([2]!tbl_Forecast,MATCH($D$8&amp;$C30&amp;$D$7,[2]!rng_ForecastRowLookup,0),MATCH(F$11,[2]!rng_ForecastColumnLookup,0))</f>
        <v>10.7220378193485</v>
      </c>
      <c r="G30" s="112">
        <f>INDEX([2]!tbl_Forecast,MATCH($D$8&amp;$C30&amp;$D$7,[2]!rng_ForecastRowLookup,0),MATCH(G$11,[2]!rng_ForecastColumnLookup,0))</f>
        <v>10.142128438066296</v>
      </c>
      <c r="H30" s="112">
        <f>INDEX([2]!tbl_Forecast,MATCH($D$8&amp;$C30&amp;$D$7,[2]!rng_ForecastRowLookup,0),MATCH(H$11,[2]!rng_ForecastColumnLookup,0))</f>
        <v>9.4611923499879236</v>
      </c>
      <c r="I30" s="112">
        <f>INDEX([2]!tbl_Forecast,MATCH($D$8&amp;$C30&amp;$D$7,[2]!rng_ForecastRowLookup,0),MATCH(I$11,[2]!rng_ForecastColumnLookup,0))</f>
        <v>7.3638556881373223</v>
      </c>
      <c r="J30" s="112">
        <f>INDEX([2]!tbl_Forecast,MATCH($D$8&amp;$C30&amp;$D$7,[2]!rng_ForecastRowLookup,0),MATCH(J$11,[2]!rng_ForecastColumnLookup,0))</f>
        <v>8.1591439254269407</v>
      </c>
      <c r="K30" s="112">
        <f>INDEX([2]!tbl_Forecast,MATCH($D$8&amp;$C30&amp;$D$7,[2]!rng_ForecastRowLookup,0),MATCH(K$11,[2]!rng_ForecastColumnLookup,0))</f>
        <v>7.9603673258815011</v>
      </c>
      <c r="L30" s="112">
        <f>INDEX([2]!tbl_Forecast,MATCH($D$8&amp;$C30&amp;$D$7,[2]!rng_ForecastRowLookup,0),MATCH(L$11,[2]!rng_ForecastColumnLookup,0))</f>
        <v>8.6026166911432824</v>
      </c>
      <c r="M30" s="112">
        <f>INDEX([2]!tbl_Forecast,MATCH($D$8&amp;$C30&amp;$D$7,[2]!rng_ForecastRowLookup,0),MATCH(M$11,[2]!rng_ForecastColumnLookup,0))</f>
        <v>9.3207800366095146</v>
      </c>
      <c r="N30" s="112">
        <f>INDEX([2]!tbl_Forecast,MATCH($D$8&amp;$C30&amp;$D$7,[2]!rng_ForecastRowLookup,0),MATCH(N$11,[2]!rng_ForecastColumnLookup,0))</f>
        <v>9.0572786632714859</v>
      </c>
      <c r="O30" s="112">
        <f>INDEX([2]!tbl_Forecast,MATCH($D$8&amp;$C30&amp;$D$7,[2]!rng_ForecastRowLookup,0),MATCH(O$11,[2]!rng_ForecastColumnLookup,0))</f>
        <v>10.184423730877143</v>
      </c>
      <c r="P30" s="112">
        <f>INDEX([2]!tbl_Forecast,MATCH($D$8&amp;$C30&amp;$D$7,[2]!rng_ForecastRowLookup,0),MATCH(P$11,[2]!rng_ForecastColumnLookup,0))</f>
        <v>10.787657533789663</v>
      </c>
      <c r="Q30" s="112">
        <f>INDEX([2]!tbl_Forecast,MATCH($D$8&amp;$C30&amp;$D$7,[2]!rng_ForecastRowLookup,0),MATCH(Q$11,[2]!rng_ForecastColumnLookup,0))</f>
        <v>11.005378574708409</v>
      </c>
      <c r="R30" s="112">
        <f>INDEX([2]!tbl_Forecast,MATCH($D$8&amp;$C30&amp;$D$7,[2]!rng_ForecastRowLookup,0),MATCH(R$11,[2]!rng_ForecastColumnLookup,0))</f>
        <v>10.267063981307951</v>
      </c>
      <c r="S30" s="112">
        <f>INDEX([2]!tbl_Forecast,MATCH($D$8&amp;$C30&amp;$D$7,[2]!rng_ForecastRowLookup,0),MATCH(S$11,[2]!rng_ForecastColumnLookup,0))</f>
        <v>11.027475862918971</v>
      </c>
      <c r="T30" s="112">
        <f>INDEX([2]!tbl_Forecast,MATCH($D$8&amp;$C30&amp;$D$7,[2]!rng_ForecastRowLookup,0),MATCH(T$11,[2]!rng_ForecastColumnLookup,0))</f>
        <v>9.9609233822623686</v>
      </c>
      <c r="U30" s="112">
        <f>INDEX([2]!tbl_Forecast,MATCH($D$8&amp;$C30&amp;$D$7,[2]!rng_ForecastRowLookup,0),MATCH(U$11,[2]!rng_ForecastColumnLookup,0))</f>
        <v>10.340047869658916</v>
      </c>
      <c r="V30" s="112">
        <f>INDEX([2]!tbl_Forecast,MATCH($D$8&amp;$C30&amp;$D$7,[2]!rng_ForecastRowLookup,0),MATCH(V$11,[2]!rng_ForecastColumnLookup,0))</f>
        <v>9.8383849729989699</v>
      </c>
      <c r="W30" s="112">
        <f>INDEX([2]!tbl_Forecast,MATCH($D$8&amp;$C30&amp;$D$7,[2]!rng_ForecastRowLookup,0),MATCH(W$11,[2]!rng_ForecastColumnLookup,0))</f>
        <v>9.3282989614436094</v>
      </c>
      <c r="X30" s="112">
        <f>INDEX([2]!tbl_Forecast,MATCH($D$8&amp;$C30&amp;$D$7,[2]!rng_ForecastRowLookup,0),MATCH(X$11,[2]!rng_ForecastColumnLookup,0))</f>
        <v>9.0355729282982153</v>
      </c>
      <c r="Y30" s="45"/>
    </row>
    <row r="31" spans="2:25">
      <c r="B31" s="146"/>
      <c r="E31" s="118">
        <f>SUM(E13:E30)</f>
        <v>57.114297126179473</v>
      </c>
      <c r="F31" s="118">
        <f t="shared" ref="F31:X31" si="2">SUM(F13:F30)</f>
        <v>49.358660888456697</v>
      </c>
      <c r="G31" s="118">
        <f t="shared" si="2"/>
        <v>42.883996361562694</v>
      </c>
      <c r="H31" s="118">
        <f t="shared" si="2"/>
        <v>42.769928168515861</v>
      </c>
      <c r="I31" s="118">
        <f t="shared" si="2"/>
        <v>36.559258837741957</v>
      </c>
      <c r="J31" s="118">
        <f t="shared" si="2"/>
        <v>33.347085593434706</v>
      </c>
      <c r="K31" s="118">
        <f t="shared" si="2"/>
        <v>36.515305616596898</v>
      </c>
      <c r="L31" s="118">
        <f t="shared" si="2"/>
        <v>36.312589546095708</v>
      </c>
      <c r="M31" s="118">
        <f t="shared" si="2"/>
        <v>39.06093852873046</v>
      </c>
      <c r="N31" s="118">
        <f t="shared" si="2"/>
        <v>41.721160397442901</v>
      </c>
      <c r="O31" s="118">
        <f t="shared" si="2"/>
        <v>44.358216248359909</v>
      </c>
      <c r="P31" s="118">
        <f t="shared" si="2"/>
        <v>49.930477203838102</v>
      </c>
      <c r="Q31" s="118">
        <f t="shared" si="2"/>
        <v>53.958732397486379</v>
      </c>
      <c r="R31" s="118">
        <f t="shared" si="2"/>
        <v>51.509803850235102</v>
      </c>
      <c r="S31" s="118">
        <f t="shared" si="2"/>
        <v>54.060467297337325</v>
      </c>
      <c r="T31" s="118">
        <f t="shared" si="2"/>
        <v>52.230061485014218</v>
      </c>
      <c r="U31" s="118">
        <f t="shared" si="2"/>
        <v>51.036230165113999</v>
      </c>
      <c r="V31" s="118">
        <f t="shared" si="2"/>
        <v>48.348219984944222</v>
      </c>
      <c r="W31" s="118">
        <f t="shared" si="2"/>
        <v>47.245952894616551</v>
      </c>
      <c r="X31" s="118">
        <f t="shared" si="2"/>
        <v>47.686700389963214</v>
      </c>
      <c r="Y31" s="117"/>
    </row>
    <row r="32" spans="2:25">
      <c r="E32" s="114"/>
      <c r="F32" s="114"/>
      <c r="G32" s="114"/>
      <c r="H32" s="114"/>
      <c r="I32" s="114"/>
      <c r="J32" s="114"/>
      <c r="K32" s="114"/>
      <c r="L32" s="114"/>
      <c r="M32" s="114"/>
      <c r="N32" s="114"/>
      <c r="O32" s="114"/>
      <c r="P32" s="114"/>
      <c r="Q32" s="114"/>
      <c r="R32" s="114"/>
      <c r="S32" s="114"/>
      <c r="T32" s="114"/>
      <c r="U32" s="114"/>
      <c r="V32" s="114"/>
      <c r="W32" s="114"/>
      <c r="X32" s="114"/>
      <c r="Y32" s="45"/>
    </row>
    <row r="33" spans="1:25">
      <c r="A33" s="42"/>
      <c r="B33" s="42"/>
      <c r="D33" s="42" t="s">
        <v>1258</v>
      </c>
      <c r="E33" s="117"/>
      <c r="F33" s="117"/>
      <c r="G33" s="117"/>
      <c r="H33" s="117"/>
      <c r="I33" s="117"/>
      <c r="J33" s="117"/>
      <c r="K33" s="118"/>
      <c r="L33" s="118"/>
      <c r="M33" s="118"/>
      <c r="N33" s="118"/>
      <c r="O33" s="118"/>
      <c r="P33" s="118"/>
      <c r="Q33" s="118"/>
      <c r="R33" s="118"/>
      <c r="S33" s="118"/>
      <c r="T33" s="118"/>
      <c r="U33" s="118"/>
      <c r="V33" s="118"/>
      <c r="W33" s="118"/>
      <c r="X33" s="118"/>
      <c r="Y33" s="42"/>
    </row>
    <row r="34" spans="1:25">
      <c r="A34" s="47" t="s">
        <v>398</v>
      </c>
      <c r="B34" s="47"/>
      <c r="C34" s="47"/>
      <c r="D34" s="147" t="s">
        <v>47</v>
      </c>
      <c r="E34" s="47">
        <f>E11</f>
        <v>2016</v>
      </c>
      <c r="F34" s="47">
        <f t="shared" ref="F34:X34" si="3">F11</f>
        <v>2017</v>
      </c>
      <c r="G34" s="47">
        <f t="shared" si="3"/>
        <v>2018</v>
      </c>
      <c r="H34" s="47">
        <f t="shared" si="3"/>
        <v>2019</v>
      </c>
      <c r="I34" s="47">
        <f t="shared" si="3"/>
        <v>2020</v>
      </c>
      <c r="J34" s="47">
        <f t="shared" si="3"/>
        <v>2021</v>
      </c>
      <c r="K34" s="47">
        <f t="shared" si="3"/>
        <v>2022</v>
      </c>
      <c r="L34" s="47">
        <f t="shared" si="3"/>
        <v>2023</v>
      </c>
      <c r="M34" s="47">
        <f t="shared" si="3"/>
        <v>2024</v>
      </c>
      <c r="N34" s="47">
        <f t="shared" si="3"/>
        <v>2025</v>
      </c>
      <c r="O34" s="47">
        <f t="shared" si="3"/>
        <v>2026</v>
      </c>
      <c r="P34" s="47">
        <f t="shared" si="3"/>
        <v>2027</v>
      </c>
      <c r="Q34" s="47">
        <f t="shared" si="3"/>
        <v>2028</v>
      </c>
      <c r="R34" s="47">
        <f t="shared" si="3"/>
        <v>2029</v>
      </c>
      <c r="S34" s="47">
        <f t="shared" si="3"/>
        <v>2030</v>
      </c>
      <c r="T34" s="47">
        <f t="shared" si="3"/>
        <v>2031</v>
      </c>
      <c r="U34" s="47">
        <f t="shared" si="3"/>
        <v>2032</v>
      </c>
      <c r="V34" s="47">
        <f t="shared" si="3"/>
        <v>2033</v>
      </c>
      <c r="W34" s="47">
        <f t="shared" si="3"/>
        <v>2034</v>
      </c>
      <c r="X34" s="47">
        <f t="shared" si="3"/>
        <v>2035</v>
      </c>
      <c r="Y34" s="148">
        <v>0.85</v>
      </c>
    </row>
    <row r="35" spans="1:25">
      <c r="A35" s="115" t="str">
        <f>'SC-Retro'!A35</f>
        <v>Units/1000sf in 2016</v>
      </c>
      <c r="B35" s="115" t="s">
        <v>405</v>
      </c>
      <c r="C35" s="47" t="str">
        <f>C8</f>
        <v>Showerheads-Retro</v>
      </c>
      <c r="D35" s="147" t="str">
        <f>VLOOKUP(C35,[1]ACHIEV!$B$12:$C$100,2,FALSE)</f>
        <v>Retro20Fast</v>
      </c>
      <c r="E35" s="48">
        <f>VLOOKUP($C$35,[1]!ACHIEV,MATCH(E$11,$E$11:$X$11,0)+2,FALSE)</f>
        <v>0.22119921692859512</v>
      </c>
      <c r="F35" s="48">
        <f>VLOOKUP($C$35,[1]!ACHIEV,MATCH(F$11,$E$11:$X$11,0)+2,FALSE)</f>
        <v>0.15504311102289431</v>
      </c>
      <c r="G35" s="48">
        <f>VLOOKUP($C$35,[1]!ACHIEV,MATCH(G$11,$E$11:$X$11,0)+2,FALSE)</f>
        <v>0.10733128557729499</v>
      </c>
      <c r="H35" s="48">
        <f>VLOOKUP($C$35,[1]!ACHIEV,MATCH(H$11,$E$11:$X$11,0)+2,FALSE)</f>
        <v>8.3589689255657879E-2</v>
      </c>
      <c r="I35" s="48">
        <f>VLOOKUP($C$35,[1]!ACHIEV,MATCH(I$11,$E$11:$X$11,0)+2,FALSE)</f>
        <v>7.3237179880126971E-2</v>
      </c>
      <c r="J35" s="48">
        <f>VLOOKUP($C$35,[1]!ACHIEV,MATCH(J$11,$E$11:$X$11,0)+2,FALSE)</f>
        <v>6.3374636711760357E-2</v>
      </c>
      <c r="K35" s="48">
        <f>VLOOKUP($C$35,[1]!ACHIEV,MATCH(K$11,$E$11:$X$11,0)+2,FALSE)</f>
        <v>5.4291838367783084E-2</v>
      </c>
      <c r="L35" s="48">
        <f>VLOOKUP($C$35,[1]!ACHIEV,MATCH(L$11,$E$11:$X$11,0)+2,FALSE)</f>
        <v>4.612639225659896E-2</v>
      </c>
      <c r="M35" s="48">
        <f>VLOOKUP($C$35,[1]!ACHIEV,MATCH(M$11,$E$11:$X$11,0)+2,FALSE)</f>
        <v>3.8916876277172864E-2</v>
      </c>
      <c r="N35" s="48">
        <f>VLOOKUP($C$35,[1]!ACHIEV,MATCH(N$11,$E$11:$X$11,0)+2,FALSE)</f>
        <v>3.2639916313151704E-2</v>
      </c>
      <c r="O35" s="48">
        <f>VLOOKUP($C$35,[1]!ACHIEV,MATCH(O$11,$E$11:$X$11,0)+2,FALSE)</f>
        <v>2.7235706125786907E-2</v>
      </c>
      <c r="P35" s="48">
        <f>VLOOKUP($C$35,[1]!ACHIEV,MATCH(P$11,$E$11:$X$11,0)+2,FALSE)</f>
        <v>2.1211189258265428E-2</v>
      </c>
      <c r="Q35" s="48">
        <f>VLOOKUP($C$35,[1]!ACHIEV,MATCH(Q$11,$E$11:$X$11,0)+2,FALSE)</f>
        <v>1.6519290804212883E-2</v>
      </c>
      <c r="R35" s="48">
        <f>VLOOKUP($C$35,[1]!ACHIEV,MATCH(R$11,$E$11:$X$11,0)+2,FALSE)</f>
        <v>1.2865236614105324E-2</v>
      </c>
      <c r="S35" s="48">
        <f>VLOOKUP($C$35,[1]!ACHIEV,MATCH(S$11,$E$11:$X$11,0)+2,FALSE)</f>
        <v>1.0019456349464106E-2</v>
      </c>
      <c r="T35" s="48">
        <f>VLOOKUP($C$35,[1]!ACHIEV,MATCH(T$11,$E$11:$X$11,0)+2,FALSE)</f>
        <v>7.8031604509122832E-3</v>
      </c>
      <c r="U35" s="48">
        <f>VLOOKUP($C$35,[1]!ACHIEV,MATCH(U$11,$E$11:$X$11,0)+2,FALSE)</f>
        <v>6.077107469602494E-3</v>
      </c>
      <c r="V35" s="48">
        <f>VLOOKUP($C$35,[1]!ACHIEV,MATCH(V$11,$E$11:$X$11,0)+2,FALSE)</f>
        <v>4.7328560561354371E-3</v>
      </c>
      <c r="W35" s="48">
        <f>VLOOKUP($C$35,[1]!ACHIEV,MATCH(W$11,$E$11:$X$11,0)+2,FALSE)</f>
        <v>3.6859520026825132E-3</v>
      </c>
      <c r="X35" s="48">
        <f>VLOOKUP($C$35,[1]!ACHIEV,MATCH(X$11,$E$11:$X$11,0)+2,FALSE)</f>
        <v>2.8706223060526725E-3</v>
      </c>
      <c r="Y35" s="42"/>
    </row>
    <row r="36" spans="1:25">
      <c r="A36" s="563">
        <f>'SC-Retro'!A36</f>
        <v>84.997938201886328</v>
      </c>
      <c r="B36" s="175">
        <f>VLOOKUP($C$35,[1]!APPLIC,MATCH(C36,BLDGTYP,0)+1,FALSE)</f>
        <v>0.8</v>
      </c>
      <c r="C36" s="20" t="str">
        <f>C13</f>
        <v>Large Off</v>
      </c>
      <c r="E36" s="174">
        <f>E13*E$35*$Y$34*$B36*$A36</f>
        <v>99.808120323562662</v>
      </c>
      <c r="F36" s="174">
        <f>F13*F$35*$Y$34*$B36*$A36</f>
        <v>53.31688789905364</v>
      </c>
      <c r="G36" s="174">
        <f t="shared" ref="G36:X36" si="4">G13*G$35*$Y$34*$B36*$A36</f>
        <v>36.54479642743587</v>
      </c>
      <c r="H36" s="174">
        <f t="shared" si="4"/>
        <v>33.295697146518357</v>
      </c>
      <c r="I36" s="174">
        <f t="shared" si="4"/>
        <v>28.111476026512044</v>
      </c>
      <c r="J36" s="174">
        <f t="shared" si="4"/>
        <v>19.920020147536547</v>
      </c>
      <c r="K36" s="174">
        <f t="shared" si="4"/>
        <v>21.726469580432887</v>
      </c>
      <c r="L36" s="174">
        <f t="shared" si="4"/>
        <v>16.104397783679087</v>
      </c>
      <c r="M36" s="174">
        <f t="shared" si="4"/>
        <v>13.185645351210026</v>
      </c>
      <c r="N36" s="174">
        <f t="shared" si="4"/>
        <v>12.460295236052549</v>
      </c>
      <c r="O36" s="174">
        <f t="shared" si="4"/>
        <v>10.402510927206121</v>
      </c>
      <c r="P36" s="174">
        <f t="shared" si="4"/>
        <v>8.8608995704582298</v>
      </c>
      <c r="Q36" s="174">
        <f t="shared" si="4"/>
        <v>7.5735405534202096</v>
      </c>
      <c r="R36" s="174">
        <f t="shared" si="4"/>
        <v>5.3977665039886151</v>
      </c>
      <c r="S36" s="174">
        <f t="shared" si="4"/>
        <v>4.582054047789212</v>
      </c>
      <c r="T36" s="174">
        <f t="shared" si="4"/>
        <v>3.5009037332802109</v>
      </c>
      <c r="U36" s="174">
        <f t="shared" si="4"/>
        <v>2.6836176998621561</v>
      </c>
      <c r="V36" s="174">
        <f t="shared" si="4"/>
        <v>1.962050293150827</v>
      </c>
      <c r="W36" s="174">
        <f t="shared" si="4"/>
        <v>1.5085665106370749</v>
      </c>
      <c r="X36" s="174">
        <f t="shared" si="4"/>
        <v>1.2324551814412426</v>
      </c>
      <c r="Y36" s="117"/>
    </row>
    <row r="37" spans="1:25">
      <c r="A37" s="563">
        <f>'SC-Retro'!A37</f>
        <v>145.19889373056486</v>
      </c>
      <c r="B37" s="175">
        <f>VLOOKUP($C$35,[1]!APPLIC,MATCH(C37,BLDGTYP,0)+1,FALSE)</f>
        <v>0.8</v>
      </c>
      <c r="C37" s="20" t="str">
        <f t="shared" ref="C37:C53" si="5">C14</f>
        <v>Medium Off</v>
      </c>
      <c r="E37" s="174">
        <f t="shared" ref="E37:F53" si="6">E14*E$35*$Y$34*$B37*$A37</f>
        <v>138.26326247690096</v>
      </c>
      <c r="F37" s="174">
        <f t="shared" si="6"/>
        <v>70.793656191074803</v>
      </c>
      <c r="G37" s="174">
        <f t="shared" ref="G37:X37" si="7">G14*G$35*$Y$34*$B37*$A37</f>
        <v>49.759368286914906</v>
      </c>
      <c r="H37" s="174">
        <f t="shared" si="7"/>
        <v>45.856484473504771</v>
      </c>
      <c r="I37" s="174">
        <f t="shared" si="7"/>
        <v>38.254869648313914</v>
      </c>
      <c r="J37" s="174">
        <f t="shared" si="7"/>
        <v>25.62665762517511</v>
      </c>
      <c r="K37" s="174">
        <f t="shared" si="7"/>
        <v>30.108129974203095</v>
      </c>
      <c r="L37" s="174">
        <f t="shared" si="7"/>
        <v>22.283474552713596</v>
      </c>
      <c r="M37" s="174">
        <f t="shared" si="7"/>
        <v>17.863587077184302</v>
      </c>
      <c r="N37" s="174">
        <f t="shared" si="7"/>
        <v>17.273972609684265</v>
      </c>
      <c r="O37" s="174">
        <f t="shared" si="7"/>
        <v>14.373654284937354</v>
      </c>
      <c r="P37" s="174">
        <f t="shared" si="7"/>
        <v>11.972867040313835</v>
      </c>
      <c r="Q37" s="174">
        <f t="shared" si="7"/>
        <v>10.054373171244336</v>
      </c>
      <c r="R37" s="174">
        <f t="shared" si="7"/>
        <v>7.3679498709594426</v>
      </c>
      <c r="S37" s="174">
        <f t="shared" si="7"/>
        <v>6.3641942227756729</v>
      </c>
      <c r="T37" s="174">
        <f t="shared" si="7"/>
        <v>4.7056931751445958</v>
      </c>
      <c r="U37" s="174">
        <f t="shared" si="7"/>
        <v>3.7881515114402275</v>
      </c>
      <c r="V37" s="174">
        <f t="shared" si="7"/>
        <v>2.5889831052931851</v>
      </c>
      <c r="W37" s="174">
        <f t="shared" si="7"/>
        <v>2.0113152873157509</v>
      </c>
      <c r="X37" s="174">
        <f t="shared" si="7"/>
        <v>1.6958663964553828</v>
      </c>
      <c r="Y37" s="117"/>
    </row>
    <row r="38" spans="1:25">
      <c r="A38" s="563">
        <f>'SC-Retro'!A38</f>
        <v>27.152262115314134</v>
      </c>
      <c r="B38" s="175">
        <f>VLOOKUP($C$35,[1]!APPLIC,MATCH(C38,BLDGTYP,0)+1,FALSE)</f>
        <v>0.8</v>
      </c>
      <c r="C38" s="20" t="str">
        <f t="shared" si="5"/>
        <v>Small Off</v>
      </c>
      <c r="E38" s="174">
        <f t="shared" si="6"/>
        <v>6.7882965469597814</v>
      </c>
      <c r="F38" s="174">
        <f t="shared" si="6"/>
        <v>3.4840264426752405</v>
      </c>
      <c r="G38" s="174">
        <f t="shared" ref="G38:X38" si="8">G15*G$35*$Y$34*$B38*$A38</f>
        <v>2.4661126092824843</v>
      </c>
      <c r="H38" s="174">
        <f t="shared" si="8"/>
        <v>2.2511615582267952</v>
      </c>
      <c r="I38" s="174">
        <f t="shared" si="8"/>
        <v>1.8936548200951757</v>
      </c>
      <c r="J38" s="174">
        <f t="shared" si="8"/>
        <v>1.2622930718841026</v>
      </c>
      <c r="K38" s="174">
        <f t="shared" si="8"/>
        <v>1.4783657918517408</v>
      </c>
      <c r="L38" s="174">
        <f t="shared" si="8"/>
        <v>1.0983265754363933</v>
      </c>
      <c r="M38" s="174">
        <f t="shared" si="8"/>
        <v>0.87944599490052311</v>
      </c>
      <c r="N38" s="174">
        <f t="shared" si="8"/>
        <v>0.84445760033583828</v>
      </c>
      <c r="O38" s="174">
        <f t="shared" si="8"/>
        <v>0.7035778085487332</v>
      </c>
      <c r="P38" s="174">
        <f t="shared" si="8"/>
        <v>0.58730350024454203</v>
      </c>
      <c r="Q38" s="174">
        <f t="shared" si="8"/>
        <v>0.49403918111873302</v>
      </c>
      <c r="R38" s="174">
        <f t="shared" si="8"/>
        <v>0.36075816157969709</v>
      </c>
      <c r="S38" s="174">
        <f t="shared" si="8"/>
        <v>0.31246991208518399</v>
      </c>
      <c r="T38" s="174">
        <f t="shared" si="8"/>
        <v>0.23012004643438874</v>
      </c>
      <c r="U38" s="174">
        <f t="shared" si="8"/>
        <v>0.18406830519034031</v>
      </c>
      <c r="V38" s="174">
        <f t="shared" si="8"/>
        <v>0.12728499115909972</v>
      </c>
      <c r="W38" s="174">
        <f t="shared" si="8"/>
        <v>9.8896809649979878E-2</v>
      </c>
      <c r="X38" s="174">
        <f t="shared" si="8"/>
        <v>8.2940786557209059E-2</v>
      </c>
      <c r="Y38" s="117"/>
    </row>
    <row r="39" spans="1:25">
      <c r="A39" s="563">
        <f>'SC-Retro'!A39</f>
        <v>0</v>
      </c>
      <c r="B39" s="175">
        <f>VLOOKUP($C$35,[1]!APPLIC,MATCH(C39,BLDGTYP,0)+1,FALSE)</f>
        <v>0.8</v>
      </c>
      <c r="C39" s="20" t="str">
        <f t="shared" si="5"/>
        <v>XLarge Ret</v>
      </c>
      <c r="E39" s="174">
        <f t="shared" si="6"/>
        <v>0</v>
      </c>
      <c r="F39" s="174">
        <f t="shared" si="6"/>
        <v>0</v>
      </c>
      <c r="G39" s="174">
        <f t="shared" ref="G39:X39" si="9">G16*G$35*$Y$34*$B39*$A39</f>
        <v>0</v>
      </c>
      <c r="H39" s="174">
        <f t="shared" si="9"/>
        <v>0</v>
      </c>
      <c r="I39" s="174">
        <f t="shared" si="9"/>
        <v>0</v>
      </c>
      <c r="J39" s="174">
        <f t="shared" si="9"/>
        <v>0</v>
      </c>
      <c r="K39" s="174">
        <f t="shared" si="9"/>
        <v>0</v>
      </c>
      <c r="L39" s="174">
        <f t="shared" si="9"/>
        <v>0</v>
      </c>
      <c r="M39" s="174">
        <f t="shared" si="9"/>
        <v>0</v>
      </c>
      <c r="N39" s="174">
        <f t="shared" si="9"/>
        <v>0</v>
      </c>
      <c r="O39" s="174">
        <f t="shared" si="9"/>
        <v>0</v>
      </c>
      <c r="P39" s="174">
        <f t="shared" si="9"/>
        <v>0</v>
      </c>
      <c r="Q39" s="174">
        <f t="shared" si="9"/>
        <v>0</v>
      </c>
      <c r="R39" s="174">
        <f t="shared" si="9"/>
        <v>0</v>
      </c>
      <c r="S39" s="174">
        <f t="shared" si="9"/>
        <v>0</v>
      </c>
      <c r="T39" s="174">
        <f t="shared" si="9"/>
        <v>0</v>
      </c>
      <c r="U39" s="174">
        <f t="shared" si="9"/>
        <v>0</v>
      </c>
      <c r="V39" s="174">
        <f t="shared" si="9"/>
        <v>0</v>
      </c>
      <c r="W39" s="174">
        <f t="shared" si="9"/>
        <v>0</v>
      </c>
      <c r="X39" s="174">
        <f t="shared" si="9"/>
        <v>0</v>
      </c>
      <c r="Y39" s="117"/>
    </row>
    <row r="40" spans="1:25">
      <c r="A40" s="563">
        <f>'SC-Retro'!A40</f>
        <v>0</v>
      </c>
      <c r="B40" s="175">
        <f>VLOOKUP($C$35,[1]!APPLIC,MATCH(C40,BLDGTYP,0)+1,FALSE)</f>
        <v>0.8</v>
      </c>
      <c r="C40" s="20" t="str">
        <f t="shared" si="5"/>
        <v>Large Ret</v>
      </c>
      <c r="E40" s="174">
        <f t="shared" si="6"/>
        <v>0</v>
      </c>
      <c r="F40" s="174">
        <f t="shared" si="6"/>
        <v>0</v>
      </c>
      <c r="G40" s="174">
        <f t="shared" ref="G40:X40" si="10">G17*G$35*$Y$34*$B40*$A40</f>
        <v>0</v>
      </c>
      <c r="H40" s="174">
        <f t="shared" si="10"/>
        <v>0</v>
      </c>
      <c r="I40" s="174">
        <f t="shared" si="10"/>
        <v>0</v>
      </c>
      <c r="J40" s="174">
        <f t="shared" si="10"/>
        <v>0</v>
      </c>
      <c r="K40" s="174">
        <f t="shared" si="10"/>
        <v>0</v>
      </c>
      <c r="L40" s="174">
        <f t="shared" si="10"/>
        <v>0</v>
      </c>
      <c r="M40" s="174">
        <f t="shared" si="10"/>
        <v>0</v>
      </c>
      <c r="N40" s="174">
        <f t="shared" si="10"/>
        <v>0</v>
      </c>
      <c r="O40" s="174">
        <f t="shared" si="10"/>
        <v>0</v>
      </c>
      <c r="P40" s="174">
        <f t="shared" si="10"/>
        <v>0</v>
      </c>
      <c r="Q40" s="174">
        <f t="shared" si="10"/>
        <v>0</v>
      </c>
      <c r="R40" s="174">
        <f t="shared" si="10"/>
        <v>0</v>
      </c>
      <c r="S40" s="174">
        <f t="shared" si="10"/>
        <v>0</v>
      </c>
      <c r="T40" s="174">
        <f t="shared" si="10"/>
        <v>0</v>
      </c>
      <c r="U40" s="174">
        <f t="shared" si="10"/>
        <v>0</v>
      </c>
      <c r="V40" s="174">
        <f t="shared" si="10"/>
        <v>0</v>
      </c>
      <c r="W40" s="174">
        <f t="shared" si="10"/>
        <v>0</v>
      </c>
      <c r="X40" s="174">
        <f t="shared" si="10"/>
        <v>0</v>
      </c>
      <c r="Y40" s="117"/>
    </row>
    <row r="41" spans="1:25">
      <c r="A41" s="563">
        <f>'SC-Retro'!A41</f>
        <v>0</v>
      </c>
      <c r="B41" s="175">
        <f>VLOOKUP($C$35,[1]!APPLIC,MATCH(C41,BLDGTYP,0)+1,FALSE)</f>
        <v>0.8</v>
      </c>
      <c r="C41" s="20" t="str">
        <f t="shared" si="5"/>
        <v>Medium Ret</v>
      </c>
      <c r="E41" s="174">
        <f t="shared" si="6"/>
        <v>0</v>
      </c>
      <c r="F41" s="174">
        <f t="shared" si="6"/>
        <v>0</v>
      </c>
      <c r="G41" s="174">
        <f t="shared" ref="G41:X41" si="11">G18*G$35*$Y$34*$B41*$A41</f>
        <v>0</v>
      </c>
      <c r="H41" s="174">
        <f t="shared" si="11"/>
        <v>0</v>
      </c>
      <c r="I41" s="174">
        <f t="shared" si="11"/>
        <v>0</v>
      </c>
      <c r="J41" s="174">
        <f t="shared" si="11"/>
        <v>0</v>
      </c>
      <c r="K41" s="174">
        <f t="shared" si="11"/>
        <v>0</v>
      </c>
      <c r="L41" s="174">
        <f t="shared" si="11"/>
        <v>0</v>
      </c>
      <c r="M41" s="174">
        <f t="shared" si="11"/>
        <v>0</v>
      </c>
      <c r="N41" s="174">
        <f t="shared" si="11"/>
        <v>0</v>
      </c>
      <c r="O41" s="174">
        <f t="shared" si="11"/>
        <v>0</v>
      </c>
      <c r="P41" s="174">
        <f t="shared" si="11"/>
        <v>0</v>
      </c>
      <c r="Q41" s="174">
        <f t="shared" si="11"/>
        <v>0</v>
      </c>
      <c r="R41" s="174">
        <f t="shared" si="11"/>
        <v>0</v>
      </c>
      <c r="S41" s="174">
        <f t="shared" si="11"/>
        <v>0</v>
      </c>
      <c r="T41" s="174">
        <f t="shared" si="11"/>
        <v>0</v>
      </c>
      <c r="U41" s="174">
        <f t="shared" si="11"/>
        <v>0</v>
      </c>
      <c r="V41" s="174">
        <f t="shared" si="11"/>
        <v>0</v>
      </c>
      <c r="W41" s="174">
        <f t="shared" si="11"/>
        <v>0</v>
      </c>
      <c r="X41" s="174">
        <f t="shared" si="11"/>
        <v>0</v>
      </c>
      <c r="Y41" s="117"/>
    </row>
    <row r="42" spans="1:25">
      <c r="A42" s="563">
        <f>'SC-Retro'!A42</f>
        <v>0</v>
      </c>
      <c r="B42" s="175">
        <f>VLOOKUP($C$35,[1]!APPLIC,MATCH(C42,BLDGTYP,0)+1,FALSE)</f>
        <v>0.8</v>
      </c>
      <c r="C42" s="20" t="str">
        <f t="shared" si="5"/>
        <v>Small Ret</v>
      </c>
      <c r="E42" s="174">
        <f t="shared" si="6"/>
        <v>0</v>
      </c>
      <c r="F42" s="174">
        <f t="shared" si="6"/>
        <v>0</v>
      </c>
      <c r="G42" s="174">
        <f t="shared" ref="G42:X42" si="12">G19*G$35*$Y$34*$B42*$A42</f>
        <v>0</v>
      </c>
      <c r="H42" s="174">
        <f t="shared" si="12"/>
        <v>0</v>
      </c>
      <c r="I42" s="174">
        <f t="shared" si="12"/>
        <v>0</v>
      </c>
      <c r="J42" s="174">
        <f t="shared" si="12"/>
        <v>0</v>
      </c>
      <c r="K42" s="174">
        <f t="shared" si="12"/>
        <v>0</v>
      </c>
      <c r="L42" s="174">
        <f t="shared" si="12"/>
        <v>0</v>
      </c>
      <c r="M42" s="174">
        <f t="shared" si="12"/>
        <v>0</v>
      </c>
      <c r="N42" s="174">
        <f t="shared" si="12"/>
        <v>0</v>
      </c>
      <c r="O42" s="174">
        <f t="shared" si="12"/>
        <v>0</v>
      </c>
      <c r="P42" s="174">
        <f t="shared" si="12"/>
        <v>0</v>
      </c>
      <c r="Q42" s="174">
        <f t="shared" si="12"/>
        <v>0</v>
      </c>
      <c r="R42" s="174">
        <f t="shared" si="12"/>
        <v>0</v>
      </c>
      <c r="S42" s="174">
        <f t="shared" si="12"/>
        <v>0</v>
      </c>
      <c r="T42" s="174">
        <f t="shared" si="12"/>
        <v>0</v>
      </c>
      <c r="U42" s="174">
        <f t="shared" si="12"/>
        <v>0</v>
      </c>
      <c r="V42" s="174">
        <f t="shared" si="12"/>
        <v>0</v>
      </c>
      <c r="W42" s="174">
        <f t="shared" si="12"/>
        <v>0</v>
      </c>
      <c r="X42" s="174">
        <f t="shared" si="12"/>
        <v>0</v>
      </c>
      <c r="Y42" s="117"/>
    </row>
    <row r="43" spans="1:25">
      <c r="A43" s="563">
        <f>'SC-Retro'!A43</f>
        <v>21.049001227241597</v>
      </c>
      <c r="B43" s="175">
        <f>VLOOKUP($C$35,[1]!APPLIC,MATCH(C43,BLDGTYP,0)+1,FALSE)</f>
        <v>0.8</v>
      </c>
      <c r="C43" s="20" t="str">
        <f t="shared" si="5"/>
        <v>School K-12</v>
      </c>
      <c r="E43" s="174">
        <f t="shared" si="6"/>
        <v>1.5620600678228398</v>
      </c>
      <c r="F43" s="174">
        <f t="shared" si="6"/>
        <v>2.447696079750147</v>
      </c>
      <c r="G43" s="174">
        <f t="shared" ref="G43:X43" si="13">G20*G$35*$Y$34*$B43*$A43</f>
        <v>1.4593378885809403</v>
      </c>
      <c r="H43" s="174">
        <f t="shared" si="13"/>
        <v>0.85809948949308024</v>
      </c>
      <c r="I43" s="174">
        <f t="shared" si="13"/>
        <v>0.78014996537202752</v>
      </c>
      <c r="J43" s="174">
        <f t="shared" si="13"/>
        <v>0.77230712931738388</v>
      </c>
      <c r="K43" s="174">
        <f t="shared" si="13"/>
        <v>0.77040932938954854</v>
      </c>
      <c r="L43" s="174">
        <f t="shared" si="13"/>
        <v>0.99129863882459412</v>
      </c>
      <c r="M43" s="174">
        <f t="shared" si="13"/>
        <v>1.0415245224103269</v>
      </c>
      <c r="N43" s="174">
        <f t="shared" si="13"/>
        <v>0.76864679214145282</v>
      </c>
      <c r="O43" s="174">
        <f t="shared" si="13"/>
        <v>0.65309495761515568</v>
      </c>
      <c r="P43" s="174">
        <f t="shared" si="13"/>
        <v>0.54475531605217065</v>
      </c>
      <c r="Q43" s="174">
        <f t="shared" si="13"/>
        <v>0.44036395327469757</v>
      </c>
      <c r="R43" s="174">
        <f t="shared" si="13"/>
        <v>0.3220547660604331</v>
      </c>
      <c r="S43" s="174">
        <f t="shared" si="13"/>
        <v>0.25779110273141181</v>
      </c>
      <c r="T43" s="174">
        <f t="shared" si="13"/>
        <v>0.18088302299877521</v>
      </c>
      <c r="U43" s="174">
        <f t="shared" si="13"/>
        <v>0.15849656448205671</v>
      </c>
      <c r="V43" s="174">
        <f t="shared" si="13"/>
        <v>0.11066936462622681</v>
      </c>
      <c r="W43" s="174">
        <f t="shared" si="13"/>
        <v>9.4048069091294373E-2</v>
      </c>
      <c r="X43" s="174">
        <f t="shared" si="13"/>
        <v>6.9401985747400904E-2</v>
      </c>
      <c r="Y43" s="117"/>
    </row>
    <row r="44" spans="1:25">
      <c r="A44" s="563">
        <f>'SC-Retro'!A44</f>
        <v>182.79537525596962</v>
      </c>
      <c r="B44" s="175">
        <f>VLOOKUP($C$35,[1]!APPLIC,MATCH(C44,BLDGTYP,0)+1,FALSE)</f>
        <v>0.8</v>
      </c>
      <c r="C44" s="20" t="str">
        <f t="shared" si="5"/>
        <v>University</v>
      </c>
      <c r="E44" s="174">
        <f t="shared" si="6"/>
        <v>7.6992478741921841</v>
      </c>
      <c r="F44" s="174">
        <f t="shared" si="6"/>
        <v>5.7276110241349807</v>
      </c>
      <c r="G44" s="174">
        <f t="shared" ref="G44:X44" si="14">G21*G$35*$Y$34*$B44*$A44</f>
        <v>7.7650933440515413</v>
      </c>
      <c r="H44" s="174">
        <f t="shared" si="14"/>
        <v>8.6436091523264977</v>
      </c>
      <c r="I44" s="174">
        <f t="shared" si="14"/>
        <v>6.0638455031853828</v>
      </c>
      <c r="J44" s="174">
        <f t="shared" si="14"/>
        <v>5.8016565823066308</v>
      </c>
      <c r="K44" s="174">
        <f t="shared" si="14"/>
        <v>4.3416066314949848</v>
      </c>
      <c r="L44" s="174">
        <f t="shared" si="14"/>
        <v>5.5781377899423727</v>
      </c>
      <c r="M44" s="174">
        <f t="shared" si="14"/>
        <v>5.7182810885266084</v>
      </c>
      <c r="N44" s="174">
        <f t="shared" si="14"/>
        <v>4.7815016325561341</v>
      </c>
      <c r="O44" s="174">
        <f t="shared" si="14"/>
        <v>4.3848111693208285</v>
      </c>
      <c r="P44" s="174">
        <f t="shared" si="14"/>
        <v>3.4879813453079556</v>
      </c>
      <c r="Q44" s="174">
        <f t="shared" si="14"/>
        <v>2.9217481679657551</v>
      </c>
      <c r="R44" s="174">
        <f t="shared" si="14"/>
        <v>2.3076178044862212</v>
      </c>
      <c r="S44" s="174">
        <f t="shared" si="14"/>
        <v>1.6095862837711681</v>
      </c>
      <c r="T44" s="174">
        <f t="shared" si="14"/>
        <v>1.1430786417949843</v>
      </c>
      <c r="U44" s="174">
        <f t="shared" si="14"/>
        <v>1.0147821152740071</v>
      </c>
      <c r="V44" s="174">
        <f t="shared" si="14"/>
        <v>0.72157968521291638</v>
      </c>
      <c r="W44" s="174">
        <f t="shared" si="14"/>
        <v>0.57598273173364989</v>
      </c>
      <c r="X44" s="174">
        <f t="shared" si="14"/>
        <v>0.4631503157417502</v>
      </c>
      <c r="Y44" s="117"/>
    </row>
    <row r="45" spans="1:25">
      <c r="A45" s="563">
        <f>'SC-Retro'!A45</f>
        <v>0</v>
      </c>
      <c r="B45" s="175">
        <f>VLOOKUP($C$35,[1]!APPLIC,MATCH(C45,BLDGTYP,0)+1,FALSE)</f>
        <v>0.8</v>
      </c>
      <c r="C45" s="20" t="str">
        <f t="shared" si="5"/>
        <v>Warehouse</v>
      </c>
      <c r="E45" s="174">
        <f t="shared" si="6"/>
        <v>0</v>
      </c>
      <c r="F45" s="174">
        <f t="shared" si="6"/>
        <v>0</v>
      </c>
      <c r="G45" s="174">
        <f t="shared" ref="G45:X45" si="15">G22*G$35*$Y$34*$B45*$A45</f>
        <v>0</v>
      </c>
      <c r="H45" s="174">
        <f t="shared" si="15"/>
        <v>0</v>
      </c>
      <c r="I45" s="174">
        <f t="shared" si="15"/>
        <v>0</v>
      </c>
      <c r="J45" s="174">
        <f t="shared" si="15"/>
        <v>0</v>
      </c>
      <c r="K45" s="174">
        <f t="shared" si="15"/>
        <v>0</v>
      </c>
      <c r="L45" s="174">
        <f t="shared" si="15"/>
        <v>0</v>
      </c>
      <c r="M45" s="174">
        <f t="shared" si="15"/>
        <v>0</v>
      </c>
      <c r="N45" s="174">
        <f t="shared" si="15"/>
        <v>0</v>
      </c>
      <c r="O45" s="174">
        <f t="shared" si="15"/>
        <v>0</v>
      </c>
      <c r="P45" s="174">
        <f t="shared" si="15"/>
        <v>0</v>
      </c>
      <c r="Q45" s="174">
        <f t="shared" si="15"/>
        <v>0</v>
      </c>
      <c r="R45" s="174">
        <f t="shared" si="15"/>
        <v>0</v>
      </c>
      <c r="S45" s="174">
        <f t="shared" si="15"/>
        <v>0</v>
      </c>
      <c r="T45" s="174">
        <f t="shared" si="15"/>
        <v>0</v>
      </c>
      <c r="U45" s="174">
        <f t="shared" si="15"/>
        <v>0</v>
      </c>
      <c r="V45" s="174">
        <f t="shared" si="15"/>
        <v>0</v>
      </c>
      <c r="W45" s="174">
        <f t="shared" si="15"/>
        <v>0</v>
      </c>
      <c r="X45" s="174">
        <f t="shared" si="15"/>
        <v>0</v>
      </c>
      <c r="Y45" s="117"/>
    </row>
    <row r="46" spans="1:25">
      <c r="A46" s="563">
        <f>'SC-Retro'!A46</f>
        <v>0</v>
      </c>
      <c r="B46" s="175">
        <f>VLOOKUP($C$35,[1]!APPLIC,MATCH(C46,BLDGTYP,0)+1,FALSE)</f>
        <v>0.8</v>
      </c>
      <c r="C46" s="20" t="str">
        <f t="shared" si="5"/>
        <v>Supermarket</v>
      </c>
      <c r="E46" s="174">
        <f t="shared" si="6"/>
        <v>0</v>
      </c>
      <c r="F46" s="174">
        <f t="shared" si="6"/>
        <v>0</v>
      </c>
      <c r="G46" s="174">
        <f t="shared" ref="G46:X46" si="16">G23*G$35*$Y$34*$B46*$A46</f>
        <v>0</v>
      </c>
      <c r="H46" s="174">
        <f t="shared" si="16"/>
        <v>0</v>
      </c>
      <c r="I46" s="174">
        <f t="shared" si="16"/>
        <v>0</v>
      </c>
      <c r="J46" s="174">
        <f t="shared" si="16"/>
        <v>0</v>
      </c>
      <c r="K46" s="174">
        <f t="shared" si="16"/>
        <v>0</v>
      </c>
      <c r="L46" s="174">
        <f t="shared" si="16"/>
        <v>0</v>
      </c>
      <c r="M46" s="174">
        <f t="shared" si="16"/>
        <v>0</v>
      </c>
      <c r="N46" s="174">
        <f t="shared" si="16"/>
        <v>0</v>
      </c>
      <c r="O46" s="174">
        <f t="shared" si="16"/>
        <v>0</v>
      </c>
      <c r="P46" s="174">
        <f t="shared" si="16"/>
        <v>0</v>
      </c>
      <c r="Q46" s="174">
        <f t="shared" si="16"/>
        <v>0</v>
      </c>
      <c r="R46" s="174">
        <f t="shared" si="16"/>
        <v>0</v>
      </c>
      <c r="S46" s="174">
        <f t="shared" si="16"/>
        <v>0</v>
      </c>
      <c r="T46" s="174">
        <f t="shared" si="16"/>
        <v>0</v>
      </c>
      <c r="U46" s="174">
        <f t="shared" si="16"/>
        <v>0</v>
      </c>
      <c r="V46" s="174">
        <f t="shared" si="16"/>
        <v>0</v>
      </c>
      <c r="W46" s="174">
        <f t="shared" si="16"/>
        <v>0</v>
      </c>
      <c r="X46" s="174">
        <f t="shared" si="16"/>
        <v>0</v>
      </c>
      <c r="Y46" s="117"/>
    </row>
    <row r="47" spans="1:25">
      <c r="A47" s="563">
        <f>'SC-Retro'!A47</f>
        <v>0</v>
      </c>
      <c r="B47" s="175">
        <f>VLOOKUP($C$35,[1]!APPLIC,MATCH(C47,BLDGTYP,0)+1,FALSE)</f>
        <v>0.8</v>
      </c>
      <c r="C47" s="20" t="str">
        <f t="shared" si="5"/>
        <v>MiniMart</v>
      </c>
      <c r="E47" s="174">
        <f t="shared" si="6"/>
        <v>0</v>
      </c>
      <c r="F47" s="174">
        <f t="shared" si="6"/>
        <v>0</v>
      </c>
      <c r="G47" s="174">
        <f t="shared" ref="G47:X47" si="17">G24*G$35*$Y$34*$B47*$A47</f>
        <v>0</v>
      </c>
      <c r="H47" s="174">
        <f t="shared" si="17"/>
        <v>0</v>
      </c>
      <c r="I47" s="174">
        <f t="shared" si="17"/>
        <v>0</v>
      </c>
      <c r="J47" s="174">
        <f t="shared" si="17"/>
        <v>0</v>
      </c>
      <c r="K47" s="174">
        <f t="shared" si="17"/>
        <v>0</v>
      </c>
      <c r="L47" s="174">
        <f t="shared" si="17"/>
        <v>0</v>
      </c>
      <c r="M47" s="174">
        <f t="shared" si="17"/>
        <v>0</v>
      </c>
      <c r="N47" s="174">
        <f t="shared" si="17"/>
        <v>0</v>
      </c>
      <c r="O47" s="174">
        <f t="shared" si="17"/>
        <v>0</v>
      </c>
      <c r="P47" s="174">
        <f t="shared" si="17"/>
        <v>0</v>
      </c>
      <c r="Q47" s="174">
        <f t="shared" si="17"/>
        <v>0</v>
      </c>
      <c r="R47" s="174">
        <f t="shared" si="17"/>
        <v>0</v>
      </c>
      <c r="S47" s="174">
        <f t="shared" si="17"/>
        <v>0</v>
      </c>
      <c r="T47" s="174">
        <f t="shared" si="17"/>
        <v>0</v>
      </c>
      <c r="U47" s="174">
        <f t="shared" si="17"/>
        <v>0</v>
      </c>
      <c r="V47" s="174">
        <f t="shared" si="17"/>
        <v>0</v>
      </c>
      <c r="W47" s="174">
        <f t="shared" si="17"/>
        <v>0</v>
      </c>
      <c r="X47" s="174">
        <f t="shared" si="17"/>
        <v>0</v>
      </c>
      <c r="Y47" s="117"/>
    </row>
    <row r="48" spans="1:25">
      <c r="A48" s="563">
        <f>'SC-Retro'!A48</f>
        <v>0</v>
      </c>
      <c r="B48" s="175">
        <f>VLOOKUP($C$35,[1]!APPLIC,MATCH(C48,BLDGTYP,0)+1,FALSE)</f>
        <v>0.8</v>
      </c>
      <c r="C48" s="20" t="str">
        <f t="shared" si="5"/>
        <v>Restaurant</v>
      </c>
      <c r="E48" s="174">
        <f t="shared" si="6"/>
        <v>0</v>
      </c>
      <c r="F48" s="174">
        <f t="shared" si="6"/>
        <v>0</v>
      </c>
      <c r="G48" s="174">
        <f t="shared" ref="G48:X48" si="18">G25*G$35*$Y$34*$B48*$A48</f>
        <v>0</v>
      </c>
      <c r="H48" s="174">
        <f t="shared" si="18"/>
        <v>0</v>
      </c>
      <c r="I48" s="174">
        <f t="shared" si="18"/>
        <v>0</v>
      </c>
      <c r="J48" s="174">
        <f t="shared" si="18"/>
        <v>0</v>
      </c>
      <c r="K48" s="174">
        <f t="shared" si="18"/>
        <v>0</v>
      </c>
      <c r="L48" s="174">
        <f t="shared" si="18"/>
        <v>0</v>
      </c>
      <c r="M48" s="174">
        <f t="shared" si="18"/>
        <v>0</v>
      </c>
      <c r="N48" s="174">
        <f t="shared" si="18"/>
        <v>0</v>
      </c>
      <c r="O48" s="174">
        <f t="shared" si="18"/>
        <v>0</v>
      </c>
      <c r="P48" s="174">
        <f t="shared" si="18"/>
        <v>0</v>
      </c>
      <c r="Q48" s="174">
        <f t="shared" si="18"/>
        <v>0</v>
      </c>
      <c r="R48" s="174">
        <f t="shared" si="18"/>
        <v>0</v>
      </c>
      <c r="S48" s="174">
        <f t="shared" si="18"/>
        <v>0</v>
      </c>
      <c r="T48" s="174">
        <f t="shared" si="18"/>
        <v>0</v>
      </c>
      <c r="U48" s="174">
        <f t="shared" si="18"/>
        <v>0</v>
      </c>
      <c r="V48" s="174">
        <f t="shared" si="18"/>
        <v>0</v>
      </c>
      <c r="W48" s="174">
        <f t="shared" si="18"/>
        <v>0</v>
      </c>
      <c r="X48" s="174">
        <f t="shared" si="18"/>
        <v>0</v>
      </c>
      <c r="Y48" s="117"/>
    </row>
    <row r="49" spans="1:80">
      <c r="A49" s="563">
        <f>'SC-Retro'!A49</f>
        <v>1590.9871787508127</v>
      </c>
      <c r="B49" s="175">
        <f>VLOOKUP($C$35,[1]!APPLIC,MATCH(C49,BLDGTYP,0)+1,FALSE)</f>
        <v>0.8</v>
      </c>
      <c r="C49" s="20" t="str">
        <f t="shared" si="5"/>
        <v>Lodging</v>
      </c>
      <c r="E49" s="174">
        <f t="shared" si="6"/>
        <v>247.12908652631486</v>
      </c>
      <c r="F49" s="174">
        <f t="shared" si="6"/>
        <v>170.3999479742609</v>
      </c>
      <c r="G49" s="174">
        <f t="shared" ref="G49:X49" si="19">G26*G$35*$Y$34*$B49*$A49</f>
        <v>86.281853909003402</v>
      </c>
      <c r="H49" s="174">
        <f t="shared" si="19"/>
        <v>68.778222612005493</v>
      </c>
      <c r="I49" s="174">
        <f t="shared" si="19"/>
        <v>51.989976478818669</v>
      </c>
      <c r="J49" s="174">
        <f t="shared" si="19"/>
        <v>43.02685175979763</v>
      </c>
      <c r="K49" s="174">
        <f t="shared" si="19"/>
        <v>35.84311797804061</v>
      </c>
      <c r="L49" s="174">
        <f t="shared" si="19"/>
        <v>30.226985773751256</v>
      </c>
      <c r="M49" s="174">
        <f t="shared" si="19"/>
        <v>27.408203370184353</v>
      </c>
      <c r="N49" s="174">
        <f t="shared" si="19"/>
        <v>24.478342216692724</v>
      </c>
      <c r="O49" s="174">
        <f t="shared" si="19"/>
        <v>23.231740984271184</v>
      </c>
      <c r="P49" s="174">
        <f t="shared" si="19"/>
        <v>31.313754395467829</v>
      </c>
      <c r="Q49" s="174">
        <f t="shared" si="19"/>
        <v>28.652390045011835</v>
      </c>
      <c r="R49" s="174">
        <f t="shared" si="19"/>
        <v>22.844061589535695</v>
      </c>
      <c r="S49" s="174">
        <f t="shared" si="19"/>
        <v>18.105470660192324</v>
      </c>
      <c r="T49" s="174">
        <f t="shared" si="19"/>
        <v>14.821324003486929</v>
      </c>
      <c r="U49" s="174">
        <f t="shared" si="19"/>
        <v>9.7774058532705919</v>
      </c>
      <c r="V49" s="174">
        <f t="shared" si="19"/>
        <v>7.3733084685270853</v>
      </c>
      <c r="W49" s="174">
        <f t="shared" si="19"/>
        <v>5.3832892445154172</v>
      </c>
      <c r="X49" s="174">
        <f t="shared" si="19"/>
        <v>4.4991639701019226</v>
      </c>
      <c r="Y49" s="117"/>
    </row>
    <row r="50" spans="1:80">
      <c r="A50" s="563">
        <f>'SC-Retro'!A50</f>
        <v>345.20322304329721</v>
      </c>
      <c r="B50" s="175">
        <f>VLOOKUP($C$35,[1]!APPLIC,MATCH(C50,BLDGTYP,0)+1,FALSE)</f>
        <v>0.8</v>
      </c>
      <c r="C50" s="20" t="str">
        <f t="shared" si="5"/>
        <v>Hospital</v>
      </c>
      <c r="E50" s="174">
        <f t="shared" si="6"/>
        <v>214.63301537112412</v>
      </c>
      <c r="F50" s="174">
        <f t="shared" si="6"/>
        <v>129.56983588199103</v>
      </c>
      <c r="G50" s="174">
        <f t="shared" ref="G50:X50" si="20">G27*G$35*$Y$34*$B50*$A50</f>
        <v>80.642783024122565</v>
      </c>
      <c r="H50" s="174">
        <f t="shared" si="20"/>
        <v>52.059226281671918</v>
      </c>
      <c r="I50" s="174">
        <f t="shared" si="20"/>
        <v>32.199939584204088</v>
      </c>
      <c r="J50" s="174">
        <f t="shared" si="20"/>
        <v>24.497470756242894</v>
      </c>
      <c r="K50" s="174">
        <f t="shared" si="20"/>
        <v>19.366647753930657</v>
      </c>
      <c r="L50" s="174">
        <f t="shared" si="20"/>
        <v>14.431217564721965</v>
      </c>
      <c r="M50" s="174">
        <f t="shared" si="20"/>
        <v>12.216005577060303</v>
      </c>
      <c r="N50" s="174">
        <f t="shared" si="20"/>
        <v>10.792986640306891</v>
      </c>
      <c r="O50" s="174">
        <f t="shared" si="20"/>
        <v>10.693324868907679</v>
      </c>
      <c r="P50" s="174">
        <f t="shared" si="20"/>
        <v>10.037053891661435</v>
      </c>
      <c r="Q50" s="174">
        <f t="shared" si="20"/>
        <v>8.9318010353132955</v>
      </c>
      <c r="R50" s="174">
        <f t="shared" si="20"/>
        <v>6.232991694296329</v>
      </c>
      <c r="S50" s="174">
        <f t="shared" si="20"/>
        <v>4.6756943494091638</v>
      </c>
      <c r="T50" s="174">
        <f t="shared" si="20"/>
        <v>3.5429232408518305</v>
      </c>
      <c r="U50" s="174">
        <f t="shared" si="20"/>
        <v>2.531387461348606</v>
      </c>
      <c r="V50" s="174">
        <f t="shared" si="20"/>
        <v>1.8579888465599061</v>
      </c>
      <c r="W50" s="174">
        <f t="shared" si="20"/>
        <v>1.3336958795642473</v>
      </c>
      <c r="X50" s="174">
        <f t="shared" si="20"/>
        <v>1.0487072202281338</v>
      </c>
      <c r="Y50" s="117"/>
    </row>
    <row r="51" spans="1:80">
      <c r="A51" s="563">
        <f>'SC-Retro'!A51</f>
        <v>1153.9818463786005</v>
      </c>
      <c r="B51" s="175">
        <f>VLOOKUP($C$35,[1]!APPLIC,MATCH(C51,BLDGTYP,0)+1,FALSE)</f>
        <v>0.8</v>
      </c>
      <c r="C51" s="20" t="str">
        <f t="shared" si="5"/>
        <v>Residential Care</v>
      </c>
      <c r="E51" s="174">
        <f t="shared" si="6"/>
        <v>781.60567111933381</v>
      </c>
      <c r="F51" s="174">
        <f t="shared" si="6"/>
        <v>496.21767283723017</v>
      </c>
      <c r="G51" s="174">
        <f t="shared" ref="G51:X51" si="21">G28*G$35*$Y$34*$B51*$A51</f>
        <v>302.53007179996422</v>
      </c>
      <c r="H51" s="174">
        <f t="shared" si="21"/>
        <v>199.41027851869117</v>
      </c>
      <c r="I51" s="174">
        <f t="shared" si="21"/>
        <v>132.28778435817301</v>
      </c>
      <c r="J51" s="174">
        <f t="shared" si="21"/>
        <v>106.03286199732001</v>
      </c>
      <c r="K51" s="174">
        <f t="shared" si="21"/>
        <v>84.232978240954665</v>
      </c>
      <c r="L51" s="174">
        <f t="shared" si="21"/>
        <v>65.500059770163432</v>
      </c>
      <c r="M51" s="174">
        <f t="shared" si="21"/>
        <v>58.094602571205343</v>
      </c>
      <c r="N51" s="174">
        <f t="shared" si="21"/>
        <v>51.557980583556763</v>
      </c>
      <c r="O51" s="174">
        <f t="shared" si="21"/>
        <v>49.241799981230869</v>
      </c>
      <c r="P51" s="174">
        <f t="shared" si="21"/>
        <v>46.592210749862637</v>
      </c>
      <c r="Q51" s="174">
        <f t="shared" si="21"/>
        <v>39.772946272399949</v>
      </c>
      <c r="R51" s="174">
        <f t="shared" si="21"/>
        <v>27.703620142152278</v>
      </c>
      <c r="S51" s="174">
        <f t="shared" si="21"/>
        <v>22.051171652693494</v>
      </c>
      <c r="T51" s="174">
        <f t="shared" si="21"/>
        <v>16.705827069064849</v>
      </c>
      <c r="U51" s="174">
        <f t="shared" si="21"/>
        <v>11.90263414492285</v>
      </c>
      <c r="V51" s="174">
        <f t="shared" si="21"/>
        <v>9.0589847565697426</v>
      </c>
      <c r="W51" s="174">
        <f t="shared" si="21"/>
        <v>6.7644294336981723</v>
      </c>
      <c r="X51" s="174">
        <f t="shared" si="21"/>
        <v>5.2043953753301357</v>
      </c>
      <c r="Y51" s="117"/>
    </row>
    <row r="52" spans="1:80">
      <c r="A52" s="563">
        <f>'SC-Retro'!A52</f>
        <v>9.1796068071315116</v>
      </c>
      <c r="B52" s="175">
        <f>VLOOKUP($C$35,[1]!APPLIC,MATCH(C52,BLDGTYP,0)+1,FALSE)</f>
        <v>0.8</v>
      </c>
      <c r="C52" s="20" t="str">
        <f t="shared" si="5"/>
        <v>Assembly</v>
      </c>
      <c r="E52" s="174">
        <f t="shared" si="6"/>
        <v>4.3983710105846168</v>
      </c>
      <c r="F52" s="174">
        <f t="shared" si="6"/>
        <v>3.0678337093458805</v>
      </c>
      <c r="G52" s="174">
        <f t="shared" ref="G52:X52" si="22">G29*G$35*$Y$34*$B52*$A52</f>
        <v>1.5160573511358373</v>
      </c>
      <c r="H52" s="174">
        <f t="shared" si="22"/>
        <v>1.3578548964507766</v>
      </c>
      <c r="I52" s="174">
        <f t="shared" si="22"/>
        <v>1.0477875776979551</v>
      </c>
      <c r="J52" s="174">
        <f t="shared" si="22"/>
        <v>0.85275783397328409</v>
      </c>
      <c r="K52" s="174">
        <f t="shared" si="22"/>
        <v>0.50225851000477295</v>
      </c>
      <c r="L52" s="174">
        <f t="shared" si="22"/>
        <v>0.44926299660840785</v>
      </c>
      <c r="M52" s="174">
        <f t="shared" si="22"/>
        <v>0.57199192167870283</v>
      </c>
      <c r="N52" s="174">
        <f t="shared" si="22"/>
        <v>0.66706142855267758</v>
      </c>
      <c r="O52" s="174">
        <f t="shared" si="22"/>
        <v>0.61614200034067124</v>
      </c>
      <c r="P52" s="174">
        <f t="shared" si="22"/>
        <v>0.5881361951618016</v>
      </c>
      <c r="Q52" s="174">
        <f t="shared" si="22"/>
        <v>0.60038311344706441</v>
      </c>
      <c r="R52" s="174">
        <f t="shared" si="22"/>
        <v>0.51881541804038245</v>
      </c>
      <c r="S52" s="174">
        <f t="shared" si="22"/>
        <v>0.43163773421111973</v>
      </c>
      <c r="T52" s="174">
        <f t="shared" si="22"/>
        <v>0.32870915128242328</v>
      </c>
      <c r="U52" s="174">
        <f t="shared" si="22"/>
        <v>0.24416174632697357</v>
      </c>
      <c r="V52" s="174">
        <f t="shared" si="22"/>
        <v>0.1862788992093988</v>
      </c>
      <c r="W52" s="174">
        <f t="shared" si="22"/>
        <v>0.14319526880513389</v>
      </c>
      <c r="X52" s="174">
        <f t="shared" si="22"/>
        <v>0.1082054337892988</v>
      </c>
      <c r="Y52" s="117"/>
    </row>
    <row r="53" spans="1:80">
      <c r="A53" s="563">
        <f>'SC-Retro'!A53</f>
        <v>35.89697872749683</v>
      </c>
      <c r="B53" s="175">
        <f>VLOOKUP($C$35,[1]!APPLIC,MATCH(C53,BLDGTYP,0)+1,FALSE)</f>
        <v>0.8</v>
      </c>
      <c r="C53" s="20" t="str">
        <f t="shared" si="5"/>
        <v>Other</v>
      </c>
      <c r="E53" s="174">
        <f t="shared" si="6"/>
        <v>69.453843193001461</v>
      </c>
      <c r="F53" s="174">
        <f t="shared" si="6"/>
        <v>40.578558879487531</v>
      </c>
      <c r="G53" s="174">
        <f t="shared" ref="G53:X53" si="23">G30*G$35*$Y$34*$B53*$A53</f>
        <v>26.571877871113504</v>
      </c>
      <c r="H53" s="174">
        <f t="shared" si="23"/>
        <v>19.304803842931655</v>
      </c>
      <c r="I53" s="174">
        <f t="shared" si="23"/>
        <v>13.164479483561157</v>
      </c>
      <c r="J53" s="174">
        <f t="shared" si="23"/>
        <v>12.621962549282289</v>
      </c>
      <c r="K53" s="174">
        <f t="shared" si="23"/>
        <v>10.549562910186204</v>
      </c>
      <c r="L53" s="174">
        <f t="shared" si="23"/>
        <v>9.6860536595332469</v>
      </c>
      <c r="M53" s="174">
        <f t="shared" si="23"/>
        <v>8.8543573011204852</v>
      </c>
      <c r="N53" s="174">
        <f t="shared" si="23"/>
        <v>7.216283335958515</v>
      </c>
      <c r="O53" s="174">
        <f t="shared" si="23"/>
        <v>6.7708300039236775</v>
      </c>
      <c r="P53" s="174">
        <f t="shared" si="23"/>
        <v>5.5854604404601638</v>
      </c>
      <c r="Q53" s="174">
        <f t="shared" si="23"/>
        <v>4.437753706341705</v>
      </c>
      <c r="R53" s="174">
        <f t="shared" si="23"/>
        <v>3.2242659496715023</v>
      </c>
      <c r="S53" s="174">
        <f t="shared" si="23"/>
        <v>2.6970381137968826</v>
      </c>
      <c r="T53" s="174">
        <f t="shared" si="23"/>
        <v>1.8973041081679198</v>
      </c>
      <c r="U53" s="174">
        <f t="shared" si="23"/>
        <v>1.5338619576854871</v>
      </c>
      <c r="V53" s="174">
        <f t="shared" si="23"/>
        <v>1.1366164021052358</v>
      </c>
      <c r="W53" s="174">
        <f t="shared" si="23"/>
        <v>0.83930332252655704</v>
      </c>
      <c r="X53" s="174">
        <f t="shared" si="23"/>
        <v>0.63313826404725504</v>
      </c>
      <c r="Y53" s="117"/>
    </row>
    <row r="54" spans="1:80">
      <c r="E54" s="118">
        <f>SUM(E36:E53)</f>
        <v>1571.3409745097972</v>
      </c>
      <c r="F54" s="118">
        <f t="shared" ref="F54:X54" si="24">SUM(F36:F53)</f>
        <v>975.60372691900432</v>
      </c>
      <c r="G54" s="118">
        <f t="shared" si="24"/>
        <v>595.53735251160538</v>
      </c>
      <c r="H54" s="118">
        <f t="shared" si="24"/>
        <v>431.81543797182053</v>
      </c>
      <c r="I54" s="118">
        <f t="shared" si="24"/>
        <v>305.7939634459334</v>
      </c>
      <c r="J54" s="118">
        <f t="shared" si="24"/>
        <v>240.41483945283588</v>
      </c>
      <c r="K54" s="118">
        <f t="shared" si="24"/>
        <v>208.91954670048918</v>
      </c>
      <c r="L54" s="118">
        <f t="shared" si="24"/>
        <v>166.34921510537438</v>
      </c>
      <c r="M54" s="118">
        <f t="shared" si="24"/>
        <v>145.83364477548096</v>
      </c>
      <c r="N54" s="118">
        <f t="shared" si="24"/>
        <v>130.8415280758378</v>
      </c>
      <c r="O54" s="118">
        <f t="shared" si="24"/>
        <v>121.07148698630228</v>
      </c>
      <c r="P54" s="118">
        <f t="shared" si="24"/>
        <v>119.5704224449906</v>
      </c>
      <c r="Q54" s="118">
        <f t="shared" si="24"/>
        <v>103.87933919953758</v>
      </c>
      <c r="R54" s="118">
        <f t="shared" si="24"/>
        <v>76.279901900770597</v>
      </c>
      <c r="S54" s="118">
        <f t="shared" si="24"/>
        <v>61.087108079455639</v>
      </c>
      <c r="T54" s="118">
        <f t="shared" si="24"/>
        <v>47.056766192506913</v>
      </c>
      <c r="U54" s="118">
        <f t="shared" si="24"/>
        <v>33.818567359803296</v>
      </c>
      <c r="V54" s="118">
        <f t="shared" si="24"/>
        <v>25.123744812413623</v>
      </c>
      <c r="W54" s="118">
        <f t="shared" si="24"/>
        <v>18.752722557537275</v>
      </c>
      <c r="X54" s="118">
        <f t="shared" si="24"/>
        <v>15.037424929439734</v>
      </c>
      <c r="Y54" s="117"/>
    </row>
    <row r="55" spans="1:80">
      <c r="E55" s="118"/>
      <c r="F55" s="118"/>
      <c r="G55" s="118"/>
      <c r="H55" s="118"/>
      <c r="I55" s="118"/>
      <c r="J55" s="118"/>
      <c r="K55" s="118"/>
      <c r="L55" s="118"/>
      <c r="M55" s="118"/>
      <c r="N55" s="118"/>
      <c r="O55" s="118"/>
      <c r="P55" s="118"/>
      <c r="Q55" s="118"/>
      <c r="R55" s="118"/>
      <c r="S55" s="118"/>
      <c r="T55" s="118"/>
      <c r="U55" s="118"/>
      <c r="V55" s="118"/>
      <c r="W55" s="118"/>
      <c r="X55" s="118"/>
      <c r="Y55" s="117"/>
    </row>
    <row r="56" spans="1:80">
      <c r="A56" s="98"/>
      <c r="D56" s="174"/>
      <c r="E56" s="118"/>
      <c r="F56" s="118"/>
      <c r="G56" s="118"/>
      <c r="H56" s="118"/>
      <c r="I56" s="118"/>
      <c r="J56" s="118"/>
      <c r="K56" s="118"/>
      <c r="L56" s="118"/>
      <c r="M56" s="118"/>
      <c r="N56" s="118"/>
      <c r="O56" s="118"/>
      <c r="P56" s="118"/>
      <c r="Q56" s="118"/>
      <c r="R56" s="118"/>
      <c r="S56" s="118"/>
      <c r="T56" s="118"/>
      <c r="U56" s="118"/>
      <c r="V56" s="118"/>
      <c r="W56" s="118"/>
      <c r="X56" s="118"/>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0" t="s">
        <v>48</v>
      </c>
      <c r="C58" s="91" t="str">
        <f>C8</f>
        <v>Showerheads-Retro</v>
      </c>
      <c r="D58" s="91"/>
      <c r="E58" s="20" t="s">
        <v>256</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1" t="s">
        <v>408</v>
      </c>
      <c r="B59" s="91"/>
      <c r="C59" s="91"/>
      <c r="D59" s="91"/>
      <c r="E59" s="92">
        <f>E11</f>
        <v>2016</v>
      </c>
      <c r="F59" s="92">
        <f t="shared" ref="F59:X59" si="25">F11</f>
        <v>2017</v>
      </c>
      <c r="G59" s="92">
        <f t="shared" si="25"/>
        <v>2018</v>
      </c>
      <c r="H59" s="92">
        <f t="shared" si="25"/>
        <v>2019</v>
      </c>
      <c r="I59" s="92">
        <f t="shared" si="25"/>
        <v>2020</v>
      </c>
      <c r="J59" s="92">
        <f t="shared" si="25"/>
        <v>2021</v>
      </c>
      <c r="K59" s="92">
        <f t="shared" si="25"/>
        <v>2022</v>
      </c>
      <c r="L59" s="92">
        <f t="shared" si="25"/>
        <v>2023</v>
      </c>
      <c r="M59" s="92">
        <f t="shared" si="25"/>
        <v>2024</v>
      </c>
      <c r="N59" s="92">
        <f t="shared" si="25"/>
        <v>2025</v>
      </c>
      <c r="O59" s="92">
        <f t="shared" si="25"/>
        <v>2026</v>
      </c>
      <c r="P59" s="92">
        <f t="shared" si="25"/>
        <v>2027</v>
      </c>
      <c r="Q59" s="92">
        <f t="shared" si="25"/>
        <v>2028</v>
      </c>
      <c r="R59" s="92">
        <f t="shared" si="25"/>
        <v>2029</v>
      </c>
      <c r="S59" s="92">
        <f t="shared" si="25"/>
        <v>2030</v>
      </c>
      <c r="T59" s="92">
        <f t="shared" si="25"/>
        <v>2031</v>
      </c>
      <c r="U59" s="92">
        <f t="shared" si="25"/>
        <v>2032</v>
      </c>
      <c r="V59" s="92">
        <f t="shared" si="25"/>
        <v>2033</v>
      </c>
      <c r="W59" s="92">
        <f t="shared" si="25"/>
        <v>2034</v>
      </c>
      <c r="X59" s="92">
        <f t="shared" si="25"/>
        <v>2035</v>
      </c>
      <c r="Y59" s="149" t="s">
        <v>46</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1" t="s">
        <v>306</v>
      </c>
      <c r="B60" s="91" t="s">
        <v>258</v>
      </c>
      <c r="C60" s="91" t="s">
        <v>259</v>
      </c>
      <c r="D60" s="91" t="s">
        <v>260</v>
      </c>
      <c r="E60" s="93" t="str">
        <f>CONCATENATE("aMW_",E$11)</f>
        <v>aMW_2016</v>
      </c>
      <c r="F60" s="93" t="str">
        <f t="shared" ref="F60:X60" si="26">CONCATENATE("aMW_",F$11)</f>
        <v>aMW_2017</v>
      </c>
      <c r="G60" s="93" t="str">
        <f t="shared" si="26"/>
        <v>aMW_2018</v>
      </c>
      <c r="H60" s="93" t="str">
        <f t="shared" si="26"/>
        <v>aMW_2019</v>
      </c>
      <c r="I60" s="93" t="str">
        <f t="shared" si="26"/>
        <v>aMW_2020</v>
      </c>
      <c r="J60" s="93" t="str">
        <f t="shared" si="26"/>
        <v>aMW_2021</v>
      </c>
      <c r="K60" s="93" t="str">
        <f t="shared" si="26"/>
        <v>aMW_2022</v>
      </c>
      <c r="L60" s="93" t="str">
        <f t="shared" si="26"/>
        <v>aMW_2023</v>
      </c>
      <c r="M60" s="93" t="str">
        <f t="shared" si="26"/>
        <v>aMW_2024</v>
      </c>
      <c r="N60" s="93" t="str">
        <f t="shared" si="26"/>
        <v>aMW_2025</v>
      </c>
      <c r="O60" s="93" t="str">
        <f t="shared" si="26"/>
        <v>aMW_2026</v>
      </c>
      <c r="P60" s="93" t="str">
        <f t="shared" si="26"/>
        <v>aMW_2027</v>
      </c>
      <c r="Q60" s="93" t="str">
        <f t="shared" si="26"/>
        <v>aMW_2028</v>
      </c>
      <c r="R60" s="93" t="str">
        <f t="shared" si="26"/>
        <v>aMW_2029</v>
      </c>
      <c r="S60" s="93" t="str">
        <f t="shared" si="26"/>
        <v>aMW_2030</v>
      </c>
      <c r="T60" s="93" t="str">
        <f t="shared" si="26"/>
        <v>aMW_2031</v>
      </c>
      <c r="U60" s="93" t="str">
        <f t="shared" si="26"/>
        <v>aMW_2032</v>
      </c>
      <c r="V60" s="93" t="str">
        <f t="shared" si="26"/>
        <v>aMW_2033</v>
      </c>
      <c r="W60" s="93" t="str">
        <f t="shared" si="26"/>
        <v>aMW_2034</v>
      </c>
      <c r="X60" s="93" t="str">
        <f t="shared" si="26"/>
        <v>aMW_2035</v>
      </c>
      <c r="Y60" s="150" t="s">
        <v>46</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83">
        <f t="shared" ref="A61:A78" si="27">VLOOKUP($D61,MeasureOutputR,3,FALSE)</f>
        <v>87.367093971108304</v>
      </c>
      <c r="B61" s="151">
        <f t="shared" ref="B61:B78" si="28">VLOOKUP($D61,MeasureOutputR,11,FALSE)</f>
        <v>-231.58779709821113</v>
      </c>
      <c r="C61" s="20" t="str">
        <f>C36</f>
        <v>Large Off</v>
      </c>
      <c r="D61" s="20" t="str">
        <f>CONCATENATE($C$58,"-",C61)</f>
        <v>Showerheads-Retro-Large Off</v>
      </c>
      <c r="E61" s="46">
        <f>E36*$A61/8760000</f>
        <v>9.9542756020415337E-4</v>
      </c>
      <c r="F61" s="46">
        <f t="shared" ref="F61:X75" si="29">F36*$A61/8760000</f>
        <v>5.3175131910087518E-4</v>
      </c>
      <c r="G61" s="46">
        <f t="shared" si="29"/>
        <v>3.6447633146470461E-4</v>
      </c>
      <c r="H61" s="46">
        <f t="shared" si="29"/>
        <v>3.3207172390792603E-4</v>
      </c>
      <c r="I61" s="46">
        <f t="shared" si="29"/>
        <v>2.803673479080863E-4</v>
      </c>
      <c r="J61" s="46">
        <f t="shared" si="29"/>
        <v>1.986705790109813E-4</v>
      </c>
      <c r="K61" s="46">
        <f t="shared" si="29"/>
        <v>2.1668704446279751E-4</v>
      </c>
      <c r="L61" s="46">
        <f t="shared" si="29"/>
        <v>1.6061580302680355E-4</v>
      </c>
      <c r="M61" s="46">
        <f t="shared" si="29"/>
        <v>1.3150588087544219E-4</v>
      </c>
      <c r="N61" s="46">
        <f t="shared" si="29"/>
        <v>1.2427166493104522E-4</v>
      </c>
      <c r="O61" s="46">
        <f t="shared" si="29"/>
        <v>1.0374853307222582E-4</v>
      </c>
      <c r="P61" s="46">
        <f t="shared" si="29"/>
        <v>8.8373407013787368E-5</v>
      </c>
      <c r="Q61" s="46">
        <f t="shared" si="29"/>
        <v>7.5534044432039156E-5</v>
      </c>
      <c r="R61" s="46">
        <f t="shared" si="29"/>
        <v>5.3834152213250461E-5</v>
      </c>
      <c r="S61" s="46">
        <f t="shared" si="29"/>
        <v>4.569871536231704E-5</v>
      </c>
      <c r="T61" s="46">
        <f t="shared" si="29"/>
        <v>3.4915957243070326E-5</v>
      </c>
      <c r="U61" s="46">
        <f t="shared" si="29"/>
        <v>2.6764826457350059E-5</v>
      </c>
      <c r="V61" s="46">
        <f t="shared" si="29"/>
        <v>1.956833702485718E-5</v>
      </c>
      <c r="W61" s="46">
        <f t="shared" si="29"/>
        <v>1.5045556175399119E-5</v>
      </c>
      <c r="X61" s="46">
        <f t="shared" si="29"/>
        <v>1.2291783978556664E-5</v>
      </c>
      <c r="Y61" s="46">
        <f t="shared" ref="Y61:Y78" si="30">Y36*A61*1000/8760</f>
        <v>0</v>
      </c>
      <c r="AA61" s="45">
        <f>SUM(E61:Y61)</f>
        <v>3.8116205678656681E-3</v>
      </c>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83">
        <f t="shared" si="27"/>
        <v>87.367093971108304</v>
      </c>
      <c r="B62" s="151">
        <f t="shared" si="28"/>
        <v>-231.58779709821113</v>
      </c>
      <c r="C62" s="20" t="str">
        <f t="shared" ref="C62:C78" si="31">C37</f>
        <v>Medium Off</v>
      </c>
      <c r="D62" s="20" t="str">
        <f t="shared" ref="D62:D78" si="32">CONCATENATE($C$58,"-",C62)</f>
        <v>Showerheads-Retro-Medium Off</v>
      </c>
      <c r="E62" s="46">
        <f t="shared" ref="E62:T77" si="33">E37*$A62/8760000</f>
        <v>1.3789565577136322E-3</v>
      </c>
      <c r="F62" s="46">
        <f t="shared" si="33"/>
        <v>7.0605433938401429E-4</v>
      </c>
      <c r="G62" s="46">
        <f t="shared" si="33"/>
        <v>4.9627070834085401E-4</v>
      </c>
      <c r="H62" s="46">
        <f t="shared" si="33"/>
        <v>4.5734563792024658E-4</v>
      </c>
      <c r="I62" s="46">
        <f t="shared" si="33"/>
        <v>3.8153159719369185E-4</v>
      </c>
      <c r="J62" s="46">
        <f t="shared" si="33"/>
        <v>2.5558522887033025E-4</v>
      </c>
      <c r="K62" s="46">
        <f t="shared" si="33"/>
        <v>3.0028080145554163E-4</v>
      </c>
      <c r="L62" s="46">
        <f t="shared" si="33"/>
        <v>2.2224228484585951E-4</v>
      </c>
      <c r="M62" s="46">
        <f t="shared" si="33"/>
        <v>1.7816092361112293E-4</v>
      </c>
      <c r="N62" s="46">
        <f t="shared" si="33"/>
        <v>1.7228045527906805E-4</v>
      </c>
      <c r="O62" s="46">
        <f t="shared" si="33"/>
        <v>1.4335438408908052E-4</v>
      </c>
      <c r="P62" s="46">
        <f t="shared" si="33"/>
        <v>1.1941034244459866E-4</v>
      </c>
      <c r="Q62" s="46">
        <f t="shared" si="33"/>
        <v>1.0027641160647193E-4</v>
      </c>
      <c r="R62" s="46">
        <f t="shared" si="33"/>
        <v>7.3483603738644853E-5</v>
      </c>
      <c r="S62" s="46">
        <f t="shared" si="33"/>
        <v>6.3472734556121771E-5</v>
      </c>
      <c r="T62" s="46">
        <f t="shared" si="33"/>
        <v>4.6931819387221568E-5</v>
      </c>
      <c r="U62" s="46">
        <f t="shared" si="29"/>
        <v>3.7780797839816702E-5</v>
      </c>
      <c r="V62" s="46">
        <f t="shared" si="29"/>
        <v>2.5820996603854052E-5</v>
      </c>
      <c r="W62" s="46">
        <f t="shared" si="29"/>
        <v>2.0059677136123505E-5</v>
      </c>
      <c r="X62" s="46">
        <f t="shared" si="29"/>
        <v>1.6913575207940895E-5</v>
      </c>
      <c r="Y62" s="46">
        <f t="shared" si="30"/>
        <v>0</v>
      </c>
      <c r="AA62" s="45">
        <f>SUM(E62:Y62)</f>
        <v>5.1962128772242364E-3</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83">
        <f t="shared" si="27"/>
        <v>87.367093971108304</v>
      </c>
      <c r="B63" s="151">
        <f t="shared" si="28"/>
        <v>-231.58779709821113</v>
      </c>
      <c r="C63" s="20" t="str">
        <f t="shared" si="31"/>
        <v>Small Off</v>
      </c>
      <c r="D63" s="20" t="str">
        <f t="shared" si="32"/>
        <v>Showerheads-Retro-Small Off</v>
      </c>
      <c r="E63" s="46">
        <f t="shared" si="33"/>
        <v>6.7702482000226634E-5</v>
      </c>
      <c r="F63" s="46">
        <f t="shared" si="29"/>
        <v>3.4747633061076933E-5</v>
      </c>
      <c r="G63" s="46">
        <f t="shared" si="29"/>
        <v>2.4595558456451816E-5</v>
      </c>
      <c r="H63" s="46">
        <f t="shared" si="29"/>
        <v>2.2451762945404911E-5</v>
      </c>
      <c r="I63" s="46">
        <f t="shared" si="29"/>
        <v>1.8886200755262259E-5</v>
      </c>
      <c r="J63" s="46">
        <f t="shared" si="29"/>
        <v>1.2589369569677781E-5</v>
      </c>
      <c r="K63" s="46">
        <f t="shared" si="29"/>
        <v>1.4744351947532304E-5</v>
      </c>
      <c r="L63" s="46">
        <f t="shared" si="29"/>
        <v>1.0954064055606958E-5</v>
      </c>
      <c r="M63" s="46">
        <f t="shared" si="29"/>
        <v>8.7710777259119675E-6</v>
      </c>
      <c r="N63" s="46">
        <f t="shared" si="29"/>
        <v>8.4221240323239504E-6</v>
      </c>
      <c r="O63" s="46">
        <f t="shared" si="29"/>
        <v>7.0170717483405959E-6</v>
      </c>
      <c r="P63" s="46">
        <f t="shared" si="29"/>
        <v>5.8574201022175497E-6</v>
      </c>
      <c r="Q63" s="46">
        <f t="shared" si="29"/>
        <v>4.9272565710285098E-6</v>
      </c>
      <c r="R63" s="46">
        <f t="shared" si="29"/>
        <v>3.5979899775773593E-6</v>
      </c>
      <c r="S63" s="46">
        <f t="shared" si="29"/>
        <v>3.1163913438687466E-6</v>
      </c>
      <c r="T63" s="46">
        <f t="shared" si="29"/>
        <v>2.2950821599850511E-6</v>
      </c>
      <c r="U63" s="46">
        <f t="shared" si="29"/>
        <v>1.835789145738254E-6</v>
      </c>
      <c r="V63" s="46">
        <f t="shared" si="29"/>
        <v>1.2694657287338762E-6</v>
      </c>
      <c r="W63" s="46">
        <f t="shared" si="29"/>
        <v>9.8633868289184958E-7</v>
      </c>
      <c r="X63" s="46">
        <f t="shared" si="29"/>
        <v>8.2720268187001378E-7</v>
      </c>
      <c r="Y63" s="46">
        <f t="shared" si="30"/>
        <v>0</v>
      </c>
      <c r="AA63" s="45"/>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83">
        <f t="shared" si="27"/>
        <v>0</v>
      </c>
      <c r="B64" s="151">
        <f t="shared" si="28"/>
        <v>9999</v>
      </c>
      <c r="C64" s="20" t="str">
        <f t="shared" si="31"/>
        <v>XLarge Ret</v>
      </c>
      <c r="D64" s="20" t="str">
        <f t="shared" si="32"/>
        <v>Showerheads-Retro-XLarge Ret</v>
      </c>
      <c r="E64" s="46">
        <f t="shared" si="33"/>
        <v>0</v>
      </c>
      <c r="F64" s="46">
        <f t="shared" si="29"/>
        <v>0</v>
      </c>
      <c r="G64" s="46">
        <f t="shared" si="29"/>
        <v>0</v>
      </c>
      <c r="H64" s="46">
        <f t="shared" si="29"/>
        <v>0</v>
      </c>
      <c r="I64" s="46">
        <f t="shared" si="29"/>
        <v>0</v>
      </c>
      <c r="J64" s="46">
        <f t="shared" si="29"/>
        <v>0</v>
      </c>
      <c r="K64" s="46">
        <f t="shared" si="29"/>
        <v>0</v>
      </c>
      <c r="L64" s="46">
        <f t="shared" si="29"/>
        <v>0</v>
      </c>
      <c r="M64" s="46">
        <f t="shared" si="29"/>
        <v>0</v>
      </c>
      <c r="N64" s="46">
        <f t="shared" si="29"/>
        <v>0</v>
      </c>
      <c r="O64" s="46">
        <f t="shared" si="29"/>
        <v>0</v>
      </c>
      <c r="P64" s="46">
        <f t="shared" si="29"/>
        <v>0</v>
      </c>
      <c r="Q64" s="46">
        <f t="shared" si="29"/>
        <v>0</v>
      </c>
      <c r="R64" s="46">
        <f t="shared" si="29"/>
        <v>0</v>
      </c>
      <c r="S64" s="46">
        <f t="shared" si="29"/>
        <v>0</v>
      </c>
      <c r="T64" s="46">
        <f t="shared" si="29"/>
        <v>0</v>
      </c>
      <c r="U64" s="46">
        <f t="shared" si="29"/>
        <v>0</v>
      </c>
      <c r="V64" s="46">
        <f t="shared" si="29"/>
        <v>0</v>
      </c>
      <c r="W64" s="46">
        <f t="shared" si="29"/>
        <v>0</v>
      </c>
      <c r="X64" s="46">
        <f t="shared" si="29"/>
        <v>0</v>
      </c>
      <c r="Y64" s="46">
        <f t="shared" si="30"/>
        <v>0</v>
      </c>
      <c r="AA64" s="45"/>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83">
        <f t="shared" si="27"/>
        <v>0</v>
      </c>
      <c r="B65" s="151">
        <f t="shared" si="28"/>
        <v>9999</v>
      </c>
      <c r="C65" s="20" t="str">
        <f t="shared" si="31"/>
        <v>Large Ret</v>
      </c>
      <c r="D65" s="20" t="str">
        <f t="shared" si="32"/>
        <v>Showerheads-Retro-Large Ret</v>
      </c>
      <c r="E65" s="46">
        <f t="shared" si="33"/>
        <v>0</v>
      </c>
      <c r="F65" s="46">
        <f t="shared" si="29"/>
        <v>0</v>
      </c>
      <c r="G65" s="46">
        <f t="shared" si="29"/>
        <v>0</v>
      </c>
      <c r="H65" s="46">
        <f t="shared" si="29"/>
        <v>0</v>
      </c>
      <c r="I65" s="46">
        <f t="shared" si="29"/>
        <v>0</v>
      </c>
      <c r="J65" s="46">
        <f t="shared" si="29"/>
        <v>0</v>
      </c>
      <c r="K65" s="46">
        <f t="shared" si="29"/>
        <v>0</v>
      </c>
      <c r="L65" s="46">
        <f t="shared" si="29"/>
        <v>0</v>
      </c>
      <c r="M65" s="46">
        <f t="shared" si="29"/>
        <v>0</v>
      </c>
      <c r="N65" s="46">
        <f t="shared" si="29"/>
        <v>0</v>
      </c>
      <c r="O65" s="46">
        <f t="shared" si="29"/>
        <v>0</v>
      </c>
      <c r="P65" s="46">
        <f t="shared" si="29"/>
        <v>0</v>
      </c>
      <c r="Q65" s="46">
        <f t="shared" si="29"/>
        <v>0</v>
      </c>
      <c r="R65" s="46">
        <f t="shared" si="29"/>
        <v>0</v>
      </c>
      <c r="S65" s="46">
        <f t="shared" si="29"/>
        <v>0</v>
      </c>
      <c r="T65" s="46">
        <f t="shared" si="29"/>
        <v>0</v>
      </c>
      <c r="U65" s="46">
        <f t="shared" si="29"/>
        <v>0</v>
      </c>
      <c r="V65" s="46">
        <f t="shared" si="29"/>
        <v>0</v>
      </c>
      <c r="W65" s="46">
        <f t="shared" si="29"/>
        <v>0</v>
      </c>
      <c r="X65" s="46">
        <f t="shared" si="29"/>
        <v>0</v>
      </c>
      <c r="Y65" s="46">
        <f t="shared" si="30"/>
        <v>0</v>
      </c>
      <c r="AA65" s="45">
        <f>SUM(E65:Y65)</f>
        <v>0</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83">
        <f t="shared" si="27"/>
        <v>0</v>
      </c>
      <c r="B66" s="151">
        <f t="shared" si="28"/>
        <v>9999</v>
      </c>
      <c r="C66" s="20" t="str">
        <f t="shared" si="31"/>
        <v>Medium Ret</v>
      </c>
      <c r="D66" s="20" t="str">
        <f t="shared" si="32"/>
        <v>Showerheads-Retro-Medium Ret</v>
      </c>
      <c r="E66" s="46">
        <f t="shared" si="33"/>
        <v>0</v>
      </c>
      <c r="F66" s="46">
        <f t="shared" si="29"/>
        <v>0</v>
      </c>
      <c r="G66" s="46">
        <f t="shared" si="29"/>
        <v>0</v>
      </c>
      <c r="H66" s="46">
        <f t="shared" si="29"/>
        <v>0</v>
      </c>
      <c r="I66" s="46">
        <f t="shared" si="29"/>
        <v>0</v>
      </c>
      <c r="J66" s="46">
        <f t="shared" si="29"/>
        <v>0</v>
      </c>
      <c r="K66" s="46">
        <f t="shared" si="29"/>
        <v>0</v>
      </c>
      <c r="L66" s="46">
        <f t="shared" si="29"/>
        <v>0</v>
      </c>
      <c r="M66" s="46">
        <f t="shared" si="29"/>
        <v>0</v>
      </c>
      <c r="N66" s="46">
        <f t="shared" si="29"/>
        <v>0</v>
      </c>
      <c r="O66" s="46">
        <f t="shared" si="29"/>
        <v>0</v>
      </c>
      <c r="P66" s="46">
        <f t="shared" si="29"/>
        <v>0</v>
      </c>
      <c r="Q66" s="46">
        <f t="shared" si="29"/>
        <v>0</v>
      </c>
      <c r="R66" s="46">
        <f t="shared" si="29"/>
        <v>0</v>
      </c>
      <c r="S66" s="46">
        <f t="shared" si="29"/>
        <v>0</v>
      </c>
      <c r="T66" s="46">
        <f t="shared" si="29"/>
        <v>0</v>
      </c>
      <c r="U66" s="46">
        <f t="shared" si="29"/>
        <v>0</v>
      </c>
      <c r="V66" s="46">
        <f t="shared" si="29"/>
        <v>0</v>
      </c>
      <c r="W66" s="46">
        <f t="shared" si="29"/>
        <v>0</v>
      </c>
      <c r="X66" s="46">
        <f t="shared" si="29"/>
        <v>0</v>
      </c>
      <c r="Y66" s="46">
        <f t="shared" si="30"/>
        <v>0</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83">
        <f t="shared" si="27"/>
        <v>0</v>
      </c>
      <c r="B67" s="151">
        <f t="shared" si="28"/>
        <v>9999</v>
      </c>
      <c r="C67" s="20" t="str">
        <f t="shared" si="31"/>
        <v>Small Ret</v>
      </c>
      <c r="D67" s="20" t="str">
        <f t="shared" si="32"/>
        <v>Showerheads-Retro-Small Ret</v>
      </c>
      <c r="E67" s="46">
        <f t="shared" si="33"/>
        <v>0</v>
      </c>
      <c r="F67" s="46">
        <f t="shared" si="29"/>
        <v>0</v>
      </c>
      <c r="G67" s="46">
        <f t="shared" si="29"/>
        <v>0</v>
      </c>
      <c r="H67" s="46">
        <f t="shared" si="29"/>
        <v>0</v>
      </c>
      <c r="I67" s="46">
        <f t="shared" si="29"/>
        <v>0</v>
      </c>
      <c r="J67" s="46">
        <f t="shared" si="29"/>
        <v>0</v>
      </c>
      <c r="K67" s="46">
        <f t="shared" si="29"/>
        <v>0</v>
      </c>
      <c r="L67" s="46">
        <f t="shared" si="29"/>
        <v>0</v>
      </c>
      <c r="M67" s="46">
        <f t="shared" si="29"/>
        <v>0</v>
      </c>
      <c r="N67" s="46">
        <f t="shared" si="29"/>
        <v>0</v>
      </c>
      <c r="O67" s="46">
        <f t="shared" si="29"/>
        <v>0</v>
      </c>
      <c r="P67" s="46">
        <f t="shared" si="29"/>
        <v>0</v>
      </c>
      <c r="Q67" s="46">
        <f t="shared" si="29"/>
        <v>0</v>
      </c>
      <c r="R67" s="46">
        <f t="shared" si="29"/>
        <v>0</v>
      </c>
      <c r="S67" s="46">
        <f t="shared" si="29"/>
        <v>0</v>
      </c>
      <c r="T67" s="46">
        <f t="shared" si="29"/>
        <v>0</v>
      </c>
      <c r="U67" s="46">
        <f t="shared" si="29"/>
        <v>0</v>
      </c>
      <c r="V67" s="46">
        <f t="shared" si="29"/>
        <v>0</v>
      </c>
      <c r="W67" s="46">
        <f t="shared" si="29"/>
        <v>0</v>
      </c>
      <c r="X67" s="46">
        <f t="shared" si="29"/>
        <v>0</v>
      </c>
      <c r="Y67" s="46">
        <f t="shared" si="30"/>
        <v>0</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83">
        <f t="shared" si="27"/>
        <v>31.19382820794868</v>
      </c>
      <c r="B68" s="151">
        <f t="shared" si="28"/>
        <v>-689.3403146610957</v>
      </c>
      <c r="C68" s="20" t="str">
        <f t="shared" si="31"/>
        <v>School K-12</v>
      </c>
      <c r="D68" s="20" t="str">
        <f t="shared" si="32"/>
        <v>Showerheads-Retro-School K-12</v>
      </c>
      <c r="E68" s="46">
        <f t="shared" si="33"/>
        <v>5.5624010737628229E-6</v>
      </c>
      <c r="F68" s="46">
        <f t="shared" si="29"/>
        <v>8.7160971480588515E-6</v>
      </c>
      <c r="G68" s="46">
        <f t="shared" si="29"/>
        <v>5.1966136294228775E-6</v>
      </c>
      <c r="H68" s="46">
        <f t="shared" si="29"/>
        <v>3.0556401895634256E-6</v>
      </c>
      <c r="I68" s="46">
        <f t="shared" si="29"/>
        <v>2.7780666662388283E-6</v>
      </c>
      <c r="J68" s="46">
        <f t="shared" si="29"/>
        <v>2.7501388031621551E-6</v>
      </c>
      <c r="K68" s="46">
        <f t="shared" si="29"/>
        <v>2.7433808528285988E-6</v>
      </c>
      <c r="L68" s="46">
        <f t="shared" si="29"/>
        <v>3.5299542742314789E-6</v>
      </c>
      <c r="M68" s="46">
        <f t="shared" si="29"/>
        <v>3.7088055966248324E-6</v>
      </c>
      <c r="N68" s="46">
        <f t="shared" si="29"/>
        <v>2.7371045646862234E-6</v>
      </c>
      <c r="O68" s="46">
        <f t="shared" si="29"/>
        <v>2.325631496726563E-6</v>
      </c>
      <c r="P68" s="46">
        <f t="shared" si="29"/>
        <v>1.939840610079703E-6</v>
      </c>
      <c r="Q68" s="46">
        <f t="shared" si="29"/>
        <v>1.568109304500463E-6</v>
      </c>
      <c r="R68" s="46">
        <f t="shared" si="29"/>
        <v>1.1468174710091612E-6</v>
      </c>
      <c r="S68" s="46">
        <f t="shared" si="29"/>
        <v>9.1797846713941905E-7</v>
      </c>
      <c r="T68" s="46">
        <f t="shared" si="29"/>
        <v>6.4411346405915798E-7</v>
      </c>
      <c r="U68" s="46">
        <f t="shared" si="29"/>
        <v>5.6439664429261838E-7</v>
      </c>
      <c r="V68" s="46">
        <f t="shared" si="29"/>
        <v>3.9408688904490317E-7</v>
      </c>
      <c r="W68" s="46">
        <f t="shared" si="29"/>
        <v>3.3489946467158958E-7</v>
      </c>
      <c r="X68" s="46">
        <f t="shared" si="29"/>
        <v>2.4713625807019707E-7</v>
      </c>
      <c r="Y68" s="46">
        <f t="shared" si="30"/>
        <v>0</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83">
        <f t="shared" si="27"/>
        <v>53.201158095537785</v>
      </c>
      <c r="B69" s="151">
        <f t="shared" si="28"/>
        <v>-712.11950988115018</v>
      </c>
      <c r="C69" s="20" t="str">
        <f t="shared" si="31"/>
        <v>University</v>
      </c>
      <c r="D69" s="20" t="str">
        <f t="shared" si="32"/>
        <v>Showerheads-Retro-University</v>
      </c>
      <c r="E69" s="46">
        <f t="shared" si="33"/>
        <v>4.6759007234204518E-5</v>
      </c>
      <c r="F69" s="46">
        <f t="shared" si="29"/>
        <v>3.4784878950313944E-5</v>
      </c>
      <c r="G69" s="46">
        <f t="shared" si="29"/>
        <v>4.7158899386243633E-5</v>
      </c>
      <c r="H69" s="46">
        <f t="shared" si="29"/>
        <v>5.2494294181388054E-5</v>
      </c>
      <c r="I69" s="46">
        <f t="shared" si="29"/>
        <v>3.682689535181295E-5</v>
      </c>
      <c r="J69" s="46">
        <f t="shared" si="29"/>
        <v>3.5234571809510564E-5</v>
      </c>
      <c r="K69" s="46">
        <f t="shared" si="29"/>
        <v>2.6367408766073053E-5</v>
      </c>
      <c r="L69" s="46">
        <f t="shared" si="29"/>
        <v>3.3877099365458666E-5</v>
      </c>
      <c r="M69" s="46">
        <f t="shared" si="29"/>
        <v>3.4728216464089956E-5</v>
      </c>
      <c r="N69" s="46">
        <f t="shared" si="29"/>
        <v>2.9038975375307183E-5</v>
      </c>
      <c r="O69" s="46">
        <f t="shared" si="29"/>
        <v>2.6629798200698323E-5</v>
      </c>
      <c r="P69" s="46">
        <f t="shared" si="29"/>
        <v>2.118317887968209E-5</v>
      </c>
      <c r="Q69" s="46">
        <f t="shared" si="29"/>
        <v>1.7744336324120322E-5</v>
      </c>
      <c r="R69" s="46">
        <f t="shared" si="29"/>
        <v>1.401460498179786E-5</v>
      </c>
      <c r="S69" s="46">
        <f t="shared" si="29"/>
        <v>9.7753258391916747E-6</v>
      </c>
      <c r="T69" s="46">
        <f t="shared" si="29"/>
        <v>6.9421355636720964E-6</v>
      </c>
      <c r="U69" s="46">
        <f t="shared" si="29"/>
        <v>6.1629661811891206E-6</v>
      </c>
      <c r="V69" s="46">
        <f t="shared" si="29"/>
        <v>4.3822916565685791E-6</v>
      </c>
      <c r="W69" s="46">
        <f t="shared" si="29"/>
        <v>3.4980534670389994E-6</v>
      </c>
      <c r="X69" s="46">
        <f t="shared" si="29"/>
        <v>2.8128005901569741E-6</v>
      </c>
      <c r="Y69" s="46">
        <f t="shared" si="30"/>
        <v>0</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83">
        <f t="shared" si="27"/>
        <v>0</v>
      </c>
      <c r="B70" s="151">
        <f t="shared" si="28"/>
        <v>9999</v>
      </c>
      <c r="C70" s="20" t="str">
        <f t="shared" si="31"/>
        <v>Warehouse</v>
      </c>
      <c r="D70" s="20" t="str">
        <f t="shared" si="32"/>
        <v>Showerheads-Retro-Warehouse</v>
      </c>
      <c r="E70" s="46">
        <f t="shared" si="33"/>
        <v>0</v>
      </c>
      <c r="F70" s="46">
        <f t="shared" si="29"/>
        <v>0</v>
      </c>
      <c r="G70" s="46">
        <f t="shared" si="29"/>
        <v>0</v>
      </c>
      <c r="H70" s="46">
        <f t="shared" si="29"/>
        <v>0</v>
      </c>
      <c r="I70" s="46">
        <f t="shared" si="29"/>
        <v>0</v>
      </c>
      <c r="J70" s="46">
        <f t="shared" si="29"/>
        <v>0</v>
      </c>
      <c r="K70" s="46">
        <f t="shared" si="29"/>
        <v>0</v>
      </c>
      <c r="L70" s="46">
        <f t="shared" si="29"/>
        <v>0</v>
      </c>
      <c r="M70" s="46">
        <f t="shared" si="29"/>
        <v>0</v>
      </c>
      <c r="N70" s="46">
        <f t="shared" si="29"/>
        <v>0</v>
      </c>
      <c r="O70" s="46">
        <f t="shared" si="29"/>
        <v>0</v>
      </c>
      <c r="P70" s="46">
        <f t="shared" si="29"/>
        <v>0</v>
      </c>
      <c r="Q70" s="46">
        <f t="shared" si="29"/>
        <v>0</v>
      </c>
      <c r="R70" s="46">
        <f t="shared" si="29"/>
        <v>0</v>
      </c>
      <c r="S70" s="46">
        <f t="shared" si="29"/>
        <v>0</v>
      </c>
      <c r="T70" s="46">
        <f t="shared" si="29"/>
        <v>0</v>
      </c>
      <c r="U70" s="46">
        <f t="shared" si="29"/>
        <v>0</v>
      </c>
      <c r="V70" s="46">
        <f t="shared" si="29"/>
        <v>0</v>
      </c>
      <c r="W70" s="46">
        <f t="shared" si="29"/>
        <v>0</v>
      </c>
      <c r="X70" s="46">
        <f t="shared" si="29"/>
        <v>0</v>
      </c>
      <c r="Y70" s="46">
        <f t="shared" si="30"/>
        <v>0</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83">
        <f t="shared" si="27"/>
        <v>0</v>
      </c>
      <c r="B71" s="151">
        <f t="shared" si="28"/>
        <v>9999</v>
      </c>
      <c r="C71" s="20" t="str">
        <f t="shared" si="31"/>
        <v>Supermarket</v>
      </c>
      <c r="D71" s="20" t="str">
        <f t="shared" si="32"/>
        <v>Showerheads-Retro-Supermarket</v>
      </c>
      <c r="E71" s="46">
        <f t="shared" si="33"/>
        <v>0</v>
      </c>
      <c r="F71" s="46">
        <f t="shared" si="29"/>
        <v>0</v>
      </c>
      <c r="G71" s="46">
        <f t="shared" si="29"/>
        <v>0</v>
      </c>
      <c r="H71" s="46">
        <f t="shared" si="29"/>
        <v>0</v>
      </c>
      <c r="I71" s="46">
        <f t="shared" si="29"/>
        <v>0</v>
      </c>
      <c r="J71" s="46">
        <f t="shared" si="29"/>
        <v>0</v>
      </c>
      <c r="K71" s="46">
        <f t="shared" si="29"/>
        <v>0</v>
      </c>
      <c r="L71" s="46">
        <f t="shared" si="29"/>
        <v>0</v>
      </c>
      <c r="M71" s="46">
        <f t="shared" si="29"/>
        <v>0</v>
      </c>
      <c r="N71" s="46">
        <f t="shared" si="29"/>
        <v>0</v>
      </c>
      <c r="O71" s="46">
        <f t="shared" si="29"/>
        <v>0</v>
      </c>
      <c r="P71" s="46">
        <f t="shared" si="29"/>
        <v>0</v>
      </c>
      <c r="Q71" s="46">
        <f t="shared" si="29"/>
        <v>0</v>
      </c>
      <c r="R71" s="46">
        <f t="shared" si="29"/>
        <v>0</v>
      </c>
      <c r="S71" s="46">
        <f t="shared" si="29"/>
        <v>0</v>
      </c>
      <c r="T71" s="46">
        <f t="shared" si="29"/>
        <v>0</v>
      </c>
      <c r="U71" s="46">
        <f t="shared" si="29"/>
        <v>0</v>
      </c>
      <c r="V71" s="46">
        <f t="shared" si="29"/>
        <v>0</v>
      </c>
      <c r="W71" s="46">
        <f t="shared" si="29"/>
        <v>0</v>
      </c>
      <c r="X71" s="46">
        <f t="shared" si="29"/>
        <v>0</v>
      </c>
      <c r="Y71" s="46">
        <f t="shared" si="30"/>
        <v>0</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83">
        <f t="shared" si="27"/>
        <v>0</v>
      </c>
      <c r="B72" s="151">
        <f t="shared" si="28"/>
        <v>9999</v>
      </c>
      <c r="C72" s="20" t="str">
        <f t="shared" si="31"/>
        <v>MiniMart</v>
      </c>
      <c r="D72" s="20" t="str">
        <f t="shared" si="32"/>
        <v>Showerheads-Retro-MiniMart</v>
      </c>
      <c r="E72" s="46">
        <f t="shared" si="33"/>
        <v>0</v>
      </c>
      <c r="F72" s="46">
        <f t="shared" si="29"/>
        <v>0</v>
      </c>
      <c r="G72" s="46">
        <f t="shared" si="29"/>
        <v>0</v>
      </c>
      <c r="H72" s="46">
        <f t="shared" si="29"/>
        <v>0</v>
      </c>
      <c r="I72" s="46">
        <f t="shared" si="29"/>
        <v>0</v>
      </c>
      <c r="J72" s="46">
        <f t="shared" si="29"/>
        <v>0</v>
      </c>
      <c r="K72" s="46">
        <f t="shared" si="29"/>
        <v>0</v>
      </c>
      <c r="L72" s="46">
        <f t="shared" si="29"/>
        <v>0</v>
      </c>
      <c r="M72" s="46">
        <f t="shared" si="29"/>
        <v>0</v>
      </c>
      <c r="N72" s="46">
        <f t="shared" si="29"/>
        <v>0</v>
      </c>
      <c r="O72" s="46">
        <f t="shared" si="29"/>
        <v>0</v>
      </c>
      <c r="P72" s="46">
        <f t="shared" si="29"/>
        <v>0</v>
      </c>
      <c r="Q72" s="46">
        <f t="shared" si="29"/>
        <v>0</v>
      </c>
      <c r="R72" s="46">
        <f t="shared" si="29"/>
        <v>0</v>
      </c>
      <c r="S72" s="46">
        <f t="shared" si="29"/>
        <v>0</v>
      </c>
      <c r="T72" s="46">
        <f t="shared" si="29"/>
        <v>0</v>
      </c>
      <c r="U72" s="46">
        <f t="shared" si="29"/>
        <v>0</v>
      </c>
      <c r="V72" s="46">
        <f t="shared" si="29"/>
        <v>0</v>
      </c>
      <c r="W72" s="46">
        <f t="shared" si="29"/>
        <v>0</v>
      </c>
      <c r="X72" s="46">
        <f t="shared" si="29"/>
        <v>0</v>
      </c>
      <c r="Y72" s="46">
        <f t="shared" si="30"/>
        <v>0</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83">
        <f t="shared" si="27"/>
        <v>0</v>
      </c>
      <c r="B73" s="151">
        <f t="shared" si="28"/>
        <v>9999</v>
      </c>
      <c r="C73" s="20" t="str">
        <f t="shared" si="31"/>
        <v>Restaurant</v>
      </c>
      <c r="D73" s="20" t="str">
        <f t="shared" si="32"/>
        <v>Showerheads-Retro-Restaurant</v>
      </c>
      <c r="E73" s="46">
        <f t="shared" si="33"/>
        <v>0</v>
      </c>
      <c r="F73" s="46">
        <f t="shared" si="29"/>
        <v>0</v>
      </c>
      <c r="G73" s="46">
        <f t="shared" si="29"/>
        <v>0</v>
      </c>
      <c r="H73" s="46">
        <f t="shared" si="29"/>
        <v>0</v>
      </c>
      <c r="I73" s="46">
        <f t="shared" si="29"/>
        <v>0</v>
      </c>
      <c r="J73" s="46">
        <f t="shared" si="29"/>
        <v>0</v>
      </c>
      <c r="K73" s="46">
        <f t="shared" si="29"/>
        <v>0</v>
      </c>
      <c r="L73" s="46">
        <f t="shared" si="29"/>
        <v>0</v>
      </c>
      <c r="M73" s="46">
        <f t="shared" si="29"/>
        <v>0</v>
      </c>
      <c r="N73" s="46">
        <f t="shared" si="29"/>
        <v>0</v>
      </c>
      <c r="O73" s="46">
        <f t="shared" si="29"/>
        <v>0</v>
      </c>
      <c r="P73" s="46">
        <f t="shared" si="29"/>
        <v>0</v>
      </c>
      <c r="Q73" s="46">
        <f t="shared" si="29"/>
        <v>0</v>
      </c>
      <c r="R73" s="46">
        <f t="shared" si="29"/>
        <v>0</v>
      </c>
      <c r="S73" s="46">
        <f t="shared" si="29"/>
        <v>0</v>
      </c>
      <c r="T73" s="46">
        <f t="shared" si="29"/>
        <v>0</v>
      </c>
      <c r="U73" s="46">
        <f t="shared" si="29"/>
        <v>0</v>
      </c>
      <c r="V73" s="46">
        <f t="shared" si="29"/>
        <v>0</v>
      </c>
      <c r="W73" s="46">
        <f t="shared" si="29"/>
        <v>0</v>
      </c>
      <c r="X73" s="46">
        <f t="shared" si="29"/>
        <v>0</v>
      </c>
      <c r="Y73" s="46">
        <f t="shared" si="30"/>
        <v>0</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83">
        <f t="shared" si="27"/>
        <v>53.201158095537785</v>
      </c>
      <c r="B74" s="151">
        <f t="shared" si="28"/>
        <v>-712.11950988115018</v>
      </c>
      <c r="C74" s="20" t="str">
        <f t="shared" si="31"/>
        <v>Lodging</v>
      </c>
      <c r="D74" s="20" t="str">
        <f t="shared" si="32"/>
        <v>Showerheads-Retro-Lodging</v>
      </c>
      <c r="E74" s="46">
        <f t="shared" si="33"/>
        <v>1.5008622833667024E-3</v>
      </c>
      <c r="F74" s="46">
        <f t="shared" si="29"/>
        <v>1.0348715264440716E-3</v>
      </c>
      <c r="G74" s="46">
        <f t="shared" si="29"/>
        <v>5.2400622723618553E-4</v>
      </c>
      <c r="H74" s="46">
        <f t="shared" si="29"/>
        <v>4.1770332131408629E-4</v>
      </c>
      <c r="I74" s="46">
        <f t="shared" si="29"/>
        <v>3.1574508653343865E-4</v>
      </c>
      <c r="J74" s="46">
        <f t="shared" si="29"/>
        <v>2.613103131080208E-4</v>
      </c>
      <c r="K74" s="46">
        <f t="shared" si="29"/>
        <v>2.1768212171081633E-4</v>
      </c>
      <c r="L74" s="46">
        <f t="shared" si="29"/>
        <v>1.835742749886886E-4</v>
      </c>
      <c r="M74" s="46">
        <f t="shared" si="29"/>
        <v>1.6645526947623622E-4</v>
      </c>
      <c r="N74" s="46">
        <f t="shared" si="29"/>
        <v>1.4866166143686604E-4</v>
      </c>
      <c r="O74" s="46">
        <f t="shared" si="29"/>
        <v>1.4109081334917761E-4</v>
      </c>
      <c r="P74" s="46">
        <f t="shared" si="29"/>
        <v>1.9017442901348461E-4</v>
      </c>
      <c r="Q74" s="46">
        <f t="shared" si="29"/>
        <v>1.7401145349311503E-4</v>
      </c>
      <c r="R74" s="46">
        <f t="shared" si="29"/>
        <v>1.3873636211975921E-4</v>
      </c>
      <c r="S74" s="46">
        <f t="shared" si="29"/>
        <v>1.099579916651841E-4</v>
      </c>
      <c r="T74" s="46">
        <f t="shared" si="29"/>
        <v>9.0012739896654922E-5</v>
      </c>
      <c r="U74" s="46">
        <f t="shared" si="29"/>
        <v>5.9380058740192388E-5</v>
      </c>
      <c r="V74" s="46">
        <f t="shared" si="29"/>
        <v>4.4779514785533909E-5</v>
      </c>
      <c r="W74" s="46">
        <f t="shared" si="29"/>
        <v>3.2693746823227501E-5</v>
      </c>
      <c r="X74" s="46">
        <f t="shared" si="29"/>
        <v>2.7324284665655233E-5</v>
      </c>
      <c r="Y74" s="46">
        <f t="shared" si="30"/>
        <v>0</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83">
        <f t="shared" si="27"/>
        <v>74.10148453691663</v>
      </c>
      <c r="B75" s="151">
        <f t="shared" si="28"/>
        <v>-366.59792668389559</v>
      </c>
      <c r="C75" s="20" t="str">
        <f t="shared" si="31"/>
        <v>Hospital</v>
      </c>
      <c r="D75" s="20" t="str">
        <f t="shared" si="32"/>
        <v>Showerheads-Retro-Hospital</v>
      </c>
      <c r="E75" s="46">
        <f t="shared" si="33"/>
        <v>1.815596469136432E-3</v>
      </c>
      <c r="F75" s="46">
        <f t="shared" si="29"/>
        <v>1.0960407751210255E-3</v>
      </c>
      <c r="G75" s="46">
        <f t="shared" si="29"/>
        <v>6.8216323507716223E-4</v>
      </c>
      <c r="H75" s="46">
        <f t="shared" si="29"/>
        <v>4.4037282549259764E-4</v>
      </c>
      <c r="I75" s="46">
        <f t="shared" si="29"/>
        <v>2.7238165812654667E-4</v>
      </c>
      <c r="J75" s="46">
        <f t="shared" ref="F75:X78" si="34">J50*$A75/8760000</f>
        <v>2.0722590758416668E-4</v>
      </c>
      <c r="K75" s="46">
        <f t="shared" si="34"/>
        <v>1.638238982956397E-4</v>
      </c>
      <c r="L75" s="46">
        <f t="shared" si="34"/>
        <v>1.2207473118962608E-4</v>
      </c>
      <c r="M75" s="46">
        <f t="shared" si="34"/>
        <v>1.0333608999673759E-4</v>
      </c>
      <c r="N75" s="46">
        <f t="shared" si="34"/>
        <v>9.1298668108886851E-5</v>
      </c>
      <c r="O75" s="46">
        <f t="shared" si="34"/>
        <v>9.0455621851779502E-5</v>
      </c>
      <c r="P75" s="46">
        <f t="shared" si="34"/>
        <v>8.4904177368624276E-5</v>
      </c>
      <c r="Q75" s="46">
        <f t="shared" si="34"/>
        <v>7.5554762135283582E-5</v>
      </c>
      <c r="R75" s="46">
        <f t="shared" si="34"/>
        <v>5.2725335348587808E-5</v>
      </c>
      <c r="S75" s="46">
        <f t="shared" si="34"/>
        <v>3.9552042526494475E-5</v>
      </c>
      <c r="T75" s="46">
        <f t="shared" si="34"/>
        <v>2.9969848372998226E-5</v>
      </c>
      <c r="U75" s="46">
        <f t="shared" si="34"/>
        <v>2.1413192788135658E-5</v>
      </c>
      <c r="V75" s="46">
        <f t="shared" si="34"/>
        <v>1.5716864358803936E-5</v>
      </c>
      <c r="W75" s="46">
        <f t="shared" si="34"/>
        <v>1.1281831574940581E-5</v>
      </c>
      <c r="X75" s="46">
        <f t="shared" si="34"/>
        <v>8.8710915369278402E-6</v>
      </c>
      <c r="Y75" s="46">
        <f t="shared" si="30"/>
        <v>0</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83">
        <f t="shared" si="27"/>
        <v>53.201158095537785</v>
      </c>
      <c r="B76" s="151">
        <f t="shared" si="28"/>
        <v>-712.11950988115018</v>
      </c>
      <c r="C76" s="20" t="str">
        <f t="shared" si="31"/>
        <v>Residential Care</v>
      </c>
      <c r="D76" s="20" t="str">
        <f t="shared" si="32"/>
        <v>Showerheads-Retro-Residential Care</v>
      </c>
      <c r="E76" s="46">
        <f t="shared" si="33"/>
        <v>4.7468409677612544E-3</v>
      </c>
      <c r="F76" s="46">
        <f t="shared" si="34"/>
        <v>3.0136249842937588E-3</v>
      </c>
      <c r="G76" s="46">
        <f t="shared" si="34"/>
        <v>1.83732307973565E-3</v>
      </c>
      <c r="H76" s="46">
        <f t="shared" si="34"/>
        <v>1.2110568211584601E-3</v>
      </c>
      <c r="I76" s="46">
        <f t="shared" si="34"/>
        <v>8.0340905590725717E-4</v>
      </c>
      <c r="J76" s="46">
        <f t="shared" si="34"/>
        <v>6.4395788292714179E-4</v>
      </c>
      <c r="K76" s="46">
        <f t="shared" si="34"/>
        <v>5.1156301281450036E-4</v>
      </c>
      <c r="L76" s="46">
        <f t="shared" si="34"/>
        <v>3.9779441039950218E-4</v>
      </c>
      <c r="M76" s="46">
        <f t="shared" si="34"/>
        <v>3.5281965021554009E-4</v>
      </c>
      <c r="N76" s="46">
        <f t="shared" si="34"/>
        <v>3.1312149270690308E-4</v>
      </c>
      <c r="O76" s="46">
        <f t="shared" si="34"/>
        <v>2.9905488421350606E-4</v>
      </c>
      <c r="P76" s="46">
        <f t="shared" si="34"/>
        <v>2.8296342124703845E-4</v>
      </c>
      <c r="Q76" s="46">
        <f t="shared" si="34"/>
        <v>2.415487217537991E-4</v>
      </c>
      <c r="R76" s="46">
        <f t="shared" si="34"/>
        <v>1.6824939212344389E-4</v>
      </c>
      <c r="S76" s="46">
        <f t="shared" si="34"/>
        <v>1.339209896446105E-4</v>
      </c>
      <c r="T76" s="46">
        <f t="shared" si="34"/>
        <v>1.0145768801575726E-4</v>
      </c>
      <c r="U76" s="46">
        <f t="shared" si="34"/>
        <v>7.2286977271391177E-5</v>
      </c>
      <c r="V76" s="46">
        <f t="shared" si="34"/>
        <v>5.5016949796727599E-5</v>
      </c>
      <c r="W76" s="46">
        <f t="shared" si="34"/>
        <v>4.1081675768069129E-5</v>
      </c>
      <c r="X76" s="46">
        <f t="shared" si="34"/>
        <v>3.1607290086144326E-5</v>
      </c>
      <c r="Y76" s="46">
        <f t="shared" si="30"/>
        <v>0</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83">
        <f t="shared" si="27"/>
        <v>53.201158095537785</v>
      </c>
      <c r="B77" s="151">
        <f t="shared" si="28"/>
        <v>-712.11950988115018</v>
      </c>
      <c r="C77" s="20" t="str">
        <f t="shared" si="31"/>
        <v>Assembly</v>
      </c>
      <c r="D77" s="20" t="str">
        <f t="shared" si="32"/>
        <v>Showerheads-Retro-Assembly</v>
      </c>
      <c r="E77" s="46">
        <f t="shared" si="33"/>
        <v>2.6712149714262842E-5</v>
      </c>
      <c r="F77" s="46">
        <f t="shared" si="34"/>
        <v>1.8631541801567385E-5</v>
      </c>
      <c r="G77" s="46">
        <f t="shared" si="34"/>
        <v>9.2073067145753331E-6</v>
      </c>
      <c r="H77" s="46">
        <f t="shared" si="34"/>
        <v>8.2465129014700752E-6</v>
      </c>
      <c r="I77" s="46">
        <f t="shared" si="34"/>
        <v>6.3634146771289367E-6</v>
      </c>
      <c r="J77" s="46">
        <f t="shared" si="34"/>
        <v>5.1789616829247775E-6</v>
      </c>
      <c r="K77" s="46">
        <f t="shared" si="34"/>
        <v>3.0503121456156589E-6</v>
      </c>
      <c r="L77" s="46">
        <f t="shared" si="34"/>
        <v>2.7284602407578721E-6</v>
      </c>
      <c r="M77" s="46">
        <f t="shared" si="34"/>
        <v>3.4738165130820933E-6</v>
      </c>
      <c r="N77" s="46">
        <f t="shared" si="34"/>
        <v>4.0511918401673834E-6</v>
      </c>
      <c r="O77" s="46">
        <f t="shared" si="34"/>
        <v>3.7419483983361816E-6</v>
      </c>
      <c r="P77" s="46">
        <f t="shared" si="34"/>
        <v>3.5718637785971542E-6</v>
      </c>
      <c r="Q77" s="46">
        <f t="shared" si="34"/>
        <v>3.6462416594050765E-6</v>
      </c>
      <c r="R77" s="46">
        <f t="shared" si="34"/>
        <v>3.1508654198138028E-6</v>
      </c>
      <c r="S77" s="46">
        <f t="shared" si="34"/>
        <v>2.6214186458636413E-6</v>
      </c>
      <c r="T77" s="46">
        <f t="shared" si="34"/>
        <v>1.9963136443865581E-6</v>
      </c>
      <c r="U77" s="46">
        <f t="shared" si="34"/>
        <v>1.4828410579022732E-6</v>
      </c>
      <c r="V77" s="46">
        <f t="shared" si="34"/>
        <v>1.13130743912123E-6</v>
      </c>
      <c r="W77" s="46">
        <f t="shared" si="34"/>
        <v>8.696522984286482E-7</v>
      </c>
      <c r="X77" s="46">
        <f t="shared" si="34"/>
        <v>6.5715232760510636E-7</v>
      </c>
      <c r="Y77" s="46">
        <f t="shared" si="30"/>
        <v>0</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83">
        <f t="shared" si="27"/>
        <v>1667.5932805821674</v>
      </c>
      <c r="B78" s="151">
        <f t="shared" si="28"/>
        <v>-388.74893866765819</v>
      </c>
      <c r="C78" s="20" t="str">
        <f t="shared" si="31"/>
        <v>Other</v>
      </c>
      <c r="D78" s="20" t="str">
        <f t="shared" si="32"/>
        <v>Showerheads-Retro-Other</v>
      </c>
      <c r="E78" s="46">
        <f>E53*$A78/8760000</f>
        <v>1.3221548198545289E-2</v>
      </c>
      <c r="F78" s="46">
        <f t="shared" si="34"/>
        <v>7.7247182788974036E-3</v>
      </c>
      <c r="G78" s="46">
        <f t="shared" si="34"/>
        <v>5.0583430354245278E-3</v>
      </c>
      <c r="H78" s="46">
        <f t="shared" si="34"/>
        <v>3.6749499054143414E-3</v>
      </c>
      <c r="I78" s="46">
        <f t="shared" si="34"/>
        <v>2.5060499462498157E-3</v>
      </c>
      <c r="J78" s="46">
        <f t="shared" si="34"/>
        <v>2.4027739651761313E-3</v>
      </c>
      <c r="K78" s="46">
        <f t="shared" si="34"/>
        <v>2.0082625824321193E-3</v>
      </c>
      <c r="L78" s="46">
        <f t="shared" si="34"/>
        <v>1.8438810499995383E-3</v>
      </c>
      <c r="M78" s="46">
        <f t="shared" si="34"/>
        <v>1.6855555638381481E-3</v>
      </c>
      <c r="N78" s="46">
        <f t="shared" si="34"/>
        <v>1.3737243837695762E-3</v>
      </c>
      <c r="O78" s="46">
        <f t="shared" si="34"/>
        <v>1.288925869692609E-3</v>
      </c>
      <c r="P78" s="46">
        <f t="shared" si="34"/>
        <v>1.0632735501676805E-3</v>
      </c>
      <c r="Q78" s="46">
        <f t="shared" si="34"/>
        <v>8.447908974399585E-4</v>
      </c>
      <c r="R78" s="46">
        <f t="shared" si="34"/>
        <v>6.1378587128790851E-4</v>
      </c>
      <c r="S78" s="46">
        <f t="shared" si="34"/>
        <v>5.1342039224220139E-4</v>
      </c>
      <c r="T78" s="46">
        <f t="shared" si="34"/>
        <v>3.6117940433810097E-4</v>
      </c>
      <c r="U78" s="46">
        <f t="shared" si="34"/>
        <v>2.919929102713387E-4</v>
      </c>
      <c r="V78" s="46">
        <f t="shared" si="34"/>
        <v>2.1637144688928885E-4</v>
      </c>
      <c r="W78" s="46">
        <f t="shared" si="34"/>
        <v>1.5977358230771395E-4</v>
      </c>
      <c r="X78" s="46">
        <f t="shared" si="34"/>
        <v>1.2052706790007541E-4</v>
      </c>
      <c r="Y78" s="46">
        <f t="shared" si="30"/>
        <v>0</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52"/>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0"/>
      <c r="E80" s="40"/>
      <c r="F80" s="40"/>
      <c r="G80" s="40"/>
      <c r="H80" s="40"/>
      <c r="I80" s="40"/>
      <c r="J80" s="40"/>
      <c r="K80" s="40"/>
      <c r="L80" s="40"/>
      <c r="M80" s="40"/>
      <c r="N80" s="40"/>
      <c r="O80" s="40"/>
      <c r="P80" s="40"/>
      <c r="Q80" s="40"/>
      <c r="R80" s="40"/>
      <c r="S80" s="40"/>
      <c r="T80" s="40"/>
      <c r="U80" s="40"/>
      <c r="V80" s="40"/>
      <c r="W80" s="40"/>
      <c r="X80" s="40"/>
      <c r="Y80" s="40">
        <f>SUM(Y61:Y79)</f>
        <v>0</v>
      </c>
      <c r="Z80" s="40"/>
      <c r="AA80" s="40">
        <f>SUM(AA61:AA62)</f>
        <v>9.007833445089904E-3</v>
      </c>
      <c r="AB80" s="94"/>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9" t="s">
        <v>261</v>
      </c>
      <c r="B83" s="100"/>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19"/>
      <c r="D84" s="119"/>
      <c r="E84" s="92">
        <f>E59</f>
        <v>2016</v>
      </c>
      <c r="F84" s="92">
        <f t="shared" ref="F84:X84" si="35">F59</f>
        <v>2017</v>
      </c>
      <c r="G84" s="92">
        <f t="shared" si="35"/>
        <v>2018</v>
      </c>
      <c r="H84" s="92">
        <f t="shared" si="35"/>
        <v>2019</v>
      </c>
      <c r="I84" s="92">
        <f t="shared" si="35"/>
        <v>2020</v>
      </c>
      <c r="J84" s="92">
        <f t="shared" si="35"/>
        <v>2021</v>
      </c>
      <c r="K84" s="92">
        <f t="shared" si="35"/>
        <v>2022</v>
      </c>
      <c r="L84" s="92">
        <f t="shared" si="35"/>
        <v>2023</v>
      </c>
      <c r="M84" s="92">
        <f t="shared" si="35"/>
        <v>2024</v>
      </c>
      <c r="N84" s="92">
        <f t="shared" si="35"/>
        <v>2025</v>
      </c>
      <c r="O84" s="92">
        <f t="shared" si="35"/>
        <v>2026</v>
      </c>
      <c r="P84" s="92">
        <f t="shared" si="35"/>
        <v>2027</v>
      </c>
      <c r="Q84" s="92">
        <f t="shared" si="35"/>
        <v>2028</v>
      </c>
      <c r="R84" s="92">
        <f t="shared" si="35"/>
        <v>2029</v>
      </c>
      <c r="S84" s="92">
        <f t="shared" si="35"/>
        <v>2030</v>
      </c>
      <c r="T84" s="92">
        <f t="shared" si="35"/>
        <v>2031</v>
      </c>
      <c r="U84" s="92">
        <f t="shared" si="35"/>
        <v>2032</v>
      </c>
      <c r="V84" s="92">
        <f t="shared" si="35"/>
        <v>2033</v>
      </c>
      <c r="W84" s="92">
        <f t="shared" si="35"/>
        <v>2034</v>
      </c>
      <c r="X84" s="92">
        <f t="shared" si="35"/>
        <v>2035</v>
      </c>
      <c r="Y84" s="92" t="s">
        <v>364</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0" t="s">
        <v>258</v>
      </c>
      <c r="D85" s="120" t="s">
        <v>258</v>
      </c>
      <c r="E85" s="93" t="str">
        <f>CONCATENATE("aMW_",E$11)</f>
        <v>aMW_2016</v>
      </c>
      <c r="F85" s="93" t="str">
        <f t="shared" ref="F85:X85" si="36">CONCATENATE("aMW_",F$11)</f>
        <v>aMW_2017</v>
      </c>
      <c r="G85" s="93" t="str">
        <f t="shared" si="36"/>
        <v>aMW_2018</v>
      </c>
      <c r="H85" s="93" t="str">
        <f t="shared" si="36"/>
        <v>aMW_2019</v>
      </c>
      <c r="I85" s="93" t="str">
        <f t="shared" si="36"/>
        <v>aMW_2020</v>
      </c>
      <c r="J85" s="93" t="str">
        <f t="shared" si="36"/>
        <v>aMW_2021</v>
      </c>
      <c r="K85" s="93" t="str">
        <f t="shared" si="36"/>
        <v>aMW_2022</v>
      </c>
      <c r="L85" s="93" t="str">
        <f t="shared" si="36"/>
        <v>aMW_2023</v>
      </c>
      <c r="M85" s="93" t="str">
        <f t="shared" si="36"/>
        <v>aMW_2024</v>
      </c>
      <c r="N85" s="93" t="str">
        <f t="shared" si="36"/>
        <v>aMW_2025</v>
      </c>
      <c r="O85" s="93" t="str">
        <f t="shared" si="36"/>
        <v>aMW_2026</v>
      </c>
      <c r="P85" s="93" t="str">
        <f t="shared" si="36"/>
        <v>aMW_2027</v>
      </c>
      <c r="Q85" s="93" t="str">
        <f t="shared" si="36"/>
        <v>aMW_2028</v>
      </c>
      <c r="R85" s="93" t="str">
        <f t="shared" si="36"/>
        <v>aMW_2029</v>
      </c>
      <c r="S85" s="93" t="str">
        <f t="shared" si="36"/>
        <v>aMW_2030</v>
      </c>
      <c r="T85" s="93" t="str">
        <f t="shared" si="36"/>
        <v>aMW_2031</v>
      </c>
      <c r="U85" s="93" t="str">
        <f t="shared" si="36"/>
        <v>aMW_2032</v>
      </c>
      <c r="V85" s="93" t="str">
        <f t="shared" si="36"/>
        <v>aMW_2033</v>
      </c>
      <c r="W85" s="93" t="str">
        <f t="shared" si="36"/>
        <v>aMW_2034</v>
      </c>
      <c r="X85" s="93" t="str">
        <f t="shared" si="36"/>
        <v>aMW_2035</v>
      </c>
      <c r="Y85" s="93" t="s">
        <v>399</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0" t="s">
        <v>51</v>
      </c>
      <c r="C86" s="115" t="s">
        <v>262</v>
      </c>
      <c r="D86" s="115" t="s">
        <v>263</v>
      </c>
      <c r="E86" s="46">
        <f>DSUM($B$60:$Y$78,E$60,$C$85:$D86)</f>
        <v>2.3805968076749923E-2</v>
      </c>
      <c r="F86" s="46">
        <f>DSUM($B$60:$Y$78,F$60,$C$85:$D86)</f>
        <v>1.4203941374202165E-2</v>
      </c>
      <c r="G86" s="46">
        <f>DSUM($B$60:$Y$78,G$60,$C$85:$D86)</f>
        <v>9.0487409954657788E-3</v>
      </c>
      <c r="H86" s="46">
        <f>DSUM($B$60:$Y$78,H$60,$C$85:$D86)</f>
        <v>6.6197484454254846E-3</v>
      </c>
      <c r="I86" s="46">
        <f>DSUM($B$60:$Y$78,I$60,$C$85:$D86)</f>
        <v>4.6243392693692794E-3</v>
      </c>
      <c r="J86" s="46">
        <f>DSUM($B$60:$Y$78,J$60,$C$85:$D86)</f>
        <v>4.0252769185420475E-3</v>
      </c>
      <c r="K86" s="46">
        <f>DSUM($B$60:$Y$78,K$60,$C$85:$D86)</f>
        <v>3.4652049148834645E-3</v>
      </c>
      <c r="L86" s="46">
        <f>DSUM($B$60:$Y$78,L$60,$C$85:$D86)</f>
        <v>2.9812721323860731E-3</v>
      </c>
      <c r="M86" s="46">
        <f>DSUM($B$60:$Y$78,M$60,$C$85:$D86)</f>
        <v>2.6685152943129358E-3</v>
      </c>
      <c r="N86" s="46">
        <f>DSUM($B$60:$Y$78,N$60,$C$85:$D86)</f>
        <v>2.2676077220448302E-3</v>
      </c>
      <c r="O86" s="46">
        <f>DSUM($B$60:$Y$78,O$60,$C$85:$D86)</f>
        <v>2.1063445561124803E-3</v>
      </c>
      <c r="P86" s="46">
        <f>DSUM($B$60:$Y$78,P$60,$C$85:$D86)</f>
        <v>1.8616516306257905E-3</v>
      </c>
      <c r="Q86" s="46">
        <f>DSUM($B$60:$Y$78,Q$60,$C$85:$D86)</f>
        <v>1.5396022347197217E-3</v>
      </c>
      <c r="R86" s="46">
        <f>DSUM($B$60:$Y$78,R$60,$C$85:$D86)</f>
        <v>1.122724994681793E-3</v>
      </c>
      <c r="S86" s="46">
        <f>DSUM($B$60:$Y$78,S$60,$C$85:$D86)</f>
        <v>9.2245398029299278E-4</v>
      </c>
      <c r="T86" s="46">
        <f>DSUM($B$60:$Y$78,T$60,$C$85:$D86)</f>
        <v>6.763451020859061E-4</v>
      </c>
      <c r="U86" s="46">
        <f>DSUM($B$60:$Y$78,U$60,$C$85:$D86)</f>
        <v>5.1966475639734697E-4</v>
      </c>
      <c r="V86" s="46">
        <f>DSUM($B$60:$Y$78,V$60,$C$85:$D86)</f>
        <v>3.8445126117253413E-4</v>
      </c>
      <c r="W86" s="46">
        <f>DSUM($B$60:$Y$78,W$60,$C$85:$D86)</f>
        <v>2.8562501369850486E-4</v>
      </c>
      <c r="X86" s="46">
        <f>DSUM($B$60:$Y$78,X$60,$C$85:$D86)</f>
        <v>2.2207938523300264E-4</v>
      </c>
      <c r="Y86" s="46">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0" t="s">
        <v>52</v>
      </c>
      <c r="C87" s="115" t="s">
        <v>264</v>
      </c>
      <c r="D87" s="115" t="s">
        <v>265</v>
      </c>
      <c r="E87" s="46">
        <f>DSUM($B$60:$Y$78,E$60,$C$85:$D87)</f>
        <v>2.3805968076749923E-2</v>
      </c>
      <c r="F87" s="46">
        <f>DSUM($B$60:$Y$78,F$60,$C$85:$D87)</f>
        <v>1.4203941374202165E-2</v>
      </c>
      <c r="G87" s="46">
        <f>DSUM($B$60:$Y$78,G$60,$C$85:$D87)</f>
        <v>9.0487409954657788E-3</v>
      </c>
      <c r="H87" s="46">
        <f>DSUM($B$60:$Y$78,H$60,$C$85:$D87)</f>
        <v>6.6197484454254846E-3</v>
      </c>
      <c r="I87" s="46">
        <f>DSUM($B$60:$Y$78,I$60,$C$85:$D87)</f>
        <v>4.6243392693692794E-3</v>
      </c>
      <c r="J87" s="46">
        <f>DSUM($B$60:$Y$78,J$60,$C$85:$D87)</f>
        <v>4.0252769185420475E-3</v>
      </c>
      <c r="K87" s="46">
        <f>DSUM($B$60:$Y$78,K$60,$C$85:$D87)</f>
        <v>3.4652049148834645E-3</v>
      </c>
      <c r="L87" s="46">
        <f>DSUM($B$60:$Y$78,L$60,$C$85:$D87)</f>
        <v>2.9812721323860731E-3</v>
      </c>
      <c r="M87" s="46">
        <f>DSUM($B$60:$Y$78,M$60,$C$85:$D87)</f>
        <v>2.6685152943129358E-3</v>
      </c>
      <c r="N87" s="46">
        <f>DSUM($B$60:$Y$78,N$60,$C$85:$D87)</f>
        <v>2.2676077220448302E-3</v>
      </c>
      <c r="O87" s="46">
        <f>DSUM($B$60:$Y$78,O$60,$C$85:$D87)</f>
        <v>2.1063445561124803E-3</v>
      </c>
      <c r="P87" s="46">
        <f>DSUM($B$60:$Y$78,P$60,$C$85:$D87)</f>
        <v>1.8616516306257905E-3</v>
      </c>
      <c r="Q87" s="46">
        <f>DSUM($B$60:$Y$78,Q$60,$C$85:$D87)</f>
        <v>1.5396022347197217E-3</v>
      </c>
      <c r="R87" s="46">
        <f>DSUM($B$60:$Y$78,R$60,$C$85:$D87)</f>
        <v>1.122724994681793E-3</v>
      </c>
      <c r="S87" s="46">
        <f>DSUM($B$60:$Y$78,S$60,$C$85:$D87)</f>
        <v>9.2245398029299278E-4</v>
      </c>
      <c r="T87" s="46">
        <f>DSUM($B$60:$Y$78,T$60,$C$85:$D87)</f>
        <v>6.763451020859061E-4</v>
      </c>
      <c r="U87" s="46">
        <f>DSUM($B$60:$Y$78,U$60,$C$85:$D87)</f>
        <v>5.1966475639734697E-4</v>
      </c>
      <c r="V87" s="46">
        <f>DSUM($B$60:$Y$78,V$60,$C$85:$D87)</f>
        <v>3.8445126117253413E-4</v>
      </c>
      <c r="W87" s="46">
        <f>DSUM($B$60:$Y$78,W$60,$C$85:$D87)</f>
        <v>2.8562501369850486E-4</v>
      </c>
      <c r="X87" s="46">
        <f>DSUM($B$60:$Y$78,X$60,$C$85:$D87)</f>
        <v>2.2207938523300264E-4</v>
      </c>
      <c r="Y87" s="46">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0" t="s">
        <v>53</v>
      </c>
      <c r="C88" s="115" t="s">
        <v>266</v>
      </c>
      <c r="D88" s="115" t="s">
        <v>267</v>
      </c>
      <c r="E88" s="46">
        <f>DSUM($B$60:$Y$78,E$60,$C$85:$D88)</f>
        <v>2.3805968076749923E-2</v>
      </c>
      <c r="F88" s="46">
        <f>DSUM($B$60:$Y$78,F$60,$C$85:$D88)</f>
        <v>1.4203941374202165E-2</v>
      </c>
      <c r="G88" s="46">
        <f>DSUM($B$60:$Y$78,G$60,$C$85:$D88)</f>
        <v>9.0487409954657788E-3</v>
      </c>
      <c r="H88" s="46">
        <f>DSUM($B$60:$Y$78,H$60,$C$85:$D88)</f>
        <v>6.6197484454254846E-3</v>
      </c>
      <c r="I88" s="46">
        <f>DSUM($B$60:$Y$78,I$60,$C$85:$D88)</f>
        <v>4.6243392693692794E-3</v>
      </c>
      <c r="J88" s="46">
        <f>DSUM($B$60:$Y$78,J$60,$C$85:$D88)</f>
        <v>4.0252769185420475E-3</v>
      </c>
      <c r="K88" s="46">
        <f>DSUM($B$60:$Y$78,K$60,$C$85:$D88)</f>
        <v>3.4652049148834645E-3</v>
      </c>
      <c r="L88" s="46">
        <f>DSUM($B$60:$Y$78,L$60,$C$85:$D88)</f>
        <v>2.9812721323860731E-3</v>
      </c>
      <c r="M88" s="46">
        <f>DSUM($B$60:$Y$78,M$60,$C$85:$D88)</f>
        <v>2.6685152943129358E-3</v>
      </c>
      <c r="N88" s="46">
        <f>DSUM($B$60:$Y$78,N$60,$C$85:$D88)</f>
        <v>2.2676077220448302E-3</v>
      </c>
      <c r="O88" s="46">
        <f>DSUM($B$60:$Y$78,O$60,$C$85:$D88)</f>
        <v>2.1063445561124803E-3</v>
      </c>
      <c r="P88" s="46">
        <f>DSUM($B$60:$Y$78,P$60,$C$85:$D88)</f>
        <v>1.8616516306257905E-3</v>
      </c>
      <c r="Q88" s="46">
        <f>DSUM($B$60:$Y$78,Q$60,$C$85:$D88)</f>
        <v>1.5396022347197217E-3</v>
      </c>
      <c r="R88" s="46">
        <f>DSUM($B$60:$Y$78,R$60,$C$85:$D88)</f>
        <v>1.122724994681793E-3</v>
      </c>
      <c r="S88" s="46">
        <f>DSUM($B$60:$Y$78,S$60,$C$85:$D88)</f>
        <v>9.2245398029299278E-4</v>
      </c>
      <c r="T88" s="46">
        <f>DSUM($B$60:$Y$78,T$60,$C$85:$D88)</f>
        <v>6.763451020859061E-4</v>
      </c>
      <c r="U88" s="46">
        <f>DSUM($B$60:$Y$78,U$60,$C$85:$D88)</f>
        <v>5.1966475639734697E-4</v>
      </c>
      <c r="V88" s="46">
        <f>DSUM($B$60:$Y$78,V$60,$C$85:$D88)</f>
        <v>3.8445126117253413E-4</v>
      </c>
      <c r="W88" s="46">
        <f>DSUM($B$60:$Y$78,W$60,$C$85:$D88)</f>
        <v>2.8562501369850486E-4</v>
      </c>
      <c r="X88" s="46">
        <f>DSUM($B$60:$Y$78,X$60,$C$85:$D88)</f>
        <v>2.2207938523300264E-4</v>
      </c>
      <c r="Y88" s="46">
        <f>DSUM($B$60:$Y$78,Y$60,$C$85:$D88)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0" t="s">
        <v>54</v>
      </c>
      <c r="C89" s="115" t="s">
        <v>268</v>
      </c>
      <c r="D89" s="115" t="s">
        <v>269</v>
      </c>
      <c r="E89" s="46">
        <f>DSUM($B$60:$Y$78,E$60,$C$85:$D89)</f>
        <v>2.3805968076749923E-2</v>
      </c>
      <c r="F89" s="46">
        <f>DSUM($B$60:$Y$78,F$60,$C$85:$D89)</f>
        <v>1.4203941374202165E-2</v>
      </c>
      <c r="G89" s="46">
        <f>DSUM($B$60:$Y$78,G$60,$C$85:$D89)</f>
        <v>9.0487409954657788E-3</v>
      </c>
      <c r="H89" s="46">
        <f>DSUM($B$60:$Y$78,H$60,$C$85:$D89)</f>
        <v>6.6197484454254846E-3</v>
      </c>
      <c r="I89" s="46">
        <f>DSUM($B$60:$Y$78,I$60,$C$85:$D89)</f>
        <v>4.6243392693692794E-3</v>
      </c>
      <c r="J89" s="46">
        <f>DSUM($B$60:$Y$78,J$60,$C$85:$D89)</f>
        <v>4.0252769185420475E-3</v>
      </c>
      <c r="K89" s="46">
        <f>DSUM($B$60:$Y$78,K$60,$C$85:$D89)</f>
        <v>3.4652049148834645E-3</v>
      </c>
      <c r="L89" s="46">
        <f>DSUM($B$60:$Y$78,L$60,$C$85:$D89)</f>
        <v>2.9812721323860731E-3</v>
      </c>
      <c r="M89" s="46">
        <f>DSUM($B$60:$Y$78,M$60,$C$85:$D89)</f>
        <v>2.6685152943129358E-3</v>
      </c>
      <c r="N89" s="46">
        <f>DSUM($B$60:$Y$78,N$60,$C$85:$D89)</f>
        <v>2.2676077220448302E-3</v>
      </c>
      <c r="O89" s="46">
        <f>DSUM($B$60:$Y$78,O$60,$C$85:$D89)</f>
        <v>2.1063445561124803E-3</v>
      </c>
      <c r="P89" s="46">
        <f>DSUM($B$60:$Y$78,P$60,$C$85:$D89)</f>
        <v>1.8616516306257905E-3</v>
      </c>
      <c r="Q89" s="46">
        <f>DSUM($B$60:$Y$78,Q$60,$C$85:$D89)</f>
        <v>1.5396022347197217E-3</v>
      </c>
      <c r="R89" s="46">
        <f>DSUM($B$60:$Y$78,R$60,$C$85:$D89)</f>
        <v>1.122724994681793E-3</v>
      </c>
      <c r="S89" s="46">
        <f>DSUM($B$60:$Y$78,S$60,$C$85:$D89)</f>
        <v>9.2245398029299278E-4</v>
      </c>
      <c r="T89" s="46">
        <f>DSUM($B$60:$Y$78,T$60,$C$85:$D89)</f>
        <v>6.763451020859061E-4</v>
      </c>
      <c r="U89" s="46">
        <f>DSUM($B$60:$Y$78,U$60,$C$85:$D89)</f>
        <v>5.1966475639734697E-4</v>
      </c>
      <c r="V89" s="46">
        <f>DSUM($B$60:$Y$78,V$60,$C$85:$D89)</f>
        <v>3.8445126117253413E-4</v>
      </c>
      <c r="W89" s="46">
        <f>DSUM($B$60:$Y$78,W$60,$C$85:$D89)</f>
        <v>2.8562501369850486E-4</v>
      </c>
      <c r="X89" s="46">
        <f>DSUM($B$60:$Y$78,X$60,$C$85:$D89)</f>
        <v>2.2207938523300264E-4</v>
      </c>
      <c r="Y89" s="46">
        <f>DSUM($B$60:$Y$78,Y$60,$C$85:$D89)</f>
        <v>0</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0" t="s">
        <v>55</v>
      </c>
      <c r="C90" s="115" t="s">
        <v>270</v>
      </c>
      <c r="D90" s="115" t="s">
        <v>271</v>
      </c>
      <c r="E90" s="46">
        <f>DSUM($B$60:$Y$78,E$60,$C$85:$D90)</f>
        <v>2.3805968076749923E-2</v>
      </c>
      <c r="F90" s="46">
        <f>DSUM($B$60:$Y$78,F$60,$C$85:$D90)</f>
        <v>1.4203941374202165E-2</v>
      </c>
      <c r="G90" s="46">
        <f>DSUM($B$60:$Y$78,G$60,$C$85:$D90)</f>
        <v>9.0487409954657788E-3</v>
      </c>
      <c r="H90" s="46">
        <f>DSUM($B$60:$Y$78,H$60,$C$85:$D90)</f>
        <v>6.6197484454254846E-3</v>
      </c>
      <c r="I90" s="46">
        <f>DSUM($B$60:$Y$78,I$60,$C$85:$D90)</f>
        <v>4.6243392693692794E-3</v>
      </c>
      <c r="J90" s="46">
        <f>DSUM($B$60:$Y$78,J$60,$C$85:$D90)</f>
        <v>4.0252769185420475E-3</v>
      </c>
      <c r="K90" s="46">
        <f>DSUM($B$60:$Y$78,K$60,$C$85:$D90)</f>
        <v>3.4652049148834645E-3</v>
      </c>
      <c r="L90" s="46">
        <f>DSUM($B$60:$Y$78,L$60,$C$85:$D90)</f>
        <v>2.9812721323860731E-3</v>
      </c>
      <c r="M90" s="46">
        <f>DSUM($B$60:$Y$78,M$60,$C$85:$D90)</f>
        <v>2.6685152943129358E-3</v>
      </c>
      <c r="N90" s="46">
        <f>DSUM($B$60:$Y$78,N$60,$C$85:$D90)</f>
        <v>2.2676077220448302E-3</v>
      </c>
      <c r="O90" s="46">
        <f>DSUM($B$60:$Y$78,O$60,$C$85:$D90)</f>
        <v>2.1063445561124803E-3</v>
      </c>
      <c r="P90" s="46">
        <f>DSUM($B$60:$Y$78,P$60,$C$85:$D90)</f>
        <v>1.8616516306257905E-3</v>
      </c>
      <c r="Q90" s="46">
        <f>DSUM($B$60:$Y$78,Q$60,$C$85:$D90)</f>
        <v>1.5396022347197217E-3</v>
      </c>
      <c r="R90" s="46">
        <f>DSUM($B$60:$Y$78,R$60,$C$85:$D90)</f>
        <v>1.122724994681793E-3</v>
      </c>
      <c r="S90" s="46">
        <f>DSUM($B$60:$Y$78,S$60,$C$85:$D90)</f>
        <v>9.2245398029299278E-4</v>
      </c>
      <c r="T90" s="46">
        <f>DSUM($B$60:$Y$78,T$60,$C$85:$D90)</f>
        <v>6.763451020859061E-4</v>
      </c>
      <c r="U90" s="46">
        <f>DSUM($B$60:$Y$78,U$60,$C$85:$D90)</f>
        <v>5.1966475639734697E-4</v>
      </c>
      <c r="V90" s="46">
        <f>DSUM($B$60:$Y$78,V$60,$C$85:$D90)</f>
        <v>3.8445126117253413E-4</v>
      </c>
      <c r="W90" s="46">
        <f>DSUM($B$60:$Y$78,W$60,$C$85:$D90)</f>
        <v>2.8562501369850486E-4</v>
      </c>
      <c r="X90" s="46">
        <f>DSUM($B$60:$Y$78,X$60,$C$85:$D90)</f>
        <v>2.2207938523300264E-4</v>
      </c>
      <c r="Y90" s="46">
        <f>DSUM($B$60:$Y$78,Y$60,$C$85:$D90)</f>
        <v>0</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0" t="s">
        <v>56</v>
      </c>
      <c r="C91" s="115" t="s">
        <v>272</v>
      </c>
      <c r="D91" s="115" t="s">
        <v>273</v>
      </c>
      <c r="E91" s="46">
        <f>DSUM($B$60:$Y$78,E$60,$C$85:$D91)</f>
        <v>2.3805968076749923E-2</v>
      </c>
      <c r="F91" s="46">
        <f>DSUM($B$60:$Y$78,F$60,$C$85:$D91)</f>
        <v>1.4203941374202165E-2</v>
      </c>
      <c r="G91" s="46">
        <f>DSUM($B$60:$Y$78,G$60,$C$85:$D91)</f>
        <v>9.0487409954657788E-3</v>
      </c>
      <c r="H91" s="46">
        <f>DSUM($B$60:$Y$78,H$60,$C$85:$D91)</f>
        <v>6.6197484454254846E-3</v>
      </c>
      <c r="I91" s="46">
        <f>DSUM($B$60:$Y$78,I$60,$C$85:$D91)</f>
        <v>4.6243392693692794E-3</v>
      </c>
      <c r="J91" s="46">
        <f>DSUM($B$60:$Y$78,J$60,$C$85:$D91)</f>
        <v>4.0252769185420475E-3</v>
      </c>
      <c r="K91" s="46">
        <f>DSUM($B$60:$Y$78,K$60,$C$85:$D91)</f>
        <v>3.4652049148834645E-3</v>
      </c>
      <c r="L91" s="46">
        <f>DSUM($B$60:$Y$78,L$60,$C$85:$D91)</f>
        <v>2.9812721323860731E-3</v>
      </c>
      <c r="M91" s="46">
        <f>DSUM($B$60:$Y$78,M$60,$C$85:$D91)</f>
        <v>2.6685152943129358E-3</v>
      </c>
      <c r="N91" s="46">
        <f>DSUM($B$60:$Y$78,N$60,$C$85:$D91)</f>
        <v>2.2676077220448302E-3</v>
      </c>
      <c r="O91" s="46">
        <f>DSUM($B$60:$Y$78,O$60,$C$85:$D91)</f>
        <v>2.1063445561124803E-3</v>
      </c>
      <c r="P91" s="46">
        <f>DSUM($B$60:$Y$78,P$60,$C$85:$D91)</f>
        <v>1.8616516306257905E-3</v>
      </c>
      <c r="Q91" s="46">
        <f>DSUM($B$60:$Y$78,Q$60,$C$85:$D91)</f>
        <v>1.5396022347197217E-3</v>
      </c>
      <c r="R91" s="46">
        <f>DSUM($B$60:$Y$78,R$60,$C$85:$D91)</f>
        <v>1.122724994681793E-3</v>
      </c>
      <c r="S91" s="46">
        <f>DSUM($B$60:$Y$78,S$60,$C$85:$D91)</f>
        <v>9.2245398029299278E-4</v>
      </c>
      <c r="T91" s="46">
        <f>DSUM($B$60:$Y$78,T$60,$C$85:$D91)</f>
        <v>6.763451020859061E-4</v>
      </c>
      <c r="U91" s="46">
        <f>DSUM($B$60:$Y$78,U$60,$C$85:$D91)</f>
        <v>5.1966475639734697E-4</v>
      </c>
      <c r="V91" s="46">
        <f>DSUM($B$60:$Y$78,V$60,$C$85:$D91)</f>
        <v>3.8445126117253413E-4</v>
      </c>
      <c r="W91" s="46">
        <f>DSUM($B$60:$Y$78,W$60,$C$85:$D91)</f>
        <v>2.8562501369850486E-4</v>
      </c>
      <c r="X91" s="46">
        <f>DSUM($B$60:$Y$78,X$60,$C$85:$D91)</f>
        <v>2.2207938523300264E-4</v>
      </c>
      <c r="Y91" s="46">
        <f>DSUM($B$60:$Y$78,Y$60,$C$85:$D91)</f>
        <v>0</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0" t="s">
        <v>57</v>
      </c>
      <c r="C92" s="115" t="s">
        <v>274</v>
      </c>
      <c r="D92" s="115" t="s">
        <v>275</v>
      </c>
      <c r="E92" s="46">
        <f>DSUM($B$60:$Y$78,E$60,$C$85:$D92)</f>
        <v>2.3805968076749923E-2</v>
      </c>
      <c r="F92" s="46">
        <f>DSUM($B$60:$Y$78,F$60,$C$85:$D92)</f>
        <v>1.4203941374202165E-2</v>
      </c>
      <c r="G92" s="46">
        <f>DSUM($B$60:$Y$78,G$60,$C$85:$D92)</f>
        <v>9.0487409954657788E-3</v>
      </c>
      <c r="H92" s="46">
        <f>DSUM($B$60:$Y$78,H$60,$C$85:$D92)</f>
        <v>6.6197484454254846E-3</v>
      </c>
      <c r="I92" s="46">
        <f>DSUM($B$60:$Y$78,I$60,$C$85:$D92)</f>
        <v>4.6243392693692794E-3</v>
      </c>
      <c r="J92" s="46">
        <f>DSUM($B$60:$Y$78,J$60,$C$85:$D92)</f>
        <v>4.0252769185420475E-3</v>
      </c>
      <c r="K92" s="46">
        <f>DSUM($B$60:$Y$78,K$60,$C$85:$D92)</f>
        <v>3.4652049148834645E-3</v>
      </c>
      <c r="L92" s="46">
        <f>DSUM($B$60:$Y$78,L$60,$C$85:$D92)</f>
        <v>2.9812721323860731E-3</v>
      </c>
      <c r="M92" s="46">
        <f>DSUM($B$60:$Y$78,M$60,$C$85:$D92)</f>
        <v>2.6685152943129358E-3</v>
      </c>
      <c r="N92" s="46">
        <f>DSUM($B$60:$Y$78,N$60,$C$85:$D92)</f>
        <v>2.2676077220448302E-3</v>
      </c>
      <c r="O92" s="46">
        <f>DSUM($B$60:$Y$78,O$60,$C$85:$D92)</f>
        <v>2.1063445561124803E-3</v>
      </c>
      <c r="P92" s="46">
        <f>DSUM($B$60:$Y$78,P$60,$C$85:$D92)</f>
        <v>1.8616516306257905E-3</v>
      </c>
      <c r="Q92" s="46">
        <f>DSUM($B$60:$Y$78,Q$60,$C$85:$D92)</f>
        <v>1.5396022347197217E-3</v>
      </c>
      <c r="R92" s="46">
        <f>DSUM($B$60:$Y$78,R$60,$C$85:$D92)</f>
        <v>1.122724994681793E-3</v>
      </c>
      <c r="S92" s="46">
        <f>DSUM($B$60:$Y$78,S$60,$C$85:$D92)</f>
        <v>9.2245398029299278E-4</v>
      </c>
      <c r="T92" s="46">
        <f>DSUM($B$60:$Y$78,T$60,$C$85:$D92)</f>
        <v>6.763451020859061E-4</v>
      </c>
      <c r="U92" s="46">
        <f>DSUM($B$60:$Y$78,U$60,$C$85:$D92)</f>
        <v>5.1966475639734697E-4</v>
      </c>
      <c r="V92" s="46">
        <f>DSUM($B$60:$Y$78,V$60,$C$85:$D92)</f>
        <v>3.8445126117253413E-4</v>
      </c>
      <c r="W92" s="46">
        <f>DSUM($B$60:$Y$78,W$60,$C$85:$D92)</f>
        <v>2.8562501369850486E-4</v>
      </c>
      <c r="X92" s="46">
        <f>DSUM($B$60:$Y$78,X$60,$C$85:$D92)</f>
        <v>2.2207938523300264E-4</v>
      </c>
      <c r="Y92" s="46">
        <f>DSUM($B$60:$Y$78,Y$60,$C$85:$D92)</f>
        <v>0</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0" t="s">
        <v>58</v>
      </c>
      <c r="C93" s="115" t="s">
        <v>276</v>
      </c>
      <c r="D93" s="115" t="s">
        <v>277</v>
      </c>
      <c r="E93" s="46">
        <f>DSUM($B$60:$Y$78,E$60,$C$85:$D93)</f>
        <v>2.3805968076749923E-2</v>
      </c>
      <c r="F93" s="46">
        <f>DSUM($B$60:$Y$78,F$60,$C$85:$D93)</f>
        <v>1.4203941374202165E-2</v>
      </c>
      <c r="G93" s="46">
        <f>DSUM($B$60:$Y$78,G$60,$C$85:$D93)</f>
        <v>9.0487409954657788E-3</v>
      </c>
      <c r="H93" s="46">
        <f>DSUM($B$60:$Y$78,H$60,$C$85:$D93)</f>
        <v>6.6197484454254846E-3</v>
      </c>
      <c r="I93" s="46">
        <f>DSUM($B$60:$Y$78,I$60,$C$85:$D93)</f>
        <v>4.6243392693692794E-3</v>
      </c>
      <c r="J93" s="46">
        <f>DSUM($B$60:$Y$78,J$60,$C$85:$D93)</f>
        <v>4.0252769185420475E-3</v>
      </c>
      <c r="K93" s="46">
        <f>DSUM($B$60:$Y$78,K$60,$C$85:$D93)</f>
        <v>3.4652049148834645E-3</v>
      </c>
      <c r="L93" s="46">
        <f>DSUM($B$60:$Y$78,L$60,$C$85:$D93)</f>
        <v>2.9812721323860731E-3</v>
      </c>
      <c r="M93" s="46">
        <f>DSUM($B$60:$Y$78,M$60,$C$85:$D93)</f>
        <v>2.6685152943129358E-3</v>
      </c>
      <c r="N93" s="46">
        <f>DSUM($B$60:$Y$78,N$60,$C$85:$D93)</f>
        <v>2.2676077220448302E-3</v>
      </c>
      <c r="O93" s="46">
        <f>DSUM($B$60:$Y$78,O$60,$C$85:$D93)</f>
        <v>2.1063445561124803E-3</v>
      </c>
      <c r="P93" s="46">
        <f>DSUM($B$60:$Y$78,P$60,$C$85:$D93)</f>
        <v>1.8616516306257905E-3</v>
      </c>
      <c r="Q93" s="46">
        <f>DSUM($B$60:$Y$78,Q$60,$C$85:$D93)</f>
        <v>1.5396022347197217E-3</v>
      </c>
      <c r="R93" s="46">
        <f>DSUM($B$60:$Y$78,R$60,$C$85:$D93)</f>
        <v>1.122724994681793E-3</v>
      </c>
      <c r="S93" s="46">
        <f>DSUM($B$60:$Y$78,S$60,$C$85:$D93)</f>
        <v>9.2245398029299278E-4</v>
      </c>
      <c r="T93" s="46">
        <f>DSUM($B$60:$Y$78,T$60,$C$85:$D93)</f>
        <v>6.763451020859061E-4</v>
      </c>
      <c r="U93" s="46">
        <f>DSUM($B$60:$Y$78,U$60,$C$85:$D93)</f>
        <v>5.1966475639734697E-4</v>
      </c>
      <c r="V93" s="46">
        <f>DSUM($B$60:$Y$78,V$60,$C$85:$D93)</f>
        <v>3.8445126117253413E-4</v>
      </c>
      <c r="W93" s="46">
        <f>DSUM($B$60:$Y$78,W$60,$C$85:$D93)</f>
        <v>2.8562501369850486E-4</v>
      </c>
      <c r="X93" s="46">
        <f>DSUM($B$60:$Y$78,X$60,$C$85:$D93)</f>
        <v>2.2207938523300264E-4</v>
      </c>
      <c r="Y93" s="46">
        <f>DSUM($B$60:$Y$78,Y$60,$C$85:$D93)</f>
        <v>0</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0" t="s">
        <v>59</v>
      </c>
      <c r="C94" s="115" t="s">
        <v>278</v>
      </c>
      <c r="D94" s="115" t="s">
        <v>279</v>
      </c>
      <c r="E94" s="46">
        <f>DSUM($B$60:$Y$78,E$60,$C$85:$D94)</f>
        <v>2.3805968076749923E-2</v>
      </c>
      <c r="F94" s="46">
        <f>DSUM($B$60:$Y$78,F$60,$C$85:$D94)</f>
        <v>1.4203941374202165E-2</v>
      </c>
      <c r="G94" s="46">
        <f>DSUM($B$60:$Y$78,G$60,$C$85:$D94)</f>
        <v>9.0487409954657788E-3</v>
      </c>
      <c r="H94" s="46">
        <f>DSUM($B$60:$Y$78,H$60,$C$85:$D94)</f>
        <v>6.6197484454254846E-3</v>
      </c>
      <c r="I94" s="46">
        <f>DSUM($B$60:$Y$78,I$60,$C$85:$D94)</f>
        <v>4.6243392693692794E-3</v>
      </c>
      <c r="J94" s="46">
        <f>DSUM($B$60:$Y$78,J$60,$C$85:$D94)</f>
        <v>4.0252769185420475E-3</v>
      </c>
      <c r="K94" s="46">
        <f>DSUM($B$60:$Y$78,K$60,$C$85:$D94)</f>
        <v>3.4652049148834645E-3</v>
      </c>
      <c r="L94" s="46">
        <f>DSUM($B$60:$Y$78,L$60,$C$85:$D94)</f>
        <v>2.9812721323860731E-3</v>
      </c>
      <c r="M94" s="46">
        <f>DSUM($B$60:$Y$78,M$60,$C$85:$D94)</f>
        <v>2.6685152943129358E-3</v>
      </c>
      <c r="N94" s="46">
        <f>DSUM($B$60:$Y$78,N$60,$C$85:$D94)</f>
        <v>2.2676077220448302E-3</v>
      </c>
      <c r="O94" s="46">
        <f>DSUM($B$60:$Y$78,O$60,$C$85:$D94)</f>
        <v>2.1063445561124803E-3</v>
      </c>
      <c r="P94" s="46">
        <f>DSUM($B$60:$Y$78,P$60,$C$85:$D94)</f>
        <v>1.8616516306257905E-3</v>
      </c>
      <c r="Q94" s="46">
        <f>DSUM($B$60:$Y$78,Q$60,$C$85:$D94)</f>
        <v>1.5396022347197217E-3</v>
      </c>
      <c r="R94" s="46">
        <f>DSUM($B$60:$Y$78,R$60,$C$85:$D94)</f>
        <v>1.122724994681793E-3</v>
      </c>
      <c r="S94" s="46">
        <f>DSUM($B$60:$Y$78,S$60,$C$85:$D94)</f>
        <v>9.2245398029299278E-4</v>
      </c>
      <c r="T94" s="46">
        <f>DSUM($B$60:$Y$78,T$60,$C$85:$D94)</f>
        <v>6.763451020859061E-4</v>
      </c>
      <c r="U94" s="46">
        <f>DSUM($B$60:$Y$78,U$60,$C$85:$D94)</f>
        <v>5.1966475639734697E-4</v>
      </c>
      <c r="V94" s="46">
        <f>DSUM($B$60:$Y$78,V$60,$C$85:$D94)</f>
        <v>3.8445126117253413E-4</v>
      </c>
      <c r="W94" s="46">
        <f>DSUM($B$60:$Y$78,W$60,$C$85:$D94)</f>
        <v>2.8562501369850486E-4</v>
      </c>
      <c r="X94" s="46">
        <f>DSUM($B$60:$Y$78,X$60,$C$85:$D94)</f>
        <v>2.2207938523300264E-4</v>
      </c>
      <c r="Y94" s="46">
        <f>DSUM($B$60:$Y$78,Y$60,$C$85:$D94)</f>
        <v>0</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0" t="s">
        <v>60</v>
      </c>
      <c r="C95" s="115" t="s">
        <v>280</v>
      </c>
      <c r="D95" s="115" t="s">
        <v>281</v>
      </c>
      <c r="E95" s="46">
        <f>DSUM($B$60:$Y$78,E$60,$C$85:$D95)</f>
        <v>2.3805968076749923E-2</v>
      </c>
      <c r="F95" s="46">
        <f>DSUM($B$60:$Y$78,F$60,$C$85:$D95)</f>
        <v>1.4203941374202165E-2</v>
      </c>
      <c r="G95" s="46">
        <f>DSUM($B$60:$Y$78,G$60,$C$85:$D95)</f>
        <v>9.0487409954657788E-3</v>
      </c>
      <c r="H95" s="46">
        <f>DSUM($B$60:$Y$78,H$60,$C$85:$D95)</f>
        <v>6.6197484454254846E-3</v>
      </c>
      <c r="I95" s="46">
        <f>DSUM($B$60:$Y$78,I$60,$C$85:$D95)</f>
        <v>4.6243392693692794E-3</v>
      </c>
      <c r="J95" s="46">
        <f>DSUM($B$60:$Y$78,J$60,$C$85:$D95)</f>
        <v>4.0252769185420475E-3</v>
      </c>
      <c r="K95" s="46">
        <f>DSUM($B$60:$Y$78,K$60,$C$85:$D95)</f>
        <v>3.4652049148834645E-3</v>
      </c>
      <c r="L95" s="46">
        <f>DSUM($B$60:$Y$78,L$60,$C$85:$D95)</f>
        <v>2.9812721323860731E-3</v>
      </c>
      <c r="M95" s="46">
        <f>DSUM($B$60:$Y$78,M$60,$C$85:$D95)</f>
        <v>2.6685152943129358E-3</v>
      </c>
      <c r="N95" s="46">
        <f>DSUM($B$60:$Y$78,N$60,$C$85:$D95)</f>
        <v>2.2676077220448302E-3</v>
      </c>
      <c r="O95" s="46">
        <f>DSUM($B$60:$Y$78,O$60,$C$85:$D95)</f>
        <v>2.1063445561124803E-3</v>
      </c>
      <c r="P95" s="46">
        <f>DSUM($B$60:$Y$78,P$60,$C$85:$D95)</f>
        <v>1.8616516306257905E-3</v>
      </c>
      <c r="Q95" s="46">
        <f>DSUM($B$60:$Y$78,Q$60,$C$85:$D95)</f>
        <v>1.5396022347197217E-3</v>
      </c>
      <c r="R95" s="46">
        <f>DSUM($B$60:$Y$78,R$60,$C$85:$D95)</f>
        <v>1.122724994681793E-3</v>
      </c>
      <c r="S95" s="46">
        <f>DSUM($B$60:$Y$78,S$60,$C$85:$D95)</f>
        <v>9.2245398029299278E-4</v>
      </c>
      <c r="T95" s="46">
        <f>DSUM($B$60:$Y$78,T$60,$C$85:$D95)</f>
        <v>6.763451020859061E-4</v>
      </c>
      <c r="U95" s="46">
        <f>DSUM($B$60:$Y$78,U$60,$C$85:$D95)</f>
        <v>5.1966475639734697E-4</v>
      </c>
      <c r="V95" s="46">
        <f>DSUM($B$60:$Y$78,V$60,$C$85:$D95)</f>
        <v>3.8445126117253413E-4</v>
      </c>
      <c r="W95" s="46">
        <f>DSUM($B$60:$Y$78,W$60,$C$85:$D95)</f>
        <v>2.8562501369850486E-4</v>
      </c>
      <c r="X95" s="46">
        <f>DSUM($B$60:$Y$78,X$60,$C$85:$D95)</f>
        <v>2.2207938523300264E-4</v>
      </c>
      <c r="Y95" s="46">
        <f>DSUM($B$60:$Y$78,Y$60,$C$85:$D95)</f>
        <v>0</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0" t="s">
        <v>61</v>
      </c>
      <c r="C96" s="115" t="s">
        <v>282</v>
      </c>
      <c r="D96" s="115" t="s">
        <v>283</v>
      </c>
      <c r="E96" s="46">
        <f>DSUM($B$60:$Y$78,E$60,$C$85:$D96)</f>
        <v>2.3805968076749923E-2</v>
      </c>
      <c r="F96" s="46">
        <f>DSUM($B$60:$Y$78,F$60,$C$85:$D96)</f>
        <v>1.4203941374202165E-2</v>
      </c>
      <c r="G96" s="46">
        <f>DSUM($B$60:$Y$78,G$60,$C$85:$D96)</f>
        <v>9.0487409954657788E-3</v>
      </c>
      <c r="H96" s="46">
        <f>DSUM($B$60:$Y$78,H$60,$C$85:$D96)</f>
        <v>6.6197484454254846E-3</v>
      </c>
      <c r="I96" s="46">
        <f>DSUM($B$60:$Y$78,I$60,$C$85:$D96)</f>
        <v>4.6243392693692794E-3</v>
      </c>
      <c r="J96" s="46">
        <f>DSUM($B$60:$Y$78,J$60,$C$85:$D96)</f>
        <v>4.0252769185420475E-3</v>
      </c>
      <c r="K96" s="46">
        <f>DSUM($B$60:$Y$78,K$60,$C$85:$D96)</f>
        <v>3.4652049148834645E-3</v>
      </c>
      <c r="L96" s="46">
        <f>DSUM($B$60:$Y$78,L$60,$C$85:$D96)</f>
        <v>2.9812721323860731E-3</v>
      </c>
      <c r="M96" s="46">
        <f>DSUM($B$60:$Y$78,M$60,$C$85:$D96)</f>
        <v>2.6685152943129358E-3</v>
      </c>
      <c r="N96" s="46">
        <f>DSUM($B$60:$Y$78,N$60,$C$85:$D96)</f>
        <v>2.2676077220448302E-3</v>
      </c>
      <c r="O96" s="46">
        <f>DSUM($B$60:$Y$78,O$60,$C$85:$D96)</f>
        <v>2.1063445561124803E-3</v>
      </c>
      <c r="P96" s="46">
        <f>DSUM($B$60:$Y$78,P$60,$C$85:$D96)</f>
        <v>1.8616516306257905E-3</v>
      </c>
      <c r="Q96" s="46">
        <f>DSUM($B$60:$Y$78,Q$60,$C$85:$D96)</f>
        <v>1.5396022347197217E-3</v>
      </c>
      <c r="R96" s="46">
        <f>DSUM($B$60:$Y$78,R$60,$C$85:$D96)</f>
        <v>1.122724994681793E-3</v>
      </c>
      <c r="S96" s="46">
        <f>DSUM($B$60:$Y$78,S$60,$C$85:$D96)</f>
        <v>9.2245398029299278E-4</v>
      </c>
      <c r="T96" s="46">
        <f>DSUM($B$60:$Y$78,T$60,$C$85:$D96)</f>
        <v>6.763451020859061E-4</v>
      </c>
      <c r="U96" s="46">
        <f>DSUM($B$60:$Y$78,U$60,$C$85:$D96)</f>
        <v>5.1966475639734697E-4</v>
      </c>
      <c r="V96" s="46">
        <f>DSUM($B$60:$Y$78,V$60,$C$85:$D96)</f>
        <v>3.8445126117253413E-4</v>
      </c>
      <c r="W96" s="46">
        <f>DSUM($B$60:$Y$78,W$60,$C$85:$D96)</f>
        <v>2.8562501369850486E-4</v>
      </c>
      <c r="X96" s="46">
        <f>DSUM($B$60:$Y$78,X$60,$C$85:$D96)</f>
        <v>2.2207938523300264E-4</v>
      </c>
      <c r="Y96" s="46">
        <f>DSUM($B$60:$Y$78,Y$60,$C$85:$D96)</f>
        <v>0</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0" t="s">
        <v>62</v>
      </c>
      <c r="C97" s="115" t="s">
        <v>284</v>
      </c>
      <c r="D97" s="115" t="s">
        <v>285</v>
      </c>
      <c r="E97" s="46">
        <f>DSUM($B$60:$Y$78,E$60,$C$85:$D97)</f>
        <v>2.3805968076749923E-2</v>
      </c>
      <c r="F97" s="46">
        <f>DSUM($B$60:$Y$78,F$60,$C$85:$D97)</f>
        <v>1.4203941374202165E-2</v>
      </c>
      <c r="G97" s="46">
        <f>DSUM($B$60:$Y$78,G$60,$C$85:$D97)</f>
        <v>9.0487409954657788E-3</v>
      </c>
      <c r="H97" s="46">
        <f>DSUM($B$60:$Y$78,H$60,$C$85:$D97)</f>
        <v>6.6197484454254846E-3</v>
      </c>
      <c r="I97" s="46">
        <f>DSUM($B$60:$Y$78,I$60,$C$85:$D97)</f>
        <v>4.6243392693692794E-3</v>
      </c>
      <c r="J97" s="46">
        <f>DSUM($B$60:$Y$78,J$60,$C$85:$D97)</f>
        <v>4.0252769185420475E-3</v>
      </c>
      <c r="K97" s="46">
        <f>DSUM($B$60:$Y$78,K$60,$C$85:$D97)</f>
        <v>3.4652049148834645E-3</v>
      </c>
      <c r="L97" s="46">
        <f>DSUM($B$60:$Y$78,L$60,$C$85:$D97)</f>
        <v>2.9812721323860731E-3</v>
      </c>
      <c r="M97" s="46">
        <f>DSUM($B$60:$Y$78,M$60,$C$85:$D97)</f>
        <v>2.6685152943129358E-3</v>
      </c>
      <c r="N97" s="46">
        <f>DSUM($B$60:$Y$78,N$60,$C$85:$D97)</f>
        <v>2.2676077220448302E-3</v>
      </c>
      <c r="O97" s="46">
        <f>DSUM($B$60:$Y$78,O$60,$C$85:$D97)</f>
        <v>2.1063445561124803E-3</v>
      </c>
      <c r="P97" s="46">
        <f>DSUM($B$60:$Y$78,P$60,$C$85:$D97)</f>
        <v>1.8616516306257905E-3</v>
      </c>
      <c r="Q97" s="46">
        <f>DSUM($B$60:$Y$78,Q$60,$C$85:$D97)</f>
        <v>1.5396022347197217E-3</v>
      </c>
      <c r="R97" s="46">
        <f>DSUM($B$60:$Y$78,R$60,$C$85:$D97)</f>
        <v>1.122724994681793E-3</v>
      </c>
      <c r="S97" s="46">
        <f>DSUM($B$60:$Y$78,S$60,$C$85:$D97)</f>
        <v>9.2245398029299278E-4</v>
      </c>
      <c r="T97" s="46">
        <f>DSUM($B$60:$Y$78,T$60,$C$85:$D97)</f>
        <v>6.763451020859061E-4</v>
      </c>
      <c r="U97" s="46">
        <f>DSUM($B$60:$Y$78,U$60,$C$85:$D97)</f>
        <v>5.1966475639734697E-4</v>
      </c>
      <c r="V97" s="46">
        <f>DSUM($B$60:$Y$78,V$60,$C$85:$D97)</f>
        <v>3.8445126117253413E-4</v>
      </c>
      <c r="W97" s="46">
        <f>DSUM($B$60:$Y$78,W$60,$C$85:$D97)</f>
        <v>2.8562501369850486E-4</v>
      </c>
      <c r="X97" s="46">
        <f>DSUM($B$60:$Y$78,X$60,$C$85:$D97)</f>
        <v>2.2207938523300264E-4</v>
      </c>
      <c r="Y97" s="46">
        <f>DSUM($B$60:$Y$78,Y$60,$C$85:$D97)</f>
        <v>0</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0" t="s">
        <v>63</v>
      </c>
      <c r="C98" s="115" t="s">
        <v>286</v>
      </c>
      <c r="D98" s="115" t="s">
        <v>287</v>
      </c>
      <c r="E98" s="46">
        <f>DSUM($B$60:$Y$78,E$60,$C$85:$D98)</f>
        <v>2.3805968076749923E-2</v>
      </c>
      <c r="F98" s="46">
        <f>DSUM($B$60:$Y$78,F$60,$C$85:$D98)</f>
        <v>1.4203941374202165E-2</v>
      </c>
      <c r="G98" s="46">
        <f>DSUM($B$60:$Y$78,G$60,$C$85:$D98)</f>
        <v>9.0487409954657788E-3</v>
      </c>
      <c r="H98" s="46">
        <f>DSUM($B$60:$Y$78,H$60,$C$85:$D98)</f>
        <v>6.6197484454254846E-3</v>
      </c>
      <c r="I98" s="46">
        <f>DSUM($B$60:$Y$78,I$60,$C$85:$D98)</f>
        <v>4.6243392693692794E-3</v>
      </c>
      <c r="J98" s="46">
        <f>DSUM($B$60:$Y$78,J$60,$C$85:$D98)</f>
        <v>4.0252769185420475E-3</v>
      </c>
      <c r="K98" s="46">
        <f>DSUM($B$60:$Y$78,K$60,$C$85:$D98)</f>
        <v>3.4652049148834645E-3</v>
      </c>
      <c r="L98" s="46">
        <f>DSUM($B$60:$Y$78,L$60,$C$85:$D98)</f>
        <v>2.9812721323860731E-3</v>
      </c>
      <c r="M98" s="46">
        <f>DSUM($B$60:$Y$78,M$60,$C$85:$D98)</f>
        <v>2.6685152943129358E-3</v>
      </c>
      <c r="N98" s="46">
        <f>DSUM($B$60:$Y$78,N$60,$C$85:$D98)</f>
        <v>2.2676077220448302E-3</v>
      </c>
      <c r="O98" s="46">
        <f>DSUM($B$60:$Y$78,O$60,$C$85:$D98)</f>
        <v>2.1063445561124803E-3</v>
      </c>
      <c r="P98" s="46">
        <f>DSUM($B$60:$Y$78,P$60,$C$85:$D98)</f>
        <v>1.8616516306257905E-3</v>
      </c>
      <c r="Q98" s="46">
        <f>DSUM($B$60:$Y$78,Q$60,$C$85:$D98)</f>
        <v>1.5396022347197217E-3</v>
      </c>
      <c r="R98" s="46">
        <f>DSUM($B$60:$Y$78,R$60,$C$85:$D98)</f>
        <v>1.122724994681793E-3</v>
      </c>
      <c r="S98" s="46">
        <f>DSUM($B$60:$Y$78,S$60,$C$85:$D98)</f>
        <v>9.2245398029299278E-4</v>
      </c>
      <c r="T98" s="46">
        <f>DSUM($B$60:$Y$78,T$60,$C$85:$D98)</f>
        <v>6.763451020859061E-4</v>
      </c>
      <c r="U98" s="46">
        <f>DSUM($B$60:$Y$78,U$60,$C$85:$D98)</f>
        <v>5.1966475639734697E-4</v>
      </c>
      <c r="V98" s="46">
        <f>DSUM($B$60:$Y$78,V$60,$C$85:$D98)</f>
        <v>3.8445126117253413E-4</v>
      </c>
      <c r="W98" s="46">
        <f>DSUM($B$60:$Y$78,W$60,$C$85:$D98)</f>
        <v>2.8562501369850486E-4</v>
      </c>
      <c r="X98" s="46">
        <f>DSUM($B$60:$Y$78,X$60,$C$85:$D98)</f>
        <v>2.2207938523300264E-4</v>
      </c>
      <c r="Y98" s="46">
        <f>DSUM($B$60:$Y$78,Y$60,$C$85:$D98)</f>
        <v>0</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0" t="s">
        <v>64</v>
      </c>
      <c r="C99" s="115" t="s">
        <v>288</v>
      </c>
      <c r="D99" s="115" t="s">
        <v>289</v>
      </c>
      <c r="E99" s="46">
        <f>DSUM($B$60:$Y$78,E$60,$C$85:$D99)</f>
        <v>2.3805968076749923E-2</v>
      </c>
      <c r="F99" s="46">
        <f>DSUM($B$60:$Y$78,F$60,$C$85:$D99)</f>
        <v>1.4203941374202165E-2</v>
      </c>
      <c r="G99" s="46">
        <f>DSUM($B$60:$Y$78,G$60,$C$85:$D99)</f>
        <v>9.0487409954657788E-3</v>
      </c>
      <c r="H99" s="46">
        <f>DSUM($B$60:$Y$78,H$60,$C$85:$D99)</f>
        <v>6.6197484454254846E-3</v>
      </c>
      <c r="I99" s="46">
        <f>DSUM($B$60:$Y$78,I$60,$C$85:$D99)</f>
        <v>4.6243392693692794E-3</v>
      </c>
      <c r="J99" s="46">
        <f>DSUM($B$60:$Y$78,J$60,$C$85:$D99)</f>
        <v>4.0252769185420475E-3</v>
      </c>
      <c r="K99" s="46">
        <f>DSUM($B$60:$Y$78,K$60,$C$85:$D99)</f>
        <v>3.4652049148834645E-3</v>
      </c>
      <c r="L99" s="46">
        <f>DSUM($B$60:$Y$78,L$60,$C$85:$D99)</f>
        <v>2.9812721323860731E-3</v>
      </c>
      <c r="M99" s="46">
        <f>DSUM($B$60:$Y$78,M$60,$C$85:$D99)</f>
        <v>2.6685152943129358E-3</v>
      </c>
      <c r="N99" s="46">
        <f>DSUM($B$60:$Y$78,N$60,$C$85:$D99)</f>
        <v>2.2676077220448302E-3</v>
      </c>
      <c r="O99" s="46">
        <f>DSUM($B$60:$Y$78,O$60,$C$85:$D99)</f>
        <v>2.1063445561124803E-3</v>
      </c>
      <c r="P99" s="46">
        <f>DSUM($B$60:$Y$78,P$60,$C$85:$D99)</f>
        <v>1.8616516306257905E-3</v>
      </c>
      <c r="Q99" s="46">
        <f>DSUM($B$60:$Y$78,Q$60,$C$85:$D99)</f>
        <v>1.5396022347197217E-3</v>
      </c>
      <c r="R99" s="46">
        <f>DSUM($B$60:$Y$78,R$60,$C$85:$D99)</f>
        <v>1.122724994681793E-3</v>
      </c>
      <c r="S99" s="46">
        <f>DSUM($B$60:$Y$78,S$60,$C$85:$D99)</f>
        <v>9.2245398029299278E-4</v>
      </c>
      <c r="T99" s="46">
        <f>DSUM($B$60:$Y$78,T$60,$C$85:$D99)</f>
        <v>6.763451020859061E-4</v>
      </c>
      <c r="U99" s="46">
        <f>DSUM($B$60:$Y$78,U$60,$C$85:$D99)</f>
        <v>5.1966475639734697E-4</v>
      </c>
      <c r="V99" s="46">
        <f>DSUM($B$60:$Y$78,V$60,$C$85:$D99)</f>
        <v>3.8445126117253413E-4</v>
      </c>
      <c r="W99" s="46">
        <f>DSUM($B$60:$Y$78,W$60,$C$85:$D99)</f>
        <v>2.8562501369850486E-4</v>
      </c>
      <c r="X99" s="46">
        <f>DSUM($B$60:$Y$78,X$60,$C$85:$D99)</f>
        <v>2.2207938523300264E-4</v>
      </c>
      <c r="Y99" s="46">
        <f>DSUM($B$60:$Y$78,Y$60,$C$85:$D99)</f>
        <v>0</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0" t="s">
        <v>65</v>
      </c>
      <c r="C100" s="115" t="s">
        <v>290</v>
      </c>
      <c r="D100" s="115" t="s">
        <v>291</v>
      </c>
      <c r="E100" s="46">
        <f>DSUM($B$60:$Y$78,E$60,$C$85:$D100)</f>
        <v>2.3805968076749923E-2</v>
      </c>
      <c r="F100" s="46">
        <f>DSUM($B$60:$Y$78,F$60,$C$85:$D100)</f>
        <v>1.4203941374202165E-2</v>
      </c>
      <c r="G100" s="46">
        <f>DSUM($B$60:$Y$78,G$60,$C$85:$D100)</f>
        <v>9.0487409954657788E-3</v>
      </c>
      <c r="H100" s="46">
        <f>DSUM($B$60:$Y$78,H$60,$C$85:$D100)</f>
        <v>6.6197484454254846E-3</v>
      </c>
      <c r="I100" s="46">
        <f>DSUM($B$60:$Y$78,I$60,$C$85:$D100)</f>
        <v>4.6243392693692794E-3</v>
      </c>
      <c r="J100" s="46">
        <f>DSUM($B$60:$Y$78,J$60,$C$85:$D100)</f>
        <v>4.0252769185420475E-3</v>
      </c>
      <c r="K100" s="46">
        <f>DSUM($B$60:$Y$78,K$60,$C$85:$D100)</f>
        <v>3.4652049148834645E-3</v>
      </c>
      <c r="L100" s="46">
        <f>DSUM($B$60:$Y$78,L$60,$C$85:$D100)</f>
        <v>2.9812721323860731E-3</v>
      </c>
      <c r="M100" s="46">
        <f>DSUM($B$60:$Y$78,M$60,$C$85:$D100)</f>
        <v>2.6685152943129358E-3</v>
      </c>
      <c r="N100" s="46">
        <f>DSUM($B$60:$Y$78,N$60,$C$85:$D100)</f>
        <v>2.2676077220448302E-3</v>
      </c>
      <c r="O100" s="46">
        <f>DSUM($B$60:$Y$78,O$60,$C$85:$D100)</f>
        <v>2.1063445561124803E-3</v>
      </c>
      <c r="P100" s="46">
        <f>DSUM($B$60:$Y$78,P$60,$C$85:$D100)</f>
        <v>1.8616516306257905E-3</v>
      </c>
      <c r="Q100" s="46">
        <f>DSUM($B$60:$Y$78,Q$60,$C$85:$D100)</f>
        <v>1.5396022347197217E-3</v>
      </c>
      <c r="R100" s="46">
        <f>DSUM($B$60:$Y$78,R$60,$C$85:$D100)</f>
        <v>1.122724994681793E-3</v>
      </c>
      <c r="S100" s="46">
        <f>DSUM($B$60:$Y$78,S$60,$C$85:$D100)</f>
        <v>9.2245398029299278E-4</v>
      </c>
      <c r="T100" s="46">
        <f>DSUM($B$60:$Y$78,T$60,$C$85:$D100)</f>
        <v>6.763451020859061E-4</v>
      </c>
      <c r="U100" s="46">
        <f>DSUM($B$60:$Y$78,U$60,$C$85:$D100)</f>
        <v>5.1966475639734697E-4</v>
      </c>
      <c r="V100" s="46">
        <f>DSUM($B$60:$Y$78,V$60,$C$85:$D100)</f>
        <v>3.8445126117253413E-4</v>
      </c>
      <c r="W100" s="46">
        <f>DSUM($B$60:$Y$78,W$60,$C$85:$D100)</f>
        <v>2.8562501369850486E-4</v>
      </c>
      <c r="X100" s="46">
        <f>DSUM($B$60:$Y$78,X$60,$C$85:$D100)</f>
        <v>2.2207938523300264E-4</v>
      </c>
      <c r="Y100" s="46">
        <f>DSUM($B$60:$Y$78,Y$60,$C$85:$D100)</f>
        <v>0</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0" t="s">
        <v>66</v>
      </c>
      <c r="C101" s="115" t="s">
        <v>292</v>
      </c>
      <c r="D101" s="115" t="s">
        <v>293</v>
      </c>
      <c r="E101" s="46">
        <f>DSUM($B$60:$Y$78,E$60,$C$85:$D101)</f>
        <v>2.3805968076749923E-2</v>
      </c>
      <c r="F101" s="46">
        <f>DSUM($B$60:$Y$78,F$60,$C$85:$D101)</f>
        <v>1.4203941374202165E-2</v>
      </c>
      <c r="G101" s="46">
        <f>DSUM($B$60:$Y$78,G$60,$C$85:$D101)</f>
        <v>9.0487409954657788E-3</v>
      </c>
      <c r="H101" s="46">
        <f>DSUM($B$60:$Y$78,H$60,$C$85:$D101)</f>
        <v>6.6197484454254846E-3</v>
      </c>
      <c r="I101" s="46">
        <f>DSUM($B$60:$Y$78,I$60,$C$85:$D101)</f>
        <v>4.6243392693692794E-3</v>
      </c>
      <c r="J101" s="46">
        <f>DSUM($B$60:$Y$78,J$60,$C$85:$D101)</f>
        <v>4.0252769185420475E-3</v>
      </c>
      <c r="K101" s="46">
        <f>DSUM($B$60:$Y$78,K$60,$C$85:$D101)</f>
        <v>3.4652049148834645E-3</v>
      </c>
      <c r="L101" s="46">
        <f>DSUM($B$60:$Y$78,L$60,$C$85:$D101)</f>
        <v>2.9812721323860731E-3</v>
      </c>
      <c r="M101" s="46">
        <f>DSUM($B$60:$Y$78,M$60,$C$85:$D101)</f>
        <v>2.6685152943129358E-3</v>
      </c>
      <c r="N101" s="46">
        <f>DSUM($B$60:$Y$78,N$60,$C$85:$D101)</f>
        <v>2.2676077220448302E-3</v>
      </c>
      <c r="O101" s="46">
        <f>DSUM($B$60:$Y$78,O$60,$C$85:$D101)</f>
        <v>2.1063445561124803E-3</v>
      </c>
      <c r="P101" s="46">
        <f>DSUM($B$60:$Y$78,P$60,$C$85:$D101)</f>
        <v>1.8616516306257905E-3</v>
      </c>
      <c r="Q101" s="46">
        <f>DSUM($B$60:$Y$78,Q$60,$C$85:$D101)</f>
        <v>1.5396022347197217E-3</v>
      </c>
      <c r="R101" s="46">
        <f>DSUM($B$60:$Y$78,R$60,$C$85:$D101)</f>
        <v>1.122724994681793E-3</v>
      </c>
      <c r="S101" s="46">
        <f>DSUM($B$60:$Y$78,S$60,$C$85:$D101)</f>
        <v>9.2245398029299278E-4</v>
      </c>
      <c r="T101" s="46">
        <f>DSUM($B$60:$Y$78,T$60,$C$85:$D101)</f>
        <v>6.763451020859061E-4</v>
      </c>
      <c r="U101" s="46">
        <f>DSUM($B$60:$Y$78,U$60,$C$85:$D101)</f>
        <v>5.1966475639734697E-4</v>
      </c>
      <c r="V101" s="46">
        <f>DSUM($B$60:$Y$78,V$60,$C$85:$D101)</f>
        <v>3.8445126117253413E-4</v>
      </c>
      <c r="W101" s="46">
        <f>DSUM($B$60:$Y$78,W$60,$C$85:$D101)</f>
        <v>2.8562501369850486E-4</v>
      </c>
      <c r="X101" s="46">
        <f>DSUM($B$60:$Y$78,X$60,$C$85:$D101)</f>
        <v>2.2207938523300264E-4</v>
      </c>
      <c r="Y101" s="46">
        <f>DSUM($B$60:$Y$78,Y$60,$C$85:$D101)</f>
        <v>0</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0" t="s">
        <v>67</v>
      </c>
      <c r="C102" s="115" t="s">
        <v>294</v>
      </c>
      <c r="D102" s="115" t="s">
        <v>295</v>
      </c>
      <c r="E102" s="46">
        <f>DSUM($B$60:$Y$78,E$60,$C$85:$D102)</f>
        <v>2.3805968076749923E-2</v>
      </c>
      <c r="F102" s="46">
        <f>DSUM($B$60:$Y$78,F$60,$C$85:$D102)</f>
        <v>1.4203941374202165E-2</v>
      </c>
      <c r="G102" s="46">
        <f>DSUM($B$60:$Y$78,G$60,$C$85:$D102)</f>
        <v>9.0487409954657788E-3</v>
      </c>
      <c r="H102" s="46">
        <f>DSUM($B$60:$Y$78,H$60,$C$85:$D102)</f>
        <v>6.6197484454254846E-3</v>
      </c>
      <c r="I102" s="46">
        <f>DSUM($B$60:$Y$78,I$60,$C$85:$D102)</f>
        <v>4.6243392693692794E-3</v>
      </c>
      <c r="J102" s="46">
        <f>DSUM($B$60:$Y$78,J$60,$C$85:$D102)</f>
        <v>4.0252769185420475E-3</v>
      </c>
      <c r="K102" s="46">
        <f>DSUM($B$60:$Y$78,K$60,$C$85:$D102)</f>
        <v>3.4652049148834645E-3</v>
      </c>
      <c r="L102" s="46">
        <f>DSUM($B$60:$Y$78,L$60,$C$85:$D102)</f>
        <v>2.9812721323860731E-3</v>
      </c>
      <c r="M102" s="46">
        <f>DSUM($B$60:$Y$78,M$60,$C$85:$D102)</f>
        <v>2.6685152943129358E-3</v>
      </c>
      <c r="N102" s="46">
        <f>DSUM($B$60:$Y$78,N$60,$C$85:$D102)</f>
        <v>2.2676077220448302E-3</v>
      </c>
      <c r="O102" s="46">
        <f>DSUM($B$60:$Y$78,O$60,$C$85:$D102)</f>
        <v>2.1063445561124803E-3</v>
      </c>
      <c r="P102" s="46">
        <f>DSUM($B$60:$Y$78,P$60,$C$85:$D102)</f>
        <v>1.8616516306257905E-3</v>
      </c>
      <c r="Q102" s="46">
        <f>DSUM($B$60:$Y$78,Q$60,$C$85:$D102)</f>
        <v>1.5396022347197217E-3</v>
      </c>
      <c r="R102" s="46">
        <f>DSUM($B$60:$Y$78,R$60,$C$85:$D102)</f>
        <v>1.122724994681793E-3</v>
      </c>
      <c r="S102" s="46">
        <f>DSUM($B$60:$Y$78,S$60,$C$85:$D102)</f>
        <v>9.2245398029299278E-4</v>
      </c>
      <c r="T102" s="46">
        <f>DSUM($B$60:$Y$78,T$60,$C$85:$D102)</f>
        <v>6.763451020859061E-4</v>
      </c>
      <c r="U102" s="46">
        <f>DSUM($B$60:$Y$78,U$60,$C$85:$D102)</f>
        <v>5.1966475639734697E-4</v>
      </c>
      <c r="V102" s="46">
        <f>DSUM($B$60:$Y$78,V$60,$C$85:$D102)</f>
        <v>3.8445126117253413E-4</v>
      </c>
      <c r="W102" s="46">
        <f>DSUM($B$60:$Y$78,W$60,$C$85:$D102)</f>
        <v>2.8562501369850486E-4</v>
      </c>
      <c r="X102" s="46">
        <f>DSUM($B$60:$Y$78,X$60,$C$85:$D102)</f>
        <v>2.2207938523300264E-4</v>
      </c>
      <c r="Y102" s="46">
        <f>DSUM($B$60:$Y$78,Y$60,$C$85:$D102)</f>
        <v>0</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0" t="s">
        <v>68</v>
      </c>
      <c r="C103" s="115" t="s">
        <v>296</v>
      </c>
      <c r="D103" s="115" t="s">
        <v>297</v>
      </c>
      <c r="E103" s="46">
        <f>DSUM($B$60:$Y$78,E$60,$C$85:$D103)</f>
        <v>2.3805968076749923E-2</v>
      </c>
      <c r="F103" s="46">
        <f>DSUM($B$60:$Y$78,F$60,$C$85:$D103)</f>
        <v>1.4203941374202165E-2</v>
      </c>
      <c r="G103" s="46">
        <f>DSUM($B$60:$Y$78,G$60,$C$85:$D103)</f>
        <v>9.0487409954657788E-3</v>
      </c>
      <c r="H103" s="46">
        <f>DSUM($B$60:$Y$78,H$60,$C$85:$D103)</f>
        <v>6.6197484454254846E-3</v>
      </c>
      <c r="I103" s="46">
        <f>DSUM($B$60:$Y$78,I$60,$C$85:$D103)</f>
        <v>4.6243392693692794E-3</v>
      </c>
      <c r="J103" s="46">
        <f>DSUM($B$60:$Y$78,J$60,$C$85:$D103)</f>
        <v>4.0252769185420475E-3</v>
      </c>
      <c r="K103" s="46">
        <f>DSUM($B$60:$Y$78,K$60,$C$85:$D103)</f>
        <v>3.4652049148834645E-3</v>
      </c>
      <c r="L103" s="46">
        <f>DSUM($B$60:$Y$78,L$60,$C$85:$D103)</f>
        <v>2.9812721323860731E-3</v>
      </c>
      <c r="M103" s="46">
        <f>DSUM($B$60:$Y$78,M$60,$C$85:$D103)</f>
        <v>2.6685152943129358E-3</v>
      </c>
      <c r="N103" s="46">
        <f>DSUM($B$60:$Y$78,N$60,$C$85:$D103)</f>
        <v>2.2676077220448302E-3</v>
      </c>
      <c r="O103" s="46">
        <f>DSUM($B$60:$Y$78,O$60,$C$85:$D103)</f>
        <v>2.1063445561124803E-3</v>
      </c>
      <c r="P103" s="46">
        <f>DSUM($B$60:$Y$78,P$60,$C$85:$D103)</f>
        <v>1.8616516306257905E-3</v>
      </c>
      <c r="Q103" s="46">
        <f>DSUM($B$60:$Y$78,Q$60,$C$85:$D103)</f>
        <v>1.5396022347197217E-3</v>
      </c>
      <c r="R103" s="46">
        <f>DSUM($B$60:$Y$78,R$60,$C$85:$D103)</f>
        <v>1.122724994681793E-3</v>
      </c>
      <c r="S103" s="46">
        <f>DSUM($B$60:$Y$78,S$60,$C$85:$D103)</f>
        <v>9.2245398029299278E-4</v>
      </c>
      <c r="T103" s="46">
        <f>DSUM($B$60:$Y$78,T$60,$C$85:$D103)</f>
        <v>6.763451020859061E-4</v>
      </c>
      <c r="U103" s="46">
        <f>DSUM($B$60:$Y$78,U$60,$C$85:$D103)</f>
        <v>5.1966475639734697E-4</v>
      </c>
      <c r="V103" s="46">
        <f>DSUM($B$60:$Y$78,V$60,$C$85:$D103)</f>
        <v>3.8445126117253413E-4</v>
      </c>
      <c r="W103" s="46">
        <f>DSUM($B$60:$Y$78,W$60,$C$85:$D103)</f>
        <v>2.8562501369850486E-4</v>
      </c>
      <c r="X103" s="46">
        <f>DSUM($B$60:$Y$78,X$60,$C$85:$D103)</f>
        <v>2.2207938523300264E-4</v>
      </c>
      <c r="Y103" s="46">
        <f>DSUM($B$60:$Y$78,Y$60,$C$85:$D103)</f>
        <v>0</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0" t="s">
        <v>69</v>
      </c>
      <c r="C104" s="115" t="s">
        <v>298</v>
      </c>
      <c r="D104" s="115" t="s">
        <v>299</v>
      </c>
      <c r="E104" s="46">
        <f>DSUM($B$60:$Y$78,E$60,$C$85:$D104)</f>
        <v>2.3805968076749923E-2</v>
      </c>
      <c r="F104" s="46">
        <f>DSUM($B$60:$Y$78,F$60,$C$85:$D104)</f>
        <v>1.4203941374202165E-2</v>
      </c>
      <c r="G104" s="46">
        <f>DSUM($B$60:$Y$78,G$60,$C$85:$D104)</f>
        <v>9.0487409954657788E-3</v>
      </c>
      <c r="H104" s="46">
        <f>DSUM($B$60:$Y$78,H$60,$C$85:$D104)</f>
        <v>6.6197484454254846E-3</v>
      </c>
      <c r="I104" s="46">
        <f>DSUM($B$60:$Y$78,I$60,$C$85:$D104)</f>
        <v>4.6243392693692794E-3</v>
      </c>
      <c r="J104" s="46">
        <f>DSUM($B$60:$Y$78,J$60,$C$85:$D104)</f>
        <v>4.0252769185420475E-3</v>
      </c>
      <c r="K104" s="46">
        <f>DSUM($B$60:$Y$78,K$60,$C$85:$D104)</f>
        <v>3.4652049148834645E-3</v>
      </c>
      <c r="L104" s="46">
        <f>DSUM($B$60:$Y$78,L$60,$C$85:$D104)</f>
        <v>2.9812721323860731E-3</v>
      </c>
      <c r="M104" s="46">
        <f>DSUM($B$60:$Y$78,M$60,$C$85:$D104)</f>
        <v>2.6685152943129358E-3</v>
      </c>
      <c r="N104" s="46">
        <f>DSUM($B$60:$Y$78,N$60,$C$85:$D104)</f>
        <v>2.2676077220448302E-3</v>
      </c>
      <c r="O104" s="46">
        <f>DSUM($B$60:$Y$78,O$60,$C$85:$D104)</f>
        <v>2.1063445561124803E-3</v>
      </c>
      <c r="P104" s="46">
        <f>DSUM($B$60:$Y$78,P$60,$C$85:$D104)</f>
        <v>1.8616516306257905E-3</v>
      </c>
      <c r="Q104" s="46">
        <f>DSUM($B$60:$Y$78,Q$60,$C$85:$D104)</f>
        <v>1.5396022347197217E-3</v>
      </c>
      <c r="R104" s="46">
        <f>DSUM($B$60:$Y$78,R$60,$C$85:$D104)</f>
        <v>1.122724994681793E-3</v>
      </c>
      <c r="S104" s="46">
        <f>DSUM($B$60:$Y$78,S$60,$C$85:$D104)</f>
        <v>9.2245398029299278E-4</v>
      </c>
      <c r="T104" s="46">
        <f>DSUM($B$60:$Y$78,T$60,$C$85:$D104)</f>
        <v>6.763451020859061E-4</v>
      </c>
      <c r="U104" s="46">
        <f>DSUM($B$60:$Y$78,U$60,$C$85:$D104)</f>
        <v>5.1966475639734697E-4</v>
      </c>
      <c r="V104" s="46">
        <f>DSUM($B$60:$Y$78,V$60,$C$85:$D104)</f>
        <v>3.8445126117253413E-4</v>
      </c>
      <c r="W104" s="46">
        <f>DSUM($B$60:$Y$78,W$60,$C$85:$D104)</f>
        <v>2.8562501369850486E-4</v>
      </c>
      <c r="X104" s="46">
        <f>DSUM($B$60:$Y$78,X$60,$C$85:$D104)</f>
        <v>2.2207938523300264E-4</v>
      </c>
      <c r="Y104" s="46">
        <f>DSUM($B$60:$Y$78,Y$60,$C$85:$D104)</f>
        <v>0</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0" t="s">
        <v>70</v>
      </c>
      <c r="C105" s="115" t="s">
        <v>300</v>
      </c>
      <c r="D105" s="115" t="s">
        <v>301</v>
      </c>
      <c r="E105" s="46">
        <f>DSUM($B$60:$Y$78,E$60,$C$85:$D105)</f>
        <v>2.3805968076749923E-2</v>
      </c>
      <c r="F105" s="46">
        <f>DSUM($B$60:$Y$78,F$60,$C$85:$D105)</f>
        <v>1.4203941374202165E-2</v>
      </c>
      <c r="G105" s="46">
        <f>DSUM($B$60:$Y$78,G$60,$C$85:$D105)</f>
        <v>9.0487409954657788E-3</v>
      </c>
      <c r="H105" s="46">
        <f>DSUM($B$60:$Y$78,H$60,$C$85:$D105)</f>
        <v>6.6197484454254846E-3</v>
      </c>
      <c r="I105" s="46">
        <f>DSUM($B$60:$Y$78,I$60,$C$85:$D105)</f>
        <v>4.6243392693692794E-3</v>
      </c>
      <c r="J105" s="46">
        <f>DSUM($B$60:$Y$78,J$60,$C$85:$D105)</f>
        <v>4.0252769185420475E-3</v>
      </c>
      <c r="K105" s="46">
        <f>DSUM($B$60:$Y$78,K$60,$C$85:$D105)</f>
        <v>3.4652049148834645E-3</v>
      </c>
      <c r="L105" s="46">
        <f>DSUM($B$60:$Y$78,L$60,$C$85:$D105)</f>
        <v>2.9812721323860731E-3</v>
      </c>
      <c r="M105" s="46">
        <f>DSUM($B$60:$Y$78,M$60,$C$85:$D105)</f>
        <v>2.6685152943129358E-3</v>
      </c>
      <c r="N105" s="46">
        <f>DSUM($B$60:$Y$78,N$60,$C$85:$D105)</f>
        <v>2.2676077220448302E-3</v>
      </c>
      <c r="O105" s="46">
        <f>DSUM($B$60:$Y$78,O$60,$C$85:$D105)</f>
        <v>2.1063445561124803E-3</v>
      </c>
      <c r="P105" s="46">
        <f>DSUM($B$60:$Y$78,P$60,$C$85:$D105)</f>
        <v>1.8616516306257905E-3</v>
      </c>
      <c r="Q105" s="46">
        <f>DSUM($B$60:$Y$78,Q$60,$C$85:$D105)</f>
        <v>1.5396022347197217E-3</v>
      </c>
      <c r="R105" s="46">
        <f>DSUM($B$60:$Y$78,R$60,$C$85:$D105)</f>
        <v>1.122724994681793E-3</v>
      </c>
      <c r="S105" s="46">
        <f>DSUM($B$60:$Y$78,S$60,$C$85:$D105)</f>
        <v>9.2245398029299278E-4</v>
      </c>
      <c r="T105" s="46">
        <f>DSUM($B$60:$Y$78,T$60,$C$85:$D105)</f>
        <v>6.763451020859061E-4</v>
      </c>
      <c r="U105" s="46">
        <f>DSUM($B$60:$Y$78,U$60,$C$85:$D105)</f>
        <v>5.1966475639734697E-4</v>
      </c>
      <c r="V105" s="46">
        <f>DSUM($B$60:$Y$78,V$60,$C$85:$D105)</f>
        <v>3.8445126117253413E-4</v>
      </c>
      <c r="W105" s="46">
        <f>DSUM($B$60:$Y$78,W$60,$C$85:$D105)</f>
        <v>2.8562501369850486E-4</v>
      </c>
      <c r="X105" s="46">
        <f>DSUM($B$60:$Y$78,X$60,$C$85:$D105)</f>
        <v>2.2207938523300264E-4</v>
      </c>
      <c r="Y105" s="46">
        <f>DSUM($B$60:$Y$78,Y$60,$C$85:$D105)</f>
        <v>0</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0" t="s">
        <v>71</v>
      </c>
      <c r="C106" s="115" t="s">
        <v>302</v>
      </c>
      <c r="D106" s="115" t="s">
        <v>303</v>
      </c>
      <c r="E106" s="46">
        <f>DSUM($B$60:$Y$78,E$60,$C$85:$D106)</f>
        <v>2.3805968076749923E-2</v>
      </c>
      <c r="F106" s="46">
        <f>DSUM($B$60:$Y$78,F$60,$C$85:$D106)</f>
        <v>1.4203941374202165E-2</v>
      </c>
      <c r="G106" s="46">
        <f>DSUM($B$60:$Y$78,G$60,$C$85:$D106)</f>
        <v>9.0487409954657788E-3</v>
      </c>
      <c r="H106" s="46">
        <f>DSUM($B$60:$Y$78,H$60,$C$85:$D106)</f>
        <v>6.6197484454254846E-3</v>
      </c>
      <c r="I106" s="46">
        <f>DSUM($B$60:$Y$78,I$60,$C$85:$D106)</f>
        <v>4.6243392693692794E-3</v>
      </c>
      <c r="J106" s="46">
        <f>DSUM($B$60:$Y$78,J$60,$C$85:$D106)</f>
        <v>4.0252769185420475E-3</v>
      </c>
      <c r="K106" s="46">
        <f>DSUM($B$60:$Y$78,K$60,$C$85:$D106)</f>
        <v>3.4652049148834645E-3</v>
      </c>
      <c r="L106" s="46">
        <f>DSUM($B$60:$Y$78,L$60,$C$85:$D106)</f>
        <v>2.9812721323860731E-3</v>
      </c>
      <c r="M106" s="46">
        <f>DSUM($B$60:$Y$78,M$60,$C$85:$D106)</f>
        <v>2.6685152943129358E-3</v>
      </c>
      <c r="N106" s="46">
        <f>DSUM($B$60:$Y$78,N$60,$C$85:$D106)</f>
        <v>2.2676077220448302E-3</v>
      </c>
      <c r="O106" s="46">
        <f>DSUM($B$60:$Y$78,O$60,$C$85:$D106)</f>
        <v>2.1063445561124803E-3</v>
      </c>
      <c r="P106" s="46">
        <f>DSUM($B$60:$Y$78,P$60,$C$85:$D106)</f>
        <v>1.8616516306257905E-3</v>
      </c>
      <c r="Q106" s="46">
        <f>DSUM($B$60:$Y$78,Q$60,$C$85:$D106)</f>
        <v>1.5396022347197217E-3</v>
      </c>
      <c r="R106" s="46">
        <f>DSUM($B$60:$Y$78,R$60,$C$85:$D106)</f>
        <v>1.122724994681793E-3</v>
      </c>
      <c r="S106" s="46">
        <f>DSUM($B$60:$Y$78,S$60,$C$85:$D106)</f>
        <v>9.2245398029299278E-4</v>
      </c>
      <c r="T106" s="46">
        <f>DSUM($B$60:$Y$78,T$60,$C$85:$D106)</f>
        <v>6.763451020859061E-4</v>
      </c>
      <c r="U106" s="46">
        <f>DSUM($B$60:$Y$78,U$60,$C$85:$D106)</f>
        <v>5.1966475639734697E-4</v>
      </c>
      <c r="V106" s="46">
        <f>DSUM($B$60:$Y$78,V$60,$C$85:$D106)</f>
        <v>3.8445126117253413E-4</v>
      </c>
      <c r="W106" s="46">
        <f>DSUM($B$60:$Y$78,W$60,$C$85:$D106)</f>
        <v>2.8562501369850486E-4</v>
      </c>
      <c r="X106" s="46">
        <f>DSUM($B$60:$Y$78,X$60,$C$85:$D106)</f>
        <v>2.2207938523300264E-4</v>
      </c>
      <c r="Y106" s="46">
        <f>DSUM($B$60:$Y$78,Y$60,$C$85:$D106)</f>
        <v>0</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0" t="s">
        <v>332</v>
      </c>
      <c r="C107" s="115" t="s">
        <v>304</v>
      </c>
      <c r="D107" s="115" t="s">
        <v>333</v>
      </c>
      <c r="E107" s="46">
        <f>DSUM($B$60:$Y$78,E$60,$C$85:$D107)</f>
        <v>2.3805968076749923E-2</v>
      </c>
      <c r="F107" s="46">
        <f>DSUM($B$60:$Y$78,F$60,$C$85:$D107)</f>
        <v>1.4203941374202165E-2</v>
      </c>
      <c r="G107" s="46">
        <f>DSUM($B$60:$Y$78,G$60,$C$85:$D107)</f>
        <v>9.0487409954657788E-3</v>
      </c>
      <c r="H107" s="46">
        <f>DSUM($B$60:$Y$78,H$60,$C$85:$D107)</f>
        <v>6.6197484454254846E-3</v>
      </c>
      <c r="I107" s="46">
        <f>DSUM($B$60:$Y$78,I$60,$C$85:$D107)</f>
        <v>4.6243392693692794E-3</v>
      </c>
      <c r="J107" s="46">
        <f>DSUM($B$60:$Y$78,J$60,$C$85:$D107)</f>
        <v>4.0252769185420475E-3</v>
      </c>
      <c r="K107" s="46">
        <f>DSUM($B$60:$Y$78,K$60,$C$85:$D107)</f>
        <v>3.4652049148834645E-3</v>
      </c>
      <c r="L107" s="46">
        <f>DSUM($B$60:$Y$78,L$60,$C$85:$D107)</f>
        <v>2.9812721323860731E-3</v>
      </c>
      <c r="M107" s="46">
        <f>DSUM($B$60:$Y$78,M$60,$C$85:$D107)</f>
        <v>2.6685152943129358E-3</v>
      </c>
      <c r="N107" s="46">
        <f>DSUM($B$60:$Y$78,N$60,$C$85:$D107)</f>
        <v>2.2676077220448302E-3</v>
      </c>
      <c r="O107" s="46">
        <f>DSUM($B$60:$Y$78,O$60,$C$85:$D107)</f>
        <v>2.1063445561124803E-3</v>
      </c>
      <c r="P107" s="46">
        <f>DSUM($B$60:$Y$78,P$60,$C$85:$D107)</f>
        <v>1.8616516306257905E-3</v>
      </c>
      <c r="Q107" s="46">
        <f>DSUM($B$60:$Y$78,Q$60,$C$85:$D107)</f>
        <v>1.5396022347197217E-3</v>
      </c>
      <c r="R107" s="46">
        <f>DSUM($B$60:$Y$78,R$60,$C$85:$D107)</f>
        <v>1.122724994681793E-3</v>
      </c>
      <c r="S107" s="46">
        <f>DSUM($B$60:$Y$78,S$60,$C$85:$D107)</f>
        <v>9.2245398029299278E-4</v>
      </c>
      <c r="T107" s="46">
        <f>DSUM($B$60:$Y$78,T$60,$C$85:$D107)</f>
        <v>6.763451020859061E-4</v>
      </c>
      <c r="U107" s="46">
        <f>DSUM($B$60:$Y$78,U$60,$C$85:$D107)</f>
        <v>5.1966475639734697E-4</v>
      </c>
      <c r="V107" s="46">
        <f>DSUM($B$60:$Y$78,V$60,$C$85:$D107)</f>
        <v>3.8445126117253413E-4</v>
      </c>
      <c r="W107" s="46">
        <f>DSUM($B$60:$Y$78,W$60,$C$85:$D107)</f>
        <v>2.8562501369850486E-4</v>
      </c>
      <c r="X107" s="46">
        <f>DSUM($B$60:$Y$78,X$60,$C$85:$D107)</f>
        <v>2.2207938523300264E-4</v>
      </c>
      <c r="Y107" s="46">
        <f>DSUM($B$60:$Y$78,Y$60,$C$85:$D107)</f>
        <v>0</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0" t="s">
        <v>334</v>
      </c>
      <c r="C108" s="115" t="s">
        <v>335</v>
      </c>
      <c r="D108" s="115" t="s">
        <v>336</v>
      </c>
      <c r="E108" s="46">
        <f>DSUM($B$60:$Y$78,E$60,$C$85:$D108)</f>
        <v>2.3805968076749923E-2</v>
      </c>
      <c r="F108" s="46">
        <f>DSUM($B$60:$Y$78,F$60,$C$85:$D108)</f>
        <v>1.4203941374202165E-2</v>
      </c>
      <c r="G108" s="46">
        <f>DSUM($B$60:$Y$78,G$60,$C$85:$D108)</f>
        <v>9.0487409954657788E-3</v>
      </c>
      <c r="H108" s="46">
        <f>DSUM($B$60:$Y$78,H$60,$C$85:$D108)</f>
        <v>6.6197484454254846E-3</v>
      </c>
      <c r="I108" s="46">
        <f>DSUM($B$60:$Y$78,I$60,$C$85:$D108)</f>
        <v>4.6243392693692794E-3</v>
      </c>
      <c r="J108" s="46">
        <f>DSUM($B$60:$Y$78,J$60,$C$85:$D108)</f>
        <v>4.0252769185420475E-3</v>
      </c>
      <c r="K108" s="46">
        <f>DSUM($B$60:$Y$78,K$60,$C$85:$D108)</f>
        <v>3.4652049148834645E-3</v>
      </c>
      <c r="L108" s="46">
        <f>DSUM($B$60:$Y$78,L$60,$C$85:$D108)</f>
        <v>2.9812721323860731E-3</v>
      </c>
      <c r="M108" s="46">
        <f>DSUM($B$60:$Y$78,M$60,$C$85:$D108)</f>
        <v>2.6685152943129358E-3</v>
      </c>
      <c r="N108" s="46">
        <f>DSUM($B$60:$Y$78,N$60,$C$85:$D108)</f>
        <v>2.2676077220448302E-3</v>
      </c>
      <c r="O108" s="46">
        <f>DSUM($B$60:$Y$78,O$60,$C$85:$D108)</f>
        <v>2.1063445561124803E-3</v>
      </c>
      <c r="P108" s="46">
        <f>DSUM($B$60:$Y$78,P$60,$C$85:$D108)</f>
        <v>1.8616516306257905E-3</v>
      </c>
      <c r="Q108" s="46">
        <f>DSUM($B$60:$Y$78,Q$60,$C$85:$D108)</f>
        <v>1.5396022347197217E-3</v>
      </c>
      <c r="R108" s="46">
        <f>DSUM($B$60:$Y$78,R$60,$C$85:$D108)</f>
        <v>1.122724994681793E-3</v>
      </c>
      <c r="S108" s="46">
        <f>DSUM($B$60:$Y$78,S$60,$C$85:$D108)</f>
        <v>9.2245398029299278E-4</v>
      </c>
      <c r="T108" s="46">
        <f>DSUM($B$60:$Y$78,T$60,$C$85:$D108)</f>
        <v>6.763451020859061E-4</v>
      </c>
      <c r="U108" s="46">
        <f>DSUM($B$60:$Y$78,U$60,$C$85:$D108)</f>
        <v>5.1966475639734697E-4</v>
      </c>
      <c r="V108" s="46">
        <f>DSUM($B$60:$Y$78,V$60,$C$85:$D108)</f>
        <v>3.8445126117253413E-4</v>
      </c>
      <c r="W108" s="46">
        <f>DSUM($B$60:$Y$78,W$60,$C$85:$D108)</f>
        <v>2.8562501369850486E-4</v>
      </c>
      <c r="X108" s="46">
        <f>DSUM($B$60:$Y$78,X$60,$C$85:$D108)</f>
        <v>2.2207938523300264E-4</v>
      </c>
      <c r="Y108" s="46">
        <f>DSUM($B$60:$Y$78,Y$60,$C$85:$D108)</f>
        <v>0</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0" t="s">
        <v>337</v>
      </c>
      <c r="C109" s="115" t="s">
        <v>338</v>
      </c>
      <c r="D109" s="115" t="s">
        <v>339</v>
      </c>
      <c r="E109" s="46">
        <f>DSUM($B$60:$Y$78,E$60,$C$85:$D109)</f>
        <v>2.3805968076749923E-2</v>
      </c>
      <c r="F109" s="46">
        <f>DSUM($B$60:$Y$78,F$60,$C$85:$D109)</f>
        <v>1.4203941374202165E-2</v>
      </c>
      <c r="G109" s="46">
        <f>DSUM($B$60:$Y$78,G$60,$C$85:$D109)</f>
        <v>9.0487409954657788E-3</v>
      </c>
      <c r="H109" s="46">
        <f>DSUM($B$60:$Y$78,H$60,$C$85:$D109)</f>
        <v>6.6197484454254846E-3</v>
      </c>
      <c r="I109" s="46">
        <f>DSUM($B$60:$Y$78,I$60,$C$85:$D109)</f>
        <v>4.6243392693692794E-3</v>
      </c>
      <c r="J109" s="46">
        <f>DSUM($B$60:$Y$78,J$60,$C$85:$D109)</f>
        <v>4.0252769185420475E-3</v>
      </c>
      <c r="K109" s="46">
        <f>DSUM($B$60:$Y$78,K$60,$C$85:$D109)</f>
        <v>3.4652049148834645E-3</v>
      </c>
      <c r="L109" s="46">
        <f>DSUM($B$60:$Y$78,L$60,$C$85:$D109)</f>
        <v>2.9812721323860731E-3</v>
      </c>
      <c r="M109" s="46">
        <f>DSUM($B$60:$Y$78,M$60,$C$85:$D109)</f>
        <v>2.6685152943129358E-3</v>
      </c>
      <c r="N109" s="46">
        <f>DSUM($B$60:$Y$78,N$60,$C$85:$D109)</f>
        <v>2.2676077220448302E-3</v>
      </c>
      <c r="O109" s="46">
        <f>DSUM($B$60:$Y$78,O$60,$C$85:$D109)</f>
        <v>2.1063445561124803E-3</v>
      </c>
      <c r="P109" s="46">
        <f>DSUM($B$60:$Y$78,P$60,$C$85:$D109)</f>
        <v>1.8616516306257905E-3</v>
      </c>
      <c r="Q109" s="46">
        <f>DSUM($B$60:$Y$78,Q$60,$C$85:$D109)</f>
        <v>1.5396022347197217E-3</v>
      </c>
      <c r="R109" s="46">
        <f>DSUM($B$60:$Y$78,R$60,$C$85:$D109)</f>
        <v>1.122724994681793E-3</v>
      </c>
      <c r="S109" s="46">
        <f>DSUM($B$60:$Y$78,S$60,$C$85:$D109)</f>
        <v>9.2245398029299278E-4</v>
      </c>
      <c r="T109" s="46">
        <f>DSUM($B$60:$Y$78,T$60,$C$85:$D109)</f>
        <v>6.763451020859061E-4</v>
      </c>
      <c r="U109" s="46">
        <f>DSUM($B$60:$Y$78,U$60,$C$85:$D109)</f>
        <v>5.1966475639734697E-4</v>
      </c>
      <c r="V109" s="46">
        <f>DSUM($B$60:$Y$78,V$60,$C$85:$D109)</f>
        <v>3.8445126117253413E-4</v>
      </c>
      <c r="W109" s="46">
        <f>DSUM($B$60:$Y$78,W$60,$C$85:$D109)</f>
        <v>2.8562501369850486E-4</v>
      </c>
      <c r="X109" s="46">
        <f>DSUM($B$60:$Y$78,X$60,$C$85:$D109)</f>
        <v>2.2207938523300264E-4</v>
      </c>
      <c r="Y109" s="46">
        <f>DSUM($B$60:$Y$78,Y$60,$C$85:$D109)</f>
        <v>0</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0" t="s">
        <v>340</v>
      </c>
      <c r="C110" s="115" t="s">
        <v>341</v>
      </c>
      <c r="D110" s="115" t="s">
        <v>342</v>
      </c>
      <c r="E110" s="46">
        <f>DSUM($B$60:$Y$78,E$60,$C$85:$D110)</f>
        <v>2.3805968076749923E-2</v>
      </c>
      <c r="F110" s="46">
        <f>DSUM($B$60:$Y$78,F$60,$C$85:$D110)</f>
        <v>1.4203941374202165E-2</v>
      </c>
      <c r="G110" s="46">
        <f>DSUM($B$60:$Y$78,G$60,$C$85:$D110)</f>
        <v>9.0487409954657788E-3</v>
      </c>
      <c r="H110" s="46">
        <f>DSUM($B$60:$Y$78,H$60,$C$85:$D110)</f>
        <v>6.6197484454254846E-3</v>
      </c>
      <c r="I110" s="46">
        <f>DSUM($B$60:$Y$78,I$60,$C$85:$D110)</f>
        <v>4.6243392693692794E-3</v>
      </c>
      <c r="J110" s="46">
        <f>DSUM($B$60:$Y$78,J$60,$C$85:$D110)</f>
        <v>4.0252769185420475E-3</v>
      </c>
      <c r="K110" s="46">
        <f>DSUM($B$60:$Y$78,K$60,$C$85:$D110)</f>
        <v>3.4652049148834645E-3</v>
      </c>
      <c r="L110" s="46">
        <f>DSUM($B$60:$Y$78,L$60,$C$85:$D110)</f>
        <v>2.9812721323860731E-3</v>
      </c>
      <c r="M110" s="46">
        <f>DSUM($B$60:$Y$78,M$60,$C$85:$D110)</f>
        <v>2.6685152943129358E-3</v>
      </c>
      <c r="N110" s="46">
        <f>DSUM($B$60:$Y$78,N$60,$C$85:$D110)</f>
        <v>2.2676077220448302E-3</v>
      </c>
      <c r="O110" s="46">
        <f>DSUM($B$60:$Y$78,O$60,$C$85:$D110)</f>
        <v>2.1063445561124803E-3</v>
      </c>
      <c r="P110" s="46">
        <f>DSUM($B$60:$Y$78,P$60,$C$85:$D110)</f>
        <v>1.8616516306257905E-3</v>
      </c>
      <c r="Q110" s="46">
        <f>DSUM($B$60:$Y$78,Q$60,$C$85:$D110)</f>
        <v>1.5396022347197217E-3</v>
      </c>
      <c r="R110" s="46">
        <f>DSUM($B$60:$Y$78,R$60,$C$85:$D110)</f>
        <v>1.122724994681793E-3</v>
      </c>
      <c r="S110" s="46">
        <f>DSUM($B$60:$Y$78,S$60,$C$85:$D110)</f>
        <v>9.2245398029299278E-4</v>
      </c>
      <c r="T110" s="46">
        <f>DSUM($B$60:$Y$78,T$60,$C$85:$D110)</f>
        <v>6.763451020859061E-4</v>
      </c>
      <c r="U110" s="46">
        <f>DSUM($B$60:$Y$78,U$60,$C$85:$D110)</f>
        <v>5.1966475639734697E-4</v>
      </c>
      <c r="V110" s="46">
        <f>DSUM($B$60:$Y$78,V$60,$C$85:$D110)</f>
        <v>3.8445126117253413E-4</v>
      </c>
      <c r="W110" s="46">
        <f>DSUM($B$60:$Y$78,W$60,$C$85:$D110)</f>
        <v>2.8562501369850486E-4</v>
      </c>
      <c r="X110" s="46">
        <f>DSUM($B$60:$Y$78,X$60,$C$85:$D110)</f>
        <v>2.2207938523300264E-4</v>
      </c>
      <c r="Y110" s="46">
        <f>DSUM($B$60:$Y$78,Y$60,$C$85:$D110)</f>
        <v>0</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0" t="s">
        <v>343</v>
      </c>
      <c r="C111" s="115" t="s">
        <v>344</v>
      </c>
      <c r="D111" s="115" t="s">
        <v>345</v>
      </c>
      <c r="E111" s="46">
        <f>DSUM($B$60:$Y$78,E$60,$C$85:$D111)</f>
        <v>2.3805968076749923E-2</v>
      </c>
      <c r="F111" s="46">
        <f>DSUM($B$60:$Y$78,F$60,$C$85:$D111)</f>
        <v>1.4203941374202165E-2</v>
      </c>
      <c r="G111" s="46">
        <f>DSUM($B$60:$Y$78,G$60,$C$85:$D111)</f>
        <v>9.0487409954657788E-3</v>
      </c>
      <c r="H111" s="46">
        <f>DSUM($B$60:$Y$78,H$60,$C$85:$D111)</f>
        <v>6.6197484454254846E-3</v>
      </c>
      <c r="I111" s="46">
        <f>DSUM($B$60:$Y$78,I$60,$C$85:$D111)</f>
        <v>4.6243392693692794E-3</v>
      </c>
      <c r="J111" s="46">
        <f>DSUM($B$60:$Y$78,J$60,$C$85:$D111)</f>
        <v>4.0252769185420475E-3</v>
      </c>
      <c r="K111" s="46">
        <f>DSUM($B$60:$Y$78,K$60,$C$85:$D111)</f>
        <v>3.4652049148834645E-3</v>
      </c>
      <c r="L111" s="46">
        <f>DSUM($B$60:$Y$78,L$60,$C$85:$D111)</f>
        <v>2.9812721323860731E-3</v>
      </c>
      <c r="M111" s="46">
        <f>DSUM($B$60:$Y$78,M$60,$C$85:$D111)</f>
        <v>2.6685152943129358E-3</v>
      </c>
      <c r="N111" s="46">
        <f>DSUM($B$60:$Y$78,N$60,$C$85:$D111)</f>
        <v>2.2676077220448302E-3</v>
      </c>
      <c r="O111" s="46">
        <f>DSUM($B$60:$Y$78,O$60,$C$85:$D111)</f>
        <v>2.1063445561124803E-3</v>
      </c>
      <c r="P111" s="46">
        <f>DSUM($B$60:$Y$78,P$60,$C$85:$D111)</f>
        <v>1.8616516306257905E-3</v>
      </c>
      <c r="Q111" s="46">
        <f>DSUM($B$60:$Y$78,Q$60,$C$85:$D111)</f>
        <v>1.5396022347197217E-3</v>
      </c>
      <c r="R111" s="46">
        <f>DSUM($B$60:$Y$78,R$60,$C$85:$D111)</f>
        <v>1.122724994681793E-3</v>
      </c>
      <c r="S111" s="46">
        <f>DSUM($B$60:$Y$78,S$60,$C$85:$D111)</f>
        <v>9.2245398029299278E-4</v>
      </c>
      <c r="T111" s="46">
        <f>DSUM($B$60:$Y$78,T$60,$C$85:$D111)</f>
        <v>6.763451020859061E-4</v>
      </c>
      <c r="U111" s="46">
        <f>DSUM($B$60:$Y$78,U$60,$C$85:$D111)</f>
        <v>5.1966475639734697E-4</v>
      </c>
      <c r="V111" s="46">
        <f>DSUM($B$60:$Y$78,V$60,$C$85:$D111)</f>
        <v>3.8445126117253413E-4</v>
      </c>
      <c r="W111" s="46">
        <f>DSUM($B$60:$Y$78,W$60,$C$85:$D111)</f>
        <v>2.8562501369850486E-4</v>
      </c>
      <c r="X111" s="46">
        <f>DSUM($B$60:$Y$78,X$60,$C$85:$D111)</f>
        <v>2.2207938523300264E-4</v>
      </c>
      <c r="Y111" s="46">
        <f>DSUM($B$60:$Y$78,Y$60,$C$85:$D111)</f>
        <v>0</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0" t="s">
        <v>346</v>
      </c>
      <c r="C112" s="115" t="s">
        <v>347</v>
      </c>
      <c r="D112" s="115" t="s">
        <v>348</v>
      </c>
      <c r="E112" s="46">
        <f>DSUM($B$60:$Y$78,E$60,$C$85:$D112)</f>
        <v>2.3805968076749923E-2</v>
      </c>
      <c r="F112" s="46">
        <f>DSUM($B$60:$Y$78,F$60,$C$85:$D112)</f>
        <v>1.4203941374202165E-2</v>
      </c>
      <c r="G112" s="46">
        <f>DSUM($B$60:$Y$78,G$60,$C$85:$D112)</f>
        <v>9.0487409954657788E-3</v>
      </c>
      <c r="H112" s="46">
        <f>DSUM($B$60:$Y$78,H$60,$C$85:$D112)</f>
        <v>6.6197484454254846E-3</v>
      </c>
      <c r="I112" s="46">
        <f>DSUM($B$60:$Y$78,I$60,$C$85:$D112)</f>
        <v>4.6243392693692794E-3</v>
      </c>
      <c r="J112" s="46">
        <f>DSUM($B$60:$Y$78,J$60,$C$85:$D112)</f>
        <v>4.0252769185420475E-3</v>
      </c>
      <c r="K112" s="46">
        <f>DSUM($B$60:$Y$78,K$60,$C$85:$D112)</f>
        <v>3.4652049148834645E-3</v>
      </c>
      <c r="L112" s="46">
        <f>DSUM($B$60:$Y$78,L$60,$C$85:$D112)</f>
        <v>2.9812721323860731E-3</v>
      </c>
      <c r="M112" s="46">
        <f>DSUM($B$60:$Y$78,M$60,$C$85:$D112)</f>
        <v>2.6685152943129358E-3</v>
      </c>
      <c r="N112" s="46">
        <f>DSUM($B$60:$Y$78,N$60,$C$85:$D112)</f>
        <v>2.2676077220448302E-3</v>
      </c>
      <c r="O112" s="46">
        <f>DSUM($B$60:$Y$78,O$60,$C$85:$D112)</f>
        <v>2.1063445561124803E-3</v>
      </c>
      <c r="P112" s="46">
        <f>DSUM($B$60:$Y$78,P$60,$C$85:$D112)</f>
        <v>1.8616516306257905E-3</v>
      </c>
      <c r="Q112" s="46">
        <f>DSUM($B$60:$Y$78,Q$60,$C$85:$D112)</f>
        <v>1.5396022347197217E-3</v>
      </c>
      <c r="R112" s="46">
        <f>DSUM($B$60:$Y$78,R$60,$C$85:$D112)</f>
        <v>1.122724994681793E-3</v>
      </c>
      <c r="S112" s="46">
        <f>DSUM($B$60:$Y$78,S$60,$C$85:$D112)</f>
        <v>9.2245398029299278E-4</v>
      </c>
      <c r="T112" s="46">
        <f>DSUM($B$60:$Y$78,T$60,$C$85:$D112)</f>
        <v>6.763451020859061E-4</v>
      </c>
      <c r="U112" s="46">
        <f>DSUM($B$60:$Y$78,U$60,$C$85:$D112)</f>
        <v>5.1966475639734697E-4</v>
      </c>
      <c r="V112" s="46">
        <f>DSUM($B$60:$Y$78,V$60,$C$85:$D112)</f>
        <v>3.8445126117253413E-4</v>
      </c>
      <c r="W112" s="46">
        <f>DSUM($B$60:$Y$78,W$60,$C$85:$D112)</f>
        <v>2.8562501369850486E-4</v>
      </c>
      <c r="X112" s="46">
        <f>DSUM($B$60:$Y$78,X$60,$C$85:$D112)</f>
        <v>2.2207938523300264E-4</v>
      </c>
      <c r="Y112" s="46">
        <f>DSUM($B$60:$Y$78,Y$60,$C$85:$D112)</f>
        <v>0</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0" t="s">
        <v>349</v>
      </c>
      <c r="C113" s="115" t="s">
        <v>350</v>
      </c>
      <c r="D113" s="115" t="s">
        <v>351</v>
      </c>
      <c r="E113" s="46">
        <f>DSUM($B$60:$Y$78,E$60,$C$85:$D113)</f>
        <v>2.3805968076749923E-2</v>
      </c>
      <c r="F113" s="46">
        <f>DSUM($B$60:$Y$78,F$60,$C$85:$D113)</f>
        <v>1.4203941374202165E-2</v>
      </c>
      <c r="G113" s="46">
        <f>DSUM($B$60:$Y$78,G$60,$C$85:$D113)</f>
        <v>9.0487409954657788E-3</v>
      </c>
      <c r="H113" s="46">
        <f>DSUM($B$60:$Y$78,H$60,$C$85:$D113)</f>
        <v>6.6197484454254846E-3</v>
      </c>
      <c r="I113" s="46">
        <f>DSUM($B$60:$Y$78,I$60,$C$85:$D113)</f>
        <v>4.6243392693692794E-3</v>
      </c>
      <c r="J113" s="46">
        <f>DSUM($B$60:$Y$78,J$60,$C$85:$D113)</f>
        <v>4.0252769185420475E-3</v>
      </c>
      <c r="K113" s="46">
        <f>DSUM($B$60:$Y$78,K$60,$C$85:$D113)</f>
        <v>3.4652049148834645E-3</v>
      </c>
      <c r="L113" s="46">
        <f>DSUM($B$60:$Y$78,L$60,$C$85:$D113)</f>
        <v>2.9812721323860731E-3</v>
      </c>
      <c r="M113" s="46">
        <f>DSUM($B$60:$Y$78,M$60,$C$85:$D113)</f>
        <v>2.6685152943129358E-3</v>
      </c>
      <c r="N113" s="46">
        <f>DSUM($B$60:$Y$78,N$60,$C$85:$D113)</f>
        <v>2.2676077220448302E-3</v>
      </c>
      <c r="O113" s="46">
        <f>DSUM($B$60:$Y$78,O$60,$C$85:$D113)</f>
        <v>2.1063445561124803E-3</v>
      </c>
      <c r="P113" s="46">
        <f>DSUM($B$60:$Y$78,P$60,$C$85:$D113)</f>
        <v>1.8616516306257905E-3</v>
      </c>
      <c r="Q113" s="46">
        <f>DSUM($B$60:$Y$78,Q$60,$C$85:$D113)</f>
        <v>1.5396022347197217E-3</v>
      </c>
      <c r="R113" s="46">
        <f>DSUM($B$60:$Y$78,R$60,$C$85:$D113)</f>
        <v>1.122724994681793E-3</v>
      </c>
      <c r="S113" s="46">
        <f>DSUM($B$60:$Y$78,S$60,$C$85:$D113)</f>
        <v>9.2245398029299278E-4</v>
      </c>
      <c r="T113" s="46">
        <f>DSUM($B$60:$Y$78,T$60,$C$85:$D113)</f>
        <v>6.763451020859061E-4</v>
      </c>
      <c r="U113" s="46">
        <f>DSUM($B$60:$Y$78,U$60,$C$85:$D113)</f>
        <v>5.1966475639734697E-4</v>
      </c>
      <c r="V113" s="46">
        <f>DSUM($B$60:$Y$78,V$60,$C$85:$D113)</f>
        <v>3.8445126117253413E-4</v>
      </c>
      <c r="W113" s="46">
        <f>DSUM($B$60:$Y$78,W$60,$C$85:$D113)</f>
        <v>2.8562501369850486E-4</v>
      </c>
      <c r="X113" s="46">
        <f>DSUM($B$60:$Y$78,X$60,$C$85:$D113)</f>
        <v>2.2207938523300264E-4</v>
      </c>
      <c r="Y113" s="46">
        <f>DSUM($B$60:$Y$78,Y$60,$C$85:$D113)</f>
        <v>0</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0" t="s">
        <v>352</v>
      </c>
      <c r="C114" s="115" t="s">
        <v>353</v>
      </c>
      <c r="D114" s="115" t="s">
        <v>354</v>
      </c>
      <c r="E114" s="46">
        <f>DSUM($B$60:$Y$78,E$60,$C$85:$D114)</f>
        <v>2.3805968076749923E-2</v>
      </c>
      <c r="F114" s="46">
        <f>DSUM($B$60:$Y$78,F$60,$C$85:$D114)</f>
        <v>1.4203941374202165E-2</v>
      </c>
      <c r="G114" s="46">
        <f>DSUM($B$60:$Y$78,G$60,$C$85:$D114)</f>
        <v>9.0487409954657788E-3</v>
      </c>
      <c r="H114" s="46">
        <f>DSUM($B$60:$Y$78,H$60,$C$85:$D114)</f>
        <v>6.6197484454254846E-3</v>
      </c>
      <c r="I114" s="46">
        <f>DSUM($B$60:$Y$78,I$60,$C$85:$D114)</f>
        <v>4.6243392693692794E-3</v>
      </c>
      <c r="J114" s="46">
        <f>DSUM($B$60:$Y$78,J$60,$C$85:$D114)</f>
        <v>4.0252769185420475E-3</v>
      </c>
      <c r="K114" s="46">
        <f>DSUM($B$60:$Y$78,K$60,$C$85:$D114)</f>
        <v>3.4652049148834645E-3</v>
      </c>
      <c r="L114" s="46">
        <f>DSUM($B$60:$Y$78,L$60,$C$85:$D114)</f>
        <v>2.9812721323860731E-3</v>
      </c>
      <c r="M114" s="46">
        <f>DSUM($B$60:$Y$78,M$60,$C$85:$D114)</f>
        <v>2.6685152943129358E-3</v>
      </c>
      <c r="N114" s="46">
        <f>DSUM($B$60:$Y$78,N$60,$C$85:$D114)</f>
        <v>2.2676077220448302E-3</v>
      </c>
      <c r="O114" s="46">
        <f>DSUM($B$60:$Y$78,O$60,$C$85:$D114)</f>
        <v>2.1063445561124803E-3</v>
      </c>
      <c r="P114" s="46">
        <f>DSUM($B$60:$Y$78,P$60,$C$85:$D114)</f>
        <v>1.8616516306257905E-3</v>
      </c>
      <c r="Q114" s="46">
        <f>DSUM($B$60:$Y$78,Q$60,$C$85:$D114)</f>
        <v>1.5396022347197217E-3</v>
      </c>
      <c r="R114" s="46">
        <f>DSUM($B$60:$Y$78,R$60,$C$85:$D114)</f>
        <v>1.122724994681793E-3</v>
      </c>
      <c r="S114" s="46">
        <f>DSUM($B$60:$Y$78,S$60,$C$85:$D114)</f>
        <v>9.2245398029299278E-4</v>
      </c>
      <c r="T114" s="46">
        <f>DSUM($B$60:$Y$78,T$60,$C$85:$D114)</f>
        <v>6.763451020859061E-4</v>
      </c>
      <c r="U114" s="46">
        <f>DSUM($B$60:$Y$78,U$60,$C$85:$D114)</f>
        <v>5.1966475639734697E-4</v>
      </c>
      <c r="V114" s="46">
        <f>DSUM($B$60:$Y$78,V$60,$C$85:$D114)</f>
        <v>3.8445126117253413E-4</v>
      </c>
      <c r="W114" s="46">
        <f>DSUM($B$60:$Y$78,W$60,$C$85:$D114)</f>
        <v>2.8562501369850486E-4</v>
      </c>
      <c r="X114" s="46">
        <f>DSUM($B$60:$Y$78,X$60,$C$85:$D114)</f>
        <v>2.2207938523300264E-4</v>
      </c>
      <c r="Y114" s="46">
        <f>DSUM($B$60:$Y$78,Y$60,$C$85:$D114)</f>
        <v>0</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0" t="s">
        <v>355</v>
      </c>
      <c r="C115" s="115" t="s">
        <v>356</v>
      </c>
      <c r="D115" s="115" t="s">
        <v>357</v>
      </c>
      <c r="E115" s="46">
        <f>DSUM($B$60:$Y$78,E$60,$C$85:$D115)</f>
        <v>2.3805968076749923E-2</v>
      </c>
      <c r="F115" s="46">
        <f>DSUM($B$60:$Y$78,F$60,$C$85:$D115)</f>
        <v>1.4203941374202165E-2</v>
      </c>
      <c r="G115" s="46">
        <f>DSUM($B$60:$Y$78,G$60,$C$85:$D115)</f>
        <v>9.0487409954657788E-3</v>
      </c>
      <c r="H115" s="46">
        <f>DSUM($B$60:$Y$78,H$60,$C$85:$D115)</f>
        <v>6.6197484454254846E-3</v>
      </c>
      <c r="I115" s="46">
        <f>DSUM($B$60:$Y$78,I$60,$C$85:$D115)</f>
        <v>4.6243392693692794E-3</v>
      </c>
      <c r="J115" s="46">
        <f>DSUM($B$60:$Y$78,J$60,$C$85:$D115)</f>
        <v>4.0252769185420475E-3</v>
      </c>
      <c r="K115" s="46">
        <f>DSUM($B$60:$Y$78,K$60,$C$85:$D115)</f>
        <v>3.4652049148834645E-3</v>
      </c>
      <c r="L115" s="46">
        <f>DSUM($B$60:$Y$78,L$60,$C$85:$D115)</f>
        <v>2.9812721323860731E-3</v>
      </c>
      <c r="M115" s="46">
        <f>DSUM($B$60:$Y$78,M$60,$C$85:$D115)</f>
        <v>2.6685152943129358E-3</v>
      </c>
      <c r="N115" s="46">
        <f>DSUM($B$60:$Y$78,N$60,$C$85:$D115)</f>
        <v>2.2676077220448302E-3</v>
      </c>
      <c r="O115" s="46">
        <f>DSUM($B$60:$Y$78,O$60,$C$85:$D115)</f>
        <v>2.1063445561124803E-3</v>
      </c>
      <c r="P115" s="46">
        <f>DSUM($B$60:$Y$78,P$60,$C$85:$D115)</f>
        <v>1.8616516306257905E-3</v>
      </c>
      <c r="Q115" s="46">
        <f>DSUM($B$60:$Y$78,Q$60,$C$85:$D115)</f>
        <v>1.5396022347197217E-3</v>
      </c>
      <c r="R115" s="46">
        <f>DSUM($B$60:$Y$78,R$60,$C$85:$D115)</f>
        <v>1.122724994681793E-3</v>
      </c>
      <c r="S115" s="46">
        <f>DSUM($B$60:$Y$78,S$60,$C$85:$D115)</f>
        <v>9.2245398029299278E-4</v>
      </c>
      <c r="T115" s="46">
        <f>DSUM($B$60:$Y$78,T$60,$C$85:$D115)</f>
        <v>6.763451020859061E-4</v>
      </c>
      <c r="U115" s="46">
        <f>DSUM($B$60:$Y$78,U$60,$C$85:$D115)</f>
        <v>5.1966475639734697E-4</v>
      </c>
      <c r="V115" s="46">
        <f>DSUM($B$60:$Y$78,V$60,$C$85:$D115)</f>
        <v>3.8445126117253413E-4</v>
      </c>
      <c r="W115" s="46">
        <f>DSUM($B$60:$Y$78,W$60,$C$85:$D115)</f>
        <v>2.8562501369850486E-4</v>
      </c>
      <c r="X115" s="46">
        <f>DSUM($B$60:$Y$78,X$60,$C$85:$D115)</f>
        <v>2.2207938523300264E-4</v>
      </c>
      <c r="Y115" s="46">
        <f>DSUM($B$60:$Y$78,Y$60,$C$85:$D115)</f>
        <v>0</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0" t="s">
        <v>358</v>
      </c>
      <c r="C116" s="115" t="s">
        <v>359</v>
      </c>
      <c r="D116" s="115" t="s">
        <v>360</v>
      </c>
      <c r="E116" s="46">
        <f>DSUM($B$60:$Y$78,E$60,$C$85:$D116)</f>
        <v>2.3805968076749923E-2</v>
      </c>
      <c r="F116" s="46">
        <f>DSUM($B$60:$Y$78,F$60,$C$85:$D116)</f>
        <v>1.4203941374202165E-2</v>
      </c>
      <c r="G116" s="46">
        <f>DSUM($B$60:$Y$78,G$60,$C$85:$D116)</f>
        <v>9.0487409954657788E-3</v>
      </c>
      <c r="H116" s="46">
        <f>DSUM($B$60:$Y$78,H$60,$C$85:$D116)</f>
        <v>6.6197484454254846E-3</v>
      </c>
      <c r="I116" s="46">
        <f>DSUM($B$60:$Y$78,I$60,$C$85:$D116)</f>
        <v>4.6243392693692794E-3</v>
      </c>
      <c r="J116" s="46">
        <f>DSUM($B$60:$Y$78,J$60,$C$85:$D116)</f>
        <v>4.0252769185420475E-3</v>
      </c>
      <c r="K116" s="46">
        <f>DSUM($B$60:$Y$78,K$60,$C$85:$D116)</f>
        <v>3.4652049148834645E-3</v>
      </c>
      <c r="L116" s="46">
        <f>DSUM($B$60:$Y$78,L$60,$C$85:$D116)</f>
        <v>2.9812721323860731E-3</v>
      </c>
      <c r="M116" s="46">
        <f>DSUM($B$60:$Y$78,M$60,$C$85:$D116)</f>
        <v>2.6685152943129358E-3</v>
      </c>
      <c r="N116" s="46">
        <f>DSUM($B$60:$Y$78,N$60,$C$85:$D116)</f>
        <v>2.2676077220448302E-3</v>
      </c>
      <c r="O116" s="46">
        <f>DSUM($B$60:$Y$78,O$60,$C$85:$D116)</f>
        <v>2.1063445561124803E-3</v>
      </c>
      <c r="P116" s="46">
        <f>DSUM($B$60:$Y$78,P$60,$C$85:$D116)</f>
        <v>1.8616516306257905E-3</v>
      </c>
      <c r="Q116" s="46">
        <f>DSUM($B$60:$Y$78,Q$60,$C$85:$D116)</f>
        <v>1.5396022347197217E-3</v>
      </c>
      <c r="R116" s="46">
        <f>DSUM($B$60:$Y$78,R$60,$C$85:$D116)</f>
        <v>1.122724994681793E-3</v>
      </c>
      <c r="S116" s="46">
        <f>DSUM($B$60:$Y$78,S$60,$C$85:$D116)</f>
        <v>9.2245398029299278E-4</v>
      </c>
      <c r="T116" s="46">
        <f>DSUM($B$60:$Y$78,T$60,$C$85:$D116)</f>
        <v>6.763451020859061E-4</v>
      </c>
      <c r="U116" s="46">
        <f>DSUM($B$60:$Y$78,U$60,$C$85:$D116)</f>
        <v>5.1966475639734697E-4</v>
      </c>
      <c r="V116" s="46">
        <f>DSUM($B$60:$Y$78,V$60,$C$85:$D116)</f>
        <v>3.8445126117253413E-4</v>
      </c>
      <c r="W116" s="46">
        <f>DSUM($B$60:$Y$78,W$60,$C$85:$D116)</f>
        <v>2.8562501369850486E-4</v>
      </c>
      <c r="X116" s="46">
        <f>DSUM($B$60:$Y$78,X$60,$C$85:$D116)</f>
        <v>2.2207938523300264E-4</v>
      </c>
      <c r="Y116" s="46">
        <f>DSUM($B$60:$Y$78,Y$60,$C$85:$D116)</f>
        <v>0</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0" t="s">
        <v>361</v>
      </c>
      <c r="C117" s="115" t="s">
        <v>362</v>
      </c>
      <c r="D117" s="115" t="s">
        <v>363</v>
      </c>
      <c r="E117" s="46">
        <f>DSUM($B$60:$Y$78,E$60,$C$85:$D117)</f>
        <v>2.3805968076749923E-2</v>
      </c>
      <c r="F117" s="46">
        <f>DSUM($B$60:$Y$78,F$60,$C$85:$D117)</f>
        <v>1.4203941374202165E-2</v>
      </c>
      <c r="G117" s="46">
        <f>DSUM($B$60:$Y$78,G$60,$C$85:$D117)</f>
        <v>9.0487409954657788E-3</v>
      </c>
      <c r="H117" s="46">
        <f>DSUM($B$60:$Y$78,H$60,$C$85:$D117)</f>
        <v>6.6197484454254846E-3</v>
      </c>
      <c r="I117" s="46">
        <f>DSUM($B$60:$Y$78,I$60,$C$85:$D117)</f>
        <v>4.6243392693692794E-3</v>
      </c>
      <c r="J117" s="46">
        <f>DSUM($B$60:$Y$78,J$60,$C$85:$D117)</f>
        <v>4.0252769185420475E-3</v>
      </c>
      <c r="K117" s="46">
        <f>DSUM($B$60:$Y$78,K$60,$C$85:$D117)</f>
        <v>3.4652049148834645E-3</v>
      </c>
      <c r="L117" s="46">
        <f>DSUM($B$60:$Y$78,L$60,$C$85:$D117)</f>
        <v>2.9812721323860731E-3</v>
      </c>
      <c r="M117" s="46">
        <f>DSUM($B$60:$Y$78,M$60,$C$85:$D117)</f>
        <v>2.6685152943129358E-3</v>
      </c>
      <c r="N117" s="46">
        <f>DSUM($B$60:$Y$78,N$60,$C$85:$D117)</f>
        <v>2.2676077220448302E-3</v>
      </c>
      <c r="O117" s="46">
        <f>DSUM($B$60:$Y$78,O$60,$C$85:$D117)</f>
        <v>2.1063445561124803E-3</v>
      </c>
      <c r="P117" s="46">
        <f>DSUM($B$60:$Y$78,P$60,$C$85:$D117)</f>
        <v>1.8616516306257905E-3</v>
      </c>
      <c r="Q117" s="46">
        <f>DSUM($B$60:$Y$78,Q$60,$C$85:$D117)</f>
        <v>1.5396022347197217E-3</v>
      </c>
      <c r="R117" s="46">
        <f>DSUM($B$60:$Y$78,R$60,$C$85:$D117)</f>
        <v>1.122724994681793E-3</v>
      </c>
      <c r="S117" s="46">
        <f>DSUM($B$60:$Y$78,S$60,$C$85:$D117)</f>
        <v>9.2245398029299278E-4</v>
      </c>
      <c r="T117" s="46">
        <f>DSUM($B$60:$Y$78,T$60,$C$85:$D117)</f>
        <v>6.763451020859061E-4</v>
      </c>
      <c r="U117" s="46">
        <f>DSUM($B$60:$Y$78,U$60,$C$85:$D117)</f>
        <v>5.1966475639734697E-4</v>
      </c>
      <c r="V117" s="46">
        <f>DSUM($B$60:$Y$78,V$60,$C$85:$D117)</f>
        <v>3.8445126117253413E-4</v>
      </c>
      <c r="W117" s="46">
        <f>DSUM($B$60:$Y$78,W$60,$C$85:$D117)</f>
        <v>2.8562501369850486E-4</v>
      </c>
      <c r="X117" s="46">
        <f>DSUM($B$60:$Y$78,X$60,$C$85:$D117)</f>
        <v>2.2207938523300264E-4</v>
      </c>
      <c r="Y117" s="46">
        <f>DSUM($B$60:$Y$78,Y$60,$C$85:$D117)</f>
        <v>0</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53"/>
      <c r="D118" s="153"/>
      <c r="E118" s="46"/>
      <c r="F118" s="46"/>
      <c r="G118" s="46"/>
      <c r="H118" s="46"/>
      <c r="I118" s="46"/>
      <c r="J118" s="46"/>
      <c r="K118" s="46"/>
      <c r="L118" s="46"/>
      <c r="M118" s="46"/>
      <c r="N118" s="46"/>
      <c r="O118" s="46"/>
      <c r="P118" s="46"/>
      <c r="Q118" s="46"/>
      <c r="R118" s="46"/>
      <c r="S118" s="46"/>
      <c r="T118" s="46"/>
      <c r="U118" s="46"/>
      <c r="V118" s="46"/>
      <c r="W118" s="46"/>
      <c r="X118" s="46"/>
      <c r="Y118" s="46"/>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6">
        <f>E117</f>
        <v>2.3805968076749923E-2</v>
      </c>
      <c r="F119" s="116">
        <f t="shared" ref="F119:Y119" si="37">F117</f>
        <v>1.4203941374202165E-2</v>
      </c>
      <c r="G119" s="116">
        <f t="shared" si="37"/>
        <v>9.0487409954657788E-3</v>
      </c>
      <c r="H119" s="116">
        <f t="shared" si="37"/>
        <v>6.6197484454254846E-3</v>
      </c>
      <c r="I119" s="116">
        <f t="shared" si="37"/>
        <v>4.6243392693692794E-3</v>
      </c>
      <c r="J119" s="116">
        <f t="shared" si="37"/>
        <v>4.0252769185420475E-3</v>
      </c>
      <c r="K119" s="116">
        <f t="shared" si="37"/>
        <v>3.4652049148834645E-3</v>
      </c>
      <c r="L119" s="116">
        <f t="shared" si="37"/>
        <v>2.9812721323860731E-3</v>
      </c>
      <c r="M119" s="116">
        <f t="shared" si="37"/>
        <v>2.6685152943129358E-3</v>
      </c>
      <c r="N119" s="116">
        <f t="shared" si="37"/>
        <v>2.2676077220448302E-3</v>
      </c>
      <c r="O119" s="116">
        <f t="shared" si="37"/>
        <v>2.1063445561124803E-3</v>
      </c>
      <c r="P119" s="116">
        <f t="shared" si="37"/>
        <v>1.8616516306257905E-3</v>
      </c>
      <c r="Q119" s="116">
        <f t="shared" si="37"/>
        <v>1.5396022347197217E-3</v>
      </c>
      <c r="R119" s="116">
        <f t="shared" si="37"/>
        <v>1.122724994681793E-3</v>
      </c>
      <c r="S119" s="116">
        <f t="shared" si="37"/>
        <v>9.2245398029299278E-4</v>
      </c>
      <c r="T119" s="116">
        <f t="shared" si="37"/>
        <v>6.763451020859061E-4</v>
      </c>
      <c r="U119" s="116">
        <f t="shared" si="37"/>
        <v>5.1966475639734697E-4</v>
      </c>
      <c r="V119" s="116">
        <f t="shared" si="37"/>
        <v>3.8445126117253413E-4</v>
      </c>
      <c r="W119" s="116">
        <f t="shared" si="37"/>
        <v>2.8562501369850486E-4</v>
      </c>
      <c r="X119" s="116">
        <f t="shared" si="37"/>
        <v>2.2207938523300264E-4</v>
      </c>
      <c r="Y119" s="116">
        <f t="shared" si="37"/>
        <v>0</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0" t="s">
        <v>305</v>
      </c>
      <c r="B120" s="10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1" t="str">
        <f>C8</f>
        <v>Showerheads-Retro</v>
      </c>
      <c r="E121" s="92">
        <f>E84</f>
        <v>2016</v>
      </c>
      <c r="F121" s="92">
        <f t="shared" ref="F121:Y121" si="38">F84</f>
        <v>2017</v>
      </c>
      <c r="G121" s="92">
        <f t="shared" si="38"/>
        <v>2018</v>
      </c>
      <c r="H121" s="92">
        <f t="shared" si="38"/>
        <v>2019</v>
      </c>
      <c r="I121" s="92">
        <f t="shared" si="38"/>
        <v>2020</v>
      </c>
      <c r="J121" s="92">
        <f t="shared" si="38"/>
        <v>2021</v>
      </c>
      <c r="K121" s="92">
        <f t="shared" si="38"/>
        <v>2022</v>
      </c>
      <c r="L121" s="92">
        <f t="shared" si="38"/>
        <v>2023</v>
      </c>
      <c r="M121" s="92">
        <f t="shared" si="38"/>
        <v>2024</v>
      </c>
      <c r="N121" s="92">
        <f t="shared" si="38"/>
        <v>2025</v>
      </c>
      <c r="O121" s="92">
        <f t="shared" si="38"/>
        <v>2026</v>
      </c>
      <c r="P121" s="92">
        <f t="shared" si="38"/>
        <v>2027</v>
      </c>
      <c r="Q121" s="92">
        <f t="shared" si="38"/>
        <v>2028</v>
      </c>
      <c r="R121" s="92">
        <f t="shared" si="38"/>
        <v>2029</v>
      </c>
      <c r="S121" s="92">
        <f t="shared" si="38"/>
        <v>2030</v>
      </c>
      <c r="T121" s="92">
        <f t="shared" si="38"/>
        <v>2031</v>
      </c>
      <c r="U121" s="92">
        <f t="shared" si="38"/>
        <v>2032</v>
      </c>
      <c r="V121" s="92">
        <f t="shared" si="38"/>
        <v>2033</v>
      </c>
      <c r="W121" s="92">
        <f t="shared" si="38"/>
        <v>2034</v>
      </c>
      <c r="X121" s="92">
        <f t="shared" si="38"/>
        <v>2035</v>
      </c>
      <c r="Y121" s="92" t="str">
        <f t="shared" si="38"/>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3" t="str">
        <f>CONCATENATE("aMW_",E$11)</f>
        <v>aMW_2016</v>
      </c>
      <c r="F122" s="93" t="str">
        <f t="shared" ref="F122:Y122" si="39">CONCATENATE("aMW_",F$11)</f>
        <v>aMW_2017</v>
      </c>
      <c r="G122" s="93" t="str">
        <f t="shared" si="39"/>
        <v>aMW_2018</v>
      </c>
      <c r="H122" s="93" t="str">
        <f t="shared" si="39"/>
        <v>aMW_2019</v>
      </c>
      <c r="I122" s="93" t="str">
        <f t="shared" si="39"/>
        <v>aMW_2020</v>
      </c>
      <c r="J122" s="93" t="str">
        <f t="shared" si="39"/>
        <v>aMW_2021</v>
      </c>
      <c r="K122" s="93" t="str">
        <f t="shared" si="39"/>
        <v>aMW_2022</v>
      </c>
      <c r="L122" s="93" t="str">
        <f t="shared" si="39"/>
        <v>aMW_2023</v>
      </c>
      <c r="M122" s="93" t="str">
        <f t="shared" si="39"/>
        <v>aMW_2024</v>
      </c>
      <c r="N122" s="93" t="str">
        <f t="shared" si="39"/>
        <v>aMW_2025</v>
      </c>
      <c r="O122" s="93" t="str">
        <f t="shared" si="39"/>
        <v>aMW_2026</v>
      </c>
      <c r="P122" s="93" t="str">
        <f t="shared" si="39"/>
        <v>aMW_2027</v>
      </c>
      <c r="Q122" s="93" t="str">
        <f t="shared" si="39"/>
        <v>aMW_2028</v>
      </c>
      <c r="R122" s="93" t="str">
        <f t="shared" si="39"/>
        <v>aMW_2029</v>
      </c>
      <c r="S122" s="93" t="str">
        <f t="shared" si="39"/>
        <v>aMW_2030</v>
      </c>
      <c r="T122" s="93" t="str">
        <f t="shared" si="39"/>
        <v>aMW_2031</v>
      </c>
      <c r="U122" s="93" t="str">
        <f t="shared" si="39"/>
        <v>aMW_2032</v>
      </c>
      <c r="V122" s="93" t="str">
        <f t="shared" si="39"/>
        <v>aMW_2033</v>
      </c>
      <c r="W122" s="93" t="str">
        <f t="shared" si="39"/>
        <v>aMW_2034</v>
      </c>
      <c r="X122" s="93" t="str">
        <f t="shared" si="39"/>
        <v>aMW_2035</v>
      </c>
      <c r="Y122" s="93" t="str">
        <f t="shared" si="39"/>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0" t="s">
        <v>51</v>
      </c>
      <c r="E123" s="95">
        <f t="shared" ref="E123:Y123" si="40">E86</f>
        <v>2.3805968076749923E-2</v>
      </c>
      <c r="F123" s="95">
        <f t="shared" si="40"/>
        <v>1.4203941374202165E-2</v>
      </c>
      <c r="G123" s="95">
        <f t="shared" si="40"/>
        <v>9.0487409954657788E-3</v>
      </c>
      <c r="H123" s="95">
        <f t="shared" si="40"/>
        <v>6.6197484454254846E-3</v>
      </c>
      <c r="I123" s="95">
        <f t="shared" si="40"/>
        <v>4.6243392693692794E-3</v>
      </c>
      <c r="J123" s="95">
        <f t="shared" si="40"/>
        <v>4.0252769185420475E-3</v>
      </c>
      <c r="K123" s="95">
        <f t="shared" si="40"/>
        <v>3.4652049148834645E-3</v>
      </c>
      <c r="L123" s="95">
        <f t="shared" si="40"/>
        <v>2.9812721323860731E-3</v>
      </c>
      <c r="M123" s="95">
        <f t="shared" si="40"/>
        <v>2.6685152943129358E-3</v>
      </c>
      <c r="N123" s="95">
        <f t="shared" si="40"/>
        <v>2.2676077220448302E-3</v>
      </c>
      <c r="O123" s="95">
        <f t="shared" si="40"/>
        <v>2.1063445561124803E-3</v>
      </c>
      <c r="P123" s="95">
        <f t="shared" si="40"/>
        <v>1.8616516306257905E-3</v>
      </c>
      <c r="Q123" s="95">
        <f t="shared" si="40"/>
        <v>1.5396022347197217E-3</v>
      </c>
      <c r="R123" s="95">
        <f t="shared" si="40"/>
        <v>1.122724994681793E-3</v>
      </c>
      <c r="S123" s="95">
        <f t="shared" si="40"/>
        <v>9.2245398029299278E-4</v>
      </c>
      <c r="T123" s="95">
        <f t="shared" si="40"/>
        <v>6.763451020859061E-4</v>
      </c>
      <c r="U123" s="95">
        <f t="shared" si="40"/>
        <v>5.1966475639734697E-4</v>
      </c>
      <c r="V123" s="95">
        <f t="shared" si="40"/>
        <v>3.8445126117253413E-4</v>
      </c>
      <c r="W123" s="95">
        <f t="shared" si="40"/>
        <v>2.8562501369850486E-4</v>
      </c>
      <c r="X123" s="95">
        <f t="shared" si="40"/>
        <v>2.2207938523300264E-4</v>
      </c>
      <c r="Y123" s="95">
        <f t="shared" si="40"/>
        <v>0</v>
      </c>
      <c r="Z123" s="154"/>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0" t="s">
        <v>52</v>
      </c>
      <c r="E124" s="95">
        <f t="shared" ref="E124:Y136" si="41">E87-E86</f>
        <v>0</v>
      </c>
      <c r="F124" s="95">
        <f t="shared" si="41"/>
        <v>0</v>
      </c>
      <c r="G124" s="95">
        <f t="shared" si="41"/>
        <v>0</v>
      </c>
      <c r="H124" s="95">
        <f t="shared" si="41"/>
        <v>0</v>
      </c>
      <c r="I124" s="95">
        <f t="shared" si="41"/>
        <v>0</v>
      </c>
      <c r="J124" s="95">
        <f t="shared" si="41"/>
        <v>0</v>
      </c>
      <c r="K124" s="95">
        <f t="shared" si="41"/>
        <v>0</v>
      </c>
      <c r="L124" s="95">
        <f t="shared" si="41"/>
        <v>0</v>
      </c>
      <c r="M124" s="95">
        <f t="shared" si="41"/>
        <v>0</v>
      </c>
      <c r="N124" s="95">
        <f t="shared" si="41"/>
        <v>0</v>
      </c>
      <c r="O124" s="95">
        <f t="shared" si="41"/>
        <v>0</v>
      </c>
      <c r="P124" s="95">
        <f t="shared" si="41"/>
        <v>0</v>
      </c>
      <c r="Q124" s="95">
        <f t="shared" si="41"/>
        <v>0</v>
      </c>
      <c r="R124" s="95">
        <f t="shared" si="41"/>
        <v>0</v>
      </c>
      <c r="S124" s="95">
        <f t="shared" si="41"/>
        <v>0</v>
      </c>
      <c r="T124" s="95">
        <f t="shared" si="41"/>
        <v>0</v>
      </c>
      <c r="U124" s="95">
        <f t="shared" si="41"/>
        <v>0</v>
      </c>
      <c r="V124" s="95">
        <f t="shared" si="41"/>
        <v>0</v>
      </c>
      <c r="W124" s="95">
        <f t="shared" si="41"/>
        <v>0</v>
      </c>
      <c r="X124" s="95">
        <f t="shared" si="41"/>
        <v>0</v>
      </c>
      <c r="Y124" s="95">
        <f t="shared" si="41"/>
        <v>0</v>
      </c>
      <c r="Z124" s="15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0" t="s">
        <v>53</v>
      </c>
      <c r="E125" s="95">
        <f t="shared" si="41"/>
        <v>0</v>
      </c>
      <c r="F125" s="95">
        <f t="shared" si="41"/>
        <v>0</v>
      </c>
      <c r="G125" s="95">
        <f t="shared" si="41"/>
        <v>0</v>
      </c>
      <c r="H125" s="95">
        <f t="shared" si="41"/>
        <v>0</v>
      </c>
      <c r="I125" s="95">
        <f t="shared" si="41"/>
        <v>0</v>
      </c>
      <c r="J125" s="95">
        <f t="shared" si="41"/>
        <v>0</v>
      </c>
      <c r="K125" s="95">
        <f t="shared" si="41"/>
        <v>0</v>
      </c>
      <c r="L125" s="95">
        <f t="shared" si="41"/>
        <v>0</v>
      </c>
      <c r="M125" s="95">
        <f t="shared" si="41"/>
        <v>0</v>
      </c>
      <c r="N125" s="95">
        <f t="shared" si="41"/>
        <v>0</v>
      </c>
      <c r="O125" s="95">
        <f t="shared" si="41"/>
        <v>0</v>
      </c>
      <c r="P125" s="95">
        <f t="shared" si="41"/>
        <v>0</v>
      </c>
      <c r="Q125" s="95">
        <f t="shared" si="41"/>
        <v>0</v>
      </c>
      <c r="R125" s="95">
        <f t="shared" si="41"/>
        <v>0</v>
      </c>
      <c r="S125" s="95">
        <f t="shared" si="41"/>
        <v>0</v>
      </c>
      <c r="T125" s="95">
        <f t="shared" si="41"/>
        <v>0</v>
      </c>
      <c r="U125" s="95">
        <f t="shared" si="41"/>
        <v>0</v>
      </c>
      <c r="V125" s="95">
        <f t="shared" si="41"/>
        <v>0</v>
      </c>
      <c r="W125" s="95">
        <f t="shared" si="41"/>
        <v>0</v>
      </c>
      <c r="X125" s="95">
        <f t="shared" si="41"/>
        <v>0</v>
      </c>
      <c r="Y125" s="95">
        <f t="shared" si="41"/>
        <v>0</v>
      </c>
      <c r="Z125" s="154"/>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0" t="s">
        <v>54</v>
      </c>
      <c r="E126" s="95">
        <f t="shared" si="41"/>
        <v>0</v>
      </c>
      <c r="F126" s="95">
        <f t="shared" si="41"/>
        <v>0</v>
      </c>
      <c r="G126" s="95">
        <f t="shared" si="41"/>
        <v>0</v>
      </c>
      <c r="H126" s="95">
        <f t="shared" si="41"/>
        <v>0</v>
      </c>
      <c r="I126" s="95">
        <f t="shared" si="41"/>
        <v>0</v>
      </c>
      <c r="J126" s="95">
        <f t="shared" si="41"/>
        <v>0</v>
      </c>
      <c r="K126" s="95">
        <f t="shared" si="41"/>
        <v>0</v>
      </c>
      <c r="L126" s="95">
        <f t="shared" si="41"/>
        <v>0</v>
      </c>
      <c r="M126" s="95">
        <f t="shared" si="41"/>
        <v>0</v>
      </c>
      <c r="N126" s="95">
        <f t="shared" si="41"/>
        <v>0</v>
      </c>
      <c r="O126" s="95">
        <f t="shared" si="41"/>
        <v>0</v>
      </c>
      <c r="P126" s="95">
        <f t="shared" si="41"/>
        <v>0</v>
      </c>
      <c r="Q126" s="95">
        <f t="shared" si="41"/>
        <v>0</v>
      </c>
      <c r="R126" s="95">
        <f t="shared" si="41"/>
        <v>0</v>
      </c>
      <c r="S126" s="95">
        <f t="shared" si="41"/>
        <v>0</v>
      </c>
      <c r="T126" s="95">
        <f t="shared" si="41"/>
        <v>0</v>
      </c>
      <c r="U126" s="95">
        <f t="shared" si="41"/>
        <v>0</v>
      </c>
      <c r="V126" s="95">
        <f t="shared" si="41"/>
        <v>0</v>
      </c>
      <c r="W126" s="95">
        <f t="shared" si="41"/>
        <v>0</v>
      </c>
      <c r="X126" s="95">
        <f t="shared" si="41"/>
        <v>0</v>
      </c>
      <c r="Y126" s="95">
        <f t="shared" si="41"/>
        <v>0</v>
      </c>
      <c r="Z126" s="154"/>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0" t="s">
        <v>55</v>
      </c>
      <c r="E127" s="95">
        <f t="shared" si="41"/>
        <v>0</v>
      </c>
      <c r="F127" s="95">
        <f t="shared" si="41"/>
        <v>0</v>
      </c>
      <c r="G127" s="95">
        <f t="shared" si="41"/>
        <v>0</v>
      </c>
      <c r="H127" s="95">
        <f t="shared" si="41"/>
        <v>0</v>
      </c>
      <c r="I127" s="95">
        <f t="shared" si="41"/>
        <v>0</v>
      </c>
      <c r="J127" s="95">
        <f t="shared" si="41"/>
        <v>0</v>
      </c>
      <c r="K127" s="95">
        <f t="shared" si="41"/>
        <v>0</v>
      </c>
      <c r="L127" s="95">
        <f t="shared" si="41"/>
        <v>0</v>
      </c>
      <c r="M127" s="95">
        <f t="shared" si="41"/>
        <v>0</v>
      </c>
      <c r="N127" s="95">
        <f t="shared" si="41"/>
        <v>0</v>
      </c>
      <c r="O127" s="95">
        <f t="shared" si="41"/>
        <v>0</v>
      </c>
      <c r="P127" s="95">
        <f t="shared" si="41"/>
        <v>0</v>
      </c>
      <c r="Q127" s="95">
        <f t="shared" si="41"/>
        <v>0</v>
      </c>
      <c r="R127" s="95">
        <f t="shared" si="41"/>
        <v>0</v>
      </c>
      <c r="S127" s="95">
        <f t="shared" si="41"/>
        <v>0</v>
      </c>
      <c r="T127" s="95">
        <f t="shared" si="41"/>
        <v>0</v>
      </c>
      <c r="U127" s="95">
        <f t="shared" si="41"/>
        <v>0</v>
      </c>
      <c r="V127" s="95">
        <f t="shared" si="41"/>
        <v>0</v>
      </c>
      <c r="W127" s="95">
        <f t="shared" si="41"/>
        <v>0</v>
      </c>
      <c r="X127" s="95">
        <f t="shared" si="41"/>
        <v>0</v>
      </c>
      <c r="Y127" s="95">
        <f t="shared" si="41"/>
        <v>0</v>
      </c>
      <c r="Z127" s="154"/>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0" t="s">
        <v>56</v>
      </c>
      <c r="E128" s="95">
        <f t="shared" si="41"/>
        <v>0</v>
      </c>
      <c r="F128" s="95">
        <f t="shared" si="41"/>
        <v>0</v>
      </c>
      <c r="G128" s="95">
        <f t="shared" si="41"/>
        <v>0</v>
      </c>
      <c r="H128" s="95">
        <f t="shared" si="41"/>
        <v>0</v>
      </c>
      <c r="I128" s="95">
        <f t="shared" si="41"/>
        <v>0</v>
      </c>
      <c r="J128" s="95">
        <f t="shared" si="41"/>
        <v>0</v>
      </c>
      <c r="K128" s="95">
        <f t="shared" si="41"/>
        <v>0</v>
      </c>
      <c r="L128" s="95">
        <f t="shared" si="41"/>
        <v>0</v>
      </c>
      <c r="M128" s="95">
        <f t="shared" si="41"/>
        <v>0</v>
      </c>
      <c r="N128" s="95">
        <f t="shared" si="41"/>
        <v>0</v>
      </c>
      <c r="O128" s="95">
        <f t="shared" si="41"/>
        <v>0</v>
      </c>
      <c r="P128" s="95">
        <f t="shared" si="41"/>
        <v>0</v>
      </c>
      <c r="Q128" s="95">
        <f t="shared" si="41"/>
        <v>0</v>
      </c>
      <c r="R128" s="95">
        <f t="shared" si="41"/>
        <v>0</v>
      </c>
      <c r="S128" s="95">
        <f t="shared" si="41"/>
        <v>0</v>
      </c>
      <c r="T128" s="95">
        <f t="shared" si="41"/>
        <v>0</v>
      </c>
      <c r="U128" s="95">
        <f t="shared" si="41"/>
        <v>0</v>
      </c>
      <c r="V128" s="95">
        <f t="shared" si="41"/>
        <v>0</v>
      </c>
      <c r="W128" s="95">
        <f t="shared" si="41"/>
        <v>0</v>
      </c>
      <c r="X128" s="95">
        <f t="shared" si="41"/>
        <v>0</v>
      </c>
      <c r="Y128" s="95">
        <f t="shared" si="41"/>
        <v>0</v>
      </c>
      <c r="Z128" s="154"/>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0" t="s">
        <v>57</v>
      </c>
      <c r="E129" s="95">
        <f t="shared" si="41"/>
        <v>0</v>
      </c>
      <c r="F129" s="95">
        <f t="shared" si="41"/>
        <v>0</v>
      </c>
      <c r="G129" s="95">
        <f t="shared" si="41"/>
        <v>0</v>
      </c>
      <c r="H129" s="95">
        <f t="shared" si="41"/>
        <v>0</v>
      </c>
      <c r="I129" s="95">
        <f t="shared" si="41"/>
        <v>0</v>
      </c>
      <c r="J129" s="95">
        <f t="shared" si="41"/>
        <v>0</v>
      </c>
      <c r="K129" s="95">
        <f t="shared" si="41"/>
        <v>0</v>
      </c>
      <c r="L129" s="95">
        <f t="shared" si="41"/>
        <v>0</v>
      </c>
      <c r="M129" s="95">
        <f t="shared" si="41"/>
        <v>0</v>
      </c>
      <c r="N129" s="95">
        <f t="shared" si="41"/>
        <v>0</v>
      </c>
      <c r="O129" s="95">
        <f t="shared" si="41"/>
        <v>0</v>
      </c>
      <c r="P129" s="95">
        <f t="shared" si="41"/>
        <v>0</v>
      </c>
      <c r="Q129" s="95">
        <f t="shared" si="41"/>
        <v>0</v>
      </c>
      <c r="R129" s="95">
        <f t="shared" si="41"/>
        <v>0</v>
      </c>
      <c r="S129" s="95">
        <f t="shared" si="41"/>
        <v>0</v>
      </c>
      <c r="T129" s="95">
        <f t="shared" si="41"/>
        <v>0</v>
      </c>
      <c r="U129" s="95">
        <f t="shared" si="41"/>
        <v>0</v>
      </c>
      <c r="V129" s="95">
        <f t="shared" si="41"/>
        <v>0</v>
      </c>
      <c r="W129" s="95">
        <f t="shared" si="41"/>
        <v>0</v>
      </c>
      <c r="X129" s="95">
        <f t="shared" si="41"/>
        <v>0</v>
      </c>
      <c r="Y129" s="95">
        <f t="shared" si="41"/>
        <v>0</v>
      </c>
      <c r="Z129" s="154"/>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0" t="s">
        <v>58</v>
      </c>
      <c r="E130" s="95">
        <f t="shared" si="41"/>
        <v>0</v>
      </c>
      <c r="F130" s="95">
        <f t="shared" si="41"/>
        <v>0</v>
      </c>
      <c r="G130" s="95">
        <f t="shared" si="41"/>
        <v>0</v>
      </c>
      <c r="H130" s="95">
        <f t="shared" si="41"/>
        <v>0</v>
      </c>
      <c r="I130" s="95">
        <f t="shared" si="41"/>
        <v>0</v>
      </c>
      <c r="J130" s="95">
        <f t="shared" si="41"/>
        <v>0</v>
      </c>
      <c r="K130" s="95">
        <f t="shared" si="41"/>
        <v>0</v>
      </c>
      <c r="L130" s="95">
        <f t="shared" si="41"/>
        <v>0</v>
      </c>
      <c r="M130" s="95">
        <f t="shared" si="41"/>
        <v>0</v>
      </c>
      <c r="N130" s="95">
        <f t="shared" si="41"/>
        <v>0</v>
      </c>
      <c r="O130" s="95">
        <f t="shared" si="41"/>
        <v>0</v>
      </c>
      <c r="P130" s="95">
        <f t="shared" si="41"/>
        <v>0</v>
      </c>
      <c r="Q130" s="95">
        <f t="shared" si="41"/>
        <v>0</v>
      </c>
      <c r="R130" s="95">
        <f t="shared" si="41"/>
        <v>0</v>
      </c>
      <c r="S130" s="95">
        <f t="shared" si="41"/>
        <v>0</v>
      </c>
      <c r="T130" s="95">
        <f t="shared" si="41"/>
        <v>0</v>
      </c>
      <c r="U130" s="95">
        <f t="shared" si="41"/>
        <v>0</v>
      </c>
      <c r="V130" s="95">
        <f t="shared" si="41"/>
        <v>0</v>
      </c>
      <c r="W130" s="95">
        <f t="shared" si="41"/>
        <v>0</v>
      </c>
      <c r="X130" s="95">
        <f t="shared" si="41"/>
        <v>0</v>
      </c>
      <c r="Y130" s="95">
        <f t="shared" si="41"/>
        <v>0</v>
      </c>
      <c r="Z130" s="154"/>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0" t="s">
        <v>59</v>
      </c>
      <c r="E131" s="95">
        <f t="shared" si="41"/>
        <v>0</v>
      </c>
      <c r="F131" s="95">
        <f t="shared" si="41"/>
        <v>0</v>
      </c>
      <c r="G131" s="95">
        <f t="shared" si="41"/>
        <v>0</v>
      </c>
      <c r="H131" s="95">
        <f t="shared" si="41"/>
        <v>0</v>
      </c>
      <c r="I131" s="95">
        <f t="shared" si="41"/>
        <v>0</v>
      </c>
      <c r="J131" s="95">
        <f t="shared" si="41"/>
        <v>0</v>
      </c>
      <c r="K131" s="95">
        <f t="shared" si="41"/>
        <v>0</v>
      </c>
      <c r="L131" s="95">
        <f t="shared" si="41"/>
        <v>0</v>
      </c>
      <c r="M131" s="95">
        <f t="shared" si="41"/>
        <v>0</v>
      </c>
      <c r="N131" s="95">
        <f t="shared" si="41"/>
        <v>0</v>
      </c>
      <c r="O131" s="95">
        <f t="shared" si="41"/>
        <v>0</v>
      </c>
      <c r="P131" s="95">
        <f t="shared" si="41"/>
        <v>0</v>
      </c>
      <c r="Q131" s="95">
        <f t="shared" si="41"/>
        <v>0</v>
      </c>
      <c r="R131" s="95">
        <f t="shared" si="41"/>
        <v>0</v>
      </c>
      <c r="S131" s="95">
        <f t="shared" si="41"/>
        <v>0</v>
      </c>
      <c r="T131" s="95">
        <f t="shared" si="41"/>
        <v>0</v>
      </c>
      <c r="U131" s="95">
        <f t="shared" si="41"/>
        <v>0</v>
      </c>
      <c r="V131" s="95">
        <f t="shared" si="41"/>
        <v>0</v>
      </c>
      <c r="W131" s="95">
        <f t="shared" si="41"/>
        <v>0</v>
      </c>
      <c r="X131" s="95">
        <f t="shared" si="41"/>
        <v>0</v>
      </c>
      <c r="Y131" s="95">
        <f t="shared" si="41"/>
        <v>0</v>
      </c>
      <c r="Z131" s="154"/>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0" t="s">
        <v>60</v>
      </c>
      <c r="E132" s="95">
        <f t="shared" si="41"/>
        <v>0</v>
      </c>
      <c r="F132" s="95">
        <f t="shared" si="41"/>
        <v>0</v>
      </c>
      <c r="G132" s="95">
        <f t="shared" si="41"/>
        <v>0</v>
      </c>
      <c r="H132" s="95">
        <f t="shared" si="41"/>
        <v>0</v>
      </c>
      <c r="I132" s="95">
        <f t="shared" si="41"/>
        <v>0</v>
      </c>
      <c r="J132" s="95">
        <f t="shared" si="41"/>
        <v>0</v>
      </c>
      <c r="K132" s="95">
        <f t="shared" si="41"/>
        <v>0</v>
      </c>
      <c r="L132" s="95">
        <f t="shared" si="41"/>
        <v>0</v>
      </c>
      <c r="M132" s="95">
        <f t="shared" si="41"/>
        <v>0</v>
      </c>
      <c r="N132" s="95">
        <f t="shared" si="41"/>
        <v>0</v>
      </c>
      <c r="O132" s="95">
        <f t="shared" si="41"/>
        <v>0</v>
      </c>
      <c r="P132" s="95">
        <f t="shared" si="41"/>
        <v>0</v>
      </c>
      <c r="Q132" s="95">
        <f t="shared" si="41"/>
        <v>0</v>
      </c>
      <c r="R132" s="95">
        <f t="shared" si="41"/>
        <v>0</v>
      </c>
      <c r="S132" s="95">
        <f t="shared" si="41"/>
        <v>0</v>
      </c>
      <c r="T132" s="95">
        <f t="shared" si="41"/>
        <v>0</v>
      </c>
      <c r="U132" s="95">
        <f t="shared" si="41"/>
        <v>0</v>
      </c>
      <c r="V132" s="95">
        <f t="shared" si="41"/>
        <v>0</v>
      </c>
      <c r="W132" s="95">
        <f t="shared" si="41"/>
        <v>0</v>
      </c>
      <c r="X132" s="95">
        <f t="shared" si="41"/>
        <v>0</v>
      </c>
      <c r="Y132" s="95">
        <f t="shared" si="41"/>
        <v>0</v>
      </c>
      <c r="Z132" s="154"/>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0" t="s">
        <v>61</v>
      </c>
      <c r="E133" s="95">
        <f t="shared" si="41"/>
        <v>0</v>
      </c>
      <c r="F133" s="95">
        <f t="shared" si="41"/>
        <v>0</v>
      </c>
      <c r="G133" s="95">
        <f t="shared" si="41"/>
        <v>0</v>
      </c>
      <c r="H133" s="95">
        <f t="shared" si="41"/>
        <v>0</v>
      </c>
      <c r="I133" s="95">
        <f t="shared" si="41"/>
        <v>0</v>
      </c>
      <c r="J133" s="95">
        <f t="shared" si="41"/>
        <v>0</v>
      </c>
      <c r="K133" s="95">
        <f t="shared" si="41"/>
        <v>0</v>
      </c>
      <c r="L133" s="95">
        <f t="shared" si="41"/>
        <v>0</v>
      </c>
      <c r="M133" s="95">
        <f t="shared" si="41"/>
        <v>0</v>
      </c>
      <c r="N133" s="95">
        <f t="shared" si="41"/>
        <v>0</v>
      </c>
      <c r="O133" s="95">
        <f t="shared" si="41"/>
        <v>0</v>
      </c>
      <c r="P133" s="95">
        <f t="shared" si="41"/>
        <v>0</v>
      </c>
      <c r="Q133" s="95">
        <f t="shared" si="41"/>
        <v>0</v>
      </c>
      <c r="R133" s="95">
        <f t="shared" si="41"/>
        <v>0</v>
      </c>
      <c r="S133" s="95">
        <f t="shared" si="41"/>
        <v>0</v>
      </c>
      <c r="T133" s="95">
        <f t="shared" si="41"/>
        <v>0</v>
      </c>
      <c r="U133" s="95">
        <f t="shared" si="41"/>
        <v>0</v>
      </c>
      <c r="V133" s="95">
        <f t="shared" si="41"/>
        <v>0</v>
      </c>
      <c r="W133" s="95">
        <f t="shared" si="41"/>
        <v>0</v>
      </c>
      <c r="X133" s="95">
        <f t="shared" si="41"/>
        <v>0</v>
      </c>
      <c r="Y133" s="95">
        <f t="shared" si="41"/>
        <v>0</v>
      </c>
      <c r="Z133" s="154"/>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0" t="s">
        <v>62</v>
      </c>
      <c r="E134" s="95">
        <f t="shared" si="41"/>
        <v>0</v>
      </c>
      <c r="F134" s="95">
        <f t="shared" si="41"/>
        <v>0</v>
      </c>
      <c r="G134" s="95">
        <f t="shared" si="41"/>
        <v>0</v>
      </c>
      <c r="H134" s="95">
        <f t="shared" si="41"/>
        <v>0</v>
      </c>
      <c r="I134" s="95">
        <f t="shared" si="41"/>
        <v>0</v>
      </c>
      <c r="J134" s="95">
        <f t="shared" si="41"/>
        <v>0</v>
      </c>
      <c r="K134" s="95">
        <f t="shared" si="41"/>
        <v>0</v>
      </c>
      <c r="L134" s="95">
        <f t="shared" si="41"/>
        <v>0</v>
      </c>
      <c r="M134" s="95">
        <f t="shared" si="41"/>
        <v>0</v>
      </c>
      <c r="N134" s="95">
        <f t="shared" si="41"/>
        <v>0</v>
      </c>
      <c r="O134" s="95">
        <f t="shared" si="41"/>
        <v>0</v>
      </c>
      <c r="P134" s="95">
        <f t="shared" si="41"/>
        <v>0</v>
      </c>
      <c r="Q134" s="95">
        <f t="shared" si="41"/>
        <v>0</v>
      </c>
      <c r="R134" s="95">
        <f t="shared" si="41"/>
        <v>0</v>
      </c>
      <c r="S134" s="95">
        <f t="shared" si="41"/>
        <v>0</v>
      </c>
      <c r="T134" s="95">
        <f t="shared" si="41"/>
        <v>0</v>
      </c>
      <c r="U134" s="95">
        <f t="shared" si="41"/>
        <v>0</v>
      </c>
      <c r="V134" s="95">
        <f t="shared" si="41"/>
        <v>0</v>
      </c>
      <c r="W134" s="95">
        <f t="shared" si="41"/>
        <v>0</v>
      </c>
      <c r="X134" s="95">
        <f t="shared" si="41"/>
        <v>0</v>
      </c>
      <c r="Y134" s="95">
        <f t="shared" si="41"/>
        <v>0</v>
      </c>
      <c r="Z134" s="15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0" t="s">
        <v>63</v>
      </c>
      <c r="E135" s="95">
        <f t="shared" si="41"/>
        <v>0</v>
      </c>
      <c r="F135" s="95">
        <f t="shared" si="41"/>
        <v>0</v>
      </c>
      <c r="G135" s="95">
        <f t="shared" si="41"/>
        <v>0</v>
      </c>
      <c r="H135" s="95">
        <f t="shared" si="41"/>
        <v>0</v>
      </c>
      <c r="I135" s="95">
        <f t="shared" si="41"/>
        <v>0</v>
      </c>
      <c r="J135" s="95">
        <f t="shared" si="41"/>
        <v>0</v>
      </c>
      <c r="K135" s="95">
        <f t="shared" si="41"/>
        <v>0</v>
      </c>
      <c r="L135" s="95">
        <f t="shared" si="41"/>
        <v>0</v>
      </c>
      <c r="M135" s="95">
        <f t="shared" si="41"/>
        <v>0</v>
      </c>
      <c r="N135" s="95">
        <f t="shared" si="41"/>
        <v>0</v>
      </c>
      <c r="O135" s="95">
        <f t="shared" si="41"/>
        <v>0</v>
      </c>
      <c r="P135" s="95">
        <f t="shared" si="41"/>
        <v>0</v>
      </c>
      <c r="Q135" s="95">
        <f t="shared" si="41"/>
        <v>0</v>
      </c>
      <c r="R135" s="95">
        <f t="shared" si="41"/>
        <v>0</v>
      </c>
      <c r="S135" s="95">
        <f t="shared" si="41"/>
        <v>0</v>
      </c>
      <c r="T135" s="95">
        <f t="shared" si="41"/>
        <v>0</v>
      </c>
      <c r="U135" s="95">
        <f t="shared" si="41"/>
        <v>0</v>
      </c>
      <c r="V135" s="95">
        <f t="shared" si="41"/>
        <v>0</v>
      </c>
      <c r="W135" s="95">
        <f t="shared" si="41"/>
        <v>0</v>
      </c>
      <c r="X135" s="95">
        <f t="shared" si="41"/>
        <v>0</v>
      </c>
      <c r="Y135" s="95">
        <f t="shared" si="41"/>
        <v>0</v>
      </c>
      <c r="Z135" s="154"/>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0" t="s">
        <v>64</v>
      </c>
      <c r="E136" s="95">
        <f t="shared" si="41"/>
        <v>0</v>
      </c>
      <c r="F136" s="95">
        <f t="shared" si="41"/>
        <v>0</v>
      </c>
      <c r="G136" s="95">
        <f t="shared" si="41"/>
        <v>0</v>
      </c>
      <c r="H136" s="95">
        <f t="shared" ref="H136:Y136" si="42">H99-H98</f>
        <v>0</v>
      </c>
      <c r="I136" s="95">
        <f t="shared" si="42"/>
        <v>0</v>
      </c>
      <c r="J136" s="95">
        <f t="shared" si="42"/>
        <v>0</v>
      </c>
      <c r="K136" s="95">
        <f t="shared" si="42"/>
        <v>0</v>
      </c>
      <c r="L136" s="95">
        <f t="shared" si="42"/>
        <v>0</v>
      </c>
      <c r="M136" s="95">
        <f t="shared" si="42"/>
        <v>0</v>
      </c>
      <c r="N136" s="95">
        <f t="shared" si="42"/>
        <v>0</v>
      </c>
      <c r="O136" s="95">
        <f t="shared" si="42"/>
        <v>0</v>
      </c>
      <c r="P136" s="95">
        <f t="shared" si="42"/>
        <v>0</v>
      </c>
      <c r="Q136" s="95">
        <f t="shared" si="42"/>
        <v>0</v>
      </c>
      <c r="R136" s="95">
        <f t="shared" si="42"/>
        <v>0</v>
      </c>
      <c r="S136" s="95">
        <f t="shared" si="42"/>
        <v>0</v>
      </c>
      <c r="T136" s="95">
        <f t="shared" si="42"/>
        <v>0</v>
      </c>
      <c r="U136" s="95">
        <f t="shared" si="42"/>
        <v>0</v>
      </c>
      <c r="V136" s="95">
        <f t="shared" si="42"/>
        <v>0</v>
      </c>
      <c r="W136" s="95">
        <f t="shared" si="42"/>
        <v>0</v>
      </c>
      <c r="X136" s="95">
        <f t="shared" si="42"/>
        <v>0</v>
      </c>
      <c r="Y136" s="95">
        <f t="shared" si="42"/>
        <v>0</v>
      </c>
      <c r="Z136" s="154"/>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0" t="s">
        <v>65</v>
      </c>
      <c r="E137" s="95">
        <f t="shared" ref="E137:Y149" si="43">E100-E99</f>
        <v>0</v>
      </c>
      <c r="F137" s="95">
        <f t="shared" si="43"/>
        <v>0</v>
      </c>
      <c r="G137" s="95">
        <f t="shared" si="43"/>
        <v>0</v>
      </c>
      <c r="H137" s="95">
        <f t="shared" si="43"/>
        <v>0</v>
      </c>
      <c r="I137" s="95">
        <f t="shared" si="43"/>
        <v>0</v>
      </c>
      <c r="J137" s="95">
        <f t="shared" si="43"/>
        <v>0</v>
      </c>
      <c r="K137" s="95">
        <f t="shared" si="43"/>
        <v>0</v>
      </c>
      <c r="L137" s="95">
        <f t="shared" si="43"/>
        <v>0</v>
      </c>
      <c r="M137" s="95">
        <f t="shared" si="43"/>
        <v>0</v>
      </c>
      <c r="N137" s="95">
        <f t="shared" si="43"/>
        <v>0</v>
      </c>
      <c r="O137" s="95">
        <f t="shared" si="43"/>
        <v>0</v>
      </c>
      <c r="P137" s="95">
        <f t="shared" si="43"/>
        <v>0</v>
      </c>
      <c r="Q137" s="95">
        <f t="shared" si="43"/>
        <v>0</v>
      </c>
      <c r="R137" s="95">
        <f t="shared" si="43"/>
        <v>0</v>
      </c>
      <c r="S137" s="95">
        <f t="shared" si="43"/>
        <v>0</v>
      </c>
      <c r="T137" s="95">
        <f t="shared" si="43"/>
        <v>0</v>
      </c>
      <c r="U137" s="95">
        <f t="shared" si="43"/>
        <v>0</v>
      </c>
      <c r="V137" s="95">
        <f t="shared" si="43"/>
        <v>0</v>
      </c>
      <c r="W137" s="95">
        <f t="shared" si="43"/>
        <v>0</v>
      </c>
      <c r="X137" s="95">
        <f t="shared" si="43"/>
        <v>0</v>
      </c>
      <c r="Y137" s="95">
        <f t="shared" si="43"/>
        <v>0</v>
      </c>
      <c r="Z137" s="154"/>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0" t="s">
        <v>66</v>
      </c>
      <c r="E138" s="95">
        <f t="shared" si="43"/>
        <v>0</v>
      </c>
      <c r="F138" s="95">
        <f t="shared" si="43"/>
        <v>0</v>
      </c>
      <c r="G138" s="95">
        <f t="shared" si="43"/>
        <v>0</v>
      </c>
      <c r="H138" s="95">
        <f t="shared" si="43"/>
        <v>0</v>
      </c>
      <c r="I138" s="95">
        <f t="shared" si="43"/>
        <v>0</v>
      </c>
      <c r="J138" s="95">
        <f t="shared" si="43"/>
        <v>0</v>
      </c>
      <c r="K138" s="95">
        <f t="shared" si="43"/>
        <v>0</v>
      </c>
      <c r="L138" s="95">
        <f t="shared" si="43"/>
        <v>0</v>
      </c>
      <c r="M138" s="95">
        <f t="shared" si="43"/>
        <v>0</v>
      </c>
      <c r="N138" s="95">
        <f t="shared" si="43"/>
        <v>0</v>
      </c>
      <c r="O138" s="95">
        <f t="shared" si="43"/>
        <v>0</v>
      </c>
      <c r="P138" s="95">
        <f t="shared" si="43"/>
        <v>0</v>
      </c>
      <c r="Q138" s="95">
        <f t="shared" si="43"/>
        <v>0</v>
      </c>
      <c r="R138" s="95">
        <f t="shared" si="43"/>
        <v>0</v>
      </c>
      <c r="S138" s="95">
        <f t="shared" si="43"/>
        <v>0</v>
      </c>
      <c r="T138" s="95">
        <f t="shared" si="43"/>
        <v>0</v>
      </c>
      <c r="U138" s="95">
        <f t="shared" si="43"/>
        <v>0</v>
      </c>
      <c r="V138" s="95">
        <f t="shared" si="43"/>
        <v>0</v>
      </c>
      <c r="W138" s="95">
        <f t="shared" si="43"/>
        <v>0</v>
      </c>
      <c r="X138" s="95">
        <f t="shared" si="43"/>
        <v>0</v>
      </c>
      <c r="Y138" s="95">
        <f t="shared" si="43"/>
        <v>0</v>
      </c>
      <c r="Z138" s="154"/>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0" t="s">
        <v>67</v>
      </c>
      <c r="E139" s="95">
        <f t="shared" si="43"/>
        <v>0</v>
      </c>
      <c r="F139" s="95">
        <f t="shared" si="43"/>
        <v>0</v>
      </c>
      <c r="G139" s="95">
        <f t="shared" si="43"/>
        <v>0</v>
      </c>
      <c r="H139" s="95">
        <f t="shared" si="43"/>
        <v>0</v>
      </c>
      <c r="I139" s="95">
        <f t="shared" si="43"/>
        <v>0</v>
      </c>
      <c r="J139" s="95">
        <f t="shared" si="43"/>
        <v>0</v>
      </c>
      <c r="K139" s="95">
        <f t="shared" si="43"/>
        <v>0</v>
      </c>
      <c r="L139" s="95">
        <f t="shared" si="43"/>
        <v>0</v>
      </c>
      <c r="M139" s="95">
        <f t="shared" si="43"/>
        <v>0</v>
      </c>
      <c r="N139" s="95">
        <f t="shared" si="43"/>
        <v>0</v>
      </c>
      <c r="O139" s="95">
        <f t="shared" si="43"/>
        <v>0</v>
      </c>
      <c r="P139" s="95">
        <f t="shared" si="43"/>
        <v>0</v>
      </c>
      <c r="Q139" s="95">
        <f t="shared" si="43"/>
        <v>0</v>
      </c>
      <c r="R139" s="95">
        <f t="shared" si="43"/>
        <v>0</v>
      </c>
      <c r="S139" s="95">
        <f t="shared" si="43"/>
        <v>0</v>
      </c>
      <c r="T139" s="95">
        <f t="shared" si="43"/>
        <v>0</v>
      </c>
      <c r="U139" s="95">
        <f t="shared" si="43"/>
        <v>0</v>
      </c>
      <c r="V139" s="95">
        <f t="shared" si="43"/>
        <v>0</v>
      </c>
      <c r="W139" s="95">
        <f t="shared" si="43"/>
        <v>0</v>
      </c>
      <c r="X139" s="95">
        <f t="shared" si="43"/>
        <v>0</v>
      </c>
      <c r="Y139" s="95">
        <f t="shared" si="43"/>
        <v>0</v>
      </c>
      <c r="Z139" s="154"/>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0" t="s">
        <v>68</v>
      </c>
      <c r="E140" s="95">
        <f t="shared" si="43"/>
        <v>0</v>
      </c>
      <c r="F140" s="95">
        <f t="shared" si="43"/>
        <v>0</v>
      </c>
      <c r="G140" s="95">
        <f t="shared" si="43"/>
        <v>0</v>
      </c>
      <c r="H140" s="95">
        <f t="shared" si="43"/>
        <v>0</v>
      </c>
      <c r="I140" s="95">
        <f t="shared" si="43"/>
        <v>0</v>
      </c>
      <c r="J140" s="95">
        <f t="shared" si="43"/>
        <v>0</v>
      </c>
      <c r="K140" s="95">
        <f t="shared" si="43"/>
        <v>0</v>
      </c>
      <c r="L140" s="95">
        <f t="shared" si="43"/>
        <v>0</v>
      </c>
      <c r="M140" s="95">
        <f t="shared" si="43"/>
        <v>0</v>
      </c>
      <c r="N140" s="95">
        <f t="shared" si="43"/>
        <v>0</v>
      </c>
      <c r="O140" s="95">
        <f t="shared" si="43"/>
        <v>0</v>
      </c>
      <c r="P140" s="95">
        <f t="shared" si="43"/>
        <v>0</v>
      </c>
      <c r="Q140" s="95">
        <f t="shared" si="43"/>
        <v>0</v>
      </c>
      <c r="R140" s="95">
        <f t="shared" si="43"/>
        <v>0</v>
      </c>
      <c r="S140" s="95">
        <f t="shared" si="43"/>
        <v>0</v>
      </c>
      <c r="T140" s="95">
        <f t="shared" si="43"/>
        <v>0</v>
      </c>
      <c r="U140" s="95">
        <f t="shared" si="43"/>
        <v>0</v>
      </c>
      <c r="V140" s="95">
        <f t="shared" si="43"/>
        <v>0</v>
      </c>
      <c r="W140" s="95">
        <f t="shared" si="43"/>
        <v>0</v>
      </c>
      <c r="X140" s="95">
        <f t="shared" si="43"/>
        <v>0</v>
      </c>
      <c r="Y140" s="95">
        <f t="shared" si="43"/>
        <v>0</v>
      </c>
      <c r="Z140" s="154"/>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0" t="s">
        <v>69</v>
      </c>
      <c r="E141" s="95">
        <f t="shared" si="43"/>
        <v>0</v>
      </c>
      <c r="F141" s="95">
        <f t="shared" si="43"/>
        <v>0</v>
      </c>
      <c r="G141" s="95">
        <f t="shared" si="43"/>
        <v>0</v>
      </c>
      <c r="H141" s="95">
        <f t="shared" si="43"/>
        <v>0</v>
      </c>
      <c r="I141" s="95">
        <f t="shared" si="43"/>
        <v>0</v>
      </c>
      <c r="J141" s="95">
        <f t="shared" si="43"/>
        <v>0</v>
      </c>
      <c r="K141" s="95">
        <f t="shared" si="43"/>
        <v>0</v>
      </c>
      <c r="L141" s="95">
        <f t="shared" si="43"/>
        <v>0</v>
      </c>
      <c r="M141" s="95">
        <f t="shared" si="43"/>
        <v>0</v>
      </c>
      <c r="N141" s="95">
        <f t="shared" si="43"/>
        <v>0</v>
      </c>
      <c r="O141" s="95">
        <f t="shared" si="43"/>
        <v>0</v>
      </c>
      <c r="P141" s="95">
        <f t="shared" si="43"/>
        <v>0</v>
      </c>
      <c r="Q141" s="95">
        <f t="shared" si="43"/>
        <v>0</v>
      </c>
      <c r="R141" s="95">
        <f t="shared" si="43"/>
        <v>0</v>
      </c>
      <c r="S141" s="95">
        <f t="shared" si="43"/>
        <v>0</v>
      </c>
      <c r="T141" s="95">
        <f t="shared" si="43"/>
        <v>0</v>
      </c>
      <c r="U141" s="95">
        <f t="shared" si="43"/>
        <v>0</v>
      </c>
      <c r="V141" s="95">
        <f t="shared" si="43"/>
        <v>0</v>
      </c>
      <c r="W141" s="95">
        <f t="shared" si="43"/>
        <v>0</v>
      </c>
      <c r="X141" s="95">
        <f t="shared" si="43"/>
        <v>0</v>
      </c>
      <c r="Y141" s="95">
        <f t="shared" si="43"/>
        <v>0</v>
      </c>
      <c r="Z141" s="154"/>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0" t="s">
        <v>70</v>
      </c>
      <c r="E142" s="95">
        <f t="shared" si="43"/>
        <v>0</v>
      </c>
      <c r="F142" s="95">
        <f t="shared" si="43"/>
        <v>0</v>
      </c>
      <c r="G142" s="95">
        <f t="shared" si="43"/>
        <v>0</v>
      </c>
      <c r="H142" s="95">
        <f t="shared" si="43"/>
        <v>0</v>
      </c>
      <c r="I142" s="95">
        <f t="shared" si="43"/>
        <v>0</v>
      </c>
      <c r="J142" s="95">
        <f t="shared" si="43"/>
        <v>0</v>
      </c>
      <c r="K142" s="95">
        <f t="shared" si="43"/>
        <v>0</v>
      </c>
      <c r="L142" s="95">
        <f t="shared" si="43"/>
        <v>0</v>
      </c>
      <c r="M142" s="95">
        <f t="shared" si="43"/>
        <v>0</v>
      </c>
      <c r="N142" s="95">
        <f t="shared" si="43"/>
        <v>0</v>
      </c>
      <c r="O142" s="95">
        <f t="shared" si="43"/>
        <v>0</v>
      </c>
      <c r="P142" s="95">
        <f t="shared" si="43"/>
        <v>0</v>
      </c>
      <c r="Q142" s="95">
        <f t="shared" si="43"/>
        <v>0</v>
      </c>
      <c r="R142" s="95">
        <f t="shared" si="43"/>
        <v>0</v>
      </c>
      <c r="S142" s="95">
        <f t="shared" si="43"/>
        <v>0</v>
      </c>
      <c r="T142" s="95">
        <f t="shared" si="43"/>
        <v>0</v>
      </c>
      <c r="U142" s="95">
        <f t="shared" si="43"/>
        <v>0</v>
      </c>
      <c r="V142" s="95">
        <f t="shared" si="43"/>
        <v>0</v>
      </c>
      <c r="W142" s="95">
        <f t="shared" si="43"/>
        <v>0</v>
      </c>
      <c r="X142" s="95">
        <f t="shared" si="43"/>
        <v>0</v>
      </c>
      <c r="Y142" s="95">
        <f t="shared" si="43"/>
        <v>0</v>
      </c>
      <c r="Z142" s="154"/>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0" t="s">
        <v>71</v>
      </c>
      <c r="E143" s="95">
        <f t="shared" si="43"/>
        <v>0</v>
      </c>
      <c r="F143" s="95">
        <f t="shared" si="43"/>
        <v>0</v>
      </c>
      <c r="G143" s="95">
        <f t="shared" si="43"/>
        <v>0</v>
      </c>
      <c r="H143" s="95">
        <f t="shared" si="43"/>
        <v>0</v>
      </c>
      <c r="I143" s="95">
        <f t="shared" si="43"/>
        <v>0</v>
      </c>
      <c r="J143" s="95">
        <f t="shared" si="43"/>
        <v>0</v>
      </c>
      <c r="K143" s="95">
        <f t="shared" si="43"/>
        <v>0</v>
      </c>
      <c r="L143" s="95">
        <f t="shared" si="43"/>
        <v>0</v>
      </c>
      <c r="M143" s="95">
        <f t="shared" si="43"/>
        <v>0</v>
      </c>
      <c r="N143" s="95">
        <f t="shared" si="43"/>
        <v>0</v>
      </c>
      <c r="O143" s="95">
        <f t="shared" si="43"/>
        <v>0</v>
      </c>
      <c r="P143" s="95">
        <f t="shared" si="43"/>
        <v>0</v>
      </c>
      <c r="Q143" s="95">
        <f t="shared" si="43"/>
        <v>0</v>
      </c>
      <c r="R143" s="95">
        <f t="shared" si="43"/>
        <v>0</v>
      </c>
      <c r="S143" s="95">
        <f t="shared" si="43"/>
        <v>0</v>
      </c>
      <c r="T143" s="95">
        <f t="shared" si="43"/>
        <v>0</v>
      </c>
      <c r="U143" s="95">
        <f t="shared" si="43"/>
        <v>0</v>
      </c>
      <c r="V143" s="95">
        <f t="shared" si="43"/>
        <v>0</v>
      </c>
      <c r="W143" s="95">
        <f t="shared" si="43"/>
        <v>0</v>
      </c>
      <c r="X143" s="95">
        <f t="shared" si="43"/>
        <v>0</v>
      </c>
      <c r="Y143" s="95">
        <f t="shared" si="43"/>
        <v>0</v>
      </c>
      <c r="Z143" s="154"/>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0" t="s">
        <v>332</v>
      </c>
      <c r="E144" s="95">
        <f t="shared" si="43"/>
        <v>0</v>
      </c>
      <c r="F144" s="95">
        <f t="shared" si="43"/>
        <v>0</v>
      </c>
      <c r="G144" s="95">
        <f t="shared" si="43"/>
        <v>0</v>
      </c>
      <c r="H144" s="95">
        <f t="shared" si="43"/>
        <v>0</v>
      </c>
      <c r="I144" s="95">
        <f t="shared" si="43"/>
        <v>0</v>
      </c>
      <c r="J144" s="95">
        <f t="shared" si="43"/>
        <v>0</v>
      </c>
      <c r="K144" s="95">
        <f t="shared" si="43"/>
        <v>0</v>
      </c>
      <c r="L144" s="95">
        <f t="shared" si="43"/>
        <v>0</v>
      </c>
      <c r="M144" s="95">
        <f t="shared" si="43"/>
        <v>0</v>
      </c>
      <c r="N144" s="95">
        <f t="shared" si="43"/>
        <v>0</v>
      </c>
      <c r="O144" s="95">
        <f t="shared" si="43"/>
        <v>0</v>
      </c>
      <c r="P144" s="95">
        <f t="shared" si="43"/>
        <v>0</v>
      </c>
      <c r="Q144" s="95">
        <f t="shared" si="43"/>
        <v>0</v>
      </c>
      <c r="R144" s="95">
        <f t="shared" si="43"/>
        <v>0</v>
      </c>
      <c r="S144" s="95">
        <f t="shared" si="43"/>
        <v>0</v>
      </c>
      <c r="T144" s="95">
        <f t="shared" si="43"/>
        <v>0</v>
      </c>
      <c r="U144" s="95">
        <f t="shared" si="43"/>
        <v>0</v>
      </c>
      <c r="V144" s="95">
        <f t="shared" si="43"/>
        <v>0</v>
      </c>
      <c r="W144" s="95">
        <f t="shared" si="43"/>
        <v>0</v>
      </c>
      <c r="X144" s="95">
        <f t="shared" si="43"/>
        <v>0</v>
      </c>
      <c r="Y144" s="95">
        <f t="shared" si="43"/>
        <v>0</v>
      </c>
      <c r="Z144" s="15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0" t="s">
        <v>334</v>
      </c>
      <c r="E145" s="95">
        <f t="shared" si="43"/>
        <v>0</v>
      </c>
      <c r="F145" s="95">
        <f t="shared" si="43"/>
        <v>0</v>
      </c>
      <c r="G145" s="95">
        <f t="shared" si="43"/>
        <v>0</v>
      </c>
      <c r="H145" s="95">
        <f t="shared" si="43"/>
        <v>0</v>
      </c>
      <c r="I145" s="95">
        <f t="shared" si="43"/>
        <v>0</v>
      </c>
      <c r="J145" s="95">
        <f t="shared" si="43"/>
        <v>0</v>
      </c>
      <c r="K145" s="95">
        <f t="shared" si="43"/>
        <v>0</v>
      </c>
      <c r="L145" s="95">
        <f t="shared" si="43"/>
        <v>0</v>
      </c>
      <c r="M145" s="95">
        <f t="shared" si="43"/>
        <v>0</v>
      </c>
      <c r="N145" s="95">
        <f t="shared" si="43"/>
        <v>0</v>
      </c>
      <c r="O145" s="95">
        <f t="shared" si="43"/>
        <v>0</v>
      </c>
      <c r="P145" s="95">
        <f t="shared" si="43"/>
        <v>0</v>
      </c>
      <c r="Q145" s="95">
        <f t="shared" si="43"/>
        <v>0</v>
      </c>
      <c r="R145" s="95">
        <f t="shared" si="43"/>
        <v>0</v>
      </c>
      <c r="S145" s="95">
        <f t="shared" si="43"/>
        <v>0</v>
      </c>
      <c r="T145" s="95">
        <f t="shared" si="43"/>
        <v>0</v>
      </c>
      <c r="U145" s="95">
        <f t="shared" si="43"/>
        <v>0</v>
      </c>
      <c r="V145" s="95">
        <f t="shared" si="43"/>
        <v>0</v>
      </c>
      <c r="W145" s="95">
        <f t="shared" si="43"/>
        <v>0</v>
      </c>
      <c r="X145" s="95">
        <f t="shared" si="43"/>
        <v>0</v>
      </c>
      <c r="Y145" s="95">
        <f t="shared" si="43"/>
        <v>0</v>
      </c>
      <c r="Z145" s="154"/>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0" t="s">
        <v>337</v>
      </c>
      <c r="E146" s="95">
        <f t="shared" si="43"/>
        <v>0</v>
      </c>
      <c r="F146" s="95">
        <f t="shared" si="43"/>
        <v>0</v>
      </c>
      <c r="G146" s="95">
        <f t="shared" si="43"/>
        <v>0</v>
      </c>
      <c r="H146" s="95">
        <f t="shared" si="43"/>
        <v>0</v>
      </c>
      <c r="I146" s="95">
        <f t="shared" si="43"/>
        <v>0</v>
      </c>
      <c r="J146" s="95">
        <f t="shared" si="43"/>
        <v>0</v>
      </c>
      <c r="K146" s="95">
        <f t="shared" si="43"/>
        <v>0</v>
      </c>
      <c r="L146" s="95">
        <f t="shared" si="43"/>
        <v>0</v>
      </c>
      <c r="M146" s="95">
        <f t="shared" si="43"/>
        <v>0</v>
      </c>
      <c r="N146" s="95">
        <f t="shared" si="43"/>
        <v>0</v>
      </c>
      <c r="O146" s="95">
        <f t="shared" si="43"/>
        <v>0</v>
      </c>
      <c r="P146" s="95">
        <f t="shared" si="43"/>
        <v>0</v>
      </c>
      <c r="Q146" s="95">
        <f t="shared" si="43"/>
        <v>0</v>
      </c>
      <c r="R146" s="95">
        <f t="shared" si="43"/>
        <v>0</v>
      </c>
      <c r="S146" s="95">
        <f t="shared" si="43"/>
        <v>0</v>
      </c>
      <c r="T146" s="95">
        <f t="shared" si="43"/>
        <v>0</v>
      </c>
      <c r="U146" s="95">
        <f t="shared" si="43"/>
        <v>0</v>
      </c>
      <c r="V146" s="95">
        <f t="shared" si="43"/>
        <v>0</v>
      </c>
      <c r="W146" s="95">
        <f t="shared" si="43"/>
        <v>0</v>
      </c>
      <c r="X146" s="95">
        <f t="shared" si="43"/>
        <v>0</v>
      </c>
      <c r="Y146" s="95">
        <f t="shared" si="43"/>
        <v>0</v>
      </c>
      <c r="Z146" s="154"/>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0" t="s">
        <v>340</v>
      </c>
      <c r="E147" s="95">
        <f t="shared" si="43"/>
        <v>0</v>
      </c>
      <c r="F147" s="95">
        <f t="shared" si="43"/>
        <v>0</v>
      </c>
      <c r="G147" s="95">
        <f t="shared" si="43"/>
        <v>0</v>
      </c>
      <c r="H147" s="95">
        <f t="shared" si="43"/>
        <v>0</v>
      </c>
      <c r="I147" s="95">
        <f t="shared" si="43"/>
        <v>0</v>
      </c>
      <c r="J147" s="95">
        <f t="shared" si="43"/>
        <v>0</v>
      </c>
      <c r="K147" s="95">
        <f t="shared" si="43"/>
        <v>0</v>
      </c>
      <c r="L147" s="95">
        <f t="shared" si="43"/>
        <v>0</v>
      </c>
      <c r="M147" s="95">
        <f t="shared" si="43"/>
        <v>0</v>
      </c>
      <c r="N147" s="95">
        <f t="shared" si="43"/>
        <v>0</v>
      </c>
      <c r="O147" s="95">
        <f t="shared" si="43"/>
        <v>0</v>
      </c>
      <c r="P147" s="95">
        <f t="shared" si="43"/>
        <v>0</v>
      </c>
      <c r="Q147" s="95">
        <f t="shared" si="43"/>
        <v>0</v>
      </c>
      <c r="R147" s="95">
        <f t="shared" si="43"/>
        <v>0</v>
      </c>
      <c r="S147" s="95">
        <f t="shared" si="43"/>
        <v>0</v>
      </c>
      <c r="T147" s="95">
        <f t="shared" si="43"/>
        <v>0</v>
      </c>
      <c r="U147" s="95">
        <f t="shared" si="43"/>
        <v>0</v>
      </c>
      <c r="V147" s="95">
        <f t="shared" si="43"/>
        <v>0</v>
      </c>
      <c r="W147" s="95">
        <f t="shared" si="43"/>
        <v>0</v>
      </c>
      <c r="X147" s="95">
        <f t="shared" si="43"/>
        <v>0</v>
      </c>
      <c r="Y147" s="95">
        <f t="shared" si="43"/>
        <v>0</v>
      </c>
      <c r="Z147" s="154"/>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0" t="s">
        <v>343</v>
      </c>
      <c r="E148" s="95">
        <f t="shared" si="43"/>
        <v>0</v>
      </c>
      <c r="F148" s="95">
        <f t="shared" si="43"/>
        <v>0</v>
      </c>
      <c r="G148" s="95">
        <f t="shared" si="43"/>
        <v>0</v>
      </c>
      <c r="H148" s="95">
        <f t="shared" si="43"/>
        <v>0</v>
      </c>
      <c r="I148" s="95">
        <f t="shared" si="43"/>
        <v>0</v>
      </c>
      <c r="J148" s="95">
        <f t="shared" si="43"/>
        <v>0</v>
      </c>
      <c r="K148" s="95">
        <f t="shared" si="43"/>
        <v>0</v>
      </c>
      <c r="L148" s="95">
        <f t="shared" si="43"/>
        <v>0</v>
      </c>
      <c r="M148" s="95">
        <f t="shared" si="43"/>
        <v>0</v>
      </c>
      <c r="N148" s="95">
        <f t="shared" si="43"/>
        <v>0</v>
      </c>
      <c r="O148" s="95">
        <f t="shared" si="43"/>
        <v>0</v>
      </c>
      <c r="P148" s="95">
        <f t="shared" si="43"/>
        <v>0</v>
      </c>
      <c r="Q148" s="95">
        <f t="shared" si="43"/>
        <v>0</v>
      </c>
      <c r="R148" s="95">
        <f t="shared" si="43"/>
        <v>0</v>
      </c>
      <c r="S148" s="95">
        <f t="shared" si="43"/>
        <v>0</v>
      </c>
      <c r="T148" s="95">
        <f t="shared" si="43"/>
        <v>0</v>
      </c>
      <c r="U148" s="95">
        <f t="shared" si="43"/>
        <v>0</v>
      </c>
      <c r="V148" s="95">
        <f t="shared" si="43"/>
        <v>0</v>
      </c>
      <c r="W148" s="95">
        <f t="shared" si="43"/>
        <v>0</v>
      </c>
      <c r="X148" s="95">
        <f t="shared" si="43"/>
        <v>0</v>
      </c>
      <c r="Y148" s="95">
        <f t="shared" si="43"/>
        <v>0</v>
      </c>
      <c r="Z148" s="154"/>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0" t="s">
        <v>346</v>
      </c>
      <c r="E149" s="95">
        <f t="shared" si="43"/>
        <v>0</v>
      </c>
      <c r="F149" s="95">
        <f t="shared" si="43"/>
        <v>0</v>
      </c>
      <c r="G149" s="95">
        <f t="shared" si="43"/>
        <v>0</v>
      </c>
      <c r="H149" s="95">
        <f t="shared" ref="H149:Y149" si="44">H112-H111</f>
        <v>0</v>
      </c>
      <c r="I149" s="95">
        <f t="shared" si="44"/>
        <v>0</v>
      </c>
      <c r="J149" s="95">
        <f t="shared" si="44"/>
        <v>0</v>
      </c>
      <c r="K149" s="95">
        <f t="shared" si="44"/>
        <v>0</v>
      </c>
      <c r="L149" s="95">
        <f t="shared" si="44"/>
        <v>0</v>
      </c>
      <c r="M149" s="95">
        <f t="shared" si="44"/>
        <v>0</v>
      </c>
      <c r="N149" s="95">
        <f t="shared" si="44"/>
        <v>0</v>
      </c>
      <c r="O149" s="95">
        <f t="shared" si="44"/>
        <v>0</v>
      </c>
      <c r="P149" s="95">
        <f t="shared" si="44"/>
        <v>0</v>
      </c>
      <c r="Q149" s="95">
        <f t="shared" si="44"/>
        <v>0</v>
      </c>
      <c r="R149" s="95">
        <f t="shared" si="44"/>
        <v>0</v>
      </c>
      <c r="S149" s="95">
        <f t="shared" si="44"/>
        <v>0</v>
      </c>
      <c r="T149" s="95">
        <f t="shared" si="44"/>
        <v>0</v>
      </c>
      <c r="U149" s="95">
        <f t="shared" si="44"/>
        <v>0</v>
      </c>
      <c r="V149" s="95">
        <f t="shared" si="44"/>
        <v>0</v>
      </c>
      <c r="W149" s="95">
        <f t="shared" si="44"/>
        <v>0</v>
      </c>
      <c r="X149" s="95">
        <f t="shared" si="44"/>
        <v>0</v>
      </c>
      <c r="Y149" s="95">
        <f t="shared" si="44"/>
        <v>0</v>
      </c>
      <c r="Z149" s="154"/>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0" t="s">
        <v>349</v>
      </c>
      <c r="E150" s="95">
        <f t="shared" ref="E150:Y154" si="45">E113-E112</f>
        <v>0</v>
      </c>
      <c r="F150" s="95">
        <f t="shared" si="45"/>
        <v>0</v>
      </c>
      <c r="G150" s="95">
        <f t="shared" si="45"/>
        <v>0</v>
      </c>
      <c r="H150" s="95">
        <f t="shared" si="45"/>
        <v>0</v>
      </c>
      <c r="I150" s="95">
        <f t="shared" si="45"/>
        <v>0</v>
      </c>
      <c r="J150" s="95">
        <f t="shared" si="45"/>
        <v>0</v>
      </c>
      <c r="K150" s="95">
        <f t="shared" si="45"/>
        <v>0</v>
      </c>
      <c r="L150" s="95">
        <f t="shared" si="45"/>
        <v>0</v>
      </c>
      <c r="M150" s="95">
        <f t="shared" si="45"/>
        <v>0</v>
      </c>
      <c r="N150" s="95">
        <f t="shared" si="45"/>
        <v>0</v>
      </c>
      <c r="O150" s="95">
        <f t="shared" si="45"/>
        <v>0</v>
      </c>
      <c r="P150" s="95">
        <f t="shared" si="45"/>
        <v>0</v>
      </c>
      <c r="Q150" s="95">
        <f t="shared" si="45"/>
        <v>0</v>
      </c>
      <c r="R150" s="95">
        <f t="shared" si="45"/>
        <v>0</v>
      </c>
      <c r="S150" s="95">
        <f t="shared" si="45"/>
        <v>0</v>
      </c>
      <c r="T150" s="95">
        <f t="shared" si="45"/>
        <v>0</v>
      </c>
      <c r="U150" s="95">
        <f t="shared" si="45"/>
        <v>0</v>
      </c>
      <c r="V150" s="95">
        <f t="shared" si="45"/>
        <v>0</v>
      </c>
      <c r="W150" s="95">
        <f t="shared" si="45"/>
        <v>0</v>
      </c>
      <c r="X150" s="95">
        <f t="shared" si="45"/>
        <v>0</v>
      </c>
      <c r="Y150" s="95">
        <f t="shared" si="45"/>
        <v>0</v>
      </c>
      <c r="Z150" s="154"/>
    </row>
    <row r="151" spans="3:79">
      <c r="C151" s="20" t="s">
        <v>352</v>
      </c>
      <c r="E151" s="95">
        <f t="shared" si="45"/>
        <v>0</v>
      </c>
      <c r="F151" s="95">
        <f t="shared" si="45"/>
        <v>0</v>
      </c>
      <c r="G151" s="95">
        <f t="shared" si="45"/>
        <v>0</v>
      </c>
      <c r="H151" s="95">
        <f t="shared" si="45"/>
        <v>0</v>
      </c>
      <c r="I151" s="95">
        <f t="shared" si="45"/>
        <v>0</v>
      </c>
      <c r="J151" s="95">
        <f t="shared" si="45"/>
        <v>0</v>
      </c>
      <c r="K151" s="95">
        <f t="shared" si="45"/>
        <v>0</v>
      </c>
      <c r="L151" s="95">
        <f t="shared" si="45"/>
        <v>0</v>
      </c>
      <c r="M151" s="95">
        <f t="shared" si="45"/>
        <v>0</v>
      </c>
      <c r="N151" s="95">
        <f t="shared" si="45"/>
        <v>0</v>
      </c>
      <c r="O151" s="95">
        <f t="shared" si="45"/>
        <v>0</v>
      </c>
      <c r="P151" s="95">
        <f t="shared" si="45"/>
        <v>0</v>
      </c>
      <c r="Q151" s="95">
        <f t="shared" si="45"/>
        <v>0</v>
      </c>
      <c r="R151" s="95">
        <f t="shared" si="45"/>
        <v>0</v>
      </c>
      <c r="S151" s="95">
        <f t="shared" si="45"/>
        <v>0</v>
      </c>
      <c r="T151" s="95">
        <f t="shared" si="45"/>
        <v>0</v>
      </c>
      <c r="U151" s="95">
        <f t="shared" si="45"/>
        <v>0</v>
      </c>
      <c r="V151" s="95">
        <f t="shared" si="45"/>
        <v>0</v>
      </c>
      <c r="W151" s="95">
        <f t="shared" si="45"/>
        <v>0</v>
      </c>
      <c r="X151" s="95">
        <f t="shared" si="45"/>
        <v>0</v>
      </c>
      <c r="Y151" s="95">
        <f t="shared" si="45"/>
        <v>0</v>
      </c>
      <c r="Z151" s="154"/>
    </row>
    <row r="152" spans="3:79">
      <c r="C152" s="20" t="s">
        <v>355</v>
      </c>
      <c r="E152" s="95">
        <f t="shared" si="45"/>
        <v>0</v>
      </c>
      <c r="F152" s="95">
        <f t="shared" si="45"/>
        <v>0</v>
      </c>
      <c r="G152" s="95">
        <f t="shared" si="45"/>
        <v>0</v>
      </c>
      <c r="H152" s="95">
        <f t="shared" si="45"/>
        <v>0</v>
      </c>
      <c r="I152" s="95">
        <f t="shared" si="45"/>
        <v>0</v>
      </c>
      <c r="J152" s="95">
        <f t="shared" si="45"/>
        <v>0</v>
      </c>
      <c r="K152" s="95">
        <f t="shared" si="45"/>
        <v>0</v>
      </c>
      <c r="L152" s="95">
        <f t="shared" si="45"/>
        <v>0</v>
      </c>
      <c r="M152" s="95">
        <f t="shared" si="45"/>
        <v>0</v>
      </c>
      <c r="N152" s="95">
        <f t="shared" si="45"/>
        <v>0</v>
      </c>
      <c r="O152" s="95">
        <f t="shared" si="45"/>
        <v>0</v>
      </c>
      <c r="P152" s="95">
        <f t="shared" si="45"/>
        <v>0</v>
      </c>
      <c r="Q152" s="95">
        <f t="shared" si="45"/>
        <v>0</v>
      </c>
      <c r="R152" s="95">
        <f t="shared" si="45"/>
        <v>0</v>
      </c>
      <c r="S152" s="95">
        <f t="shared" si="45"/>
        <v>0</v>
      </c>
      <c r="T152" s="95">
        <f t="shared" si="45"/>
        <v>0</v>
      </c>
      <c r="U152" s="95">
        <f t="shared" si="45"/>
        <v>0</v>
      </c>
      <c r="V152" s="95">
        <f t="shared" si="45"/>
        <v>0</v>
      </c>
      <c r="W152" s="95">
        <f t="shared" si="45"/>
        <v>0</v>
      </c>
      <c r="X152" s="95">
        <f t="shared" si="45"/>
        <v>0</v>
      </c>
      <c r="Y152" s="95">
        <f t="shared" si="45"/>
        <v>0</v>
      </c>
      <c r="Z152" s="154"/>
    </row>
    <row r="153" spans="3:79">
      <c r="C153" s="20" t="s">
        <v>358</v>
      </c>
      <c r="E153" s="95">
        <f t="shared" si="45"/>
        <v>0</v>
      </c>
      <c r="F153" s="95">
        <f t="shared" si="45"/>
        <v>0</v>
      </c>
      <c r="G153" s="95">
        <f t="shared" si="45"/>
        <v>0</v>
      </c>
      <c r="H153" s="95">
        <f t="shared" si="45"/>
        <v>0</v>
      </c>
      <c r="I153" s="95">
        <f t="shared" si="45"/>
        <v>0</v>
      </c>
      <c r="J153" s="95">
        <f t="shared" si="45"/>
        <v>0</v>
      </c>
      <c r="K153" s="95">
        <f t="shared" si="45"/>
        <v>0</v>
      </c>
      <c r="L153" s="95">
        <f t="shared" si="45"/>
        <v>0</v>
      </c>
      <c r="M153" s="95">
        <f t="shared" si="45"/>
        <v>0</v>
      </c>
      <c r="N153" s="95">
        <f t="shared" si="45"/>
        <v>0</v>
      </c>
      <c r="O153" s="95">
        <f t="shared" si="45"/>
        <v>0</v>
      </c>
      <c r="P153" s="95">
        <f t="shared" si="45"/>
        <v>0</v>
      </c>
      <c r="Q153" s="95">
        <f t="shared" si="45"/>
        <v>0</v>
      </c>
      <c r="R153" s="95">
        <f t="shared" si="45"/>
        <v>0</v>
      </c>
      <c r="S153" s="95">
        <f t="shared" si="45"/>
        <v>0</v>
      </c>
      <c r="T153" s="95">
        <f t="shared" si="45"/>
        <v>0</v>
      </c>
      <c r="U153" s="95">
        <f t="shared" si="45"/>
        <v>0</v>
      </c>
      <c r="V153" s="95">
        <f t="shared" si="45"/>
        <v>0</v>
      </c>
      <c r="W153" s="95">
        <f t="shared" si="45"/>
        <v>0</v>
      </c>
      <c r="X153" s="95">
        <f t="shared" si="45"/>
        <v>0</v>
      </c>
      <c r="Y153" s="95">
        <f t="shared" si="45"/>
        <v>0</v>
      </c>
      <c r="Z153" s="154"/>
    </row>
    <row r="154" spans="3:79">
      <c r="C154" s="20" t="s">
        <v>361</v>
      </c>
      <c r="E154" s="95">
        <f t="shared" si="45"/>
        <v>0</v>
      </c>
      <c r="F154" s="95">
        <f t="shared" si="45"/>
        <v>0</v>
      </c>
      <c r="G154" s="95">
        <f t="shared" si="45"/>
        <v>0</v>
      </c>
      <c r="H154" s="95">
        <f t="shared" si="45"/>
        <v>0</v>
      </c>
      <c r="I154" s="95">
        <f t="shared" si="45"/>
        <v>0</v>
      </c>
      <c r="J154" s="95">
        <f t="shared" si="45"/>
        <v>0</v>
      </c>
      <c r="K154" s="95">
        <f t="shared" si="45"/>
        <v>0</v>
      </c>
      <c r="L154" s="95">
        <f t="shared" si="45"/>
        <v>0</v>
      </c>
      <c r="M154" s="95">
        <f t="shared" si="45"/>
        <v>0</v>
      </c>
      <c r="N154" s="95">
        <f t="shared" si="45"/>
        <v>0</v>
      </c>
      <c r="O154" s="95">
        <f t="shared" si="45"/>
        <v>0</v>
      </c>
      <c r="P154" s="95">
        <f t="shared" si="45"/>
        <v>0</v>
      </c>
      <c r="Q154" s="95">
        <f t="shared" si="45"/>
        <v>0</v>
      </c>
      <c r="R154" s="95">
        <f t="shared" si="45"/>
        <v>0</v>
      </c>
      <c r="S154" s="95">
        <f t="shared" si="45"/>
        <v>0</v>
      </c>
      <c r="T154" s="95">
        <f t="shared" si="45"/>
        <v>0</v>
      </c>
      <c r="U154" s="95">
        <f t="shared" si="45"/>
        <v>0</v>
      </c>
      <c r="V154" s="95">
        <f t="shared" si="45"/>
        <v>0</v>
      </c>
      <c r="W154" s="95">
        <f t="shared" si="45"/>
        <v>0</v>
      </c>
      <c r="X154" s="95">
        <f t="shared" si="45"/>
        <v>0</v>
      </c>
      <c r="Y154" s="95">
        <f t="shared" si="45"/>
        <v>0</v>
      </c>
      <c r="Z154" s="154"/>
    </row>
    <row r="155" spans="3:79">
      <c r="E155" s="46"/>
      <c r="Z155" s="155"/>
    </row>
    <row r="156" spans="3:79" ht="15">
      <c r="C156" s="96" t="s">
        <v>73</v>
      </c>
      <c r="D156" s="97"/>
      <c r="E156" s="97">
        <f t="shared" ref="E156:X156" si="46">SUM(E123:E154)</f>
        <v>2.3805968076749923E-2</v>
      </c>
      <c r="F156" s="97">
        <f t="shared" si="46"/>
        <v>1.4203941374202165E-2</v>
      </c>
      <c r="G156" s="97">
        <f t="shared" si="46"/>
        <v>9.0487409954657788E-3</v>
      </c>
      <c r="H156" s="97">
        <f t="shared" si="46"/>
        <v>6.6197484454254846E-3</v>
      </c>
      <c r="I156" s="97">
        <f t="shared" si="46"/>
        <v>4.6243392693692794E-3</v>
      </c>
      <c r="J156" s="97">
        <f t="shared" si="46"/>
        <v>4.0252769185420475E-3</v>
      </c>
      <c r="K156" s="97">
        <f t="shared" si="46"/>
        <v>3.4652049148834645E-3</v>
      </c>
      <c r="L156" s="97">
        <f t="shared" si="46"/>
        <v>2.9812721323860731E-3</v>
      </c>
      <c r="M156" s="97">
        <f t="shared" si="46"/>
        <v>2.6685152943129358E-3</v>
      </c>
      <c r="N156" s="97">
        <f t="shared" si="46"/>
        <v>2.2676077220448302E-3</v>
      </c>
      <c r="O156" s="97">
        <f t="shared" si="46"/>
        <v>2.1063445561124803E-3</v>
      </c>
      <c r="P156" s="97">
        <f t="shared" si="46"/>
        <v>1.8616516306257905E-3</v>
      </c>
      <c r="Q156" s="97">
        <f t="shared" si="46"/>
        <v>1.5396022347197217E-3</v>
      </c>
      <c r="R156" s="97">
        <f t="shared" si="46"/>
        <v>1.122724994681793E-3</v>
      </c>
      <c r="S156" s="97">
        <f t="shared" si="46"/>
        <v>9.2245398029299278E-4</v>
      </c>
      <c r="T156" s="97">
        <f t="shared" si="46"/>
        <v>6.763451020859061E-4</v>
      </c>
      <c r="U156" s="97">
        <f t="shared" si="46"/>
        <v>5.1966475639734697E-4</v>
      </c>
      <c r="V156" s="97">
        <f t="shared" si="46"/>
        <v>3.8445126117253413E-4</v>
      </c>
      <c r="W156" s="97">
        <f t="shared" si="46"/>
        <v>2.8562501369850486E-4</v>
      </c>
      <c r="X156" s="97">
        <f t="shared" si="46"/>
        <v>2.2207938523300264E-4</v>
      </c>
      <c r="Y156" s="97"/>
      <c r="Z156" s="156"/>
    </row>
    <row r="157" spans="3:79" ht="15">
      <c r="C157" s="96" t="s">
        <v>74</v>
      </c>
      <c r="D157" s="97"/>
      <c r="E157" s="97">
        <f t="shared" ref="E157:X157" si="47">D157+E156</f>
        <v>2.3805968076749923E-2</v>
      </c>
      <c r="F157" s="97">
        <f t="shared" si="47"/>
        <v>3.800990945095209E-2</v>
      </c>
      <c r="G157" s="97">
        <f t="shared" si="47"/>
        <v>4.7058650446417868E-2</v>
      </c>
      <c r="H157" s="97">
        <f t="shared" si="47"/>
        <v>5.3678398891843351E-2</v>
      </c>
      <c r="I157" s="97">
        <f t="shared" si="47"/>
        <v>5.8302738161212633E-2</v>
      </c>
      <c r="J157" s="97">
        <f t="shared" si="47"/>
        <v>6.2328015079754683E-2</v>
      </c>
      <c r="K157" s="97">
        <f t="shared" si="47"/>
        <v>6.579321999463815E-2</v>
      </c>
      <c r="L157" s="97">
        <f t="shared" si="47"/>
        <v>6.8774492127024217E-2</v>
      </c>
      <c r="M157" s="97">
        <f t="shared" si="47"/>
        <v>7.1443007421337149E-2</v>
      </c>
      <c r="N157" s="97">
        <f t="shared" si="47"/>
        <v>7.371061514338198E-2</v>
      </c>
      <c r="O157" s="97">
        <f t="shared" si="47"/>
        <v>7.5816959699494466E-2</v>
      </c>
      <c r="P157" s="97">
        <f t="shared" si="47"/>
        <v>7.7678611330120259E-2</v>
      </c>
      <c r="Q157" s="97">
        <f t="shared" si="47"/>
        <v>7.9218213564839976E-2</v>
      </c>
      <c r="R157" s="97">
        <f t="shared" si="47"/>
        <v>8.0340938559521763E-2</v>
      </c>
      <c r="S157" s="97">
        <f t="shared" si="47"/>
        <v>8.1263392539814752E-2</v>
      </c>
      <c r="T157" s="97">
        <f t="shared" si="47"/>
        <v>8.1939737641900656E-2</v>
      </c>
      <c r="U157" s="97">
        <f t="shared" si="47"/>
        <v>8.2459402398298007E-2</v>
      </c>
      <c r="V157" s="97">
        <f t="shared" si="47"/>
        <v>8.2843853659470543E-2</v>
      </c>
      <c r="W157" s="97">
        <f t="shared" si="47"/>
        <v>8.3129478673169041E-2</v>
      </c>
      <c r="X157" s="97">
        <f t="shared" si="47"/>
        <v>8.3351558058402039E-2</v>
      </c>
      <c r="Y157" s="97">
        <f>SUM(Y123:Y154)</f>
        <v>0</v>
      </c>
      <c r="Z157" s="156"/>
    </row>
    <row r="159" spans="3:79">
      <c r="C159" s="157" t="s">
        <v>400</v>
      </c>
      <c r="D159" s="158" t="str">
        <f>D35</f>
        <v>Retro20Fast</v>
      </c>
      <c r="E159" s="44">
        <f>E35</f>
        <v>0.22119921692859512</v>
      </c>
      <c r="F159" s="44">
        <f t="shared" ref="F159:X159" si="48">F35</f>
        <v>0.15504311102289431</v>
      </c>
      <c r="G159" s="44">
        <f t="shared" si="48"/>
        <v>0.10733128557729499</v>
      </c>
      <c r="H159" s="44">
        <f t="shared" si="48"/>
        <v>8.3589689255657879E-2</v>
      </c>
      <c r="I159" s="44">
        <f t="shared" si="48"/>
        <v>7.3237179880126971E-2</v>
      </c>
      <c r="J159" s="44">
        <f t="shared" si="48"/>
        <v>6.3374636711760357E-2</v>
      </c>
      <c r="K159" s="44">
        <f t="shared" si="48"/>
        <v>5.4291838367783084E-2</v>
      </c>
      <c r="L159" s="44">
        <f t="shared" si="48"/>
        <v>4.612639225659896E-2</v>
      </c>
      <c r="M159" s="44">
        <f t="shared" si="48"/>
        <v>3.8916876277172864E-2</v>
      </c>
      <c r="N159" s="44">
        <f t="shared" si="48"/>
        <v>3.2639916313151704E-2</v>
      </c>
      <c r="O159" s="44">
        <f t="shared" si="48"/>
        <v>2.7235706125786907E-2</v>
      </c>
      <c r="P159" s="44">
        <f t="shared" si="48"/>
        <v>2.1211189258265428E-2</v>
      </c>
      <c r="Q159" s="44">
        <f t="shared" si="48"/>
        <v>1.6519290804212883E-2</v>
      </c>
      <c r="R159" s="44">
        <f t="shared" si="48"/>
        <v>1.2865236614105324E-2</v>
      </c>
      <c r="S159" s="44">
        <f t="shared" si="48"/>
        <v>1.0019456349464106E-2</v>
      </c>
      <c r="T159" s="44">
        <f t="shared" si="48"/>
        <v>7.8031604509122832E-3</v>
      </c>
      <c r="U159" s="44">
        <f t="shared" si="48"/>
        <v>6.077107469602494E-3</v>
      </c>
      <c r="V159" s="44">
        <f t="shared" si="48"/>
        <v>4.7328560561354371E-3</v>
      </c>
      <c r="W159" s="44">
        <f t="shared" si="48"/>
        <v>3.6859520026825132E-3</v>
      </c>
      <c r="X159" s="44">
        <f t="shared" si="48"/>
        <v>2.8706223060526725E-3</v>
      </c>
    </row>
    <row r="161" spans="3:24">
      <c r="C161" s="20" t="s">
        <v>1287</v>
      </c>
    </row>
    <row r="162" spans="3:24">
      <c r="E162" s="20">
        <f>E121</f>
        <v>2016</v>
      </c>
      <c r="F162" s="20">
        <f>F121</f>
        <v>2017</v>
      </c>
      <c r="G162" s="20">
        <f t="shared" ref="G162:X162" si="49">G121</f>
        <v>2018</v>
      </c>
      <c r="H162" s="20">
        <f t="shared" si="49"/>
        <v>2019</v>
      </c>
      <c r="I162" s="20">
        <f t="shared" si="49"/>
        <v>2020</v>
      </c>
      <c r="J162" s="20">
        <f t="shared" si="49"/>
        <v>2021</v>
      </c>
      <c r="K162" s="20">
        <f t="shared" si="49"/>
        <v>2022</v>
      </c>
      <c r="L162" s="20">
        <f t="shared" si="49"/>
        <v>2023</v>
      </c>
      <c r="M162" s="20">
        <f t="shared" si="49"/>
        <v>2024</v>
      </c>
      <c r="N162" s="20">
        <f t="shared" si="49"/>
        <v>2025</v>
      </c>
      <c r="O162" s="20">
        <f t="shared" si="49"/>
        <v>2026</v>
      </c>
      <c r="P162" s="20">
        <f t="shared" si="49"/>
        <v>2027</v>
      </c>
      <c r="Q162" s="20">
        <f t="shared" si="49"/>
        <v>2028</v>
      </c>
      <c r="R162" s="20">
        <f t="shared" si="49"/>
        <v>2029</v>
      </c>
      <c r="S162" s="20">
        <f t="shared" si="49"/>
        <v>2030</v>
      </c>
      <c r="T162" s="20">
        <f t="shared" si="49"/>
        <v>2031</v>
      </c>
      <c r="U162" s="20">
        <f t="shared" si="49"/>
        <v>2032</v>
      </c>
      <c r="V162" s="20">
        <f t="shared" si="49"/>
        <v>2033</v>
      </c>
      <c r="W162" s="20">
        <f t="shared" si="49"/>
        <v>2034</v>
      </c>
      <c r="X162" s="20">
        <f t="shared" si="49"/>
        <v>2035</v>
      </c>
    </row>
    <row r="163" spans="3:24">
      <c r="C163" s="20" t="s">
        <v>371</v>
      </c>
      <c r="E163" s="45">
        <f>E13</f>
        <v>7.8066550111953834</v>
      </c>
      <c r="F163" s="45">
        <f>E163+F13</f>
        <v>13.756354268509469</v>
      </c>
      <c r="G163" s="45">
        <f t="shared" ref="G163:X177" si="50">F163+G13</f>
        <v>19.647257814418307</v>
      </c>
      <c r="H163" s="45">
        <f t="shared" si="50"/>
        <v>26.538826643551548</v>
      </c>
      <c r="I163" s="45">
        <f t="shared" si="50"/>
        <v>33.179845796866381</v>
      </c>
      <c r="J163" s="45">
        <f t="shared" si="50"/>
        <v>38.618068475988572</v>
      </c>
      <c r="K163" s="45">
        <f t="shared" si="50"/>
        <v>45.541753627573179</v>
      </c>
      <c r="L163" s="45">
        <f t="shared" si="50"/>
        <v>51.582320512558937</v>
      </c>
      <c r="M163" s="45">
        <f t="shared" si="50"/>
        <v>57.444324546935398</v>
      </c>
      <c r="N163" s="45">
        <f t="shared" si="50"/>
        <v>64.049159844731719</v>
      </c>
      <c r="O163" s="45">
        <f t="shared" si="50"/>
        <v>70.657345522216701</v>
      </c>
      <c r="P163" s="45">
        <f t="shared" si="50"/>
        <v>77.884968525275738</v>
      </c>
      <c r="Q163" s="45">
        <f t="shared" si="50"/>
        <v>85.817106371643547</v>
      </c>
      <c r="R163" s="45">
        <f t="shared" si="50"/>
        <v>93.07614340524546</v>
      </c>
      <c r="S163" s="45">
        <f t="shared" si="50"/>
        <v>100.9883705439851</v>
      </c>
      <c r="T163" s="45">
        <f t="shared" si="50"/>
        <v>108.75070458208253</v>
      </c>
      <c r="U163" s="45">
        <f t="shared" si="50"/>
        <v>116.39093448441045</v>
      </c>
      <c r="V163" s="45">
        <f t="shared" si="50"/>
        <v>123.56341761440514</v>
      </c>
      <c r="W163" s="45">
        <f t="shared" si="50"/>
        <v>130.64446470997845</v>
      </c>
      <c r="X163" s="45">
        <f t="shared" si="50"/>
        <v>138.07256529501262</v>
      </c>
    </row>
    <row r="164" spans="3:24">
      <c r="C164" s="20" t="s">
        <v>373</v>
      </c>
      <c r="E164" s="45">
        <f t="shared" ref="E164:E180" si="51">E14</f>
        <v>6.3306892326899415</v>
      </c>
      <c r="F164" s="45">
        <f t="shared" ref="F164:U180" si="52">E164+F14</f>
        <v>10.955241028960252</v>
      </c>
      <c r="G164" s="45">
        <f t="shared" si="52"/>
        <v>15.650681152491359</v>
      </c>
      <c r="H164" s="45">
        <f t="shared" si="52"/>
        <v>21.206855002173423</v>
      </c>
      <c r="I164" s="45">
        <f t="shared" si="52"/>
        <v>26.497186589001753</v>
      </c>
      <c r="J164" s="45">
        <f t="shared" si="52"/>
        <v>30.592661442858216</v>
      </c>
      <c r="K164" s="45">
        <f t="shared" si="52"/>
        <v>36.209306951540469</v>
      </c>
      <c r="L164" s="45">
        <f t="shared" si="52"/>
        <v>41.102149057148424</v>
      </c>
      <c r="M164" s="45">
        <f t="shared" si="52"/>
        <v>45.751137616554722</v>
      </c>
      <c r="N164" s="45">
        <f t="shared" si="52"/>
        <v>51.111213891754559</v>
      </c>
      <c r="O164" s="45">
        <f t="shared" si="52"/>
        <v>56.456320052991622</v>
      </c>
      <c r="P164" s="45">
        <f t="shared" si="52"/>
        <v>62.173224329230521</v>
      </c>
      <c r="Q164" s="45">
        <f t="shared" si="52"/>
        <v>68.337632415205434</v>
      </c>
      <c r="R164" s="45">
        <f t="shared" si="52"/>
        <v>74.138015323460067</v>
      </c>
      <c r="S164" s="45">
        <f t="shared" si="52"/>
        <v>80.571215233859249</v>
      </c>
      <c r="T164" s="45">
        <f t="shared" si="52"/>
        <v>86.678959563797932</v>
      </c>
      <c r="U164" s="45">
        <f t="shared" si="52"/>
        <v>92.992285396252271</v>
      </c>
      <c r="V164" s="45">
        <f t="shared" si="50"/>
        <v>98.532590731463159</v>
      </c>
      <c r="W164" s="45">
        <f t="shared" si="50"/>
        <v>104.05919360720574</v>
      </c>
      <c r="X164" s="45">
        <f t="shared" si="50"/>
        <v>110.04252916065165</v>
      </c>
    </row>
    <row r="165" spans="3:24">
      <c r="C165" s="20" t="s">
        <v>374</v>
      </c>
      <c r="E165" s="45">
        <f t="shared" si="51"/>
        <v>1.6621196768024407</v>
      </c>
      <c r="F165" s="45">
        <f t="shared" si="52"/>
        <v>2.8791854191466579</v>
      </c>
      <c r="G165" s="45">
        <f t="shared" si="50"/>
        <v>4.1236187718911079</v>
      </c>
      <c r="H165" s="45">
        <f t="shared" si="50"/>
        <v>5.5822282222460107</v>
      </c>
      <c r="I165" s="45">
        <f t="shared" si="50"/>
        <v>6.9826352281015636</v>
      </c>
      <c r="J165" s="45">
        <f t="shared" si="50"/>
        <v>8.0614075261426219</v>
      </c>
      <c r="K165" s="45">
        <f t="shared" si="50"/>
        <v>9.5362051428846772</v>
      </c>
      <c r="L165" s="45">
        <f t="shared" si="50"/>
        <v>10.82584092336212</v>
      </c>
      <c r="M165" s="45">
        <f t="shared" si="50"/>
        <v>12.049770054121041</v>
      </c>
      <c r="N165" s="45">
        <f t="shared" si="50"/>
        <v>13.451014428588373</v>
      </c>
      <c r="O165" s="45">
        <f t="shared" si="50"/>
        <v>14.850146021791177</v>
      </c>
      <c r="P165" s="45">
        <f t="shared" si="50"/>
        <v>16.349770911784546</v>
      </c>
      <c r="Q165" s="45">
        <f t="shared" si="50"/>
        <v>17.969547302253474</v>
      </c>
      <c r="R165" s="45">
        <f t="shared" si="50"/>
        <v>19.488287391389683</v>
      </c>
      <c r="S165" s="45">
        <f t="shared" si="50"/>
        <v>21.177363105015147</v>
      </c>
      <c r="T165" s="45">
        <f t="shared" si="50"/>
        <v>22.774598720841126</v>
      </c>
      <c r="U165" s="45">
        <f t="shared" si="50"/>
        <v>24.415064467982234</v>
      </c>
      <c r="V165" s="45">
        <f t="shared" si="50"/>
        <v>25.871659989763405</v>
      </c>
      <c r="W165" s="45">
        <f t="shared" si="50"/>
        <v>27.324834180427715</v>
      </c>
      <c r="X165" s="45">
        <f t="shared" si="50"/>
        <v>28.889700214843518</v>
      </c>
    </row>
    <row r="166" spans="3:24">
      <c r="C166" s="98" t="s">
        <v>397</v>
      </c>
      <c r="E166" s="45">
        <f t="shared" si="51"/>
        <v>1.799418169017593</v>
      </c>
      <c r="F166" s="45">
        <f t="shared" si="52"/>
        <v>3.285173345986022</v>
      </c>
      <c r="G166" s="45">
        <f t="shared" si="50"/>
        <v>4.1831169728035658</v>
      </c>
      <c r="H166" s="45">
        <f t="shared" si="50"/>
        <v>5.095133916847093</v>
      </c>
      <c r="I166" s="45">
        <f t="shared" si="50"/>
        <v>5.9463881495224982</v>
      </c>
      <c r="J166" s="45">
        <f t="shared" si="50"/>
        <v>6.678433123798678</v>
      </c>
      <c r="K166" s="45">
        <f t="shared" si="50"/>
        <v>7.4127166148986419</v>
      </c>
      <c r="L166" s="45">
        <f t="shared" si="50"/>
        <v>8.1261283491497238</v>
      </c>
      <c r="M166" s="45">
        <f t="shared" si="50"/>
        <v>9.0206873749242007</v>
      </c>
      <c r="N166" s="45">
        <f t="shared" si="50"/>
        <v>10.052771180893107</v>
      </c>
      <c r="O166" s="45">
        <f t="shared" si="50"/>
        <v>11.149110999640694</v>
      </c>
      <c r="P166" s="45">
        <f t="shared" si="50"/>
        <v>12.766398859833233</v>
      </c>
      <c r="Q166" s="45">
        <f t="shared" si="50"/>
        <v>14.590306351987195</v>
      </c>
      <c r="R166" s="45">
        <f t="shared" si="50"/>
        <v>16.217041842888175</v>
      </c>
      <c r="S166" s="45">
        <f t="shared" si="50"/>
        <v>17.81407423677253</v>
      </c>
      <c r="T166" s="45">
        <f t="shared" si="50"/>
        <v>19.353413894911171</v>
      </c>
      <c r="U166" s="45">
        <f t="shared" si="50"/>
        <v>20.649466962620426</v>
      </c>
      <c r="V166" s="45">
        <f t="shared" si="50"/>
        <v>21.967112473447422</v>
      </c>
      <c r="W166" s="45">
        <f t="shared" si="50"/>
        <v>23.214110420920761</v>
      </c>
      <c r="X166" s="45">
        <f t="shared" si="50"/>
        <v>24.568155381680135</v>
      </c>
    </row>
    <row r="167" spans="3:24">
      <c r="C167" s="98" t="s">
        <v>391</v>
      </c>
      <c r="E167" s="45">
        <f t="shared" si="51"/>
        <v>0.71960427219664069</v>
      </c>
      <c r="F167" s="45">
        <f t="shared" si="52"/>
        <v>1.316082743192309</v>
      </c>
      <c r="G167" s="45">
        <f t="shared" si="50"/>
        <v>1.6822011236167826</v>
      </c>
      <c r="H167" s="45">
        <f t="shared" si="50"/>
        <v>2.0553779586806074</v>
      </c>
      <c r="I167" s="45">
        <f t="shared" si="50"/>
        <v>2.4004235517269414</v>
      </c>
      <c r="J167" s="45">
        <f t="shared" si="50"/>
        <v>2.6932859104384717</v>
      </c>
      <c r="K167" s="45">
        <f t="shared" si="50"/>
        <v>2.9870488534276864</v>
      </c>
      <c r="L167" s="45">
        <f t="shared" si="50"/>
        <v>3.271211936720051</v>
      </c>
      <c r="M167" s="45">
        <f t="shared" si="50"/>
        <v>3.6357666509358308</v>
      </c>
      <c r="N167" s="45">
        <f t="shared" si="50"/>
        <v>4.0622329290429295</v>
      </c>
      <c r="O167" s="45">
        <f t="shared" si="50"/>
        <v>4.5117967339303071</v>
      </c>
      <c r="P167" s="45">
        <f t="shared" si="50"/>
        <v>5.1639351322771372</v>
      </c>
      <c r="Q167" s="45">
        <f t="shared" si="50"/>
        <v>5.897473205594868</v>
      </c>
      <c r="R167" s="45">
        <f t="shared" si="50"/>
        <v>6.5530810080239821</v>
      </c>
      <c r="S167" s="45">
        <f t="shared" si="50"/>
        <v>7.1991302923875651</v>
      </c>
      <c r="T167" s="45">
        <f t="shared" si="50"/>
        <v>7.8209129068415457</v>
      </c>
      <c r="U167" s="45">
        <f t="shared" si="50"/>
        <v>8.3464614414986418</v>
      </c>
      <c r="V167" s="45">
        <f t="shared" si="50"/>
        <v>8.8791239792802958</v>
      </c>
      <c r="W167" s="45">
        <f t="shared" si="50"/>
        <v>9.3836652823641575</v>
      </c>
      <c r="X167" s="45">
        <f t="shared" si="50"/>
        <v>9.9291963984730724</v>
      </c>
    </row>
    <row r="168" spans="3:24">
      <c r="C168" s="98" t="s">
        <v>392</v>
      </c>
      <c r="E168" s="45">
        <f t="shared" si="51"/>
        <v>2.7275899469990224</v>
      </c>
      <c r="F168" s="45">
        <f t="shared" si="52"/>
        <v>4.9727702095717063</v>
      </c>
      <c r="G168" s="45">
        <f t="shared" si="50"/>
        <v>6.357425371604605</v>
      </c>
      <c r="H168" s="45">
        <f t="shared" si="50"/>
        <v>7.7717583028206958</v>
      </c>
      <c r="I168" s="45">
        <f t="shared" si="50"/>
        <v>9.0766559210670792</v>
      </c>
      <c r="J168" s="45">
        <f t="shared" si="50"/>
        <v>10.180201563771332</v>
      </c>
      <c r="K168" s="45">
        <f t="shared" si="50"/>
        <v>11.2734209022773</v>
      </c>
      <c r="L168" s="45">
        <f t="shared" si="50"/>
        <v>12.333621932678405</v>
      </c>
      <c r="M168" s="45">
        <f t="shared" si="50"/>
        <v>13.702363654485097</v>
      </c>
      <c r="N168" s="45">
        <f t="shared" si="50"/>
        <v>15.312575650255088</v>
      </c>
      <c r="O168" s="45">
        <f t="shared" si="50"/>
        <v>17.014023329556316</v>
      </c>
      <c r="P168" s="45">
        <f t="shared" si="50"/>
        <v>19.461568173832976</v>
      </c>
      <c r="Q168" s="45">
        <f t="shared" si="50"/>
        <v>22.225826584329141</v>
      </c>
      <c r="R168" s="45">
        <f t="shared" si="50"/>
        <v>24.69033582291339</v>
      </c>
      <c r="S168" s="45">
        <f t="shared" si="50"/>
        <v>27.125547497472024</v>
      </c>
      <c r="T168" s="45">
        <f t="shared" si="50"/>
        <v>29.469214099917604</v>
      </c>
      <c r="U168" s="45">
        <f t="shared" si="50"/>
        <v>31.466313242057563</v>
      </c>
      <c r="V168" s="45">
        <f t="shared" si="50"/>
        <v>33.488398335304367</v>
      </c>
      <c r="W168" s="45">
        <f t="shared" si="50"/>
        <v>35.395861593578992</v>
      </c>
      <c r="X168" s="45">
        <f t="shared" si="50"/>
        <v>37.459246245653958</v>
      </c>
    </row>
    <row r="169" spans="3:24">
      <c r="C169" s="98" t="s">
        <v>393</v>
      </c>
      <c r="E169" s="45">
        <f t="shared" si="51"/>
        <v>0.86249938561661099</v>
      </c>
      <c r="F169" s="45">
        <f t="shared" si="52"/>
        <v>1.5749374995519492</v>
      </c>
      <c r="G169" s="45">
        <f t="shared" si="50"/>
        <v>2.0148188500589885</v>
      </c>
      <c r="H169" s="45">
        <f t="shared" si="50"/>
        <v>2.4636153325798098</v>
      </c>
      <c r="I169" s="45">
        <f t="shared" si="50"/>
        <v>2.8773570705993343</v>
      </c>
      <c r="J169" s="45">
        <f t="shared" si="50"/>
        <v>3.2203732707415833</v>
      </c>
      <c r="K169" s="45">
        <f t="shared" si="50"/>
        <v>3.5598398433581506</v>
      </c>
      <c r="L169" s="45">
        <f t="shared" si="50"/>
        <v>3.889497393144882</v>
      </c>
      <c r="M169" s="45">
        <f t="shared" si="50"/>
        <v>4.326389722180437</v>
      </c>
      <c r="N169" s="45">
        <f t="shared" si="50"/>
        <v>4.8452592994074788</v>
      </c>
      <c r="O169" s="45">
        <f t="shared" si="50"/>
        <v>5.3934324327566596</v>
      </c>
      <c r="P169" s="45">
        <f t="shared" si="50"/>
        <v>6.1731277539304363</v>
      </c>
      <c r="Q169" s="45">
        <f t="shared" si="50"/>
        <v>7.0517141977499493</v>
      </c>
      <c r="R169" s="45">
        <f t="shared" si="50"/>
        <v>7.8359149447310434</v>
      </c>
      <c r="S169" s="45">
        <f t="shared" si="50"/>
        <v>8.6132033606545839</v>
      </c>
      <c r="T169" s="45">
        <f t="shared" si="50"/>
        <v>9.3620701031799243</v>
      </c>
      <c r="U169" s="45">
        <f t="shared" si="50"/>
        <v>10.001711902693192</v>
      </c>
      <c r="V169" s="45">
        <f t="shared" si="50"/>
        <v>10.648859305883684</v>
      </c>
      <c r="W169" s="45">
        <f t="shared" si="50"/>
        <v>11.260523196270562</v>
      </c>
      <c r="X169" s="45">
        <f t="shared" si="50"/>
        <v>11.92294763220845</v>
      </c>
    </row>
    <row r="170" spans="3:24">
      <c r="C170" s="20" t="s">
        <v>394</v>
      </c>
      <c r="E170" s="45">
        <f t="shared" si="51"/>
        <v>0.49337113702797691</v>
      </c>
      <c r="F170" s="45">
        <f t="shared" si="52"/>
        <v>1.5963434529497027</v>
      </c>
      <c r="G170" s="45">
        <f t="shared" si="50"/>
        <v>2.5462680226001373</v>
      </c>
      <c r="H170" s="45">
        <f t="shared" si="50"/>
        <v>3.2634750342407637</v>
      </c>
      <c r="I170" s="45">
        <f t="shared" si="50"/>
        <v>4.0077031529836198</v>
      </c>
      <c r="J170" s="45">
        <f t="shared" si="50"/>
        <v>4.8591041510894746</v>
      </c>
      <c r="K170" s="45">
        <f t="shared" si="50"/>
        <v>5.8504988210514766</v>
      </c>
      <c r="L170" s="45">
        <f t="shared" si="50"/>
        <v>7.3519617563677713</v>
      </c>
      <c r="M170" s="45">
        <f t="shared" si="50"/>
        <v>9.2217443820286302</v>
      </c>
      <c r="N170" s="45">
        <f t="shared" si="50"/>
        <v>10.867015130271863</v>
      </c>
      <c r="O170" s="45">
        <f t="shared" si="50"/>
        <v>12.542333247516449</v>
      </c>
      <c r="P170" s="45">
        <f t="shared" si="50"/>
        <v>14.336637357442898</v>
      </c>
      <c r="Q170" s="45">
        <f t="shared" si="50"/>
        <v>16.199067351224837</v>
      </c>
      <c r="R170" s="45">
        <f t="shared" si="50"/>
        <v>17.947993803439921</v>
      </c>
      <c r="S170" s="45">
        <f t="shared" si="50"/>
        <v>19.745553659043061</v>
      </c>
      <c r="T170" s="45">
        <f t="shared" si="50"/>
        <v>21.365075705015435</v>
      </c>
      <c r="U170" s="45">
        <f t="shared" si="50"/>
        <v>23.187219012507978</v>
      </c>
      <c r="V170" s="45">
        <f t="shared" si="50"/>
        <v>24.820886681668846</v>
      </c>
      <c r="W170" s="45">
        <f t="shared" si="50"/>
        <v>26.603510896604632</v>
      </c>
      <c r="X170" s="45">
        <f t="shared" si="50"/>
        <v>28.292611182529082</v>
      </c>
    </row>
    <row r="171" spans="3:24">
      <c r="C171" s="20" t="s">
        <v>375</v>
      </c>
      <c r="E171" s="45">
        <f t="shared" si="51"/>
        <v>0.2800209986196866</v>
      </c>
      <c r="F171" s="45">
        <f t="shared" si="52"/>
        <v>0.57721971245505599</v>
      </c>
      <c r="G171" s="45">
        <f t="shared" si="50"/>
        <v>1.1592508684784157</v>
      </c>
      <c r="H171" s="45">
        <f t="shared" si="50"/>
        <v>1.9911454458357931</v>
      </c>
      <c r="I171" s="45">
        <f t="shared" si="50"/>
        <v>2.657249993024561</v>
      </c>
      <c r="J171" s="45">
        <f t="shared" si="50"/>
        <v>3.3937324708101557</v>
      </c>
      <c r="K171" s="45">
        <f t="shared" si="50"/>
        <v>4.0370743271938281</v>
      </c>
      <c r="L171" s="45">
        <f t="shared" si="50"/>
        <v>5.0099685701062135</v>
      </c>
      <c r="M171" s="45">
        <f t="shared" si="50"/>
        <v>6.1920663714286261</v>
      </c>
      <c r="N171" s="45">
        <f t="shared" si="50"/>
        <v>7.3705977638540379</v>
      </c>
      <c r="O171" s="45">
        <f t="shared" si="50"/>
        <v>8.6658016514956451</v>
      </c>
      <c r="P171" s="45">
        <f t="shared" si="50"/>
        <v>9.9887260251237393</v>
      </c>
      <c r="Q171" s="45">
        <f t="shared" si="50"/>
        <v>11.411635480543458</v>
      </c>
      <c r="R171" s="45">
        <f t="shared" si="50"/>
        <v>12.854654271541564</v>
      </c>
      <c r="S171" s="45">
        <f t="shared" si="50"/>
        <v>14.147051411889597</v>
      </c>
      <c r="T171" s="45">
        <f t="shared" si="50"/>
        <v>15.325556485280446</v>
      </c>
      <c r="U171" s="45">
        <f t="shared" si="50"/>
        <v>16.668945434207846</v>
      </c>
      <c r="V171" s="45">
        <f t="shared" si="50"/>
        <v>17.895500033263506</v>
      </c>
      <c r="W171" s="45">
        <f t="shared" si="50"/>
        <v>19.152645897660697</v>
      </c>
      <c r="X171" s="45">
        <f t="shared" si="50"/>
        <v>20.450637231057076</v>
      </c>
    </row>
    <row r="172" spans="3:24">
      <c r="C172" s="20" t="s">
        <v>376</v>
      </c>
      <c r="E172" s="45">
        <f t="shared" si="51"/>
        <v>7.6586609772993617</v>
      </c>
      <c r="F172" s="45">
        <f t="shared" si="52"/>
        <v>15.236116198575605</v>
      </c>
      <c r="G172" s="45">
        <f t="shared" si="50"/>
        <v>20.881510191640718</v>
      </c>
      <c r="H172" s="45">
        <f t="shared" si="50"/>
        <v>25.682303423484697</v>
      </c>
      <c r="I172" s="45">
        <f t="shared" si="50"/>
        <v>29.270442564744812</v>
      </c>
      <c r="J172" s="45">
        <f t="shared" si="50"/>
        <v>32.423424468141995</v>
      </c>
      <c r="K172" s="45">
        <f t="shared" si="50"/>
        <v>36.492598936942812</v>
      </c>
      <c r="L172" s="45">
        <f t="shared" si="50"/>
        <v>41.032627932053416</v>
      </c>
      <c r="M172" s="45">
        <f t="shared" si="50"/>
        <v>45.888175390850343</v>
      </c>
      <c r="N172" s="45">
        <f t="shared" si="50"/>
        <v>50.584811370587943</v>
      </c>
      <c r="O172" s="45">
        <f t="shared" si="50"/>
        <v>55.44052844468537</v>
      </c>
      <c r="P172" s="45">
        <f t="shared" si="50"/>
        <v>59.892278500820915</v>
      </c>
      <c r="Q172" s="45">
        <f t="shared" si="50"/>
        <v>63.758075702163985</v>
      </c>
      <c r="R172" s="45">
        <f t="shared" si="50"/>
        <v>67.739820217004578</v>
      </c>
      <c r="S172" s="45">
        <f t="shared" si="50"/>
        <v>71.735000911826262</v>
      </c>
      <c r="T172" s="45">
        <f t="shared" si="50"/>
        <v>76.208817379162298</v>
      </c>
      <c r="U172" s="45">
        <f t="shared" si="50"/>
        <v>80.48253935277252</v>
      </c>
      <c r="V172" s="45">
        <f t="shared" si="50"/>
        <v>84.569564534027649</v>
      </c>
      <c r="W172" s="45">
        <f t="shared" si="50"/>
        <v>88.707290112145586</v>
      </c>
      <c r="X172" s="45">
        <f t="shared" si="50"/>
        <v>92.399496581791055</v>
      </c>
    </row>
    <row r="173" spans="3:24">
      <c r="C173" s="20" t="s">
        <v>377</v>
      </c>
      <c r="E173" s="45">
        <f t="shared" si="51"/>
        <v>0.38924897939746522</v>
      </c>
      <c r="F173" s="45">
        <f t="shared" si="52"/>
        <v>0.73266209835093643</v>
      </c>
      <c r="G173" s="45">
        <f t="shared" si="50"/>
        <v>1.0319355787565498</v>
      </c>
      <c r="H173" s="45">
        <f t="shared" si="50"/>
        <v>1.3288243233228907</v>
      </c>
      <c r="I173" s="45">
        <f t="shared" si="50"/>
        <v>1.6226236632657054</v>
      </c>
      <c r="J173" s="45">
        <f t="shared" si="50"/>
        <v>1.9130413259787367</v>
      </c>
      <c r="K173" s="45">
        <f t="shared" si="50"/>
        <v>2.1991827736832312</v>
      </c>
      <c r="L173" s="45">
        <f t="shared" si="50"/>
        <v>2.4808213933606926</v>
      </c>
      <c r="M173" s="45">
        <f t="shared" si="50"/>
        <v>2.7577094021268573</v>
      </c>
      <c r="N173" s="45">
        <f t="shared" si="50"/>
        <v>3.0312869452282039</v>
      </c>
      <c r="O173" s="45">
        <f t="shared" si="50"/>
        <v>3.3019187910782435</v>
      </c>
      <c r="P173" s="45">
        <f t="shared" si="50"/>
        <v>3.5699329097212829</v>
      </c>
      <c r="Q173" s="45">
        <f t="shared" si="50"/>
        <v>3.8365353158653739</v>
      </c>
      <c r="R173" s="45">
        <f t="shared" si="50"/>
        <v>4.0879173027094033</v>
      </c>
      <c r="S173" s="45">
        <f t="shared" si="50"/>
        <v>4.3524706940618403</v>
      </c>
      <c r="T173" s="45">
        <f t="shared" si="50"/>
        <v>4.6154623671543442</v>
      </c>
      <c r="U173" s="45">
        <f t="shared" si="50"/>
        <v>4.8768714632276229</v>
      </c>
      <c r="V173" s="45">
        <f t="shared" si="50"/>
        <v>5.1363483413790432</v>
      </c>
      <c r="W173" s="45">
        <f t="shared" si="50"/>
        <v>5.3938545363468053</v>
      </c>
      <c r="X173" s="45">
        <f t="shared" si="50"/>
        <v>5.6494801443967644</v>
      </c>
    </row>
    <row r="174" spans="3:24">
      <c r="C174" s="20" t="s">
        <v>395</v>
      </c>
      <c r="E174" s="45">
        <f t="shared" si="51"/>
        <v>0.19765540078516197</v>
      </c>
      <c r="F174" s="45">
        <f t="shared" si="52"/>
        <v>0.38366083013550822</v>
      </c>
      <c r="G174" s="45">
        <f t="shared" si="50"/>
        <v>0.47942163272058053</v>
      </c>
      <c r="H174" s="45">
        <f t="shared" si="50"/>
        <v>0.58004214745972715</v>
      </c>
      <c r="I174" s="45">
        <f t="shared" si="50"/>
        <v>0.66568893999391099</v>
      </c>
      <c r="J174" s="45">
        <f t="shared" si="50"/>
        <v>0.73110398191695625</v>
      </c>
      <c r="K174" s="45">
        <f t="shared" si="50"/>
        <v>0.78834697806390663</v>
      </c>
      <c r="L174" s="45">
        <f t="shared" si="50"/>
        <v>0.84343412900509607</v>
      </c>
      <c r="M174" s="45">
        <f t="shared" si="50"/>
        <v>0.91735034330463661</v>
      </c>
      <c r="N174" s="45">
        <f t="shared" si="50"/>
        <v>1.009406512392955</v>
      </c>
      <c r="O174" s="45">
        <f t="shared" si="50"/>
        <v>1.1133436067140505</v>
      </c>
      <c r="P174" s="45">
        <f t="shared" si="50"/>
        <v>1.2650653111942765</v>
      </c>
      <c r="Q174" s="45">
        <f t="shared" si="50"/>
        <v>1.4221352884635694</v>
      </c>
      <c r="R174" s="45">
        <f t="shared" si="50"/>
        <v>1.5672410947786184</v>
      </c>
      <c r="S174" s="45">
        <f t="shared" si="50"/>
        <v>1.7199681630765409</v>
      </c>
      <c r="T174" s="45">
        <f t="shared" si="50"/>
        <v>1.8610146405626071</v>
      </c>
      <c r="U174" s="45">
        <f t="shared" si="50"/>
        <v>1.9780220512080147</v>
      </c>
      <c r="V174" s="45">
        <f t="shared" si="50"/>
        <v>2.098028782715792</v>
      </c>
      <c r="W174" s="45">
        <f t="shared" si="50"/>
        <v>2.2126032115021279</v>
      </c>
      <c r="X174" s="45">
        <f t="shared" si="50"/>
        <v>2.3337800297460412</v>
      </c>
    </row>
    <row r="175" spans="3:24">
      <c r="C175" s="20" t="s">
        <v>378</v>
      </c>
      <c r="E175" s="45">
        <f t="shared" si="51"/>
        <v>0.46894871790011039</v>
      </c>
      <c r="F175" s="45">
        <f t="shared" si="52"/>
        <v>0.94282282626136915</v>
      </c>
      <c r="G175" s="45">
        <f t="shared" si="50"/>
        <v>1.3942687343995832</v>
      </c>
      <c r="H175" s="45">
        <f t="shared" si="50"/>
        <v>1.8447823495451483</v>
      </c>
      <c r="I175" s="45">
        <f t="shared" si="50"/>
        <v>2.2925628099368707</v>
      </c>
      <c r="J175" s="45">
        <f t="shared" si="50"/>
        <v>2.7377967706081141</v>
      </c>
      <c r="K175" s="45">
        <f t="shared" si="50"/>
        <v>3.1805321337467545</v>
      </c>
      <c r="L175" s="45">
        <f t="shared" si="50"/>
        <v>3.6204399473013584</v>
      </c>
      <c r="M175" s="45">
        <f t="shared" si="50"/>
        <v>4.0575260133029944</v>
      </c>
      <c r="N175" s="45">
        <f t="shared" si="50"/>
        <v>4.4926651691585038</v>
      </c>
      <c r="O175" s="45">
        <f t="shared" si="50"/>
        <v>4.92846921815757</v>
      </c>
      <c r="P175" s="45">
        <f t="shared" si="50"/>
        <v>5.520087881194593</v>
      </c>
      <c r="Q175" s="45">
        <f t="shared" si="50"/>
        <v>6.1847649025397526</v>
      </c>
      <c r="R175" s="45">
        <f t="shared" si="50"/>
        <v>6.8383048562045579</v>
      </c>
      <c r="S175" s="45">
        <f t="shared" si="50"/>
        <v>7.5143657721654735</v>
      </c>
      <c r="T175" s="45">
        <f t="shared" si="50"/>
        <v>8.2199640250308867</v>
      </c>
      <c r="U175" s="45">
        <f t="shared" si="50"/>
        <v>8.8520328100977963</v>
      </c>
      <c r="V175" s="45">
        <f t="shared" si="50"/>
        <v>9.4892959027925077</v>
      </c>
      <c r="W175" s="45">
        <f t="shared" si="50"/>
        <v>10.072132567877809</v>
      </c>
      <c r="X175" s="45">
        <f t="shared" si="50"/>
        <v>10.711414581118939</v>
      </c>
    </row>
    <row r="176" spans="3:24">
      <c r="C176" s="20" t="s">
        <v>379</v>
      </c>
      <c r="E176" s="45">
        <f t="shared" si="51"/>
        <v>1.0326774321313152</v>
      </c>
      <c r="F176" s="45">
        <f t="shared" si="52"/>
        <v>2.048555048225654</v>
      </c>
      <c r="G176" s="45">
        <f t="shared" si="50"/>
        <v>2.7916042026860333</v>
      </c>
      <c r="H176" s="45">
        <f t="shared" si="50"/>
        <v>3.5521452268282987</v>
      </c>
      <c r="I176" s="45">
        <f t="shared" si="50"/>
        <v>4.2083092514225742</v>
      </c>
      <c r="J176" s="45">
        <f t="shared" si="50"/>
        <v>4.8358594840985933</v>
      </c>
      <c r="K176" s="45">
        <f t="shared" si="50"/>
        <v>5.4460924168321379</v>
      </c>
      <c r="L176" s="45">
        <f t="shared" si="50"/>
        <v>6.0518094147193082</v>
      </c>
      <c r="M176" s="45">
        <f t="shared" si="50"/>
        <v>6.7027884492936538</v>
      </c>
      <c r="N176" s="45">
        <f t="shared" si="50"/>
        <v>7.3959865641577327</v>
      </c>
      <c r="O176" s="45">
        <f t="shared" si="50"/>
        <v>8.1844245230986168</v>
      </c>
      <c r="P176" s="45">
        <f t="shared" si="50"/>
        <v>9.5489904707934148</v>
      </c>
      <c r="Q176" s="45">
        <f t="shared" si="50"/>
        <v>11.152213208166032</v>
      </c>
      <c r="R176" s="45">
        <f t="shared" si="50"/>
        <v>12.793482907734521</v>
      </c>
      <c r="S176" s="45">
        <f t="shared" si="50"/>
        <v>14.463765938349734</v>
      </c>
      <c r="T176" s="45">
        <f t="shared" si="50"/>
        <v>16.21942778653618</v>
      </c>
      <c r="U176" s="45">
        <f t="shared" si="50"/>
        <v>17.706565316100754</v>
      </c>
      <c r="V176" s="45">
        <f t="shared" si="50"/>
        <v>19.146568706708791</v>
      </c>
      <c r="W176" s="45">
        <f t="shared" si="50"/>
        <v>20.496533514150272</v>
      </c>
      <c r="X176" s="45">
        <f t="shared" si="50"/>
        <v>21.945239229259773</v>
      </c>
    </row>
    <row r="177" spans="3:24">
      <c r="C177" s="20" t="s">
        <v>380</v>
      </c>
      <c r="E177" s="45">
        <f t="shared" si="51"/>
        <v>4.1336070304911159</v>
      </c>
      <c r="F177" s="45">
        <f t="shared" si="52"/>
        <v>7.6937519758100272</v>
      </c>
      <c r="G177" s="45">
        <f t="shared" si="50"/>
        <v>10.894529002275894</v>
      </c>
      <c r="H177" s="45">
        <f t="shared" si="50"/>
        <v>13.547675579043219</v>
      </c>
      <c r="I177" s="45">
        <f t="shared" si="50"/>
        <v>15.420683825558168</v>
      </c>
      <c r="J177" s="45">
        <f t="shared" si="50"/>
        <v>17.067412357997107</v>
      </c>
      <c r="K177" s="45">
        <f t="shared" si="50"/>
        <v>18.587036384343815</v>
      </c>
      <c r="L177" s="45">
        <f t="shared" si="50"/>
        <v>19.919850954155727</v>
      </c>
      <c r="M177" s="45">
        <f t="shared" si="50"/>
        <v>21.257085212017447</v>
      </c>
      <c r="N177" s="45">
        <f t="shared" si="50"/>
        <v>22.665753858193238</v>
      </c>
      <c r="O177" s="45">
        <f t="shared" si="50"/>
        <v>24.338347213043381</v>
      </c>
      <c r="P177" s="45">
        <f t="shared" si="50"/>
        <v>26.354193821741912</v>
      </c>
      <c r="Q177" s="45">
        <f t="shared" si="50"/>
        <v>28.657564781183655</v>
      </c>
      <c r="R177" s="45">
        <f t="shared" si="50"/>
        <v>30.72149502723612</v>
      </c>
      <c r="S177" s="45">
        <f t="shared" si="50"/>
        <v>32.709503364245215</v>
      </c>
      <c r="T177" s="45">
        <f t="shared" si="50"/>
        <v>34.643730409531273</v>
      </c>
      <c r="U177" s="45">
        <f t="shared" si="50"/>
        <v>36.418238375730432</v>
      </c>
      <c r="V177" s="45">
        <f t="shared" si="50"/>
        <v>38.09062256023234</v>
      </c>
      <c r="W177" s="45">
        <f t="shared" si="50"/>
        <v>39.632051041012254</v>
      </c>
      <c r="X177" s="45">
        <f t="shared" si="50"/>
        <v>41.188355093280272</v>
      </c>
    </row>
    <row r="178" spans="3:24">
      <c r="C178" s="98" t="s">
        <v>396</v>
      </c>
      <c r="E178" s="45">
        <f t="shared" si="51"/>
        <v>4.5029406937179912</v>
      </c>
      <c r="F178" s="45">
        <f t="shared" si="52"/>
        <v>8.5815477281618975</v>
      </c>
      <c r="G178" s="45">
        <f t="shared" ref="G178:X180" si="53">F178+G28</f>
        <v>12.173531200215265</v>
      </c>
      <c r="H178" s="45">
        <f t="shared" si="53"/>
        <v>15.213624692856028</v>
      </c>
      <c r="I178" s="45">
        <f t="shared" si="53"/>
        <v>17.51549176465916</v>
      </c>
      <c r="J178" s="45">
        <f t="shared" si="53"/>
        <v>19.647638606866504</v>
      </c>
      <c r="K178" s="45">
        <f t="shared" si="53"/>
        <v>21.624789063277568</v>
      </c>
      <c r="L178" s="45">
        <f t="shared" si="53"/>
        <v>23.434396276979097</v>
      </c>
      <c r="M178" s="45">
        <f t="shared" si="53"/>
        <v>25.336744082552396</v>
      </c>
      <c r="N178" s="45">
        <f t="shared" si="53"/>
        <v>27.349721823003588</v>
      </c>
      <c r="O178" s="45">
        <f t="shared" si="53"/>
        <v>29.653747902877679</v>
      </c>
      <c r="P178" s="45">
        <f t="shared" si="53"/>
        <v>32.45298966737932</v>
      </c>
      <c r="Q178" s="45">
        <f t="shared" si="53"/>
        <v>35.521223648127041</v>
      </c>
      <c r="R178" s="45">
        <f t="shared" si="53"/>
        <v>38.265392662025157</v>
      </c>
      <c r="S178" s="45">
        <f t="shared" si="53"/>
        <v>41.070048801126418</v>
      </c>
      <c r="T178" s="45">
        <f t="shared" si="53"/>
        <v>43.798332667346578</v>
      </c>
      <c r="U178" s="45">
        <f t="shared" si="53"/>
        <v>46.294296445850399</v>
      </c>
      <c r="V178" s="45">
        <f t="shared" si="53"/>
        <v>48.733501679298385</v>
      </c>
      <c r="W178" s="45">
        <f t="shared" si="53"/>
        <v>51.07219677729438</v>
      </c>
      <c r="X178" s="45">
        <f t="shared" si="53"/>
        <v>53.382592317231762</v>
      </c>
    </row>
    <row r="179" spans="3:24">
      <c r="C179" s="20" t="s">
        <v>381</v>
      </c>
      <c r="E179" s="45">
        <f t="shared" si="51"/>
        <v>3.1854829351393543</v>
      </c>
      <c r="F179" s="45">
        <f t="shared" si="52"/>
        <v>6.3553886802912505</v>
      </c>
      <c r="G179" s="45">
        <f t="shared" si="53"/>
        <v>8.618241498973882</v>
      </c>
      <c r="H179" s="45">
        <f t="shared" si="53"/>
        <v>11.220603206643947</v>
      </c>
      <c r="I179" s="45">
        <f t="shared" si="53"/>
        <v>13.512571685289398</v>
      </c>
      <c r="J179" s="45">
        <f t="shared" si="53"/>
        <v>15.668216694524988</v>
      </c>
      <c r="K179" s="45">
        <f t="shared" si="53"/>
        <v>17.150256145391857</v>
      </c>
      <c r="L179" s="45">
        <f t="shared" si="53"/>
        <v>18.710592292628696</v>
      </c>
      <c r="M179" s="45">
        <f t="shared" si="53"/>
        <v>21.065201996518553</v>
      </c>
      <c r="N179" s="45">
        <f t="shared" si="53"/>
        <v>24.33924063621096</v>
      </c>
      <c r="O179" s="45">
        <f t="shared" si="53"/>
        <v>27.963415823664562</v>
      </c>
      <c r="P179" s="45">
        <f t="shared" si="53"/>
        <v>32.405429553686545</v>
      </c>
      <c r="Q179" s="45">
        <f t="shared" si="53"/>
        <v>38.227856901000131</v>
      </c>
      <c r="R179" s="45">
        <f t="shared" si="53"/>
        <v>44.688296995642347</v>
      </c>
      <c r="S179" s="45">
        <f t="shared" si="53"/>
        <v>51.589777325456609</v>
      </c>
      <c r="T179" s="45">
        <f t="shared" si="53"/>
        <v>58.338293076946918</v>
      </c>
      <c r="U179" s="45">
        <f t="shared" si="53"/>
        <v>64.77476255037574</v>
      </c>
      <c r="V179" s="45">
        <f t="shared" si="53"/>
        <v>71.080086069904809</v>
      </c>
      <c r="W179" s="45">
        <f t="shared" si="53"/>
        <v>77.303748109371156</v>
      </c>
      <c r="X179" s="45">
        <f t="shared" si="53"/>
        <v>83.34240039744293</v>
      </c>
    </row>
    <row r="180" spans="3:24">
      <c r="C180" s="20" t="s">
        <v>382</v>
      </c>
      <c r="E180" s="45">
        <f t="shared" si="51"/>
        <v>12.863107129152304</v>
      </c>
      <c r="F180" s="45">
        <f t="shared" si="52"/>
        <v>23.585144948500805</v>
      </c>
      <c r="G180" s="45">
        <f t="shared" si="53"/>
        <v>33.727273386567099</v>
      </c>
      <c r="H180" s="45">
        <f t="shared" si="53"/>
        <v>43.188465736555024</v>
      </c>
      <c r="I180" s="45">
        <f t="shared" si="53"/>
        <v>50.552321424692344</v>
      </c>
      <c r="J180" s="45">
        <f t="shared" si="53"/>
        <v>58.711465350119283</v>
      </c>
      <c r="K180" s="45">
        <f t="shared" si="53"/>
        <v>66.67183267600079</v>
      </c>
      <c r="L180" s="45">
        <f t="shared" si="53"/>
        <v>75.274449367144072</v>
      </c>
      <c r="M180" s="45">
        <f t="shared" si="53"/>
        <v>84.595229403753592</v>
      </c>
      <c r="N180" s="45">
        <f t="shared" si="53"/>
        <v>93.652508067025082</v>
      </c>
      <c r="O180" s="45">
        <f t="shared" si="53"/>
        <v>103.83693179790222</v>
      </c>
      <c r="P180" s="45">
        <f t="shared" si="53"/>
        <v>114.62458933169188</v>
      </c>
      <c r="Q180" s="45">
        <f t="shared" si="53"/>
        <v>125.62996790640028</v>
      </c>
      <c r="R180" s="45">
        <f t="shared" si="53"/>
        <v>135.89703188770824</v>
      </c>
      <c r="S180" s="45">
        <f t="shared" si="53"/>
        <v>146.92450775062721</v>
      </c>
      <c r="T180" s="45">
        <f t="shared" si="53"/>
        <v>156.88543113288958</v>
      </c>
      <c r="U180" s="45">
        <f t="shared" si="53"/>
        <v>167.2254790025485</v>
      </c>
      <c r="V180" s="45">
        <f t="shared" si="53"/>
        <v>177.06386397554746</v>
      </c>
      <c r="W180" s="45">
        <f t="shared" si="53"/>
        <v>186.39216293699107</v>
      </c>
      <c r="X180" s="45">
        <f t="shared" si="53"/>
        <v>195.42773586528929</v>
      </c>
    </row>
  </sheetData>
  <mergeCells count="1">
    <mergeCell ref="B1:S5"/>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dimension ref="A1:CB159"/>
  <sheetViews>
    <sheetView zoomScale="85" zoomScaleNormal="85" workbookViewId="0">
      <selection activeCell="Y36" sqref="Y36"/>
    </sheetView>
  </sheetViews>
  <sheetFormatPr defaultRowHeight="12.75"/>
  <cols>
    <col min="1" max="1" width="22" style="20" customWidth="1"/>
    <col min="2" max="2" width="20.28515625" style="20" customWidth="1"/>
    <col min="3" max="3" width="20.5703125" style="20" customWidth="1"/>
    <col min="4" max="4" width="17.7109375" style="20" customWidth="1"/>
    <col min="5" max="13" width="12" style="20" customWidth="1"/>
    <col min="14" max="24" width="10.42578125" style="20" bestFit="1" customWidth="1"/>
    <col min="25" max="25" width="17.7109375" style="20" bestFit="1" customWidth="1"/>
    <col min="26"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5" ht="12.75" customHeight="1">
      <c r="A1" s="104" t="s">
        <v>41</v>
      </c>
      <c r="B1" s="571"/>
      <c r="C1" s="571"/>
      <c r="D1" s="571"/>
      <c r="E1" s="571"/>
      <c r="F1" s="571"/>
      <c r="G1" s="571"/>
      <c r="H1" s="571"/>
      <c r="I1" s="571"/>
      <c r="J1" s="571"/>
      <c r="K1" s="571"/>
      <c r="L1" s="571"/>
      <c r="M1" s="571"/>
      <c r="N1" s="571"/>
      <c r="O1" s="571"/>
      <c r="P1" s="571"/>
      <c r="Q1" s="571"/>
      <c r="R1" s="571"/>
      <c r="S1" s="572"/>
      <c r="T1" s="42"/>
      <c r="U1" s="42"/>
      <c r="V1" s="42"/>
      <c r="W1" s="42"/>
    </row>
    <row r="2" spans="1:25" ht="12.75" customHeight="1">
      <c r="A2" s="105"/>
      <c r="B2" s="574"/>
      <c r="C2" s="574"/>
      <c r="D2" s="574"/>
      <c r="E2" s="574"/>
      <c r="F2" s="574"/>
      <c r="G2" s="574"/>
      <c r="H2" s="574"/>
      <c r="I2" s="574"/>
      <c r="J2" s="574"/>
      <c r="K2" s="574"/>
      <c r="L2" s="574"/>
      <c r="M2" s="574"/>
      <c r="N2" s="574"/>
      <c r="O2" s="574"/>
      <c r="P2" s="574"/>
      <c r="Q2" s="574"/>
      <c r="R2" s="574"/>
      <c r="S2" s="575"/>
      <c r="T2" s="43"/>
      <c r="U2" s="43"/>
      <c r="V2" s="43"/>
      <c r="W2" s="43"/>
    </row>
    <row r="3" spans="1:25">
      <c r="A3" s="105"/>
      <c r="B3" s="574"/>
      <c r="C3" s="574"/>
      <c r="D3" s="574"/>
      <c r="E3" s="574"/>
      <c r="F3" s="574"/>
      <c r="G3" s="574"/>
      <c r="H3" s="574"/>
      <c r="I3" s="574"/>
      <c r="J3" s="574"/>
      <c r="K3" s="574"/>
      <c r="L3" s="574"/>
      <c r="M3" s="574"/>
      <c r="N3" s="574"/>
      <c r="O3" s="574"/>
      <c r="P3" s="574"/>
      <c r="Q3" s="574"/>
      <c r="R3" s="574"/>
      <c r="S3" s="575"/>
      <c r="T3" s="43"/>
      <c r="U3" s="43"/>
      <c r="V3" s="43"/>
      <c r="W3" s="43"/>
    </row>
    <row r="4" spans="1:25">
      <c r="A4" s="105"/>
      <c r="B4" s="574"/>
      <c r="C4" s="574"/>
      <c r="D4" s="574"/>
      <c r="E4" s="574"/>
      <c r="F4" s="574"/>
      <c r="G4" s="574"/>
      <c r="H4" s="574"/>
      <c r="I4" s="574"/>
      <c r="J4" s="574"/>
      <c r="K4" s="574"/>
      <c r="L4" s="574"/>
      <c r="M4" s="574"/>
      <c r="N4" s="574"/>
      <c r="O4" s="574"/>
      <c r="P4" s="574"/>
      <c r="Q4" s="574"/>
      <c r="R4" s="574"/>
      <c r="S4" s="575"/>
      <c r="T4" s="43"/>
      <c r="U4" s="43"/>
      <c r="V4" s="43"/>
      <c r="W4" s="43"/>
    </row>
    <row r="5" spans="1:25">
      <c r="A5" s="106"/>
      <c r="B5" s="574"/>
      <c r="C5" s="574"/>
      <c r="D5" s="576"/>
      <c r="E5" s="576"/>
      <c r="F5" s="576"/>
      <c r="G5" s="576"/>
      <c r="H5" s="576"/>
      <c r="I5" s="576"/>
      <c r="J5" s="576"/>
      <c r="K5" s="576"/>
      <c r="L5" s="576"/>
      <c r="M5" s="576"/>
      <c r="N5" s="576"/>
      <c r="O5" s="576"/>
      <c r="P5" s="576"/>
      <c r="Q5" s="576"/>
      <c r="R5" s="576"/>
      <c r="S5" s="577"/>
      <c r="T5" s="43"/>
      <c r="U5" s="43"/>
      <c r="V5" s="43"/>
      <c r="W5" s="43"/>
    </row>
    <row r="6" spans="1:25">
      <c r="A6" s="569"/>
      <c r="B6" s="110"/>
      <c r="C6" s="110"/>
      <c r="D6" s="109"/>
      <c r="E6" s="107"/>
      <c r="F6" s="107"/>
      <c r="G6" s="107"/>
      <c r="H6" s="107"/>
      <c r="I6" s="107"/>
      <c r="J6" s="107"/>
      <c r="K6" s="107"/>
      <c r="L6" s="107"/>
      <c r="M6" s="107"/>
      <c r="N6" s="107"/>
      <c r="O6" s="107"/>
      <c r="P6" s="107"/>
      <c r="Q6" s="107"/>
      <c r="R6" s="107"/>
      <c r="S6" s="108"/>
      <c r="T6" s="43"/>
      <c r="U6" s="43"/>
      <c r="V6" s="43"/>
      <c r="W6" s="43"/>
    </row>
    <row r="7" spans="1:25">
      <c r="A7" s="198"/>
      <c r="B7" s="552" t="s">
        <v>324</v>
      </c>
      <c r="C7" s="553" t="s">
        <v>413</v>
      </c>
      <c r="D7" s="554" t="s">
        <v>1286</v>
      </c>
    </row>
    <row r="8" spans="1:25">
      <c r="A8" s="199" t="s">
        <v>421</v>
      </c>
      <c r="B8" s="555" t="s">
        <v>43</v>
      </c>
      <c r="C8" s="556" t="s">
        <v>1244</v>
      </c>
      <c r="D8" s="557" t="str">
        <f>[2]!switch_ForecastState</f>
        <v>Region</v>
      </c>
      <c r="E8" s="112"/>
      <c r="F8" s="98"/>
    </row>
    <row r="9" spans="1:25">
      <c r="A9" s="199" t="str">
        <f>INDEX([1]ACHIEV!$A$19:$B$100,MATCH(C8,[1]ACHIEV!$B$19:$B$100,0),1)</f>
        <v>Water Heating</v>
      </c>
      <c r="B9" s="558" t="s">
        <v>44</v>
      </c>
      <c r="C9" s="556">
        <f>[1]FILES!$H$4</f>
        <v>2035</v>
      </c>
      <c r="D9" s="557" t="str">
        <f>[2]!switch_ForecastScenario</f>
        <v>Base</v>
      </c>
      <c r="E9" s="113"/>
    </row>
    <row r="10" spans="1:25">
      <c r="A10" s="200"/>
      <c r="B10" s="559" t="s">
        <v>325</v>
      </c>
      <c r="C10" s="560">
        <f>MIN(SUM(E80:X80),Y80)</f>
        <v>3.7216771353503777</v>
      </c>
      <c r="D10" s="568"/>
      <c r="E10" s="20">
        <v>1</v>
      </c>
      <c r="F10" s="20">
        <f>E10+1</f>
        <v>2</v>
      </c>
      <c r="G10" s="20">
        <f t="shared" ref="G10:V11"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V10+1</f>
        <v>19</v>
      </c>
      <c r="X10" s="20">
        <f>W10+1</f>
        <v>20</v>
      </c>
    </row>
    <row r="11" spans="1:25">
      <c r="A11" s="47" t="s">
        <v>45</v>
      </c>
      <c r="B11" s="47"/>
      <c r="C11" s="47"/>
      <c r="D11" s="47"/>
      <c r="E11" s="47">
        <f>C9-20+1</f>
        <v>2016</v>
      </c>
      <c r="F11" s="47">
        <f>E11+1</f>
        <v>2017</v>
      </c>
      <c r="G11" s="47">
        <f t="shared" si="0"/>
        <v>2018</v>
      </c>
      <c r="H11" s="47">
        <f t="shared" si="0"/>
        <v>2019</v>
      </c>
      <c r="I11" s="47">
        <f t="shared" si="0"/>
        <v>2020</v>
      </c>
      <c r="J11" s="47">
        <f t="shared" si="0"/>
        <v>2021</v>
      </c>
      <c r="K11" s="47">
        <f t="shared" si="0"/>
        <v>2022</v>
      </c>
      <c r="L11" s="47">
        <f t="shared" si="0"/>
        <v>2023</v>
      </c>
      <c r="M11" s="47">
        <f t="shared" si="0"/>
        <v>2024</v>
      </c>
      <c r="N11" s="47">
        <f t="shared" si="0"/>
        <v>2025</v>
      </c>
      <c r="O11" s="47">
        <f t="shared" si="0"/>
        <v>2026</v>
      </c>
      <c r="P11" s="47">
        <f t="shared" si="0"/>
        <v>2027</v>
      </c>
      <c r="Q11" s="47">
        <f t="shared" si="0"/>
        <v>2028</v>
      </c>
      <c r="R11" s="47">
        <f t="shared" si="0"/>
        <v>2029</v>
      </c>
      <c r="S11" s="47">
        <f t="shared" si="0"/>
        <v>2030</v>
      </c>
      <c r="T11" s="47">
        <f t="shared" si="0"/>
        <v>2031</v>
      </c>
      <c r="U11" s="47">
        <f t="shared" si="0"/>
        <v>2032</v>
      </c>
      <c r="V11" s="47">
        <f t="shared" si="0"/>
        <v>2033</v>
      </c>
      <c r="W11" s="47">
        <f>V11+1</f>
        <v>2034</v>
      </c>
      <c r="X11" s="47">
        <f>W11+1</f>
        <v>2035</v>
      </c>
    </row>
    <row r="12" spans="1:25">
      <c r="A12" s="47"/>
      <c r="B12" s="47"/>
      <c r="C12" s="47"/>
      <c r="D12" s="47"/>
      <c r="E12" s="47" t="str">
        <f>CONCATENATE("FLOOR_",E11)</f>
        <v>FLOOR_2016</v>
      </c>
      <c r="F12" s="47" t="str">
        <f t="shared" ref="F12:X12" si="1">CONCATENATE("FLOOR_",F11)</f>
        <v>FLOOR_2017</v>
      </c>
      <c r="G12" s="47" t="str">
        <f t="shared" si="1"/>
        <v>FLOOR_2018</v>
      </c>
      <c r="H12" s="47" t="str">
        <f t="shared" si="1"/>
        <v>FLOOR_2019</v>
      </c>
      <c r="I12" s="47" t="str">
        <f t="shared" si="1"/>
        <v>FLOOR_2020</v>
      </c>
      <c r="J12" s="47" t="str">
        <f t="shared" si="1"/>
        <v>FLOOR_2021</v>
      </c>
      <c r="K12" s="47" t="str">
        <f t="shared" si="1"/>
        <v>FLOOR_2022</v>
      </c>
      <c r="L12" s="47" t="str">
        <f t="shared" si="1"/>
        <v>FLOOR_2023</v>
      </c>
      <c r="M12" s="47" t="str">
        <f t="shared" si="1"/>
        <v>FLOOR_2024</v>
      </c>
      <c r="N12" s="47" t="str">
        <f t="shared" si="1"/>
        <v>FLOOR_2025</v>
      </c>
      <c r="O12" s="47" t="str">
        <f t="shared" si="1"/>
        <v>FLOOR_2026</v>
      </c>
      <c r="P12" s="47" t="str">
        <f t="shared" si="1"/>
        <v>FLOOR_2027</v>
      </c>
      <c r="Q12" s="47" t="str">
        <f t="shared" si="1"/>
        <v>FLOOR_2028</v>
      </c>
      <c r="R12" s="47" t="str">
        <f t="shared" si="1"/>
        <v>FLOOR_2029</v>
      </c>
      <c r="S12" s="47" t="str">
        <f t="shared" si="1"/>
        <v>FLOOR_2030</v>
      </c>
      <c r="T12" s="47" t="str">
        <f t="shared" si="1"/>
        <v>FLOOR_2031</v>
      </c>
      <c r="U12" s="47" t="str">
        <f t="shared" si="1"/>
        <v>FLOOR_2032</v>
      </c>
      <c r="V12" s="47" t="str">
        <f t="shared" si="1"/>
        <v>FLOOR_2033</v>
      </c>
      <c r="W12" s="47" t="str">
        <f t="shared" si="1"/>
        <v>FLOOR_2034</v>
      </c>
      <c r="X12" s="47" t="str">
        <f t="shared" si="1"/>
        <v>FLOOR_2035</v>
      </c>
    </row>
    <row r="13" spans="1:25">
      <c r="C13" s="20" t="s">
        <v>371</v>
      </c>
      <c r="E13" s="112">
        <f>INDEX([2]!tbl_Forecast,MATCH($D$8&amp;$C13&amp;$D$7,[2]!rng_ForecastRowLookup,0),MATCH(E$11,[2]!rng_ForecastColumnLookup,0))</f>
        <v>380.08828477966154</v>
      </c>
      <c r="F13" s="112">
        <f>INDEX([2]!tbl_Forecast,MATCH($D$8&amp;$C13&amp;$D$7,[2]!rng_ForecastRowLookup,0),MATCH(F$11,[2]!rng_ForecastColumnLookup,0))</f>
        <v>378.94801992532251</v>
      </c>
      <c r="G13" s="112">
        <f>INDEX([2]!tbl_Forecast,MATCH($D$8&amp;$C13&amp;$D$7,[2]!rng_ForecastRowLookup,0),MATCH(G$11,[2]!rng_ForecastColumnLookup,0))</f>
        <v>377.81117586554655</v>
      </c>
      <c r="H13" s="112">
        <f>INDEX([2]!tbl_Forecast,MATCH($D$8&amp;$C13&amp;$D$7,[2]!rng_ForecastRowLookup,0),MATCH(H$11,[2]!rng_ForecastColumnLookup,0))</f>
        <v>376.67774233794995</v>
      </c>
      <c r="I13" s="112">
        <f>INDEX([2]!tbl_Forecast,MATCH($D$8&amp;$C13&amp;$D$7,[2]!rng_ForecastRowLookup,0),MATCH(I$11,[2]!rng_ForecastColumnLookup,0))</f>
        <v>375.54770911093607</v>
      </c>
      <c r="J13" s="112">
        <f>INDEX([2]!tbl_Forecast,MATCH($D$8&amp;$C13&amp;$D$7,[2]!rng_ForecastRowLookup,0),MATCH(J$11,[2]!rng_ForecastColumnLookup,0))</f>
        <v>374.42106598360328</v>
      </c>
      <c r="K13" s="112">
        <f>INDEX([2]!tbl_Forecast,MATCH($D$8&amp;$C13&amp;$D$7,[2]!rng_ForecastRowLookup,0),MATCH(K$11,[2]!rng_ForecastColumnLookup,0))</f>
        <v>373.29780278565244</v>
      </c>
      <c r="L13" s="112">
        <f>INDEX([2]!tbl_Forecast,MATCH($D$8&amp;$C13&amp;$D$7,[2]!rng_ForecastRowLookup,0),MATCH(L$11,[2]!rng_ForecastColumnLookup,0))</f>
        <v>372.17790937729552</v>
      </c>
      <c r="M13" s="112">
        <f>INDEX([2]!tbl_Forecast,MATCH($D$8&amp;$C13&amp;$D$7,[2]!rng_ForecastRowLookup,0),MATCH(M$11,[2]!rng_ForecastColumnLookup,0))</f>
        <v>371.06137564916361</v>
      </c>
      <c r="N13" s="112">
        <f>INDEX([2]!tbl_Forecast,MATCH($D$8&amp;$C13&amp;$D$7,[2]!rng_ForecastRowLookup,0),MATCH(N$11,[2]!rng_ForecastColumnLookup,0))</f>
        <v>369.94819152221612</v>
      </c>
      <c r="O13" s="112">
        <f>INDEX([2]!tbl_Forecast,MATCH($D$8&amp;$C13&amp;$D$7,[2]!rng_ForecastRowLookup,0),MATCH(O$11,[2]!rng_ForecastColumnLookup,0))</f>
        <v>368.83834694764948</v>
      </c>
      <c r="P13" s="112">
        <f>INDEX([2]!tbl_Forecast,MATCH($D$8&amp;$C13&amp;$D$7,[2]!rng_ForecastRowLookup,0),MATCH(P$11,[2]!rng_ForecastColumnLookup,0))</f>
        <v>367.73183190680658</v>
      </c>
      <c r="Q13" s="112">
        <f>INDEX([2]!tbl_Forecast,MATCH($D$8&amp;$C13&amp;$D$7,[2]!rng_ForecastRowLookup,0),MATCH(Q$11,[2]!rng_ForecastColumnLookup,0))</f>
        <v>366.62863641108612</v>
      </c>
      <c r="R13" s="112">
        <f>INDEX([2]!tbl_Forecast,MATCH($D$8&amp;$C13&amp;$D$7,[2]!rng_ForecastRowLookup,0),MATCH(R$11,[2]!rng_ForecastColumnLookup,0))</f>
        <v>365.52875050185287</v>
      </c>
      <c r="S13" s="112">
        <f>INDEX([2]!tbl_Forecast,MATCH($D$8&amp;$C13&amp;$D$7,[2]!rng_ForecastRowLookup,0),MATCH(S$11,[2]!rng_ForecastColumnLookup,0))</f>
        <v>364.43216425034728</v>
      </c>
      <c r="T13" s="112">
        <f>INDEX([2]!tbl_Forecast,MATCH($D$8&amp;$C13&amp;$D$7,[2]!rng_ForecastRowLookup,0),MATCH(T$11,[2]!rng_ForecastColumnLookup,0))</f>
        <v>363.33886775759629</v>
      </c>
      <c r="U13" s="112">
        <f>INDEX([2]!tbl_Forecast,MATCH($D$8&amp;$C13&amp;$D$7,[2]!rng_ForecastRowLookup,0),MATCH(U$11,[2]!rng_ForecastColumnLookup,0))</f>
        <v>362.24885115432346</v>
      </c>
      <c r="V13" s="112">
        <f>INDEX([2]!tbl_Forecast,MATCH($D$8&amp;$C13&amp;$D$7,[2]!rng_ForecastRowLookup,0),MATCH(V$11,[2]!rng_ForecastColumnLookup,0))</f>
        <v>361.16210460086046</v>
      </c>
      <c r="W13" s="112">
        <f>INDEX([2]!tbl_Forecast,MATCH($D$8&amp;$C13&amp;$D$7,[2]!rng_ForecastRowLookup,0),MATCH(W$11,[2]!rng_ForecastColumnLookup,0))</f>
        <v>360.07861828705791</v>
      </c>
      <c r="X13" s="112">
        <f>INDEX([2]!tbl_Forecast,MATCH($D$8&amp;$C13&amp;$D$7,[2]!rng_ForecastRowLookup,0),MATCH(X$11,[2]!rng_ForecastColumnLookup,0))</f>
        <v>358.99838243219671</v>
      </c>
      <c r="Y13" s="45"/>
    </row>
    <row r="14" spans="1:25">
      <c r="C14" s="20" t="s">
        <v>373</v>
      </c>
      <c r="E14" s="112">
        <f>INDEX([2]!tbl_Forecast,MATCH($D$8&amp;$C14&amp;$D$7,[2]!rng_ForecastRowLookup,0),MATCH(E$11,[2]!rng_ForecastColumnLookup,0))</f>
        <v>190.73687138333023</v>
      </c>
      <c r="F14" s="112">
        <f>INDEX([2]!tbl_Forecast,MATCH($D$8&amp;$C14&amp;$D$7,[2]!rng_ForecastRowLookup,0),MATCH(F$11,[2]!rng_ForecastColumnLookup,0))</f>
        <v>190.16466076918024</v>
      </c>
      <c r="G14" s="112">
        <f>INDEX([2]!tbl_Forecast,MATCH($D$8&amp;$C14&amp;$D$7,[2]!rng_ForecastRowLookup,0),MATCH(G$11,[2]!rng_ForecastColumnLookup,0))</f>
        <v>189.59416678687271</v>
      </c>
      <c r="H14" s="112">
        <f>INDEX([2]!tbl_Forecast,MATCH($D$8&amp;$C14&amp;$D$7,[2]!rng_ForecastRowLookup,0),MATCH(H$11,[2]!rng_ForecastColumnLookup,0))</f>
        <v>189.02538428651209</v>
      </c>
      <c r="I14" s="112">
        <f>INDEX([2]!tbl_Forecast,MATCH($D$8&amp;$C14&amp;$D$7,[2]!rng_ForecastRowLookup,0),MATCH(I$11,[2]!rng_ForecastColumnLookup,0))</f>
        <v>188.45830813365254</v>
      </c>
      <c r="J14" s="112">
        <f>INDEX([2]!tbl_Forecast,MATCH($D$8&amp;$C14&amp;$D$7,[2]!rng_ForecastRowLookup,0),MATCH(J$11,[2]!rng_ForecastColumnLookup,0))</f>
        <v>187.89293320925157</v>
      </c>
      <c r="K14" s="112">
        <f>INDEX([2]!tbl_Forecast,MATCH($D$8&amp;$C14&amp;$D$7,[2]!rng_ForecastRowLookup,0),MATCH(K$11,[2]!rng_ForecastColumnLookup,0))</f>
        <v>187.32925440962381</v>
      </c>
      <c r="L14" s="112">
        <f>INDEX([2]!tbl_Forecast,MATCH($D$8&amp;$C14&amp;$D$7,[2]!rng_ForecastRowLookup,0),MATCH(L$11,[2]!rng_ForecastColumnLookup,0))</f>
        <v>186.76726664639497</v>
      </c>
      <c r="M14" s="112">
        <f>INDEX([2]!tbl_Forecast,MATCH($D$8&amp;$C14&amp;$D$7,[2]!rng_ForecastRowLookup,0),MATCH(M$11,[2]!rng_ForecastColumnLookup,0))</f>
        <v>186.20696484645578</v>
      </c>
      <c r="N14" s="112">
        <f>INDEX([2]!tbl_Forecast,MATCH($D$8&amp;$C14&amp;$D$7,[2]!rng_ForecastRowLookup,0),MATCH(N$11,[2]!rng_ForecastColumnLookup,0))</f>
        <v>185.64834395191642</v>
      </c>
      <c r="O14" s="112">
        <f>INDEX([2]!tbl_Forecast,MATCH($D$8&amp;$C14&amp;$D$7,[2]!rng_ForecastRowLookup,0),MATCH(O$11,[2]!rng_ForecastColumnLookup,0))</f>
        <v>185.09139892006067</v>
      </c>
      <c r="P14" s="112">
        <f>INDEX([2]!tbl_Forecast,MATCH($D$8&amp;$C14&amp;$D$7,[2]!rng_ForecastRowLookup,0),MATCH(P$11,[2]!rng_ForecastColumnLookup,0))</f>
        <v>184.5361247233005</v>
      </c>
      <c r="Q14" s="112">
        <f>INDEX([2]!tbl_Forecast,MATCH($D$8&amp;$C14&amp;$D$7,[2]!rng_ForecastRowLookup,0),MATCH(Q$11,[2]!rng_ForecastColumnLookup,0))</f>
        <v>183.98251634913058</v>
      </c>
      <c r="R14" s="112">
        <f>INDEX([2]!tbl_Forecast,MATCH($D$8&amp;$C14&amp;$D$7,[2]!rng_ForecastRowLookup,0),MATCH(R$11,[2]!rng_ForecastColumnLookup,0))</f>
        <v>183.43056880008319</v>
      </c>
      <c r="S14" s="112">
        <f>INDEX([2]!tbl_Forecast,MATCH($D$8&amp;$C14&amp;$D$7,[2]!rng_ForecastRowLookup,0),MATCH(S$11,[2]!rng_ForecastColumnLookup,0))</f>
        <v>182.88027709368296</v>
      </c>
      <c r="T14" s="112">
        <f>INDEX([2]!tbl_Forecast,MATCH($D$8&amp;$C14&amp;$D$7,[2]!rng_ForecastRowLookup,0),MATCH(T$11,[2]!rng_ForecastColumnLookup,0))</f>
        <v>182.33163626240187</v>
      </c>
      <c r="U14" s="112">
        <f>INDEX([2]!tbl_Forecast,MATCH($D$8&amp;$C14&amp;$D$7,[2]!rng_ForecastRowLookup,0),MATCH(U$11,[2]!rng_ForecastColumnLookup,0))</f>
        <v>181.78464135361469</v>
      </c>
      <c r="V14" s="112">
        <f>INDEX([2]!tbl_Forecast,MATCH($D$8&amp;$C14&amp;$D$7,[2]!rng_ForecastRowLookup,0),MATCH(V$11,[2]!rng_ForecastColumnLookup,0))</f>
        <v>181.23928742955383</v>
      </c>
      <c r="W14" s="112">
        <f>INDEX([2]!tbl_Forecast,MATCH($D$8&amp;$C14&amp;$D$7,[2]!rng_ForecastRowLookup,0),MATCH(W$11,[2]!rng_ForecastColumnLookup,0))</f>
        <v>180.69556956726515</v>
      </c>
      <c r="X14" s="112">
        <f>INDEX([2]!tbl_Forecast,MATCH($D$8&amp;$C14&amp;$D$7,[2]!rng_ForecastRowLookup,0),MATCH(X$11,[2]!rng_ForecastColumnLookup,0))</f>
        <v>180.15348285856339</v>
      </c>
      <c r="Y14" s="45"/>
    </row>
    <row r="15" spans="1:25">
      <c r="C15" s="20" t="s">
        <v>374</v>
      </c>
      <c r="E15" s="112">
        <f>INDEX([2]!tbl_Forecast,MATCH($D$8&amp;$C15&amp;$D$7,[2]!rng_ForecastRowLookup,0),MATCH(E$11,[2]!rng_ForecastColumnLookup,0))</f>
        <v>184.0913556049378</v>
      </c>
      <c r="F15" s="112">
        <f>INDEX([2]!tbl_Forecast,MATCH($D$8&amp;$C15&amp;$D$7,[2]!rng_ForecastRowLookup,0),MATCH(F$11,[2]!rng_ForecastColumnLookup,0))</f>
        <v>183.53908153812301</v>
      </c>
      <c r="G15" s="112">
        <f>INDEX([2]!tbl_Forecast,MATCH($D$8&amp;$C15&amp;$D$7,[2]!rng_ForecastRowLookup,0),MATCH(G$11,[2]!rng_ForecastColumnLookup,0))</f>
        <v>182.98846429350866</v>
      </c>
      <c r="H15" s="112">
        <f>INDEX([2]!tbl_Forecast,MATCH($D$8&amp;$C15&amp;$D$7,[2]!rng_ForecastRowLookup,0),MATCH(H$11,[2]!rng_ForecastColumnLookup,0))</f>
        <v>182.43949890062811</v>
      </c>
      <c r="I15" s="112">
        <f>INDEX([2]!tbl_Forecast,MATCH($D$8&amp;$C15&amp;$D$7,[2]!rng_ForecastRowLookup,0),MATCH(I$11,[2]!rng_ForecastColumnLookup,0))</f>
        <v>181.89218040392623</v>
      </c>
      <c r="J15" s="112">
        <f>INDEX([2]!tbl_Forecast,MATCH($D$8&amp;$C15&amp;$D$7,[2]!rng_ForecastRowLookup,0),MATCH(J$11,[2]!rng_ForecastColumnLookup,0))</f>
        <v>181.34650386271446</v>
      </c>
      <c r="K15" s="112">
        <f>INDEX([2]!tbl_Forecast,MATCH($D$8&amp;$C15&amp;$D$7,[2]!rng_ForecastRowLookup,0),MATCH(K$11,[2]!rng_ForecastColumnLookup,0))</f>
        <v>180.80246435112633</v>
      </c>
      <c r="L15" s="112">
        <f>INDEX([2]!tbl_Forecast,MATCH($D$8&amp;$C15&amp;$D$7,[2]!rng_ForecastRowLookup,0),MATCH(L$11,[2]!rng_ForecastColumnLookup,0))</f>
        <v>180.26005695807294</v>
      </c>
      <c r="M15" s="112">
        <f>INDEX([2]!tbl_Forecast,MATCH($D$8&amp;$C15&amp;$D$7,[2]!rng_ForecastRowLookup,0),MATCH(M$11,[2]!rng_ForecastColumnLookup,0))</f>
        <v>179.71927678719871</v>
      </c>
      <c r="N15" s="112">
        <f>INDEX([2]!tbl_Forecast,MATCH($D$8&amp;$C15&amp;$D$7,[2]!rng_ForecastRowLookup,0),MATCH(N$11,[2]!rng_ForecastColumnLookup,0))</f>
        <v>179.18011895683713</v>
      </c>
      <c r="O15" s="112">
        <f>INDEX([2]!tbl_Forecast,MATCH($D$8&amp;$C15&amp;$D$7,[2]!rng_ForecastRowLookup,0),MATCH(O$11,[2]!rng_ForecastColumnLookup,0))</f>
        <v>178.64257859996661</v>
      </c>
      <c r="P15" s="112">
        <f>INDEX([2]!tbl_Forecast,MATCH($D$8&amp;$C15&amp;$D$7,[2]!rng_ForecastRowLookup,0),MATCH(P$11,[2]!rng_ForecastColumnLookup,0))</f>
        <v>178.10665086416668</v>
      </c>
      <c r="Q15" s="112">
        <f>INDEX([2]!tbl_Forecast,MATCH($D$8&amp;$C15&amp;$D$7,[2]!rng_ForecastRowLookup,0),MATCH(Q$11,[2]!rng_ForecastColumnLookup,0))</f>
        <v>177.57233091157423</v>
      </c>
      <c r="R15" s="112">
        <f>INDEX([2]!tbl_Forecast,MATCH($D$8&amp;$C15&amp;$D$7,[2]!rng_ForecastRowLookup,0),MATCH(R$11,[2]!rng_ForecastColumnLookup,0))</f>
        <v>177.03961391883951</v>
      </c>
      <c r="S15" s="112">
        <f>INDEX([2]!tbl_Forecast,MATCH($D$8&amp;$C15&amp;$D$7,[2]!rng_ForecastRowLookup,0),MATCH(S$11,[2]!rng_ForecastColumnLookup,0))</f>
        <v>176.50849507708296</v>
      </c>
      <c r="T15" s="112">
        <f>INDEX([2]!tbl_Forecast,MATCH($D$8&amp;$C15&amp;$D$7,[2]!rng_ForecastRowLookup,0),MATCH(T$11,[2]!rng_ForecastColumnLookup,0))</f>
        <v>175.97896959185172</v>
      </c>
      <c r="U15" s="112">
        <f>INDEX([2]!tbl_Forecast,MATCH($D$8&amp;$C15&amp;$D$7,[2]!rng_ForecastRowLookup,0),MATCH(U$11,[2]!rng_ForecastColumnLookup,0))</f>
        <v>175.45103268307616</v>
      </c>
      <c r="V15" s="112">
        <f>INDEX([2]!tbl_Forecast,MATCH($D$8&amp;$C15&amp;$D$7,[2]!rng_ForecastRowLookup,0),MATCH(V$11,[2]!rng_ForecastColumnLookup,0))</f>
        <v>174.92467958502692</v>
      </c>
      <c r="W15" s="112">
        <f>INDEX([2]!tbl_Forecast,MATCH($D$8&amp;$C15&amp;$D$7,[2]!rng_ForecastRowLookup,0),MATCH(W$11,[2]!rng_ForecastColumnLookup,0))</f>
        <v>174.39990554627184</v>
      </c>
      <c r="X15" s="112">
        <f>INDEX([2]!tbl_Forecast,MATCH($D$8&amp;$C15&amp;$D$7,[2]!rng_ForecastRowLookup,0),MATCH(X$11,[2]!rng_ForecastColumnLookup,0))</f>
        <v>173.87670582963304</v>
      </c>
      <c r="Y15" s="45"/>
    </row>
    <row r="16" spans="1:25">
      <c r="C16" s="98" t="s">
        <v>397</v>
      </c>
      <c r="E16" s="112">
        <f>INDEX([2]!tbl_Forecast,MATCH($D$8&amp;$C16&amp;$D$7,[2]!rng_ForecastRowLookup,0),MATCH(E$11,[2]!rng_ForecastColumnLookup,0))</f>
        <v>138.35734062238015</v>
      </c>
      <c r="F16" s="112">
        <f>INDEX([2]!tbl_Forecast,MATCH($D$8&amp;$C16&amp;$D$7,[2]!rng_ForecastRowLookup,0),MATCH(F$11,[2]!rng_ForecastColumnLookup,0))</f>
        <v>137.7208968555172</v>
      </c>
      <c r="G16" s="112">
        <f>INDEX([2]!tbl_Forecast,MATCH($D$8&amp;$C16&amp;$D$7,[2]!rng_ForecastRowLookup,0),MATCH(G$11,[2]!rng_ForecastColumnLookup,0))</f>
        <v>137.08738072998179</v>
      </c>
      <c r="H16" s="112">
        <f>INDEX([2]!tbl_Forecast,MATCH($D$8&amp;$C16&amp;$D$7,[2]!rng_ForecastRowLookup,0),MATCH(H$11,[2]!rng_ForecastColumnLookup,0))</f>
        <v>136.45677877862389</v>
      </c>
      <c r="I16" s="112">
        <f>INDEX([2]!tbl_Forecast,MATCH($D$8&amp;$C16&amp;$D$7,[2]!rng_ForecastRowLookup,0),MATCH(I$11,[2]!rng_ForecastColumnLookup,0))</f>
        <v>135.8290775962422</v>
      </c>
      <c r="J16" s="112">
        <f>INDEX([2]!tbl_Forecast,MATCH($D$8&amp;$C16&amp;$D$7,[2]!rng_ForecastRowLookup,0),MATCH(J$11,[2]!rng_ForecastColumnLookup,0))</f>
        <v>135.20426383929947</v>
      </c>
      <c r="K16" s="112">
        <f>INDEX([2]!tbl_Forecast,MATCH($D$8&amp;$C16&amp;$D$7,[2]!rng_ForecastRowLookup,0),MATCH(K$11,[2]!rng_ForecastColumnLookup,0))</f>
        <v>134.5823242256387</v>
      </c>
      <c r="L16" s="112">
        <f>INDEX([2]!tbl_Forecast,MATCH($D$8&amp;$C16&amp;$D$7,[2]!rng_ForecastRowLookup,0),MATCH(L$11,[2]!rng_ForecastColumnLookup,0))</f>
        <v>133.96324553420075</v>
      </c>
      <c r="M16" s="112">
        <f>INDEX([2]!tbl_Forecast,MATCH($D$8&amp;$C16&amp;$D$7,[2]!rng_ForecastRowLookup,0),MATCH(M$11,[2]!rng_ForecastColumnLookup,0))</f>
        <v>133.34701460474344</v>
      </c>
      <c r="N16" s="112">
        <f>INDEX([2]!tbl_Forecast,MATCH($D$8&amp;$C16&amp;$D$7,[2]!rng_ForecastRowLookup,0),MATCH(N$11,[2]!rng_ForecastColumnLookup,0))</f>
        <v>132.73361833756161</v>
      </c>
      <c r="O16" s="112">
        <f>INDEX([2]!tbl_Forecast,MATCH($D$8&amp;$C16&amp;$D$7,[2]!rng_ForecastRowLookup,0),MATCH(O$11,[2]!rng_ForecastColumnLookup,0))</f>
        <v>132.12304369320884</v>
      </c>
      <c r="P16" s="112">
        <f>INDEX([2]!tbl_Forecast,MATCH($D$8&amp;$C16&amp;$D$7,[2]!rng_ForecastRowLookup,0),MATCH(P$11,[2]!rng_ForecastColumnLookup,0))</f>
        <v>131.51527769222005</v>
      </c>
      <c r="Q16" s="112">
        <f>INDEX([2]!tbl_Forecast,MATCH($D$8&amp;$C16&amp;$D$7,[2]!rng_ForecastRowLookup,0),MATCH(Q$11,[2]!rng_ForecastColumnLookup,0))</f>
        <v>130.91030741483584</v>
      </c>
      <c r="R16" s="112">
        <f>INDEX([2]!tbl_Forecast,MATCH($D$8&amp;$C16&amp;$D$7,[2]!rng_ForecastRowLookup,0),MATCH(R$11,[2]!rng_ForecastColumnLookup,0))</f>
        <v>130.3081200007276</v>
      </c>
      <c r="S16" s="112">
        <f>INDEX([2]!tbl_Forecast,MATCH($D$8&amp;$C16&amp;$D$7,[2]!rng_ForecastRowLookup,0),MATCH(S$11,[2]!rng_ForecastColumnLookup,0))</f>
        <v>129.70870264872423</v>
      </c>
      <c r="T16" s="112">
        <f>INDEX([2]!tbl_Forecast,MATCH($D$8&amp;$C16&amp;$D$7,[2]!rng_ForecastRowLookup,0),MATCH(T$11,[2]!rng_ForecastColumnLookup,0))</f>
        <v>129.11204261654012</v>
      </c>
      <c r="U16" s="112">
        <f>INDEX([2]!tbl_Forecast,MATCH($D$8&amp;$C16&amp;$D$7,[2]!rng_ForecastRowLookup,0),MATCH(U$11,[2]!rng_ForecastColumnLookup,0))</f>
        <v>128.51812722050403</v>
      </c>
      <c r="V16" s="112">
        <f>INDEX([2]!tbl_Forecast,MATCH($D$8&amp;$C16&amp;$D$7,[2]!rng_ForecastRowLookup,0),MATCH(V$11,[2]!rng_ForecastColumnLookup,0))</f>
        <v>127.92694383528971</v>
      </c>
      <c r="W16" s="112">
        <f>INDEX([2]!tbl_Forecast,MATCH($D$8&amp;$C16&amp;$D$7,[2]!rng_ForecastRowLookup,0),MATCH(W$11,[2]!rng_ForecastColumnLookup,0))</f>
        <v>127.33847989364737</v>
      </c>
      <c r="X16" s="112">
        <f>INDEX([2]!tbl_Forecast,MATCH($D$8&amp;$C16&amp;$D$7,[2]!rng_ForecastRowLookup,0),MATCH(X$11,[2]!rng_ForecastColumnLookup,0))</f>
        <v>126.75272288613657</v>
      </c>
      <c r="Y16" s="45"/>
    </row>
    <row r="17" spans="2:25">
      <c r="C17" s="98" t="s">
        <v>391</v>
      </c>
      <c r="E17" s="112">
        <f>INDEX([2]!tbl_Forecast,MATCH($D$8&amp;$C17&amp;$D$7,[2]!rng_ForecastRowLookup,0),MATCH(E$11,[2]!rng_ForecastColumnLookup,0))</f>
        <v>208.9574509880029</v>
      </c>
      <c r="F17" s="112">
        <f>INDEX([2]!tbl_Forecast,MATCH($D$8&amp;$C17&amp;$D$7,[2]!rng_ForecastRowLookup,0),MATCH(F$11,[2]!rng_ForecastColumnLookup,0))</f>
        <v>207.99624671345808</v>
      </c>
      <c r="G17" s="112">
        <f>INDEX([2]!tbl_Forecast,MATCH($D$8&amp;$C17&amp;$D$7,[2]!rng_ForecastRowLookup,0),MATCH(G$11,[2]!rng_ForecastColumnLookup,0))</f>
        <v>207.03946397857615</v>
      </c>
      <c r="H17" s="112">
        <f>INDEX([2]!tbl_Forecast,MATCH($D$8&amp;$C17&amp;$D$7,[2]!rng_ForecastRowLookup,0),MATCH(H$11,[2]!rng_ForecastColumnLookup,0))</f>
        <v>206.0870824442747</v>
      </c>
      <c r="I17" s="112">
        <f>INDEX([2]!tbl_Forecast,MATCH($D$8&amp;$C17&amp;$D$7,[2]!rng_ForecastRowLookup,0),MATCH(I$11,[2]!rng_ForecastColumnLookup,0))</f>
        <v>205.13908186503102</v>
      </c>
      <c r="J17" s="112">
        <f>INDEX([2]!tbl_Forecast,MATCH($D$8&amp;$C17&amp;$D$7,[2]!rng_ForecastRowLookup,0),MATCH(J$11,[2]!rng_ForecastColumnLookup,0))</f>
        <v>204.1954420884519</v>
      </c>
      <c r="K17" s="112">
        <f>INDEX([2]!tbl_Forecast,MATCH($D$8&amp;$C17&amp;$D$7,[2]!rng_ForecastRowLookup,0),MATCH(K$11,[2]!rng_ForecastColumnLookup,0))</f>
        <v>203.25614305484498</v>
      </c>
      <c r="L17" s="112">
        <f>INDEX([2]!tbl_Forecast,MATCH($D$8&amp;$C17&amp;$D$7,[2]!rng_ForecastRowLookup,0),MATCH(L$11,[2]!rng_ForecastColumnLookup,0))</f>
        <v>202.32116479679266</v>
      </c>
      <c r="M17" s="112">
        <f>INDEX([2]!tbl_Forecast,MATCH($D$8&amp;$C17&amp;$D$7,[2]!rng_ForecastRowLookup,0),MATCH(M$11,[2]!rng_ForecastColumnLookup,0))</f>
        <v>201.3904874387274</v>
      </c>
      <c r="N17" s="112">
        <f>INDEX([2]!tbl_Forecast,MATCH($D$8&amp;$C17&amp;$D$7,[2]!rng_ForecastRowLookup,0),MATCH(N$11,[2]!rng_ForecastColumnLookup,0))</f>
        <v>200.46409119650929</v>
      </c>
      <c r="O17" s="112">
        <f>INDEX([2]!tbl_Forecast,MATCH($D$8&amp;$C17&amp;$D$7,[2]!rng_ForecastRowLookup,0),MATCH(O$11,[2]!rng_ForecastColumnLookup,0))</f>
        <v>199.54195637700533</v>
      </c>
      <c r="P17" s="112">
        <f>INDEX([2]!tbl_Forecast,MATCH($D$8&amp;$C17&amp;$D$7,[2]!rng_ForecastRowLookup,0),MATCH(P$11,[2]!rng_ForecastColumnLookup,0))</f>
        <v>198.62406337767112</v>
      </c>
      <c r="Q17" s="112">
        <f>INDEX([2]!tbl_Forecast,MATCH($D$8&amp;$C17&amp;$D$7,[2]!rng_ForecastRowLookup,0),MATCH(Q$11,[2]!rng_ForecastColumnLookup,0))</f>
        <v>197.71039268613379</v>
      </c>
      <c r="R17" s="112">
        <f>INDEX([2]!tbl_Forecast,MATCH($D$8&amp;$C17&amp;$D$7,[2]!rng_ForecastRowLookup,0),MATCH(R$11,[2]!rng_ForecastColumnLookup,0))</f>
        <v>196.8009248797776</v>
      </c>
      <c r="S17" s="112">
        <f>INDEX([2]!tbl_Forecast,MATCH($D$8&amp;$C17&amp;$D$7,[2]!rng_ForecastRowLookup,0),MATCH(S$11,[2]!rng_ForecastColumnLookup,0))</f>
        <v>195.8956406253306</v>
      </c>
      <c r="T17" s="112">
        <f>INDEX([2]!tbl_Forecast,MATCH($D$8&amp;$C17&amp;$D$7,[2]!rng_ForecastRowLookup,0),MATCH(T$11,[2]!rng_ForecastColumnLookup,0))</f>
        <v>194.99452067845405</v>
      </c>
      <c r="U17" s="112">
        <f>INDEX([2]!tbl_Forecast,MATCH($D$8&amp;$C17&amp;$D$7,[2]!rng_ForecastRowLookup,0),MATCH(U$11,[2]!rng_ForecastColumnLookup,0))</f>
        <v>194.09754588333314</v>
      </c>
      <c r="V17" s="112">
        <f>INDEX([2]!tbl_Forecast,MATCH($D$8&amp;$C17&amp;$D$7,[2]!rng_ForecastRowLookup,0),MATCH(V$11,[2]!rng_ForecastColumnLookup,0))</f>
        <v>193.20469717226982</v>
      </c>
      <c r="W17" s="112">
        <f>INDEX([2]!tbl_Forecast,MATCH($D$8&amp;$C17&amp;$D$7,[2]!rng_ForecastRowLookup,0),MATCH(W$11,[2]!rng_ForecastColumnLookup,0))</f>
        <v>192.31595556527733</v>
      </c>
      <c r="X17" s="112">
        <f>INDEX([2]!tbl_Forecast,MATCH($D$8&amp;$C17&amp;$D$7,[2]!rng_ForecastRowLookup,0),MATCH(X$11,[2]!rng_ForecastColumnLookup,0))</f>
        <v>191.43130216967708</v>
      </c>
      <c r="Y17" s="45"/>
    </row>
    <row r="18" spans="2:25">
      <c r="C18" s="98" t="s">
        <v>392</v>
      </c>
      <c r="E18" s="112">
        <f>INDEX([2]!tbl_Forecast,MATCH($D$8&amp;$C18&amp;$D$7,[2]!rng_ForecastRowLookup,0),MATCH(E$11,[2]!rng_ForecastColumnLookup,0))</f>
        <v>97.115689913224898</v>
      </c>
      <c r="F18" s="112">
        <f>INDEX([2]!tbl_Forecast,MATCH($D$8&amp;$C18&amp;$D$7,[2]!rng_ForecastRowLookup,0),MATCH(F$11,[2]!rng_ForecastColumnLookup,0))</f>
        <v>96.668957739624062</v>
      </c>
      <c r="G18" s="112">
        <f>INDEX([2]!tbl_Forecast,MATCH($D$8&amp;$C18&amp;$D$7,[2]!rng_ForecastRowLookup,0),MATCH(G$11,[2]!rng_ForecastColumnLookup,0))</f>
        <v>96.224280534021787</v>
      </c>
      <c r="H18" s="112">
        <f>INDEX([2]!tbl_Forecast,MATCH($D$8&amp;$C18&amp;$D$7,[2]!rng_ForecastRowLookup,0),MATCH(H$11,[2]!rng_ForecastColumnLookup,0))</f>
        <v>95.781648843565293</v>
      </c>
      <c r="I18" s="112">
        <f>INDEX([2]!tbl_Forecast,MATCH($D$8&amp;$C18&amp;$D$7,[2]!rng_ForecastRowLookup,0),MATCH(I$11,[2]!rng_ForecastColumnLookup,0))</f>
        <v>95.34105325888487</v>
      </c>
      <c r="J18" s="112">
        <f>INDEX([2]!tbl_Forecast,MATCH($D$8&amp;$C18&amp;$D$7,[2]!rng_ForecastRowLookup,0),MATCH(J$11,[2]!rng_ForecastColumnLookup,0))</f>
        <v>94.902484413894001</v>
      </c>
      <c r="K18" s="112">
        <f>INDEX([2]!tbl_Forecast,MATCH($D$8&amp;$C18&amp;$D$7,[2]!rng_ForecastRowLookup,0),MATCH(K$11,[2]!rng_ForecastColumnLookup,0))</f>
        <v>94.465932985590086</v>
      </c>
      <c r="L18" s="112">
        <f>INDEX([2]!tbl_Forecast,MATCH($D$8&amp;$C18&amp;$D$7,[2]!rng_ForecastRowLookup,0),MATCH(L$11,[2]!rng_ForecastColumnLookup,0))</f>
        <v>94.031389693856369</v>
      </c>
      <c r="M18" s="112">
        <f>INDEX([2]!tbl_Forecast,MATCH($D$8&amp;$C18&amp;$D$7,[2]!rng_ForecastRowLookup,0),MATCH(M$11,[2]!rng_ForecastColumnLookup,0))</f>
        <v>93.598845301264618</v>
      </c>
      <c r="N18" s="112">
        <f>INDEX([2]!tbl_Forecast,MATCH($D$8&amp;$C18&amp;$D$7,[2]!rng_ForecastRowLookup,0),MATCH(N$11,[2]!rng_ForecastColumnLookup,0))</f>
        <v>93.168290612878806</v>
      </c>
      <c r="O18" s="112">
        <f>INDEX([2]!tbl_Forecast,MATCH($D$8&amp;$C18&amp;$D$7,[2]!rng_ForecastRowLookup,0),MATCH(O$11,[2]!rng_ForecastColumnLookup,0))</f>
        <v>92.739716476059556</v>
      </c>
      <c r="P18" s="112">
        <f>INDEX([2]!tbl_Forecast,MATCH($D$8&amp;$C18&amp;$D$7,[2]!rng_ForecastRowLookup,0),MATCH(P$11,[2]!rng_ForecastColumnLookup,0))</f>
        <v>92.313113780269674</v>
      </c>
      <c r="Q18" s="112">
        <f>INDEX([2]!tbl_Forecast,MATCH($D$8&amp;$C18&amp;$D$7,[2]!rng_ForecastRowLookup,0),MATCH(Q$11,[2]!rng_ForecastColumnLookup,0))</f>
        <v>91.888473456880433</v>
      </c>
      <c r="R18" s="112">
        <f>INDEX([2]!tbl_Forecast,MATCH($D$8&amp;$C18&amp;$D$7,[2]!rng_ForecastRowLookup,0),MATCH(R$11,[2]!rng_ForecastColumnLookup,0))</f>
        <v>91.465786478978771</v>
      </c>
      <c r="S18" s="112">
        <f>INDEX([2]!tbl_Forecast,MATCH($D$8&amp;$C18&amp;$D$7,[2]!rng_ForecastRowLookup,0),MATCH(S$11,[2]!rng_ForecastColumnLookup,0))</f>
        <v>91.045043861175472</v>
      </c>
      <c r="T18" s="112">
        <f>INDEX([2]!tbl_Forecast,MATCH($D$8&amp;$C18&amp;$D$7,[2]!rng_ForecastRowLookup,0),MATCH(T$11,[2]!rng_ForecastColumnLookup,0))</f>
        <v>90.626236659414062</v>
      </c>
      <c r="U18" s="112">
        <f>INDEX([2]!tbl_Forecast,MATCH($D$8&amp;$C18&amp;$D$7,[2]!rng_ForecastRowLookup,0),MATCH(U$11,[2]!rng_ForecastColumnLookup,0))</f>
        <v>90.209355970780734</v>
      </c>
      <c r="V18" s="112">
        <f>INDEX([2]!tbl_Forecast,MATCH($D$8&amp;$C18&amp;$D$7,[2]!rng_ForecastRowLookup,0),MATCH(V$11,[2]!rng_ForecastColumnLookup,0))</f>
        <v>89.794392933315152</v>
      </c>
      <c r="W18" s="112">
        <f>INDEX([2]!tbl_Forecast,MATCH($D$8&amp;$C18&amp;$D$7,[2]!rng_ForecastRowLookup,0),MATCH(W$11,[2]!rng_ForecastColumnLookup,0))</f>
        <v>89.381338725821905</v>
      </c>
      <c r="X18" s="112">
        <f>INDEX([2]!tbl_Forecast,MATCH($D$8&amp;$C18&amp;$D$7,[2]!rng_ForecastRowLookup,0),MATCH(X$11,[2]!rng_ForecastColumnLookup,0))</f>
        <v>88.97018456768312</v>
      </c>
      <c r="Y18" s="45"/>
    </row>
    <row r="19" spans="2:25">
      <c r="C19" s="98" t="s">
        <v>393</v>
      </c>
      <c r="E19" s="112">
        <f>INDEX([2]!tbl_Forecast,MATCH($D$8&amp;$C19&amp;$D$7,[2]!rng_ForecastRowLookup,0),MATCH(E$11,[2]!rng_ForecastColumnLookup,0))</f>
        <v>109.47966092768364</v>
      </c>
      <c r="F19" s="112">
        <f>INDEX([2]!tbl_Forecast,MATCH($D$8&amp;$C19&amp;$D$7,[2]!rng_ForecastRowLookup,0),MATCH(F$11,[2]!rng_ForecastColumnLookup,0))</f>
        <v>108.97605448741629</v>
      </c>
      <c r="G19" s="112">
        <f>INDEX([2]!tbl_Forecast,MATCH($D$8&amp;$C19&amp;$D$7,[2]!rng_ForecastRowLookup,0),MATCH(G$11,[2]!rng_ForecastColumnLookup,0))</f>
        <v>108.47476463677417</v>
      </c>
      <c r="H19" s="112">
        <f>INDEX([2]!tbl_Forecast,MATCH($D$8&amp;$C19&amp;$D$7,[2]!rng_ForecastRowLookup,0),MATCH(H$11,[2]!rng_ForecastColumnLookup,0))</f>
        <v>107.975780719445</v>
      </c>
      <c r="I19" s="112">
        <f>INDEX([2]!tbl_Forecast,MATCH($D$8&amp;$C19&amp;$D$7,[2]!rng_ForecastRowLookup,0),MATCH(I$11,[2]!rng_ForecastColumnLookup,0))</f>
        <v>107.47909212813555</v>
      </c>
      <c r="J19" s="112">
        <f>INDEX([2]!tbl_Forecast,MATCH($D$8&amp;$C19&amp;$D$7,[2]!rng_ForecastRowLookup,0),MATCH(J$11,[2]!rng_ForecastColumnLookup,0))</f>
        <v>106.98468830434612</v>
      </c>
      <c r="K19" s="112">
        <f>INDEX([2]!tbl_Forecast,MATCH($D$8&amp;$C19&amp;$D$7,[2]!rng_ForecastRowLookup,0),MATCH(K$11,[2]!rng_ForecastColumnLookup,0))</f>
        <v>106.49255873814613</v>
      </c>
      <c r="L19" s="112">
        <f>INDEX([2]!tbl_Forecast,MATCH($D$8&amp;$C19&amp;$D$7,[2]!rng_ForecastRowLookup,0),MATCH(L$11,[2]!rng_ForecastColumnLookup,0))</f>
        <v>106.00269296795065</v>
      </c>
      <c r="M19" s="112">
        <f>INDEX([2]!tbl_Forecast,MATCH($D$8&amp;$C19&amp;$D$7,[2]!rng_ForecastRowLookup,0),MATCH(M$11,[2]!rng_ForecastColumnLookup,0))</f>
        <v>105.51508058029808</v>
      </c>
      <c r="N19" s="112">
        <f>INDEX([2]!tbl_Forecast,MATCH($D$8&amp;$C19&amp;$D$7,[2]!rng_ForecastRowLookup,0),MATCH(N$11,[2]!rng_ForecastColumnLookup,0))</f>
        <v>105.0297112096287</v>
      </c>
      <c r="O19" s="112">
        <f>INDEX([2]!tbl_Forecast,MATCH($D$8&amp;$C19&amp;$D$7,[2]!rng_ForecastRowLookup,0),MATCH(O$11,[2]!rng_ForecastColumnLookup,0))</f>
        <v>104.54657453806439</v>
      </c>
      <c r="P19" s="112">
        <f>INDEX([2]!tbl_Forecast,MATCH($D$8&amp;$C19&amp;$D$7,[2]!rng_ForecastRowLookup,0),MATCH(P$11,[2]!rng_ForecastColumnLookup,0))</f>
        <v>104.0656602951893</v>
      </c>
      <c r="Q19" s="112">
        <f>INDEX([2]!tbl_Forecast,MATCH($D$8&amp;$C19&amp;$D$7,[2]!rng_ForecastRowLookup,0),MATCH(Q$11,[2]!rng_ForecastColumnLookup,0))</f>
        <v>103.58695825783141</v>
      </c>
      <c r="R19" s="112">
        <f>INDEX([2]!tbl_Forecast,MATCH($D$8&amp;$C19&amp;$D$7,[2]!rng_ForecastRowLookup,0),MATCH(R$11,[2]!rng_ForecastColumnLookup,0))</f>
        <v>103.11045824984539</v>
      </c>
      <c r="S19" s="112">
        <f>INDEX([2]!tbl_Forecast,MATCH($D$8&amp;$C19&amp;$D$7,[2]!rng_ForecastRowLookup,0),MATCH(S$11,[2]!rng_ForecastColumnLookup,0))</f>
        <v>102.6361501418961</v>
      </c>
      <c r="T19" s="112">
        <f>INDEX([2]!tbl_Forecast,MATCH($D$8&amp;$C19&amp;$D$7,[2]!rng_ForecastRowLookup,0),MATCH(T$11,[2]!rng_ForecastColumnLookup,0))</f>
        <v>102.16402385124337</v>
      </c>
      <c r="U19" s="112">
        <f>INDEX([2]!tbl_Forecast,MATCH($D$8&amp;$C19&amp;$D$7,[2]!rng_ForecastRowLookup,0),MATCH(U$11,[2]!rng_ForecastColumnLookup,0))</f>
        <v>101.69406934152764</v>
      </c>
      <c r="V19" s="112">
        <f>INDEX([2]!tbl_Forecast,MATCH($D$8&amp;$C19&amp;$D$7,[2]!rng_ForecastRowLookup,0),MATCH(V$11,[2]!rng_ForecastColumnLookup,0))</f>
        <v>101.2262766225566</v>
      </c>
      <c r="W19" s="112">
        <f>INDEX([2]!tbl_Forecast,MATCH($D$8&amp;$C19&amp;$D$7,[2]!rng_ForecastRowLookup,0),MATCH(W$11,[2]!rng_ForecastColumnLookup,0))</f>
        <v>100.76063575009285</v>
      </c>
      <c r="X19" s="112">
        <f>INDEX([2]!tbl_Forecast,MATCH($D$8&amp;$C19&amp;$D$7,[2]!rng_ForecastRowLookup,0),MATCH(X$11,[2]!rng_ForecastColumnLookup,0))</f>
        <v>100.29713682564241</v>
      </c>
      <c r="Y19" s="45"/>
    </row>
    <row r="20" spans="2:25">
      <c r="C20" s="20" t="s">
        <v>394</v>
      </c>
      <c r="E20" s="112">
        <f>INDEX([2]!tbl_Forecast,MATCH($D$8&amp;$C20&amp;$D$7,[2]!rng_ForecastRowLookup,0),MATCH(E$11,[2]!rng_ForecastColumnLookup,0))</f>
        <v>241.11763975818661</v>
      </c>
      <c r="F20" s="112">
        <f>INDEX([2]!tbl_Forecast,MATCH($D$8&amp;$C20&amp;$D$7,[2]!rng_ForecastRowLookup,0),MATCH(F$11,[2]!rng_ForecastColumnLookup,0))</f>
        <v>240.12905743517803</v>
      </c>
      <c r="G20" s="112">
        <f>INDEX([2]!tbl_Forecast,MATCH($D$8&amp;$C20&amp;$D$7,[2]!rng_ForecastRowLookup,0),MATCH(G$11,[2]!rng_ForecastColumnLookup,0))</f>
        <v>239.14452829969383</v>
      </c>
      <c r="H20" s="112">
        <f>INDEX([2]!tbl_Forecast,MATCH($D$8&amp;$C20&amp;$D$7,[2]!rng_ForecastRowLookup,0),MATCH(H$11,[2]!rng_ForecastColumnLookup,0))</f>
        <v>238.16403573366509</v>
      </c>
      <c r="I20" s="112">
        <f>INDEX([2]!tbl_Forecast,MATCH($D$8&amp;$C20&amp;$D$7,[2]!rng_ForecastRowLookup,0),MATCH(I$11,[2]!rng_ForecastColumnLookup,0))</f>
        <v>237.18756318715711</v>
      </c>
      <c r="J20" s="112">
        <f>INDEX([2]!tbl_Forecast,MATCH($D$8&amp;$C20&amp;$D$7,[2]!rng_ForecastRowLookup,0),MATCH(J$11,[2]!rng_ForecastColumnLookup,0))</f>
        <v>236.21509417808971</v>
      </c>
      <c r="K20" s="112">
        <f>INDEX([2]!tbl_Forecast,MATCH($D$8&amp;$C20&amp;$D$7,[2]!rng_ForecastRowLookup,0),MATCH(K$11,[2]!rng_ForecastColumnLookup,0))</f>
        <v>235.24661229195956</v>
      </c>
      <c r="L20" s="112">
        <f>INDEX([2]!tbl_Forecast,MATCH($D$8&amp;$C20&amp;$D$7,[2]!rng_ForecastRowLookup,0),MATCH(L$11,[2]!rng_ForecastColumnLookup,0))</f>
        <v>234.28210118156252</v>
      </c>
      <c r="M20" s="112">
        <f>INDEX([2]!tbl_Forecast,MATCH($D$8&amp;$C20&amp;$D$7,[2]!rng_ForecastRowLookup,0),MATCH(M$11,[2]!rng_ForecastColumnLookup,0))</f>
        <v>233.32154456671807</v>
      </c>
      <c r="N20" s="112">
        <f>INDEX([2]!tbl_Forecast,MATCH($D$8&amp;$C20&amp;$D$7,[2]!rng_ForecastRowLookup,0),MATCH(N$11,[2]!rng_ForecastColumnLookup,0))</f>
        <v>232.36492623399457</v>
      </c>
      <c r="O20" s="112">
        <f>INDEX([2]!tbl_Forecast,MATCH($D$8&amp;$C20&amp;$D$7,[2]!rng_ForecastRowLookup,0),MATCH(O$11,[2]!rng_ForecastColumnLookup,0))</f>
        <v>231.41223003643518</v>
      </c>
      <c r="P20" s="112">
        <f>INDEX([2]!tbl_Forecast,MATCH($D$8&amp;$C20&amp;$D$7,[2]!rng_ForecastRowLookup,0),MATCH(P$11,[2]!rng_ForecastColumnLookup,0))</f>
        <v>230.46343989328579</v>
      </c>
      <c r="Q20" s="112">
        <f>INDEX([2]!tbl_Forecast,MATCH($D$8&amp;$C20&amp;$D$7,[2]!rng_ForecastRowLookup,0),MATCH(Q$11,[2]!rng_ForecastColumnLookup,0))</f>
        <v>229.51853978972335</v>
      </c>
      <c r="R20" s="112">
        <f>INDEX([2]!tbl_Forecast,MATCH($D$8&amp;$C20&amp;$D$7,[2]!rng_ForecastRowLookup,0),MATCH(R$11,[2]!rng_ForecastColumnLookup,0))</f>
        <v>228.57751377658545</v>
      </c>
      <c r="S20" s="112">
        <f>INDEX([2]!tbl_Forecast,MATCH($D$8&amp;$C20&amp;$D$7,[2]!rng_ForecastRowLookup,0),MATCH(S$11,[2]!rng_ForecastColumnLookup,0))</f>
        <v>227.64034597010144</v>
      </c>
      <c r="T20" s="112">
        <f>INDEX([2]!tbl_Forecast,MATCH($D$8&amp;$C20&amp;$D$7,[2]!rng_ForecastRowLookup,0),MATCH(T$11,[2]!rng_ForecastColumnLookup,0))</f>
        <v>226.70702055162403</v>
      </c>
      <c r="U20" s="112">
        <f>INDEX([2]!tbl_Forecast,MATCH($D$8&amp;$C20&amp;$D$7,[2]!rng_ForecastRowLookup,0),MATCH(U$11,[2]!rng_ForecastColumnLookup,0))</f>
        <v>225.77752176736234</v>
      </c>
      <c r="V20" s="112">
        <f>INDEX([2]!tbl_Forecast,MATCH($D$8&amp;$C20&amp;$D$7,[2]!rng_ForecastRowLookup,0),MATCH(V$11,[2]!rng_ForecastColumnLookup,0))</f>
        <v>224.85183392811618</v>
      </c>
      <c r="W20" s="112">
        <f>INDEX([2]!tbl_Forecast,MATCH($D$8&amp;$C20&amp;$D$7,[2]!rng_ForecastRowLookup,0),MATCH(W$11,[2]!rng_ForecastColumnLookup,0))</f>
        <v>223.92994140901092</v>
      </c>
      <c r="X20" s="112">
        <f>INDEX([2]!tbl_Forecast,MATCH($D$8&amp;$C20&amp;$D$7,[2]!rng_ForecastRowLookup,0),MATCH(X$11,[2]!rng_ForecastColumnLookup,0))</f>
        <v>223.01182864923393</v>
      </c>
      <c r="Y20" s="45"/>
    </row>
    <row r="21" spans="2:25">
      <c r="C21" s="20" t="s">
        <v>375</v>
      </c>
      <c r="E21" s="112">
        <f>INDEX([2]!tbl_Forecast,MATCH($D$8&amp;$C21&amp;$D$7,[2]!rng_ForecastRowLookup,0),MATCH(E$11,[2]!rng_ForecastColumnLookup,0))</f>
        <v>122.15340627232256</v>
      </c>
      <c r="F21" s="112">
        <f>INDEX([2]!tbl_Forecast,MATCH($D$8&amp;$C21&amp;$D$7,[2]!rng_ForecastRowLookup,0),MATCH(F$11,[2]!rng_ForecastColumnLookup,0))</f>
        <v>121.65257730660603</v>
      </c>
      <c r="G21" s="112">
        <f>INDEX([2]!tbl_Forecast,MATCH($D$8&amp;$C21&amp;$D$7,[2]!rng_ForecastRowLookup,0),MATCH(G$11,[2]!rng_ForecastColumnLookup,0))</f>
        <v>121.15380173964894</v>
      </c>
      <c r="H21" s="112">
        <f>INDEX([2]!tbl_Forecast,MATCH($D$8&amp;$C21&amp;$D$7,[2]!rng_ForecastRowLookup,0),MATCH(H$11,[2]!rng_ForecastColumnLookup,0))</f>
        <v>120.65707115251638</v>
      </c>
      <c r="I21" s="112">
        <f>INDEX([2]!tbl_Forecast,MATCH($D$8&amp;$C21&amp;$D$7,[2]!rng_ForecastRowLookup,0),MATCH(I$11,[2]!rng_ForecastColumnLookup,0))</f>
        <v>120.16237716079107</v>
      </c>
      <c r="J21" s="112">
        <f>INDEX([2]!tbl_Forecast,MATCH($D$8&amp;$C21&amp;$D$7,[2]!rng_ForecastRowLookup,0),MATCH(J$11,[2]!rng_ForecastColumnLookup,0))</f>
        <v>119.66971141443182</v>
      </c>
      <c r="K21" s="112">
        <f>INDEX([2]!tbl_Forecast,MATCH($D$8&amp;$C21&amp;$D$7,[2]!rng_ForecastRowLookup,0),MATCH(K$11,[2]!rng_ForecastColumnLookup,0))</f>
        <v>119.17906559763266</v>
      </c>
      <c r="L21" s="112">
        <f>INDEX([2]!tbl_Forecast,MATCH($D$8&amp;$C21&amp;$D$7,[2]!rng_ForecastRowLookup,0),MATCH(L$11,[2]!rng_ForecastColumnLookup,0))</f>
        <v>118.69043142868237</v>
      </c>
      <c r="M21" s="112">
        <f>INDEX([2]!tbl_Forecast,MATCH($D$8&amp;$C21&amp;$D$7,[2]!rng_ForecastRowLookup,0),MATCH(M$11,[2]!rng_ForecastColumnLookup,0))</f>
        <v>118.20380065982476</v>
      </c>
      <c r="N21" s="112">
        <f>INDEX([2]!tbl_Forecast,MATCH($D$8&amp;$C21&amp;$D$7,[2]!rng_ForecastRowLookup,0),MATCH(N$11,[2]!rng_ForecastColumnLookup,0))</f>
        <v>117.71916507711948</v>
      </c>
      <c r="O21" s="112">
        <f>INDEX([2]!tbl_Forecast,MATCH($D$8&amp;$C21&amp;$D$7,[2]!rng_ForecastRowLookup,0),MATCH(O$11,[2]!rng_ForecastColumnLookup,0))</f>
        <v>117.23651650030328</v>
      </c>
      <c r="P21" s="112">
        <f>INDEX([2]!tbl_Forecast,MATCH($D$8&amp;$C21&amp;$D$7,[2]!rng_ForecastRowLookup,0),MATCH(P$11,[2]!rng_ForecastColumnLookup,0))</f>
        <v>116.75584678265207</v>
      </c>
      <c r="Q21" s="112">
        <f>INDEX([2]!tbl_Forecast,MATCH($D$8&amp;$C21&amp;$D$7,[2]!rng_ForecastRowLookup,0),MATCH(Q$11,[2]!rng_ForecastColumnLookup,0))</f>
        <v>116.27714781084319</v>
      </c>
      <c r="R21" s="112">
        <f>INDEX([2]!tbl_Forecast,MATCH($D$8&amp;$C21&amp;$D$7,[2]!rng_ForecastRowLookup,0),MATCH(R$11,[2]!rng_ForecastColumnLookup,0))</f>
        <v>115.80041150481873</v>
      </c>
      <c r="S21" s="112">
        <f>INDEX([2]!tbl_Forecast,MATCH($D$8&amp;$C21&amp;$D$7,[2]!rng_ForecastRowLookup,0),MATCH(S$11,[2]!rng_ForecastColumnLookup,0))</f>
        <v>115.32562981764897</v>
      </c>
      <c r="T21" s="112">
        <f>INDEX([2]!tbl_Forecast,MATCH($D$8&amp;$C21&amp;$D$7,[2]!rng_ForecastRowLookup,0),MATCH(T$11,[2]!rng_ForecastColumnLookup,0))</f>
        <v>114.8527947353966</v>
      </c>
      <c r="U21" s="112">
        <f>INDEX([2]!tbl_Forecast,MATCH($D$8&amp;$C21&amp;$D$7,[2]!rng_ForecastRowLookup,0),MATCH(U$11,[2]!rng_ForecastColumnLookup,0))</f>
        <v>114.38189827698147</v>
      </c>
      <c r="V21" s="112">
        <f>INDEX([2]!tbl_Forecast,MATCH($D$8&amp;$C21&amp;$D$7,[2]!rng_ForecastRowLookup,0),MATCH(V$11,[2]!rng_ForecastColumnLookup,0))</f>
        <v>113.91293249404585</v>
      </c>
      <c r="W21" s="112">
        <f>INDEX([2]!tbl_Forecast,MATCH($D$8&amp;$C21&amp;$D$7,[2]!rng_ForecastRowLookup,0),MATCH(W$11,[2]!rng_ForecastColumnLookup,0))</f>
        <v>113.44588947082025</v>
      </c>
      <c r="X21" s="112">
        <f>INDEX([2]!tbl_Forecast,MATCH($D$8&amp;$C21&amp;$D$7,[2]!rng_ForecastRowLookup,0),MATCH(X$11,[2]!rng_ForecastColumnLookup,0))</f>
        <v>112.98076132398991</v>
      </c>
      <c r="Y21" s="45"/>
    </row>
    <row r="22" spans="2:25">
      <c r="C22" s="20" t="s">
        <v>376</v>
      </c>
      <c r="E22" s="112">
        <f>INDEX([2]!tbl_Forecast,MATCH($D$8&amp;$C22&amp;$D$7,[2]!rng_ForecastRowLookup,0),MATCH(E$11,[2]!rng_ForecastColumnLookup,0))</f>
        <v>448.69829599576161</v>
      </c>
      <c r="F22" s="112">
        <f>INDEX([2]!tbl_Forecast,MATCH($D$8&amp;$C22&amp;$D$7,[2]!rng_ForecastRowLookup,0),MATCH(F$11,[2]!rng_ForecastColumnLookup,0))</f>
        <v>447.03811230057732</v>
      </c>
      <c r="G22" s="112">
        <f>INDEX([2]!tbl_Forecast,MATCH($D$8&amp;$C22&amp;$D$7,[2]!rng_ForecastRowLookup,0),MATCH(G$11,[2]!rng_ForecastColumnLookup,0))</f>
        <v>445.3840712850652</v>
      </c>
      <c r="H22" s="112">
        <f>INDEX([2]!tbl_Forecast,MATCH($D$8&amp;$C22&amp;$D$7,[2]!rng_ForecastRowLookup,0),MATCH(H$11,[2]!rng_ForecastColumnLookup,0))</f>
        <v>443.73615022131042</v>
      </c>
      <c r="I22" s="112">
        <f>INDEX([2]!tbl_Forecast,MATCH($D$8&amp;$C22&amp;$D$7,[2]!rng_ForecastRowLookup,0),MATCH(I$11,[2]!rng_ForecastColumnLookup,0))</f>
        <v>442.09432646549152</v>
      </c>
      <c r="J22" s="112">
        <f>INDEX([2]!tbl_Forecast,MATCH($D$8&amp;$C22&amp;$D$7,[2]!rng_ForecastRowLookup,0),MATCH(J$11,[2]!rng_ForecastColumnLookup,0))</f>
        <v>440.45857745756916</v>
      </c>
      <c r="K22" s="112">
        <f>INDEX([2]!tbl_Forecast,MATCH($D$8&amp;$C22&amp;$D$7,[2]!rng_ForecastRowLookup,0),MATCH(K$11,[2]!rng_ForecastColumnLookup,0))</f>
        <v>438.82888072097626</v>
      </c>
      <c r="L22" s="112">
        <f>INDEX([2]!tbl_Forecast,MATCH($D$8&amp;$C22&amp;$D$7,[2]!rng_ForecastRowLookup,0),MATCH(L$11,[2]!rng_ForecastColumnLookup,0))</f>
        <v>437.2052138623086</v>
      </c>
      <c r="M22" s="112">
        <f>INDEX([2]!tbl_Forecast,MATCH($D$8&amp;$C22&amp;$D$7,[2]!rng_ForecastRowLookup,0),MATCH(M$11,[2]!rng_ForecastColumnLookup,0))</f>
        <v>435.58755457101802</v>
      </c>
      <c r="N22" s="112">
        <f>INDEX([2]!tbl_Forecast,MATCH($D$8&amp;$C22&amp;$D$7,[2]!rng_ForecastRowLookup,0),MATCH(N$11,[2]!rng_ForecastColumnLookup,0))</f>
        <v>433.97588061910528</v>
      </c>
      <c r="O22" s="112">
        <f>INDEX([2]!tbl_Forecast,MATCH($D$8&amp;$C22&amp;$D$7,[2]!rng_ForecastRowLookup,0),MATCH(O$11,[2]!rng_ForecastColumnLookup,0))</f>
        <v>432.37016986081449</v>
      </c>
      <c r="P22" s="112">
        <f>INDEX([2]!tbl_Forecast,MATCH($D$8&amp;$C22&amp;$D$7,[2]!rng_ForecastRowLookup,0),MATCH(P$11,[2]!rng_ForecastColumnLookup,0))</f>
        <v>430.77040023232951</v>
      </c>
      <c r="Q22" s="112">
        <f>INDEX([2]!tbl_Forecast,MATCH($D$8&amp;$C22&amp;$D$7,[2]!rng_ForecastRowLookup,0),MATCH(Q$11,[2]!rng_ForecastColumnLookup,0))</f>
        <v>429.17654975146979</v>
      </c>
      <c r="R22" s="112">
        <f>INDEX([2]!tbl_Forecast,MATCH($D$8&amp;$C22&amp;$D$7,[2]!rng_ForecastRowLookup,0),MATCH(R$11,[2]!rng_ForecastColumnLookup,0))</f>
        <v>427.58859651738936</v>
      </c>
      <c r="S22" s="112">
        <f>INDEX([2]!tbl_Forecast,MATCH($D$8&amp;$C22&amp;$D$7,[2]!rng_ForecastRowLookup,0),MATCH(S$11,[2]!rng_ForecastColumnLookup,0))</f>
        <v>426.00651871027503</v>
      </c>
      <c r="T22" s="112">
        <f>INDEX([2]!tbl_Forecast,MATCH($D$8&amp;$C22&amp;$D$7,[2]!rng_ForecastRowLookup,0),MATCH(T$11,[2]!rng_ForecastColumnLookup,0))</f>
        <v>424.43029459104702</v>
      </c>
      <c r="U22" s="112">
        <f>INDEX([2]!tbl_Forecast,MATCH($D$8&amp;$C22&amp;$D$7,[2]!rng_ForecastRowLookup,0),MATCH(U$11,[2]!rng_ForecastColumnLookup,0))</f>
        <v>422.85990250106011</v>
      </c>
      <c r="V22" s="112">
        <f>INDEX([2]!tbl_Forecast,MATCH($D$8&amp;$C22&amp;$D$7,[2]!rng_ForecastRowLookup,0),MATCH(V$11,[2]!rng_ForecastColumnLookup,0))</f>
        <v>421.2953208618062</v>
      </c>
      <c r="W22" s="112">
        <f>INDEX([2]!tbl_Forecast,MATCH($D$8&amp;$C22&amp;$D$7,[2]!rng_ForecastRowLookup,0),MATCH(W$11,[2]!rng_ForecastColumnLookup,0))</f>
        <v>419.73652817461749</v>
      </c>
      <c r="X22" s="112">
        <f>INDEX([2]!tbl_Forecast,MATCH($D$8&amp;$C22&amp;$D$7,[2]!rng_ForecastRowLookup,0),MATCH(X$11,[2]!rng_ForecastColumnLookup,0))</f>
        <v>418.18350302037135</v>
      </c>
      <c r="Y22" s="45"/>
    </row>
    <row r="23" spans="2:25">
      <c r="C23" s="20" t="s">
        <v>377</v>
      </c>
      <c r="E23" s="112">
        <f>INDEX([2]!tbl_Forecast,MATCH($D$8&amp;$C23&amp;$D$7,[2]!rng_ForecastRowLookup,0),MATCH(E$11,[2]!rng_ForecastColumnLookup,0))</f>
        <v>53.720939527021244</v>
      </c>
      <c r="F23" s="112">
        <f>INDEX([2]!tbl_Forecast,MATCH($D$8&amp;$C23&amp;$D$7,[2]!rng_ForecastRowLookup,0),MATCH(F$11,[2]!rng_ForecastColumnLookup,0))</f>
        <v>53.237451071278059</v>
      </c>
      <c r="G23" s="112">
        <f>INDEX([2]!tbl_Forecast,MATCH($D$8&amp;$C23&amp;$D$7,[2]!rng_ForecastRowLookup,0),MATCH(G$11,[2]!rng_ForecastColumnLookup,0))</f>
        <v>52.758314011636557</v>
      </c>
      <c r="H23" s="112">
        <f>INDEX([2]!tbl_Forecast,MATCH($D$8&amp;$C23&amp;$D$7,[2]!rng_ForecastRowLookup,0),MATCH(H$11,[2]!rng_ForecastColumnLookup,0))</f>
        <v>52.283489185531828</v>
      </c>
      <c r="I23" s="112">
        <f>INDEX([2]!tbl_Forecast,MATCH($D$8&amp;$C23&amp;$D$7,[2]!rng_ForecastRowLookup,0),MATCH(I$11,[2]!rng_ForecastColumnLookup,0))</f>
        <v>51.812937782862043</v>
      </c>
      <c r="J23" s="112">
        <f>INDEX([2]!tbl_Forecast,MATCH($D$8&amp;$C23&amp;$D$7,[2]!rng_ForecastRowLookup,0),MATCH(J$11,[2]!rng_ForecastColumnLookup,0))</f>
        <v>51.346621342816277</v>
      </c>
      <c r="K23" s="112">
        <f>INDEX([2]!tbl_Forecast,MATCH($D$8&amp;$C23&amp;$D$7,[2]!rng_ForecastRowLookup,0),MATCH(K$11,[2]!rng_ForecastColumnLookup,0))</f>
        <v>50.884501750730934</v>
      </c>
      <c r="L23" s="112">
        <f>INDEX([2]!tbl_Forecast,MATCH($D$8&amp;$C23&amp;$D$7,[2]!rng_ForecastRowLookup,0),MATCH(L$11,[2]!rng_ForecastColumnLookup,0))</f>
        <v>50.426541234974358</v>
      </c>
      <c r="M23" s="112">
        <f>INDEX([2]!tbl_Forecast,MATCH($D$8&amp;$C23&amp;$D$7,[2]!rng_ForecastRowLookup,0),MATCH(M$11,[2]!rng_ForecastColumnLookup,0))</f>
        <v>49.97270236385959</v>
      </c>
      <c r="N23" s="112">
        <f>INDEX([2]!tbl_Forecast,MATCH($D$8&amp;$C23&amp;$D$7,[2]!rng_ForecastRowLookup,0),MATCH(N$11,[2]!rng_ForecastColumnLookup,0))</f>
        <v>49.522948042584851</v>
      </c>
      <c r="O23" s="112">
        <f>INDEX([2]!tbl_Forecast,MATCH($D$8&amp;$C23&amp;$D$7,[2]!rng_ForecastRowLookup,0),MATCH(O$11,[2]!rng_ForecastColumnLookup,0))</f>
        <v>49.077241510201581</v>
      </c>
      <c r="P23" s="112">
        <f>INDEX([2]!tbl_Forecast,MATCH($D$8&amp;$C23&amp;$D$7,[2]!rng_ForecastRowLookup,0),MATCH(P$11,[2]!rng_ForecastColumnLookup,0))</f>
        <v>48.635546336609778</v>
      </c>
      <c r="Q23" s="112">
        <f>INDEX([2]!tbl_Forecast,MATCH($D$8&amp;$C23&amp;$D$7,[2]!rng_ForecastRowLookup,0),MATCH(Q$11,[2]!rng_ForecastColumnLookup,0))</f>
        <v>48.197826419580288</v>
      </c>
      <c r="R23" s="112">
        <f>INDEX([2]!tbl_Forecast,MATCH($D$8&amp;$C23&amp;$D$7,[2]!rng_ForecastRowLookup,0),MATCH(R$11,[2]!rng_ForecastColumnLookup,0))</f>
        <v>47.76404598180406</v>
      </c>
      <c r="S23" s="112">
        <f>INDEX([2]!tbl_Forecast,MATCH($D$8&amp;$C23&amp;$D$7,[2]!rng_ForecastRowLookup,0),MATCH(S$11,[2]!rng_ForecastColumnLookup,0))</f>
        <v>47.33416956796782</v>
      </c>
      <c r="T23" s="112">
        <f>INDEX([2]!tbl_Forecast,MATCH($D$8&amp;$C23&amp;$D$7,[2]!rng_ForecastRowLookup,0),MATCH(T$11,[2]!rng_ForecastColumnLookup,0))</f>
        <v>46.908162041856116</v>
      </c>
      <c r="U23" s="112">
        <f>INDEX([2]!tbl_Forecast,MATCH($D$8&amp;$C23&amp;$D$7,[2]!rng_ForecastRowLookup,0),MATCH(U$11,[2]!rng_ForecastColumnLookup,0))</f>
        <v>46.485988583479411</v>
      </c>
      <c r="V23" s="112">
        <f>INDEX([2]!tbl_Forecast,MATCH($D$8&amp;$C23&amp;$D$7,[2]!rng_ForecastRowLookup,0),MATCH(V$11,[2]!rng_ForecastColumnLookup,0))</f>
        <v>46.067614686228097</v>
      </c>
      <c r="W23" s="112">
        <f>INDEX([2]!tbl_Forecast,MATCH($D$8&amp;$C23&amp;$D$7,[2]!rng_ForecastRowLookup,0),MATCH(W$11,[2]!rng_ForecastColumnLookup,0))</f>
        <v>45.653006154052044</v>
      </c>
      <c r="X23" s="112">
        <f>INDEX([2]!tbl_Forecast,MATCH($D$8&amp;$C23&amp;$D$7,[2]!rng_ForecastRowLookup,0),MATCH(X$11,[2]!rng_ForecastColumnLookup,0))</f>
        <v>45.242129098665572</v>
      </c>
      <c r="Y23" s="45"/>
    </row>
    <row r="24" spans="2:25">
      <c r="C24" s="20" t="s">
        <v>395</v>
      </c>
      <c r="E24" s="112">
        <f>INDEX([2]!tbl_Forecast,MATCH($D$8&amp;$C24&amp;$D$7,[2]!rng_ForecastRowLookup,0),MATCH(E$11,[2]!rng_ForecastColumnLookup,0))</f>
        <v>22.491017060912501</v>
      </c>
      <c r="F24" s="112">
        <f>INDEX([2]!tbl_Forecast,MATCH($D$8&amp;$C24&amp;$D$7,[2]!rng_ForecastRowLookup,0),MATCH(F$11,[2]!rng_ForecastColumnLookup,0))</f>
        <v>22.384859460384995</v>
      </c>
      <c r="G24" s="112">
        <f>INDEX([2]!tbl_Forecast,MATCH($D$8&amp;$C24&amp;$D$7,[2]!rng_ForecastRowLookup,0),MATCH(G$11,[2]!rng_ForecastColumnLookup,0))</f>
        <v>22.279202923731983</v>
      </c>
      <c r="H24" s="112">
        <f>INDEX([2]!tbl_Forecast,MATCH($D$8&amp;$C24&amp;$D$7,[2]!rng_ForecastRowLookup,0),MATCH(H$11,[2]!rng_ForecastColumnLookup,0))</f>
        <v>22.174045085931969</v>
      </c>
      <c r="I24" s="112">
        <f>INDEX([2]!tbl_Forecast,MATCH($D$8&amp;$C24&amp;$D$7,[2]!rng_ForecastRowLookup,0),MATCH(I$11,[2]!rng_ForecastColumnLookup,0))</f>
        <v>22.069383593126368</v>
      </c>
      <c r="J24" s="112">
        <f>INDEX([2]!tbl_Forecast,MATCH($D$8&amp;$C24&amp;$D$7,[2]!rng_ForecastRowLookup,0),MATCH(J$11,[2]!rng_ForecastColumnLookup,0))</f>
        <v>21.965216102566814</v>
      </c>
      <c r="K24" s="112">
        <f>INDEX([2]!tbl_Forecast,MATCH($D$8&amp;$C24&amp;$D$7,[2]!rng_ForecastRowLookup,0),MATCH(K$11,[2]!rng_ForecastColumnLookup,0))</f>
        <v>21.8615402825627</v>
      </c>
      <c r="L24" s="112">
        <f>INDEX([2]!tbl_Forecast,MATCH($D$8&amp;$C24&amp;$D$7,[2]!rng_ForecastRowLookup,0),MATCH(L$11,[2]!rng_ForecastColumnLookup,0))</f>
        <v>21.758353812429004</v>
      </c>
      <c r="M24" s="112">
        <f>INDEX([2]!tbl_Forecast,MATCH($D$8&amp;$C24&amp;$D$7,[2]!rng_ForecastRowLookup,0),MATCH(M$11,[2]!rng_ForecastColumnLookup,0))</f>
        <v>21.655654382434342</v>
      </c>
      <c r="N24" s="112">
        <f>INDEX([2]!tbl_Forecast,MATCH($D$8&amp;$C24&amp;$D$7,[2]!rng_ForecastRowLookup,0),MATCH(N$11,[2]!rng_ForecastColumnLookup,0))</f>
        <v>21.553439693749251</v>
      </c>
      <c r="O24" s="112">
        <f>INDEX([2]!tbl_Forecast,MATCH($D$8&amp;$C24&amp;$D$7,[2]!rng_ForecastRowLookup,0),MATCH(O$11,[2]!rng_ForecastColumnLookup,0))</f>
        <v>21.451707458394754</v>
      </c>
      <c r="P24" s="112">
        <f>INDEX([2]!tbl_Forecast,MATCH($D$8&amp;$C24&amp;$D$7,[2]!rng_ForecastRowLookup,0),MATCH(P$11,[2]!rng_ForecastColumnLookup,0))</f>
        <v>21.350455399191134</v>
      </c>
      <c r="Q24" s="112">
        <f>INDEX([2]!tbl_Forecast,MATCH($D$8&amp;$C24&amp;$D$7,[2]!rng_ForecastRowLookup,0),MATCH(Q$11,[2]!rng_ForecastColumnLookup,0))</f>
        <v>21.249681249706953</v>
      </c>
      <c r="R24" s="112">
        <f>INDEX([2]!tbl_Forecast,MATCH($D$8&amp;$C24&amp;$D$7,[2]!rng_ForecastRowLookup,0),MATCH(R$11,[2]!rng_ForecastColumnLookup,0))</f>
        <v>21.149382754208336</v>
      </c>
      <c r="S24" s="112">
        <f>INDEX([2]!tbl_Forecast,MATCH($D$8&amp;$C24&amp;$D$7,[2]!rng_ForecastRowLookup,0),MATCH(S$11,[2]!rng_ForecastColumnLookup,0))</f>
        <v>21.049557667608472</v>
      </c>
      <c r="T24" s="112">
        <f>INDEX([2]!tbl_Forecast,MATCH($D$8&amp;$C24&amp;$D$7,[2]!rng_ForecastRowLookup,0),MATCH(T$11,[2]!rng_ForecastColumnLookup,0))</f>
        <v>20.950203755417366</v>
      </c>
      <c r="U24" s="112">
        <f>INDEX([2]!tbl_Forecast,MATCH($D$8&amp;$C24&amp;$D$7,[2]!rng_ForecastRowLookup,0),MATCH(U$11,[2]!rng_ForecastColumnLookup,0))</f>
        <v>20.851318793691796</v>
      </c>
      <c r="V24" s="112">
        <f>INDEX([2]!tbl_Forecast,MATCH($D$8&amp;$C24&amp;$D$7,[2]!rng_ForecastRowLookup,0),MATCH(V$11,[2]!rng_ForecastColumnLookup,0))</f>
        <v>20.75290056898557</v>
      </c>
      <c r="W24" s="112">
        <f>INDEX([2]!tbl_Forecast,MATCH($D$8&amp;$C24&amp;$D$7,[2]!rng_ForecastRowLookup,0),MATCH(W$11,[2]!rng_ForecastColumnLookup,0))</f>
        <v>20.654946878299963</v>
      </c>
      <c r="X24" s="112">
        <f>INDEX([2]!tbl_Forecast,MATCH($D$8&amp;$C24&amp;$D$7,[2]!rng_ForecastRowLookup,0),MATCH(X$11,[2]!rng_ForecastColumnLookup,0))</f>
        <v>20.557455529034385</v>
      </c>
      <c r="Y24" s="45"/>
    </row>
    <row r="25" spans="2:25">
      <c r="C25" s="20" t="s">
        <v>378</v>
      </c>
      <c r="E25" s="112">
        <f>INDEX([2]!tbl_Forecast,MATCH($D$8&amp;$C25&amp;$D$7,[2]!rng_ForecastRowLookup,0),MATCH(E$11,[2]!rng_ForecastColumnLookup,0))</f>
        <v>51.550857208753726</v>
      </c>
      <c r="F25" s="112">
        <f>INDEX([2]!tbl_Forecast,MATCH($D$8&amp;$C25&amp;$D$7,[2]!rng_ForecastRowLookup,0),MATCH(F$11,[2]!rng_ForecastColumnLookup,0))</f>
        <v>51.307537162728408</v>
      </c>
      <c r="G25" s="112">
        <f>INDEX([2]!tbl_Forecast,MATCH($D$8&amp;$C25&amp;$D$7,[2]!rng_ForecastRowLookup,0),MATCH(G$11,[2]!rng_ForecastColumnLookup,0))</f>
        <v>51.065365587320336</v>
      </c>
      <c r="H25" s="112">
        <f>INDEX([2]!tbl_Forecast,MATCH($D$8&amp;$C25&amp;$D$7,[2]!rng_ForecastRowLookup,0),MATCH(H$11,[2]!rng_ForecastColumnLookup,0))</f>
        <v>50.824337061748189</v>
      </c>
      <c r="I25" s="112">
        <f>INDEX([2]!tbl_Forecast,MATCH($D$8&amp;$C25&amp;$D$7,[2]!rng_ForecastRowLookup,0),MATCH(I$11,[2]!rng_ForecastColumnLookup,0))</f>
        <v>50.584446190816735</v>
      </c>
      <c r="J25" s="112">
        <f>INDEX([2]!tbl_Forecast,MATCH($D$8&amp;$C25&amp;$D$7,[2]!rng_ForecastRowLookup,0),MATCH(J$11,[2]!rng_ForecastColumnLookup,0))</f>
        <v>50.345687604796083</v>
      </c>
      <c r="K25" s="112">
        <f>INDEX([2]!tbl_Forecast,MATCH($D$8&amp;$C25&amp;$D$7,[2]!rng_ForecastRowLookup,0),MATCH(K$11,[2]!rng_ForecastColumnLookup,0))</f>
        <v>50.108055959301453</v>
      </c>
      <c r="L25" s="112">
        <f>INDEX([2]!tbl_Forecast,MATCH($D$8&amp;$C25&amp;$D$7,[2]!rng_ForecastRowLookup,0),MATCH(L$11,[2]!rng_ForecastColumnLookup,0))</f>
        <v>49.871545935173543</v>
      </c>
      <c r="M25" s="112">
        <f>INDEX([2]!tbl_Forecast,MATCH($D$8&amp;$C25&amp;$D$7,[2]!rng_ForecastRowLookup,0),MATCH(M$11,[2]!rng_ForecastColumnLookup,0))</f>
        <v>49.636152238359529</v>
      </c>
      <c r="N25" s="112">
        <f>INDEX([2]!tbl_Forecast,MATCH($D$8&amp;$C25&amp;$D$7,[2]!rng_ForecastRowLookup,0),MATCH(N$11,[2]!rng_ForecastColumnLookup,0))</f>
        <v>49.40186959979448</v>
      </c>
      <c r="O25" s="112">
        <f>INDEX([2]!tbl_Forecast,MATCH($D$8&amp;$C25&amp;$D$7,[2]!rng_ForecastRowLookup,0),MATCH(O$11,[2]!rng_ForecastColumnLookup,0))</f>
        <v>49.168692775283453</v>
      </c>
      <c r="P25" s="112">
        <f>INDEX([2]!tbl_Forecast,MATCH($D$8&amp;$C25&amp;$D$7,[2]!rng_ForecastRowLookup,0),MATCH(P$11,[2]!rng_ForecastColumnLookup,0))</f>
        <v>48.936616545384119</v>
      </c>
      <c r="Q25" s="112">
        <f>INDEX([2]!tbl_Forecast,MATCH($D$8&amp;$C25&amp;$D$7,[2]!rng_ForecastRowLookup,0),MATCH(Q$11,[2]!rng_ForecastColumnLookup,0))</f>
        <v>48.705635715289908</v>
      </c>
      <c r="R25" s="112">
        <f>INDEX([2]!tbl_Forecast,MATCH($D$8&amp;$C25&amp;$D$7,[2]!rng_ForecastRowLookup,0),MATCH(R$11,[2]!rng_ForecastColumnLookup,0))</f>
        <v>48.475745114713739</v>
      </c>
      <c r="S25" s="112">
        <f>INDEX([2]!tbl_Forecast,MATCH($D$8&amp;$C25&amp;$D$7,[2]!rng_ForecastRowLookup,0),MATCH(S$11,[2]!rng_ForecastColumnLookup,0))</f>
        <v>48.246939597772297</v>
      </c>
      <c r="T25" s="112">
        <f>INDEX([2]!tbl_Forecast,MATCH($D$8&amp;$C25&amp;$D$7,[2]!rng_ForecastRowLookup,0),MATCH(T$11,[2]!rng_ForecastColumnLookup,0))</f>
        <v>48.019214042870807</v>
      </c>
      <c r="U25" s="112">
        <f>INDEX([2]!tbl_Forecast,MATCH($D$8&amp;$C25&amp;$D$7,[2]!rng_ForecastRowLookup,0),MATCH(U$11,[2]!rng_ForecastColumnLookup,0))</f>
        <v>47.792563352588466</v>
      </c>
      <c r="V25" s="112">
        <f>INDEX([2]!tbl_Forecast,MATCH($D$8&amp;$C25&amp;$D$7,[2]!rng_ForecastRowLookup,0),MATCH(V$11,[2]!rng_ForecastColumnLookup,0))</f>
        <v>47.56698245356425</v>
      </c>
      <c r="W25" s="112">
        <f>INDEX([2]!tbl_Forecast,MATCH($D$8&amp;$C25&amp;$D$7,[2]!rng_ForecastRowLookup,0),MATCH(W$11,[2]!rng_ForecastColumnLookup,0))</f>
        <v>47.342466296383435</v>
      </c>
      <c r="X25" s="112">
        <f>INDEX([2]!tbl_Forecast,MATCH($D$8&amp;$C25&amp;$D$7,[2]!rng_ForecastRowLookup,0),MATCH(X$11,[2]!rng_ForecastColumnLookup,0))</f>
        <v>47.119009855464505</v>
      </c>
      <c r="Y25" s="45"/>
    </row>
    <row r="26" spans="2:25">
      <c r="C26" s="20" t="s">
        <v>379</v>
      </c>
      <c r="E26" s="112">
        <f>INDEX([2]!tbl_Forecast,MATCH($D$8&amp;$C26&amp;$D$7,[2]!rng_ForecastRowLookup,0),MATCH(E$11,[2]!rng_ForecastColumnLookup,0))</f>
        <v>170.15189589049527</v>
      </c>
      <c r="F26" s="112">
        <f>INDEX([2]!tbl_Forecast,MATCH($D$8&amp;$C26&amp;$D$7,[2]!rng_ForecastRowLookup,0),MATCH(F$11,[2]!rng_ForecastColumnLookup,0))</f>
        <v>169.74353134035809</v>
      </c>
      <c r="G26" s="112">
        <f>INDEX([2]!tbl_Forecast,MATCH($D$8&amp;$C26&amp;$D$7,[2]!rng_ForecastRowLookup,0),MATCH(G$11,[2]!rng_ForecastColumnLookup,0))</f>
        <v>169.33614686514122</v>
      </c>
      <c r="H26" s="112">
        <f>INDEX([2]!tbl_Forecast,MATCH($D$8&amp;$C26&amp;$D$7,[2]!rng_ForecastRowLookup,0),MATCH(H$11,[2]!rng_ForecastColumnLookup,0))</f>
        <v>168.92974011266489</v>
      </c>
      <c r="I26" s="112">
        <f>INDEX([2]!tbl_Forecast,MATCH($D$8&amp;$C26&amp;$D$7,[2]!rng_ForecastRowLookup,0),MATCH(I$11,[2]!rng_ForecastColumnLookup,0))</f>
        <v>168.52430873639449</v>
      </c>
      <c r="J26" s="112">
        <f>INDEX([2]!tbl_Forecast,MATCH($D$8&amp;$C26&amp;$D$7,[2]!rng_ForecastRowLookup,0),MATCH(J$11,[2]!rng_ForecastColumnLookup,0))</f>
        <v>168.11985039542716</v>
      </c>
      <c r="K26" s="112">
        <f>INDEX([2]!tbl_Forecast,MATCH($D$8&amp;$C26&amp;$D$7,[2]!rng_ForecastRowLookup,0),MATCH(K$11,[2]!rng_ForecastColumnLookup,0))</f>
        <v>167.71636275447813</v>
      </c>
      <c r="L26" s="112">
        <f>INDEX([2]!tbl_Forecast,MATCH($D$8&amp;$C26&amp;$D$7,[2]!rng_ForecastRowLookup,0),MATCH(L$11,[2]!rng_ForecastColumnLookup,0))</f>
        <v>167.31384348386743</v>
      </c>
      <c r="M26" s="112">
        <f>INDEX([2]!tbl_Forecast,MATCH($D$8&amp;$C26&amp;$D$7,[2]!rng_ForecastRowLookup,0),MATCH(M$11,[2]!rng_ForecastColumnLookup,0))</f>
        <v>166.91229025950614</v>
      </c>
      <c r="N26" s="112">
        <f>INDEX([2]!tbl_Forecast,MATCH($D$8&amp;$C26&amp;$D$7,[2]!rng_ForecastRowLookup,0),MATCH(N$11,[2]!rng_ForecastColumnLookup,0))</f>
        <v>166.51170076288332</v>
      </c>
      <c r="O26" s="112">
        <f>INDEX([2]!tbl_Forecast,MATCH($D$8&amp;$C26&amp;$D$7,[2]!rng_ForecastRowLookup,0),MATCH(O$11,[2]!rng_ForecastColumnLookup,0))</f>
        <v>166.11207268105238</v>
      </c>
      <c r="P26" s="112">
        <f>INDEX([2]!tbl_Forecast,MATCH($D$8&amp;$C26&amp;$D$7,[2]!rng_ForecastRowLookup,0),MATCH(P$11,[2]!rng_ForecastColumnLookup,0))</f>
        <v>165.7134037066179</v>
      </c>
      <c r="Q26" s="112">
        <f>INDEX([2]!tbl_Forecast,MATCH($D$8&amp;$C26&amp;$D$7,[2]!rng_ForecastRowLookup,0),MATCH(Q$11,[2]!rng_ForecastColumnLookup,0))</f>
        <v>165.31569153772202</v>
      </c>
      <c r="R26" s="112">
        <f>INDEX([2]!tbl_Forecast,MATCH($D$8&amp;$C26&amp;$D$7,[2]!rng_ForecastRowLookup,0),MATCH(R$11,[2]!rng_ForecastColumnLookup,0))</f>
        <v>164.91893387803151</v>
      </c>
      <c r="S26" s="112">
        <f>INDEX([2]!tbl_Forecast,MATCH($D$8&amp;$C26&amp;$D$7,[2]!rng_ForecastRowLookup,0),MATCH(S$11,[2]!rng_ForecastColumnLookup,0))</f>
        <v>164.52312843672422</v>
      </c>
      <c r="T26" s="112">
        <f>INDEX([2]!tbl_Forecast,MATCH($D$8&amp;$C26&amp;$D$7,[2]!rng_ForecastRowLookup,0),MATCH(T$11,[2]!rng_ForecastColumnLookup,0))</f>
        <v>164.12827292847609</v>
      </c>
      <c r="U26" s="112">
        <f>INDEX([2]!tbl_Forecast,MATCH($D$8&amp;$C26&amp;$D$7,[2]!rng_ForecastRowLookup,0),MATCH(U$11,[2]!rng_ForecastColumnLookup,0))</f>
        <v>163.73436507344778</v>
      </c>
      <c r="V26" s="112">
        <f>INDEX([2]!tbl_Forecast,MATCH($D$8&amp;$C26&amp;$D$7,[2]!rng_ForecastRowLookup,0),MATCH(V$11,[2]!rng_ForecastColumnLookup,0))</f>
        <v>163.3414025972715</v>
      </c>
      <c r="W26" s="112">
        <f>INDEX([2]!tbl_Forecast,MATCH($D$8&amp;$C26&amp;$D$7,[2]!rng_ForecastRowLookup,0),MATCH(W$11,[2]!rng_ForecastColumnLookup,0))</f>
        <v>162.94938323103807</v>
      </c>
      <c r="X26" s="112">
        <f>INDEX([2]!tbl_Forecast,MATCH($D$8&amp;$C26&amp;$D$7,[2]!rng_ForecastRowLookup,0),MATCH(X$11,[2]!rng_ForecastColumnLookup,0))</f>
        <v>162.55830471128357</v>
      </c>
      <c r="Y26" s="45"/>
    </row>
    <row r="27" spans="2:25">
      <c r="C27" s="20" t="s">
        <v>380</v>
      </c>
      <c r="E27" s="112">
        <f>INDEX([2]!tbl_Forecast,MATCH($D$8&amp;$C27&amp;$D$7,[2]!rng_ForecastRowLookup,0),MATCH(E$11,[2]!rng_ForecastColumnLookup,0))</f>
        <v>105.02947953487826</v>
      </c>
      <c r="F27" s="112">
        <f>INDEX([2]!tbl_Forecast,MATCH($D$8&amp;$C27&amp;$D$7,[2]!rng_ForecastRowLookup,0),MATCH(F$11,[2]!rng_ForecastColumnLookup,0))</f>
        <v>104.80891762785501</v>
      </c>
      <c r="G27" s="112">
        <f>INDEX([2]!tbl_Forecast,MATCH($D$8&amp;$C27&amp;$D$7,[2]!rng_ForecastRowLookup,0),MATCH(G$11,[2]!rng_ForecastColumnLookup,0))</f>
        <v>104.58881890083651</v>
      </c>
      <c r="H27" s="112">
        <f>INDEX([2]!tbl_Forecast,MATCH($D$8&amp;$C27&amp;$D$7,[2]!rng_ForecastRowLookup,0),MATCH(H$11,[2]!rng_ForecastColumnLookup,0))</f>
        <v>104.36918238114475</v>
      </c>
      <c r="I27" s="112">
        <f>INDEX([2]!tbl_Forecast,MATCH($D$8&amp;$C27&amp;$D$7,[2]!rng_ForecastRowLookup,0),MATCH(I$11,[2]!rng_ForecastColumnLookup,0))</f>
        <v>104.15000709814436</v>
      </c>
      <c r="J27" s="112">
        <f>INDEX([2]!tbl_Forecast,MATCH($D$8&amp;$C27&amp;$D$7,[2]!rng_ForecastRowLookup,0),MATCH(J$11,[2]!rng_ForecastColumnLookup,0))</f>
        <v>103.93129208323826</v>
      </c>
      <c r="K27" s="112">
        <f>INDEX([2]!tbl_Forecast,MATCH($D$8&amp;$C27&amp;$D$7,[2]!rng_ForecastRowLookup,0),MATCH(K$11,[2]!rng_ForecastColumnLookup,0))</f>
        <v>103.71303636986346</v>
      </c>
      <c r="L27" s="112">
        <f>INDEX([2]!tbl_Forecast,MATCH($D$8&amp;$C27&amp;$D$7,[2]!rng_ForecastRowLookup,0),MATCH(L$11,[2]!rng_ForecastColumnLookup,0))</f>
        <v>103.49523899348674</v>
      </c>
      <c r="M27" s="112">
        <f>INDEX([2]!tbl_Forecast,MATCH($D$8&amp;$C27&amp;$D$7,[2]!rng_ForecastRowLookup,0),MATCH(M$11,[2]!rng_ForecastColumnLookup,0))</f>
        <v>103.27789899160042</v>
      </c>
      <c r="N27" s="112">
        <f>INDEX([2]!tbl_Forecast,MATCH($D$8&amp;$C27&amp;$D$7,[2]!rng_ForecastRowLookup,0),MATCH(N$11,[2]!rng_ForecastColumnLookup,0))</f>
        <v>103.06101540371807</v>
      </c>
      <c r="O27" s="112">
        <f>INDEX([2]!tbl_Forecast,MATCH($D$8&amp;$C27&amp;$D$7,[2]!rng_ForecastRowLookup,0),MATCH(O$11,[2]!rng_ForecastColumnLookup,0))</f>
        <v>102.84458727137024</v>
      </c>
      <c r="P27" s="112">
        <f>INDEX([2]!tbl_Forecast,MATCH($D$8&amp;$C27&amp;$D$7,[2]!rng_ForecastRowLookup,0),MATCH(P$11,[2]!rng_ForecastColumnLookup,0))</f>
        <v>102.62861363810038</v>
      </c>
      <c r="Q27" s="112">
        <f>INDEX([2]!tbl_Forecast,MATCH($D$8&amp;$C27&amp;$D$7,[2]!rng_ForecastRowLookup,0),MATCH(Q$11,[2]!rng_ForecastColumnLookup,0))</f>
        <v>102.41309354946036</v>
      </c>
      <c r="R27" s="112">
        <f>INDEX([2]!tbl_Forecast,MATCH($D$8&amp;$C27&amp;$D$7,[2]!rng_ForecastRowLookup,0),MATCH(R$11,[2]!rng_ForecastColumnLookup,0))</f>
        <v>102.19802605300649</v>
      </c>
      <c r="S27" s="112">
        <f>INDEX([2]!tbl_Forecast,MATCH($D$8&amp;$C27&amp;$D$7,[2]!rng_ForecastRowLookup,0),MATCH(S$11,[2]!rng_ForecastColumnLookup,0))</f>
        <v>101.98341019829519</v>
      </c>
      <c r="T27" s="112">
        <f>INDEX([2]!tbl_Forecast,MATCH($D$8&amp;$C27&amp;$D$7,[2]!rng_ForecastRowLookup,0),MATCH(T$11,[2]!rng_ForecastColumnLookup,0))</f>
        <v>101.76924503687877</v>
      </c>
      <c r="U27" s="112">
        <f>INDEX([2]!tbl_Forecast,MATCH($D$8&amp;$C27&amp;$D$7,[2]!rng_ForecastRowLookup,0),MATCH(U$11,[2]!rng_ForecastColumnLookup,0))</f>
        <v>101.55552962230132</v>
      </c>
      <c r="V27" s="112">
        <f>INDEX([2]!tbl_Forecast,MATCH($D$8&amp;$C27&amp;$D$7,[2]!rng_ForecastRowLookup,0),MATCH(V$11,[2]!rng_ForecastColumnLookup,0))</f>
        <v>101.3422630100945</v>
      </c>
      <c r="W27" s="112">
        <f>INDEX([2]!tbl_Forecast,MATCH($D$8&amp;$C27&amp;$D$7,[2]!rng_ForecastRowLookup,0),MATCH(W$11,[2]!rng_ForecastColumnLookup,0))</f>
        <v>101.1294442577733</v>
      </c>
      <c r="X27" s="112">
        <f>INDEX([2]!tbl_Forecast,MATCH($D$8&amp;$C27&amp;$D$7,[2]!rng_ForecastRowLookup,0),MATCH(X$11,[2]!rng_ForecastColumnLookup,0))</f>
        <v>100.91707242483197</v>
      </c>
      <c r="Y27" s="45"/>
    </row>
    <row r="28" spans="2:25">
      <c r="C28" s="98" t="s">
        <v>396</v>
      </c>
      <c r="E28" s="112">
        <f>INDEX([2]!tbl_Forecast,MATCH($D$8&amp;$C28&amp;$D$7,[2]!rng_ForecastRowLookup,0),MATCH(E$11,[2]!rng_ForecastColumnLookup,0))</f>
        <v>128.74820917277606</v>
      </c>
      <c r="F28" s="112">
        <f>INDEX([2]!tbl_Forecast,MATCH($D$8&amp;$C28&amp;$D$7,[2]!rng_ForecastRowLookup,0),MATCH(F$11,[2]!rng_ForecastColumnLookup,0))</f>
        <v>128.43921347076139</v>
      </c>
      <c r="G28" s="112">
        <f>INDEX([2]!tbl_Forecast,MATCH($D$8&amp;$C28&amp;$D$7,[2]!rng_ForecastRowLookup,0),MATCH(G$11,[2]!rng_ForecastColumnLookup,0))</f>
        <v>128.1309593584316</v>
      </c>
      <c r="H28" s="112">
        <f>INDEX([2]!tbl_Forecast,MATCH($D$8&amp;$C28&amp;$D$7,[2]!rng_ForecastRowLookup,0),MATCH(H$11,[2]!rng_ForecastColumnLookup,0))</f>
        <v>127.82344505597135</v>
      </c>
      <c r="I28" s="112">
        <f>INDEX([2]!tbl_Forecast,MATCH($D$8&amp;$C28&amp;$D$7,[2]!rng_ForecastRowLookup,0),MATCH(I$11,[2]!rng_ForecastColumnLookup,0))</f>
        <v>127.51666878783702</v>
      </c>
      <c r="J28" s="112">
        <f>INDEX([2]!tbl_Forecast,MATCH($D$8&amp;$C28&amp;$D$7,[2]!rng_ForecastRowLookup,0),MATCH(J$11,[2]!rng_ForecastColumnLookup,0))</f>
        <v>127.21062878274621</v>
      </c>
      <c r="K28" s="112">
        <f>INDEX([2]!tbl_Forecast,MATCH($D$8&amp;$C28&amp;$D$7,[2]!rng_ForecastRowLookup,0),MATCH(K$11,[2]!rng_ForecastColumnLookup,0))</f>
        <v>126.90532327366765</v>
      </c>
      <c r="L28" s="112">
        <f>INDEX([2]!tbl_Forecast,MATCH($D$8&amp;$C28&amp;$D$7,[2]!rng_ForecastRowLookup,0),MATCH(L$11,[2]!rng_ForecastColumnLookup,0))</f>
        <v>126.60075049781085</v>
      </c>
      <c r="M28" s="112">
        <f>INDEX([2]!tbl_Forecast,MATCH($D$8&amp;$C28&amp;$D$7,[2]!rng_ForecastRowLookup,0),MATCH(M$11,[2]!rng_ForecastColumnLookup,0))</f>
        <v>126.29690869661611</v>
      </c>
      <c r="N28" s="112">
        <f>INDEX([2]!tbl_Forecast,MATCH($D$8&amp;$C28&amp;$D$7,[2]!rng_ForecastRowLookup,0),MATCH(N$11,[2]!rng_ForecastColumnLookup,0))</f>
        <v>125.99379611574425</v>
      </c>
      <c r="O28" s="112">
        <f>INDEX([2]!tbl_Forecast,MATCH($D$8&amp;$C28&amp;$D$7,[2]!rng_ForecastRowLookup,0),MATCH(O$11,[2]!rng_ForecastColumnLookup,0))</f>
        <v>125.69141100506647</v>
      </c>
      <c r="P28" s="112">
        <f>INDEX([2]!tbl_Forecast,MATCH($D$8&amp;$C28&amp;$D$7,[2]!rng_ForecastRowLookup,0),MATCH(P$11,[2]!rng_ForecastColumnLookup,0))</f>
        <v>125.3897516186543</v>
      </c>
      <c r="Q28" s="112">
        <f>INDEX([2]!tbl_Forecast,MATCH($D$8&amp;$C28&amp;$D$7,[2]!rng_ForecastRowLookup,0),MATCH(Q$11,[2]!rng_ForecastColumnLookup,0))</f>
        <v>125.08881621476955</v>
      </c>
      <c r="R28" s="112">
        <f>INDEX([2]!tbl_Forecast,MATCH($D$8&amp;$C28&amp;$D$7,[2]!rng_ForecastRowLookup,0),MATCH(R$11,[2]!rng_ForecastColumnLookup,0))</f>
        <v>124.78860305585408</v>
      </c>
      <c r="S28" s="112">
        <f>INDEX([2]!tbl_Forecast,MATCH($D$8&amp;$C28&amp;$D$7,[2]!rng_ForecastRowLookup,0),MATCH(S$11,[2]!rng_ForecastColumnLookup,0))</f>
        <v>124.48911040852005</v>
      </c>
      <c r="T28" s="112">
        <f>INDEX([2]!tbl_Forecast,MATCH($D$8&amp;$C28&amp;$D$7,[2]!rng_ForecastRowLookup,0),MATCH(T$11,[2]!rng_ForecastColumnLookup,0))</f>
        <v>124.1903365435396</v>
      </c>
      <c r="U28" s="112">
        <f>INDEX([2]!tbl_Forecast,MATCH($D$8&amp;$C28&amp;$D$7,[2]!rng_ForecastRowLookup,0),MATCH(U$11,[2]!rng_ForecastColumnLookup,0))</f>
        <v>123.8922797358351</v>
      </c>
      <c r="V28" s="112">
        <f>INDEX([2]!tbl_Forecast,MATCH($D$8&amp;$C28&amp;$D$7,[2]!rng_ForecastRowLookup,0),MATCH(V$11,[2]!rng_ForecastColumnLookup,0))</f>
        <v>123.59493826446912</v>
      </c>
      <c r="W28" s="112">
        <f>INDEX([2]!tbl_Forecast,MATCH($D$8&amp;$C28&amp;$D$7,[2]!rng_ForecastRowLookup,0),MATCH(W$11,[2]!rng_ForecastColumnLookup,0))</f>
        <v>123.29831041263438</v>
      </c>
      <c r="X28" s="112">
        <f>INDEX([2]!tbl_Forecast,MATCH($D$8&amp;$C28&amp;$D$7,[2]!rng_ForecastRowLookup,0),MATCH(X$11,[2]!rng_ForecastColumnLookup,0))</f>
        <v>123.00239446764408</v>
      </c>
      <c r="Y28" s="45"/>
    </row>
    <row r="29" spans="2:25">
      <c r="C29" s="20" t="s">
        <v>381</v>
      </c>
      <c r="E29" s="112">
        <f>INDEX([2]!tbl_Forecast,MATCH($D$8&amp;$C29&amp;$D$7,[2]!rng_ForecastRowLookup,0),MATCH(E$11,[2]!rng_ForecastColumnLookup,0))</f>
        <v>375.90224900649127</v>
      </c>
      <c r="F29" s="112">
        <f>INDEX([2]!tbl_Forecast,MATCH($D$8&amp;$C29&amp;$D$7,[2]!rng_ForecastRowLookup,0),MATCH(F$11,[2]!rng_ForecastColumnLookup,0))</f>
        <v>374.21570091594884</v>
      </c>
      <c r="G29" s="112">
        <f>INDEX([2]!tbl_Forecast,MATCH($D$8&amp;$C29&amp;$D$7,[2]!rng_ForecastRowLookup,0),MATCH(G$11,[2]!rng_ForecastColumnLookup,0))</f>
        <v>372.53671980450594</v>
      </c>
      <c r="H29" s="112">
        <f>INDEX([2]!tbl_Forecast,MATCH($D$8&amp;$C29&amp;$D$7,[2]!rng_ForecastRowLookup,0),MATCH(H$11,[2]!rng_ForecastColumnLookup,0))</f>
        <v>370.86527172164978</v>
      </c>
      <c r="I29" s="112">
        <f>INDEX([2]!tbl_Forecast,MATCH($D$8&amp;$C29&amp;$D$7,[2]!rng_ForecastRowLookup,0),MATCH(I$11,[2]!rng_ForecastColumnLookup,0))</f>
        <v>369.20132286919198</v>
      </c>
      <c r="J29" s="112">
        <f>INDEX([2]!tbl_Forecast,MATCH($D$8&amp;$C29&amp;$D$7,[2]!rng_ForecastRowLookup,0),MATCH(J$11,[2]!rng_ForecastColumnLookup,0))</f>
        <v>367.54483960058553</v>
      </c>
      <c r="K29" s="112">
        <f>INDEX([2]!tbl_Forecast,MATCH($D$8&amp;$C29&amp;$D$7,[2]!rng_ForecastRowLookup,0),MATCH(K$11,[2]!rng_ForecastColumnLookup,0))</f>
        <v>365.89578842024423</v>
      </c>
      <c r="L29" s="112">
        <f>INDEX([2]!tbl_Forecast,MATCH($D$8&amp;$C29&amp;$D$7,[2]!rng_ForecastRowLookup,0),MATCH(L$11,[2]!rng_ForecastColumnLookup,0))</f>
        <v>364.25413598286536</v>
      </c>
      <c r="M29" s="112">
        <f>INDEX([2]!tbl_Forecast,MATCH($D$8&amp;$C29&amp;$D$7,[2]!rng_ForecastRowLookup,0),MATCH(M$11,[2]!rng_ForecastColumnLookup,0))</f>
        <v>362.6198490927556</v>
      </c>
      <c r="N29" s="112">
        <f>INDEX([2]!tbl_Forecast,MATCH($D$8&amp;$C29&amp;$D$7,[2]!rng_ForecastRowLookup,0),MATCH(N$11,[2]!rng_ForecastColumnLookup,0))</f>
        <v>360.99289470315949</v>
      </c>
      <c r="O29" s="112">
        <f>INDEX([2]!tbl_Forecast,MATCH($D$8&amp;$C29&amp;$D$7,[2]!rng_ForecastRowLookup,0),MATCH(O$11,[2]!rng_ForecastColumnLookup,0))</f>
        <v>359.37323991559134</v>
      </c>
      <c r="P29" s="112">
        <f>INDEX([2]!tbl_Forecast,MATCH($D$8&amp;$C29&amp;$D$7,[2]!rng_ForecastRowLookup,0),MATCH(P$11,[2]!rng_ForecastColumnLookup,0))</f>
        <v>357.76085197917007</v>
      </c>
      <c r="Q29" s="112">
        <f>INDEX([2]!tbl_Forecast,MATCH($D$8&amp;$C29&amp;$D$7,[2]!rng_ForecastRowLookup,0),MATCH(Q$11,[2]!rng_ForecastColumnLookup,0))</f>
        <v>356.15569828995689</v>
      </c>
      <c r="R29" s="112">
        <f>INDEX([2]!tbl_Forecast,MATCH($D$8&amp;$C29&amp;$D$7,[2]!rng_ForecastRowLookup,0),MATCH(R$11,[2]!rng_ForecastColumnLookup,0))</f>
        <v>354.55774639029596</v>
      </c>
      <c r="S29" s="112">
        <f>INDEX([2]!tbl_Forecast,MATCH($D$8&amp;$C29&amp;$D$7,[2]!rng_ForecastRowLookup,0),MATCH(S$11,[2]!rng_ForecastColumnLookup,0))</f>
        <v>352.96696396815821</v>
      </c>
      <c r="T29" s="112">
        <f>INDEX([2]!tbl_Forecast,MATCH($D$8&amp;$C29&amp;$D$7,[2]!rng_ForecastRowLookup,0),MATCH(T$11,[2]!rng_ForecastColumnLookup,0))</f>
        <v>351.38331885648773</v>
      </c>
      <c r="U29" s="112">
        <f>INDEX([2]!tbl_Forecast,MATCH($D$8&amp;$C29&amp;$D$7,[2]!rng_ForecastRowLookup,0),MATCH(U$11,[2]!rng_ForecastColumnLookup,0))</f>
        <v>349.80677903255156</v>
      </c>
      <c r="V29" s="112">
        <f>INDEX([2]!tbl_Forecast,MATCH($D$8&amp;$C29&amp;$D$7,[2]!rng_ForecastRowLookup,0),MATCH(V$11,[2]!rng_ForecastColumnLookup,0))</f>
        <v>348.23731261729228</v>
      </c>
      <c r="W29" s="112">
        <f>INDEX([2]!tbl_Forecast,MATCH($D$8&amp;$C29&amp;$D$7,[2]!rng_ForecastRowLookup,0),MATCH(W$11,[2]!rng_ForecastColumnLookup,0))</f>
        <v>346.67488787468267</v>
      </c>
      <c r="X29" s="112">
        <f>INDEX([2]!tbl_Forecast,MATCH($D$8&amp;$C29&amp;$D$7,[2]!rng_ForecastRowLookup,0),MATCH(X$11,[2]!rng_ForecastColumnLookup,0))</f>
        <v>345.11947321108494</v>
      </c>
      <c r="Y29" s="45"/>
    </row>
    <row r="30" spans="2:25">
      <c r="C30" s="20" t="s">
        <v>382</v>
      </c>
      <c r="E30" s="112">
        <f>INDEX([2]!tbl_Forecast,MATCH($D$8&amp;$C30&amp;$D$7,[2]!rng_ForecastRowLookup,0),MATCH(E$11,[2]!rng_ForecastColumnLookup,0))</f>
        <v>342.64988330108076</v>
      </c>
      <c r="F30" s="112">
        <f>INDEX([2]!tbl_Forecast,MATCH($D$8&amp;$C30&amp;$D$7,[2]!rng_ForecastRowLookup,0),MATCH(F$11,[2]!rng_ForecastColumnLookup,0))</f>
        <v>339.56603435137106</v>
      </c>
      <c r="G30" s="112">
        <f>INDEX([2]!tbl_Forecast,MATCH($D$8&amp;$C30&amp;$D$7,[2]!rng_ForecastRowLookup,0),MATCH(G$11,[2]!rng_ForecastColumnLookup,0))</f>
        <v>336.50994004220871</v>
      </c>
      <c r="H30" s="112">
        <f>INDEX([2]!tbl_Forecast,MATCH($D$8&amp;$C30&amp;$D$7,[2]!rng_ForecastRowLookup,0),MATCH(H$11,[2]!rng_ForecastColumnLookup,0))</f>
        <v>333.48135058182885</v>
      </c>
      <c r="I30" s="112">
        <f>INDEX([2]!tbl_Forecast,MATCH($D$8&amp;$C30&amp;$D$7,[2]!rng_ForecastRowLookup,0),MATCH(I$11,[2]!rng_ForecastColumnLookup,0))</f>
        <v>330.48001842659238</v>
      </c>
      <c r="J30" s="112">
        <f>INDEX([2]!tbl_Forecast,MATCH($D$8&amp;$C30&amp;$D$7,[2]!rng_ForecastRowLookup,0),MATCH(J$11,[2]!rng_ForecastColumnLookup,0))</f>
        <v>327.50569826075304</v>
      </c>
      <c r="K30" s="112">
        <f>INDEX([2]!tbl_Forecast,MATCH($D$8&amp;$C30&amp;$D$7,[2]!rng_ForecastRowLookup,0),MATCH(K$11,[2]!rng_ForecastColumnLookup,0))</f>
        <v>324.55814697640625</v>
      </c>
      <c r="L30" s="112">
        <f>INDEX([2]!tbl_Forecast,MATCH($D$8&amp;$C30&amp;$D$7,[2]!rng_ForecastRowLookup,0),MATCH(L$11,[2]!rng_ForecastColumnLookup,0))</f>
        <v>321.63712365361863</v>
      </c>
      <c r="M30" s="112">
        <f>INDEX([2]!tbl_Forecast,MATCH($D$8&amp;$C30&amp;$D$7,[2]!rng_ForecastRowLookup,0),MATCH(M$11,[2]!rng_ForecastColumnLookup,0))</f>
        <v>318.7423895407361</v>
      </c>
      <c r="N30" s="112">
        <f>INDEX([2]!tbl_Forecast,MATCH($D$8&amp;$C30&amp;$D$7,[2]!rng_ForecastRowLookup,0),MATCH(N$11,[2]!rng_ForecastColumnLookup,0))</f>
        <v>315.87370803486942</v>
      </c>
      <c r="O30" s="112">
        <f>INDEX([2]!tbl_Forecast,MATCH($D$8&amp;$C30&amp;$D$7,[2]!rng_ForecastRowLookup,0),MATCH(O$11,[2]!rng_ForecastColumnLookup,0))</f>
        <v>313.03084466255564</v>
      </c>
      <c r="P30" s="112">
        <f>INDEX([2]!tbl_Forecast,MATCH($D$8&amp;$C30&amp;$D$7,[2]!rng_ForecastRowLookup,0),MATCH(P$11,[2]!rng_ForecastColumnLookup,0))</f>
        <v>310.21356706059254</v>
      </c>
      <c r="Q30" s="112">
        <f>INDEX([2]!tbl_Forecast,MATCH($D$8&amp;$C30&amp;$D$7,[2]!rng_ForecastRowLookup,0),MATCH(Q$11,[2]!rng_ForecastColumnLookup,0))</f>
        <v>307.42164495704725</v>
      </c>
      <c r="R30" s="112">
        <f>INDEX([2]!tbl_Forecast,MATCH($D$8&amp;$C30&amp;$D$7,[2]!rng_ForecastRowLookup,0),MATCH(R$11,[2]!rng_ForecastColumnLookup,0))</f>
        <v>304.65485015243382</v>
      </c>
      <c r="S30" s="112">
        <f>INDEX([2]!tbl_Forecast,MATCH($D$8&amp;$C30&amp;$D$7,[2]!rng_ForecastRowLookup,0),MATCH(S$11,[2]!rng_ForecastColumnLookup,0))</f>
        <v>301.9129565010619</v>
      </c>
      <c r="T30" s="112">
        <f>INDEX([2]!tbl_Forecast,MATCH($D$8&amp;$C30&amp;$D$7,[2]!rng_ForecastRowLookup,0),MATCH(T$11,[2]!rng_ForecastColumnLookup,0))</f>
        <v>299.19573989255235</v>
      </c>
      <c r="U30" s="112">
        <f>INDEX([2]!tbl_Forecast,MATCH($D$8&amp;$C30&amp;$D$7,[2]!rng_ForecastRowLookup,0),MATCH(U$11,[2]!rng_ForecastColumnLookup,0))</f>
        <v>296.50297823351934</v>
      </c>
      <c r="V30" s="112">
        <f>INDEX([2]!tbl_Forecast,MATCH($D$8&amp;$C30&amp;$D$7,[2]!rng_ForecastRowLookup,0),MATCH(V$11,[2]!rng_ForecastColumnLookup,0))</f>
        <v>293.83445142941764</v>
      </c>
      <c r="W30" s="112">
        <f>INDEX([2]!tbl_Forecast,MATCH($D$8&amp;$C30&amp;$D$7,[2]!rng_ForecastRowLookup,0),MATCH(W$11,[2]!rng_ForecastColumnLookup,0))</f>
        <v>291.18994136655289</v>
      </c>
      <c r="X30" s="112">
        <f>INDEX([2]!tbl_Forecast,MATCH($D$8&amp;$C30&amp;$D$7,[2]!rng_ForecastRowLookup,0),MATCH(X$11,[2]!rng_ForecastColumnLookup,0))</f>
        <v>288.5692318942539</v>
      </c>
      <c r="Y30" s="45"/>
    </row>
    <row r="31" spans="2:25">
      <c r="B31" s="146"/>
      <c r="E31" s="118">
        <f>SUM(E13:E30)</f>
        <v>3371.0405269479006</v>
      </c>
      <c r="F31" s="118">
        <f t="shared" ref="F31:X31" si="2">SUM(F13:F30)</f>
        <v>3356.5369104716883</v>
      </c>
      <c r="G31" s="118">
        <f t="shared" si="2"/>
        <v>3342.1075656435023</v>
      </c>
      <c r="H31" s="118">
        <f t="shared" si="2"/>
        <v>3327.7520346049623</v>
      </c>
      <c r="I31" s="118">
        <f t="shared" si="2"/>
        <v>3313.4698627952139</v>
      </c>
      <c r="J31" s="118">
        <f t="shared" si="2"/>
        <v>3299.2605989245808</v>
      </c>
      <c r="K31" s="118">
        <f t="shared" si="2"/>
        <v>3285.1237949484457</v>
      </c>
      <c r="L31" s="118">
        <f t="shared" si="2"/>
        <v>3271.0590060413433</v>
      </c>
      <c r="M31" s="118">
        <f t="shared" si="2"/>
        <v>3257.0657905712806</v>
      </c>
      <c r="N31" s="118">
        <f t="shared" si="2"/>
        <v>3243.1437100742696</v>
      </c>
      <c r="O31" s="118">
        <f t="shared" si="2"/>
        <v>3229.2923292290834</v>
      </c>
      <c r="P31" s="118">
        <f t="shared" si="2"/>
        <v>3215.5112158322117</v>
      </c>
      <c r="Q31" s="118">
        <f t="shared" si="2"/>
        <v>3201.7999407730422</v>
      </c>
      <c r="R31" s="118">
        <f t="shared" si="2"/>
        <v>3188.1580780092468</v>
      </c>
      <c r="S31" s="118">
        <f t="shared" si="2"/>
        <v>3174.5852045423726</v>
      </c>
      <c r="T31" s="118">
        <f t="shared" si="2"/>
        <v>3161.0809003936483</v>
      </c>
      <c r="U31" s="118">
        <f t="shared" si="2"/>
        <v>3147.644748579979</v>
      </c>
      <c r="V31" s="118">
        <f t="shared" si="2"/>
        <v>3134.2763350901637</v>
      </c>
      <c r="W31" s="118">
        <f t="shared" si="2"/>
        <v>3120.9752488612994</v>
      </c>
      <c r="X31" s="118">
        <f t="shared" si="2"/>
        <v>3107.74108175539</v>
      </c>
      <c r="Y31" s="117"/>
    </row>
    <row r="32" spans="2:25">
      <c r="E32" s="114"/>
      <c r="F32" s="114"/>
      <c r="G32" s="114"/>
      <c r="H32" s="114"/>
      <c r="I32" s="114"/>
      <c r="J32" s="114"/>
      <c r="K32" s="114"/>
      <c r="L32" s="114"/>
      <c r="M32" s="114"/>
      <c r="N32" s="114"/>
      <c r="O32" s="114"/>
      <c r="P32" s="114"/>
      <c r="Q32" s="114"/>
      <c r="R32" s="114"/>
      <c r="S32" s="114"/>
      <c r="T32" s="114"/>
      <c r="U32" s="114"/>
      <c r="V32" s="114"/>
      <c r="W32" s="114"/>
      <c r="X32" s="114"/>
      <c r="Y32" s="45"/>
    </row>
    <row r="33" spans="1:25">
      <c r="B33" s="42"/>
      <c r="E33" s="118"/>
      <c r="F33" s="42" t="s">
        <v>1248</v>
      </c>
      <c r="G33" s="118"/>
      <c r="H33" s="118"/>
      <c r="I33" s="118"/>
      <c r="J33" s="118"/>
      <c r="K33" s="118"/>
      <c r="L33" s="118"/>
      <c r="M33" s="118"/>
      <c r="N33" s="118"/>
      <c r="O33" s="118"/>
      <c r="P33" s="118"/>
      <c r="Q33" s="118"/>
      <c r="R33" s="118"/>
      <c r="S33" s="118"/>
      <c r="T33" s="118"/>
      <c r="U33" s="118"/>
      <c r="V33" s="118"/>
      <c r="W33" s="118"/>
      <c r="X33" s="118"/>
      <c r="Y33" s="42"/>
    </row>
    <row r="34" spans="1:25">
      <c r="A34" s="47" t="s">
        <v>398</v>
      </c>
      <c r="B34" s="47"/>
      <c r="C34" s="47"/>
      <c r="D34" s="147" t="s">
        <v>47</v>
      </c>
      <c r="E34" s="47">
        <f>E11</f>
        <v>2016</v>
      </c>
      <c r="F34" s="47">
        <f t="shared" ref="F34:X34" si="3">F11</f>
        <v>2017</v>
      </c>
      <c r="G34" s="47">
        <f t="shared" si="3"/>
        <v>2018</v>
      </c>
      <c r="H34" s="47">
        <f t="shared" si="3"/>
        <v>2019</v>
      </c>
      <c r="I34" s="47">
        <f t="shared" si="3"/>
        <v>2020</v>
      </c>
      <c r="J34" s="47">
        <f t="shared" si="3"/>
        <v>2021</v>
      </c>
      <c r="K34" s="47">
        <f t="shared" si="3"/>
        <v>2022</v>
      </c>
      <c r="L34" s="47">
        <f t="shared" si="3"/>
        <v>2023</v>
      </c>
      <c r="M34" s="47">
        <f t="shared" si="3"/>
        <v>2024</v>
      </c>
      <c r="N34" s="47">
        <f t="shared" si="3"/>
        <v>2025</v>
      </c>
      <c r="O34" s="47">
        <f t="shared" si="3"/>
        <v>2026</v>
      </c>
      <c r="P34" s="47">
        <f t="shared" si="3"/>
        <v>2027</v>
      </c>
      <c r="Q34" s="47">
        <f t="shared" si="3"/>
        <v>2028</v>
      </c>
      <c r="R34" s="47">
        <f t="shared" si="3"/>
        <v>2029</v>
      </c>
      <c r="S34" s="47">
        <f t="shared" si="3"/>
        <v>2030</v>
      </c>
      <c r="T34" s="47">
        <f t="shared" si="3"/>
        <v>2031</v>
      </c>
      <c r="U34" s="47">
        <f t="shared" si="3"/>
        <v>2032</v>
      </c>
      <c r="V34" s="47">
        <f t="shared" si="3"/>
        <v>2033</v>
      </c>
      <c r="W34" s="47">
        <f t="shared" si="3"/>
        <v>2034</v>
      </c>
      <c r="X34" s="47">
        <f t="shared" si="3"/>
        <v>2035</v>
      </c>
      <c r="Y34" s="148">
        <v>0.85</v>
      </c>
    </row>
    <row r="35" spans="1:25">
      <c r="A35" s="115" t="s">
        <v>1247</v>
      </c>
      <c r="B35" s="115" t="s">
        <v>1243</v>
      </c>
      <c r="C35" s="47" t="str">
        <f>C8</f>
        <v>Showerheads-Retro</v>
      </c>
      <c r="D35" s="147" t="str">
        <f>VLOOKUP(C35,[1]ACHIEV!$B$12:$C$100,2,FALSE)</f>
        <v>Retro20Fast</v>
      </c>
      <c r="E35" s="48">
        <f>VLOOKUP($C$35,[1]!ACHIEV,MATCH(E$11,$E$11:$X$11,0)+2,FALSE)</f>
        <v>0.22119921692859512</v>
      </c>
      <c r="F35" s="48">
        <f>VLOOKUP($C$35,[1]!ACHIEV,MATCH(F$11,$E$11:$X$11,0)+2,FALSE)</f>
        <v>0.15504311102289431</v>
      </c>
      <c r="G35" s="48">
        <f>VLOOKUP($C$35,[1]!ACHIEV,MATCH(G$11,$E$11:$X$11,0)+2,FALSE)</f>
        <v>0.10733128557729499</v>
      </c>
      <c r="H35" s="48">
        <f>VLOOKUP($C$35,[1]!ACHIEV,MATCH(H$11,$E$11:$X$11,0)+2,FALSE)</f>
        <v>8.3589689255657879E-2</v>
      </c>
      <c r="I35" s="48">
        <f>VLOOKUP($C$35,[1]!ACHIEV,MATCH(I$11,$E$11:$X$11,0)+2,FALSE)</f>
        <v>7.3237179880126971E-2</v>
      </c>
      <c r="J35" s="48">
        <f>VLOOKUP($C$35,[1]!ACHIEV,MATCH(J$11,$E$11:$X$11,0)+2,FALSE)</f>
        <v>6.3374636711760357E-2</v>
      </c>
      <c r="K35" s="48">
        <f>VLOOKUP($C$35,[1]!ACHIEV,MATCH(K$11,$E$11:$X$11,0)+2,FALSE)</f>
        <v>5.4291838367783084E-2</v>
      </c>
      <c r="L35" s="48">
        <f>VLOOKUP($C$35,[1]!ACHIEV,MATCH(L$11,$E$11:$X$11,0)+2,FALSE)</f>
        <v>4.612639225659896E-2</v>
      </c>
      <c r="M35" s="48">
        <f>VLOOKUP($C$35,[1]!ACHIEV,MATCH(M$11,$E$11:$X$11,0)+2,FALSE)</f>
        <v>3.8916876277172864E-2</v>
      </c>
      <c r="N35" s="48">
        <f>VLOOKUP($C$35,[1]!ACHIEV,MATCH(N$11,$E$11:$X$11,0)+2,FALSE)</f>
        <v>3.2639916313151704E-2</v>
      </c>
      <c r="O35" s="48">
        <f>VLOOKUP($C$35,[1]!ACHIEV,MATCH(O$11,$E$11:$X$11,0)+2,FALSE)</f>
        <v>2.7235706125786907E-2</v>
      </c>
      <c r="P35" s="48">
        <f>VLOOKUP($C$35,[1]!ACHIEV,MATCH(P$11,$E$11:$X$11,0)+2,FALSE)</f>
        <v>2.1211189258265428E-2</v>
      </c>
      <c r="Q35" s="48">
        <f>VLOOKUP($C$35,[1]!ACHIEV,MATCH(Q$11,$E$11:$X$11,0)+2,FALSE)</f>
        <v>1.6519290804212883E-2</v>
      </c>
      <c r="R35" s="48">
        <f>VLOOKUP($C$35,[1]!ACHIEV,MATCH(R$11,$E$11:$X$11,0)+2,FALSE)</f>
        <v>1.2865236614105324E-2</v>
      </c>
      <c r="S35" s="48">
        <f>VLOOKUP($C$35,[1]!ACHIEV,MATCH(S$11,$E$11:$X$11,0)+2,FALSE)</f>
        <v>1.0019456349464106E-2</v>
      </c>
      <c r="T35" s="48">
        <f>VLOOKUP($C$35,[1]!ACHIEV,MATCH(T$11,$E$11:$X$11,0)+2,FALSE)</f>
        <v>7.8031604509122832E-3</v>
      </c>
      <c r="U35" s="48">
        <f>VLOOKUP($C$35,[1]!ACHIEV,MATCH(U$11,$E$11:$X$11,0)+2,FALSE)</f>
        <v>6.077107469602494E-3</v>
      </c>
      <c r="V35" s="48">
        <f>VLOOKUP($C$35,[1]!ACHIEV,MATCH(V$11,$E$11:$X$11,0)+2,FALSE)</f>
        <v>4.7328560561354371E-3</v>
      </c>
      <c r="W35" s="48">
        <f>VLOOKUP($C$35,[1]!ACHIEV,MATCH(W$11,$E$11:$X$11,0)+2,FALSE)</f>
        <v>3.6859520026825132E-3</v>
      </c>
      <c r="X35" s="48">
        <f>VLOOKUP($C$35,[1]!ACHIEV,MATCH(X$11,$E$11:$X$11,0)+2,FALSE)</f>
        <v>2.8706223060526725E-3</v>
      </c>
      <c r="Y35" s="42"/>
    </row>
    <row r="36" spans="1:25">
      <c r="A36" s="551">
        <f t="shared" ref="A36:A53" si="4">B36/E13</f>
        <v>84.997938201886328</v>
      </c>
      <c r="B36" s="550">
        <f>'Savings &amp; Cost'!C5</f>
        <v>32306.72054096264</v>
      </c>
      <c r="C36" s="20" t="str">
        <f>C13</f>
        <v>Large Off</v>
      </c>
      <c r="D36" s="175">
        <f>VLOOKUP($C$35,[1]!APPLIC,MATCH(C36,BLDGTYP,0)+1,FALSE)</f>
        <v>0.8</v>
      </c>
      <c r="E36" s="174">
        <f>E13*E$35*$Y$34*$A36*$D36</f>
        <v>4859.4304739304889</v>
      </c>
      <c r="F36" s="174">
        <f>(F13+'SC-New'!E163)*F$35*$Y$34*$A36*$D36</f>
        <v>3465.8147842810686</v>
      </c>
      <c r="G36" s="174">
        <f>(G13+'SC-New'!F163)*G$35*$Y$34*$A36*$D36</f>
        <v>2429.1274784631119</v>
      </c>
      <c r="H36" s="174">
        <f>(H13+'SC-New'!G163)*H$35*$Y$34*$A36*$D36</f>
        <v>1914.7914653167231</v>
      </c>
      <c r="I36" s="174">
        <f>(I13+'SC-New'!H163)*I$35*$Y$34*$A36*$D36</f>
        <v>1702.0348457817036</v>
      </c>
      <c r="J36" s="174">
        <f>(J13+'SC-New'!I163)*J$35*$Y$34*$A36*$D36</f>
        <v>1493.0279346582067</v>
      </c>
      <c r="K36" s="174">
        <f>(K13+'SC-New'!J163)*K$35*$Y$34*$A36*$D36</f>
        <v>1292.588766058391</v>
      </c>
      <c r="L36" s="174">
        <f>(L13+'SC-New'!K163)*L$35*$Y$34*$A36*$D36</f>
        <v>1113.6576654445316</v>
      </c>
      <c r="M36" s="174">
        <f>(M13+'SC-New'!L163)*M$35*$Y$34*$A36*$D36</f>
        <v>950.66974618788743</v>
      </c>
      <c r="N36" s="174">
        <f>(N13+'SC-New'!M163)*N$35*$Y$34*$A36*$D36</f>
        <v>806.2936760403054</v>
      </c>
      <c r="O36" s="174">
        <f>(O13+'SC-New'!N163)*O$35*$Y$34*$A36*$D36</f>
        <v>681.44529216264505</v>
      </c>
      <c r="P36" s="174">
        <f>(P13+'SC-New'!O163)*P$35*$Y$34*$A36*$D36</f>
        <v>537.45504882175999</v>
      </c>
      <c r="Q36" s="174">
        <f>(Q13+'SC-New'!P163)*Q$35*$Y$34*$A36*$D36</f>
        <v>424.41796634612342</v>
      </c>
      <c r="R36" s="174">
        <f>(R13+'SC-New'!Q163)*R$35*$Y$34*$A36*$D36</f>
        <v>335.61745678778158</v>
      </c>
      <c r="S36" s="174">
        <f>(S13+'SC-New'!R163)*S$35*$Y$34*$A36*$D36</f>
        <v>264.94787829415503</v>
      </c>
      <c r="T36" s="174">
        <f>(T13+'SC-New'!S163)*T$35*$Y$34*$A36*$D36</f>
        <v>209.41703282227292</v>
      </c>
      <c r="U36" s="174">
        <f>(U13+'SC-New'!T163)*U$35*$Y$34*$A36*$D36</f>
        <v>165.4377892498112</v>
      </c>
      <c r="V36" s="174">
        <f>(V13+'SC-New'!U163)*V$35*$Y$34*$A36*$D36</f>
        <v>130.63580120724771</v>
      </c>
      <c r="W36" s="174">
        <f>(W13+'SC-New'!V163)*W$35*$Y$34*$A36*$D36</f>
        <v>103.03648156123586</v>
      </c>
      <c r="X36" s="174">
        <f>(X13+'SC-New'!W163)*X$35*$Y$34*$A36*$D36</f>
        <v>81.240534791875064</v>
      </c>
      <c r="Y36" s="561">
        <f>X13*$Y$34*D36*A36</f>
        <v>20749.603180693328</v>
      </c>
    </row>
    <row r="37" spans="1:25">
      <c r="A37" s="551">
        <f t="shared" si="4"/>
        <v>145.19889373056486</v>
      </c>
      <c r="B37" s="550">
        <f>'Savings &amp; Cost'!C6</f>
        <v>27694.782718488583</v>
      </c>
      <c r="C37" s="20" t="str">
        <f t="shared" ref="C37:C53" si="5">C14</f>
        <v>Medium Off</v>
      </c>
      <c r="D37" s="175">
        <f>VLOOKUP($C$35,[1]!APPLIC,MATCH(C37,BLDGTYP,0)+1,FALSE)</f>
        <v>0.8</v>
      </c>
      <c r="E37" s="174">
        <f t="shared" ref="E37:E53" si="6">E14*E$35*$Y$34*$A37*$D37</f>
        <v>4165.7236902293398</v>
      </c>
      <c r="F37" s="174">
        <f>(F14+'SC-New'!E164)*F$35*$Y$34*$A37*$D37</f>
        <v>3007.9940422326308</v>
      </c>
      <c r="G37" s="174">
        <f>(G14+'SC-New'!F164)*G$35*$Y$34*$A37*$D37</f>
        <v>2125.2984982643261</v>
      </c>
      <c r="H37" s="174">
        <f>(H14+'SC-New'!G164)*H$35*$Y$34*$A37*$D37</f>
        <v>1689.2424662771809</v>
      </c>
      <c r="I37" s="174">
        <f>(I14+'SC-New'!H164)*I$35*$Y$34*$A37*$D37</f>
        <v>1516.1078949234804</v>
      </c>
      <c r="J37" s="174">
        <f>(J14+'SC-New'!I164)*J$35*$Y$34*$A37*$D37</f>
        <v>1341.5055382690607</v>
      </c>
      <c r="K37" s="174">
        <f>(K14+'SC-New'!J164)*K$35*$Y$34*$A37*$D37</f>
        <v>1168.174376782636</v>
      </c>
      <c r="L37" s="174">
        <f>(L14+'SC-New'!K164)*L$35*$Y$34*$A37*$D37</f>
        <v>1015.5023800841586</v>
      </c>
      <c r="M37" s="174">
        <f>(M14+'SC-New'!L164)*M$35*$Y$34*$A37*$D37</f>
        <v>873.42786452741791</v>
      </c>
      <c r="N37" s="174">
        <f>(N14+'SC-New'!M164)*N$35*$Y$34*$A37*$D37</f>
        <v>745.73347491400853</v>
      </c>
      <c r="O37" s="174">
        <f>(O14+'SC-New'!N164)*O$35*$Y$34*$A37*$D37</f>
        <v>635.17816023511693</v>
      </c>
      <c r="P37" s="174">
        <f>(P14+'SC-New'!O164)*P$35*$Y$34*$A37*$D37</f>
        <v>504.70855547103531</v>
      </c>
      <c r="Q37" s="174">
        <f>(Q14+'SC-New'!P164)*Q$35*$Y$34*$A37*$D37</f>
        <v>401.48894111264468</v>
      </c>
      <c r="R37" s="174">
        <f>(R14+'SC-New'!Q164)*R$35*$Y$34*$A37*$D37</f>
        <v>319.8091427750345</v>
      </c>
      <c r="S37" s="174">
        <f>(S14+'SC-New'!R164)*S$35*$Y$34*$A37*$D37</f>
        <v>254.26138695064316</v>
      </c>
      <c r="T37" s="174">
        <f>(T14+'SC-New'!S164)*T$35*$Y$34*$A37*$D37</f>
        <v>202.55270803459268</v>
      </c>
      <c r="U37" s="174">
        <f>(U14+'SC-New'!T164)*U$35*$Y$34*$A37*$D37</f>
        <v>161.08479469792016</v>
      </c>
      <c r="V37" s="174">
        <f>(V14+'SC-New'!U164)*V$35*$Y$34*$A37*$D37</f>
        <v>128.14833588173801</v>
      </c>
      <c r="W37" s="174">
        <f>(W14+'SC-New'!V164)*W$35*$Y$34*$A37*$D37</f>
        <v>101.62044932212069</v>
      </c>
      <c r="X37" s="174">
        <f>(X14+'SC-New'!W164)*X$35*$Y$34*$A37*$D37</f>
        <v>80.554854923247447</v>
      </c>
      <c r="Y37" s="561">
        <f t="shared" ref="Y37:Y53" si="7">X14*$Y$34*D37*A37</f>
        <v>17787.498760684746</v>
      </c>
    </row>
    <row r="38" spans="1:25">
      <c r="A38" s="551">
        <f t="shared" si="4"/>
        <v>27.152262115314134</v>
      </c>
      <c r="B38" s="550">
        <f>'Savings &amp; Cost'!C7</f>
        <v>4998.4967405487751</v>
      </c>
      <c r="C38" s="20" t="str">
        <f t="shared" si="5"/>
        <v>Small Off</v>
      </c>
      <c r="D38" s="175">
        <f>VLOOKUP($C$35,[1]!APPLIC,MATCH(C38,BLDGTYP,0)+1,FALSE)</f>
        <v>0.8</v>
      </c>
      <c r="E38" s="174">
        <f t="shared" si="6"/>
        <v>751.85122408407642</v>
      </c>
      <c r="F38" s="174">
        <f>(F15+'SC-New'!E165)*F$35*$Y$34*$A38*$D38</f>
        <v>530.16518319314105</v>
      </c>
      <c r="G38" s="174">
        <f>(G15+'SC-New'!F165)*G$35*$Y$34*$A38*$D38</f>
        <v>368.33676436202677</v>
      </c>
      <c r="H38" s="174">
        <f>(H15+'SC-New'!G165)*H$35*$Y$34*$A38*$D38</f>
        <v>287.93431893995233</v>
      </c>
      <c r="I38" s="174">
        <f>(I15+'SC-New'!H165)*I$35*$Y$34*$A38*$D38</f>
        <v>253.50617074537968</v>
      </c>
      <c r="J38" s="174">
        <f>(J15+'SC-New'!I165)*J$35*$Y$34*$A38*$D38</f>
        <v>220.36769755760525</v>
      </c>
      <c r="K38" s="174">
        <f>(K15+'SC-New'!J165)*K$35*$Y$34*$A38*$D38</f>
        <v>189.32081550065237</v>
      </c>
      <c r="L38" s="174">
        <f>(L15+'SC-New'!K165)*L$35*$Y$34*$A38*$D38</f>
        <v>161.64120268654329</v>
      </c>
      <c r="M38" s="174">
        <f>(M15+'SC-New'!L165)*M$35*$Y$34*$A38*$D38</f>
        <v>136.91490496226203</v>
      </c>
      <c r="N38" s="174">
        <f>(N15+'SC-New'!M165)*N$35*$Y$34*$A38*$D38</f>
        <v>115.24437573429641</v>
      </c>
      <c r="O38" s="174">
        <f>(O15+'SC-New'!N165)*O$35*$Y$34*$A38*$D38</f>
        <v>96.597625181130766</v>
      </c>
      <c r="P38" s="174">
        <f>(P15+'SC-New'!O165)*P$35*$Y$34*$A38*$D38</f>
        <v>75.568365771522593</v>
      </c>
      <c r="Q38" s="174">
        <f>(Q15+'SC-New'!P165)*Q$35*$Y$34*$A38*$D38</f>
        <v>59.147124843509971</v>
      </c>
      <c r="R38" s="174">
        <f>(R15+'SC-New'!Q165)*R$35*$Y$34*$A38*$D38</f>
        <v>46.322044829496015</v>
      </c>
      <c r="S38" s="174">
        <f>(S15+'SC-New'!R165)*S$35*$Y$34*$A38*$D38</f>
        <v>36.258349399535966</v>
      </c>
      <c r="T38" s="174">
        <f>(T15+'SC-New'!S165)*T$35*$Y$34*$A38*$D38</f>
        <v>28.405091888446755</v>
      </c>
      <c r="U38" s="174">
        <f>(U15+'SC-New'!T165)*U$35*$Y$34*$A38*$D38</f>
        <v>22.241888367002687</v>
      </c>
      <c r="V38" s="174">
        <f>(V15+'SC-New'!U165)*V$35*$Y$34*$A38*$D38</f>
        <v>17.419357110488448</v>
      </c>
      <c r="W38" s="174">
        <f>(W15+'SC-New'!V165)*W$35*$Y$34*$A38*$D38</f>
        <v>13.629624736224116</v>
      </c>
      <c r="X38" s="174">
        <f>(X15+'SC-New'!W165)*X$35*$Y$34*$A38*$D38</f>
        <v>10.664052780202432</v>
      </c>
      <c r="Y38" s="561">
        <f t="shared" si="7"/>
        <v>3210.3792068548246</v>
      </c>
    </row>
    <row r="39" spans="1:25">
      <c r="A39" s="551">
        <f t="shared" si="4"/>
        <v>0</v>
      </c>
      <c r="B39" s="550">
        <f>'Savings &amp; Cost'!C8</f>
        <v>0</v>
      </c>
      <c r="C39" s="20" t="str">
        <f t="shared" si="5"/>
        <v>XLarge Ret</v>
      </c>
      <c r="D39" s="175">
        <f>VLOOKUP($C$35,[1]!APPLIC,MATCH(C39,BLDGTYP,0)+1,FALSE)</f>
        <v>0.8</v>
      </c>
      <c r="E39" s="174">
        <f t="shared" si="6"/>
        <v>0</v>
      </c>
      <c r="F39" s="174">
        <f>(F16+'SC-New'!E166)*F$35*$Y$34*$A39*$D39</f>
        <v>0</v>
      </c>
      <c r="G39" s="174">
        <f>(G16+'SC-New'!F166)*G$35*$Y$34*$A39*$D39</f>
        <v>0</v>
      </c>
      <c r="H39" s="174">
        <f>(H16+'SC-New'!G166)*H$35*$Y$34*$A39*$D39</f>
        <v>0</v>
      </c>
      <c r="I39" s="174">
        <f>(I16+'SC-New'!H166)*I$35*$Y$34*$A39*$D39</f>
        <v>0</v>
      </c>
      <c r="J39" s="174">
        <f>(J16+'SC-New'!I166)*J$35*$Y$34*$A39*$D39</f>
        <v>0</v>
      </c>
      <c r="K39" s="174">
        <f>(K16+'SC-New'!J166)*K$35*$Y$34*$A39*$D39</f>
        <v>0</v>
      </c>
      <c r="L39" s="174">
        <f>(L16+'SC-New'!K166)*L$35*$Y$34*$A39*$D39</f>
        <v>0</v>
      </c>
      <c r="M39" s="174">
        <f>(M16+'SC-New'!L166)*M$35*$Y$34*$A39*$D39</f>
        <v>0</v>
      </c>
      <c r="N39" s="174">
        <f>(N16+'SC-New'!M166)*N$35*$Y$34*$A39*$D39</f>
        <v>0</v>
      </c>
      <c r="O39" s="174">
        <f>(O16+'SC-New'!N166)*O$35*$Y$34*$A39*$D39</f>
        <v>0</v>
      </c>
      <c r="P39" s="174">
        <f>(P16+'SC-New'!O166)*P$35*$Y$34*$A39*$D39</f>
        <v>0</v>
      </c>
      <c r="Q39" s="174">
        <f>(Q16+'SC-New'!P166)*Q$35*$Y$34*$A39*$D39</f>
        <v>0</v>
      </c>
      <c r="R39" s="174">
        <f>(R16+'SC-New'!Q166)*R$35*$Y$34*$A39*$D39</f>
        <v>0</v>
      </c>
      <c r="S39" s="174">
        <f>(S16+'SC-New'!R166)*S$35*$Y$34*$A39*$D39</f>
        <v>0</v>
      </c>
      <c r="T39" s="174">
        <f>(T16+'SC-New'!S166)*T$35*$Y$34*$A39*$D39</f>
        <v>0</v>
      </c>
      <c r="U39" s="174">
        <f>(U16+'SC-New'!T166)*U$35*$Y$34*$A39*$D39</f>
        <v>0</v>
      </c>
      <c r="V39" s="174">
        <f>(V16+'SC-New'!U166)*V$35*$Y$34*$A39*$D39</f>
        <v>0</v>
      </c>
      <c r="W39" s="174">
        <f>(W16+'SC-New'!V166)*W$35*$Y$34*$A39*$D39</f>
        <v>0</v>
      </c>
      <c r="X39" s="174">
        <f>(X16+'SC-New'!W166)*X$35*$Y$34*$A39*$D39</f>
        <v>0</v>
      </c>
      <c r="Y39" s="561">
        <f t="shared" si="7"/>
        <v>0</v>
      </c>
    </row>
    <row r="40" spans="1:25">
      <c r="A40" s="551">
        <f t="shared" si="4"/>
        <v>0</v>
      </c>
      <c r="B40" s="550">
        <f>'Savings &amp; Cost'!C9</f>
        <v>0</v>
      </c>
      <c r="C40" s="20" t="str">
        <f t="shared" si="5"/>
        <v>Large Ret</v>
      </c>
      <c r="D40" s="175">
        <f>VLOOKUP($C$35,[1]!APPLIC,MATCH(C40,BLDGTYP,0)+1,FALSE)</f>
        <v>0.8</v>
      </c>
      <c r="E40" s="174">
        <f t="shared" si="6"/>
        <v>0</v>
      </c>
      <c r="F40" s="174">
        <f>(F17+'SC-New'!E167)*F$35*$Y$34*$A40*$D40</f>
        <v>0</v>
      </c>
      <c r="G40" s="174">
        <f>(G17+'SC-New'!F167)*G$35*$Y$34*$A40*$D40</f>
        <v>0</v>
      </c>
      <c r="H40" s="174">
        <f>(H17+'SC-New'!G167)*H$35*$Y$34*$A40*$D40</f>
        <v>0</v>
      </c>
      <c r="I40" s="174">
        <f>(I17+'SC-New'!H167)*I$35*$Y$34*$A40*$D40</f>
        <v>0</v>
      </c>
      <c r="J40" s="174">
        <f>(J17+'SC-New'!I167)*J$35*$Y$34*$A40*$D40</f>
        <v>0</v>
      </c>
      <c r="K40" s="174">
        <f>(K17+'SC-New'!J167)*K$35*$Y$34*$A40*$D40</f>
        <v>0</v>
      </c>
      <c r="L40" s="174">
        <f>(L17+'SC-New'!K167)*L$35*$Y$34*$A40*$D40</f>
        <v>0</v>
      </c>
      <c r="M40" s="174">
        <f>(M17+'SC-New'!L167)*M$35*$Y$34*$A40*$D40</f>
        <v>0</v>
      </c>
      <c r="N40" s="174">
        <f>(N17+'SC-New'!M167)*N$35*$Y$34*$A40*$D40</f>
        <v>0</v>
      </c>
      <c r="O40" s="174">
        <f>(O17+'SC-New'!N167)*O$35*$Y$34*$A40*$D40</f>
        <v>0</v>
      </c>
      <c r="P40" s="174">
        <f>(P17+'SC-New'!O167)*P$35*$Y$34*$A40*$D40</f>
        <v>0</v>
      </c>
      <c r="Q40" s="174">
        <f>(Q17+'SC-New'!P167)*Q$35*$Y$34*$A40*$D40</f>
        <v>0</v>
      </c>
      <c r="R40" s="174">
        <f>(R17+'SC-New'!Q167)*R$35*$Y$34*$A40*$D40</f>
        <v>0</v>
      </c>
      <c r="S40" s="174">
        <f>(S17+'SC-New'!R167)*S$35*$Y$34*$A40*$D40</f>
        <v>0</v>
      </c>
      <c r="T40" s="174">
        <f>(T17+'SC-New'!S167)*T$35*$Y$34*$A40*$D40</f>
        <v>0</v>
      </c>
      <c r="U40" s="174">
        <f>(U17+'SC-New'!T167)*U$35*$Y$34*$A40*$D40</f>
        <v>0</v>
      </c>
      <c r="V40" s="174">
        <f>(V17+'SC-New'!U167)*V$35*$Y$34*$A40*$D40</f>
        <v>0</v>
      </c>
      <c r="W40" s="174">
        <f>(W17+'SC-New'!V167)*W$35*$Y$34*$A40*$D40</f>
        <v>0</v>
      </c>
      <c r="X40" s="174">
        <f>(X17+'SC-New'!W167)*X$35*$Y$34*$A40*$D40</f>
        <v>0</v>
      </c>
      <c r="Y40" s="561">
        <f t="shared" si="7"/>
        <v>0</v>
      </c>
    </row>
    <row r="41" spans="1:25">
      <c r="A41" s="551">
        <f t="shared" si="4"/>
        <v>0</v>
      </c>
      <c r="B41" s="550">
        <f>'Savings &amp; Cost'!C10</f>
        <v>0</v>
      </c>
      <c r="C41" s="20" t="str">
        <f t="shared" si="5"/>
        <v>Medium Ret</v>
      </c>
      <c r="D41" s="175">
        <f>VLOOKUP($C$35,[1]!APPLIC,MATCH(C41,BLDGTYP,0)+1,FALSE)</f>
        <v>0.8</v>
      </c>
      <c r="E41" s="174">
        <f t="shared" si="6"/>
        <v>0</v>
      </c>
      <c r="F41" s="174">
        <f>(F18+'SC-New'!E168)*F$35*$Y$34*$A41*$D41</f>
        <v>0</v>
      </c>
      <c r="G41" s="174">
        <f>(G18+'SC-New'!F168)*G$35*$Y$34*$A41*$D41</f>
        <v>0</v>
      </c>
      <c r="H41" s="174">
        <f>(H18+'SC-New'!G168)*H$35*$Y$34*$A41*$D41</f>
        <v>0</v>
      </c>
      <c r="I41" s="174">
        <f>(I18+'SC-New'!H168)*I$35*$Y$34*$A41*$D41</f>
        <v>0</v>
      </c>
      <c r="J41" s="174">
        <f>(J18+'SC-New'!I168)*J$35*$Y$34*$A41*$D41</f>
        <v>0</v>
      </c>
      <c r="K41" s="174">
        <f>(K18+'SC-New'!J168)*K$35*$Y$34*$A41*$D41</f>
        <v>0</v>
      </c>
      <c r="L41" s="174">
        <f>(L18+'SC-New'!K168)*L$35*$Y$34*$A41*$D41</f>
        <v>0</v>
      </c>
      <c r="M41" s="174">
        <f>(M18+'SC-New'!L168)*M$35*$Y$34*$A41*$D41</f>
        <v>0</v>
      </c>
      <c r="N41" s="174">
        <f>(N18+'SC-New'!M168)*N$35*$Y$34*$A41*$D41</f>
        <v>0</v>
      </c>
      <c r="O41" s="174">
        <f>(O18+'SC-New'!N168)*O$35*$Y$34*$A41*$D41</f>
        <v>0</v>
      </c>
      <c r="P41" s="174">
        <f>(P18+'SC-New'!O168)*P$35*$Y$34*$A41*$D41</f>
        <v>0</v>
      </c>
      <c r="Q41" s="174">
        <f>(Q18+'SC-New'!P168)*Q$35*$Y$34*$A41*$D41</f>
        <v>0</v>
      </c>
      <c r="R41" s="174">
        <f>(R18+'SC-New'!Q168)*R$35*$Y$34*$A41*$D41</f>
        <v>0</v>
      </c>
      <c r="S41" s="174">
        <f>(S18+'SC-New'!R168)*S$35*$Y$34*$A41*$D41</f>
        <v>0</v>
      </c>
      <c r="T41" s="174">
        <f>(T18+'SC-New'!S168)*T$35*$Y$34*$A41*$D41</f>
        <v>0</v>
      </c>
      <c r="U41" s="174">
        <f>(U18+'SC-New'!T168)*U$35*$Y$34*$A41*$D41</f>
        <v>0</v>
      </c>
      <c r="V41" s="174">
        <f>(V18+'SC-New'!U168)*V$35*$Y$34*$A41*$D41</f>
        <v>0</v>
      </c>
      <c r="W41" s="174">
        <f>(W18+'SC-New'!V168)*W$35*$Y$34*$A41*$D41</f>
        <v>0</v>
      </c>
      <c r="X41" s="174">
        <f>(X18+'SC-New'!W168)*X$35*$Y$34*$A41*$D41</f>
        <v>0</v>
      </c>
      <c r="Y41" s="561">
        <f t="shared" si="7"/>
        <v>0</v>
      </c>
    </row>
    <row r="42" spans="1:25">
      <c r="A42" s="551">
        <f t="shared" si="4"/>
        <v>0</v>
      </c>
      <c r="B42" s="550">
        <f>'Savings &amp; Cost'!C11</f>
        <v>0</v>
      </c>
      <c r="C42" s="20" t="str">
        <f t="shared" si="5"/>
        <v>Small Ret</v>
      </c>
      <c r="D42" s="175">
        <f>VLOOKUP($C$35,[1]!APPLIC,MATCH(C42,BLDGTYP,0)+1,FALSE)</f>
        <v>0.8</v>
      </c>
      <c r="E42" s="174">
        <f t="shared" si="6"/>
        <v>0</v>
      </c>
      <c r="F42" s="174">
        <f>(F19+'SC-New'!E169)*F$35*$Y$34*$A42*$D42</f>
        <v>0</v>
      </c>
      <c r="G42" s="174">
        <f>(G19+'SC-New'!F169)*G$35*$Y$34*$A42*$D42</f>
        <v>0</v>
      </c>
      <c r="H42" s="174">
        <f>(H19+'SC-New'!G169)*H$35*$Y$34*$A42*$D42</f>
        <v>0</v>
      </c>
      <c r="I42" s="174">
        <f>(I19+'SC-New'!H169)*I$35*$Y$34*$A42*$D42</f>
        <v>0</v>
      </c>
      <c r="J42" s="174">
        <f>(J19+'SC-New'!I169)*J$35*$Y$34*$A42*$D42</f>
        <v>0</v>
      </c>
      <c r="K42" s="174">
        <f>(K19+'SC-New'!J169)*K$35*$Y$34*$A42*$D42</f>
        <v>0</v>
      </c>
      <c r="L42" s="174">
        <f>(L19+'SC-New'!K169)*L$35*$Y$34*$A42*$D42</f>
        <v>0</v>
      </c>
      <c r="M42" s="174">
        <f>(M19+'SC-New'!L169)*M$35*$Y$34*$A42*$D42</f>
        <v>0</v>
      </c>
      <c r="N42" s="174">
        <f>(N19+'SC-New'!M169)*N$35*$Y$34*$A42*$D42</f>
        <v>0</v>
      </c>
      <c r="O42" s="174">
        <f>(O19+'SC-New'!N169)*O$35*$Y$34*$A42*$D42</f>
        <v>0</v>
      </c>
      <c r="P42" s="174">
        <f>(P19+'SC-New'!O169)*P$35*$Y$34*$A42*$D42</f>
        <v>0</v>
      </c>
      <c r="Q42" s="174">
        <f>(Q19+'SC-New'!P169)*Q$35*$Y$34*$A42*$D42</f>
        <v>0</v>
      </c>
      <c r="R42" s="174">
        <f>(R19+'SC-New'!Q169)*R$35*$Y$34*$A42*$D42</f>
        <v>0</v>
      </c>
      <c r="S42" s="174">
        <f>(S19+'SC-New'!R169)*S$35*$Y$34*$A42*$D42</f>
        <v>0</v>
      </c>
      <c r="T42" s="174">
        <f>(T19+'SC-New'!S169)*T$35*$Y$34*$A42*$D42</f>
        <v>0</v>
      </c>
      <c r="U42" s="174">
        <f>(U19+'SC-New'!T169)*U$35*$Y$34*$A42*$D42</f>
        <v>0</v>
      </c>
      <c r="V42" s="174">
        <f>(V19+'SC-New'!U169)*V$35*$Y$34*$A42*$D42</f>
        <v>0</v>
      </c>
      <c r="W42" s="174">
        <f>(W19+'SC-New'!V169)*W$35*$Y$34*$A42*$D42</f>
        <v>0</v>
      </c>
      <c r="X42" s="174">
        <f>(X19+'SC-New'!W169)*X$35*$Y$34*$A42*$D42</f>
        <v>0</v>
      </c>
      <c r="Y42" s="561">
        <f t="shared" si="7"/>
        <v>0</v>
      </c>
    </row>
    <row r="43" spans="1:25">
      <c r="A43" s="551">
        <f t="shared" si="4"/>
        <v>21.049001227241597</v>
      </c>
      <c r="B43" s="550">
        <f>'Savings &amp; Cost'!C12</f>
        <v>5075.2854951796671</v>
      </c>
      <c r="C43" s="20" t="str">
        <f t="shared" si="5"/>
        <v>School K-12</v>
      </c>
      <c r="D43" s="175">
        <f>VLOOKUP($C$35,[1]!APPLIC,MATCH(C43,BLDGTYP,0)+1,FALSE)</f>
        <v>0.8</v>
      </c>
      <c r="E43" s="174">
        <f t="shared" si="6"/>
        <v>763.40144051150367</v>
      </c>
      <c r="F43" s="174">
        <f>(F20+'SC-New'!E170)*F$35*$Y$34*$A43*$D43</f>
        <v>533.9849120546246</v>
      </c>
      <c r="G43" s="174">
        <f>(G20+'SC-New'!F170)*G$35*$Y$34*$A43*$D43</f>
        <v>369.84228717015048</v>
      </c>
      <c r="H43" s="174">
        <f>(H20+'SC-New'!G170)*H$35*$Y$34*$A43*$D43</f>
        <v>287.99688990279122</v>
      </c>
      <c r="I43" s="174">
        <f>(I20+'SC-New'!H170)*I$35*$Y$34*$A43*$D43</f>
        <v>252.05694923078624</v>
      </c>
      <c r="J43" s="174">
        <f>(J20+'SC-New'!I170)*J$35*$Y$34*$A43*$D43</f>
        <v>217.90646172144432</v>
      </c>
      <c r="K43" s="174">
        <f>(K20+'SC-New'!J170)*K$35*$Y$34*$A43*$D43</f>
        <v>186.58531217902998</v>
      </c>
      <c r="L43" s="174">
        <f>(L20+'SC-New'!K170)*L$35*$Y$34*$A43*$D43</f>
        <v>158.54078973308546</v>
      </c>
      <c r="M43" s="174">
        <f>(M20+'SC-New'!L170)*M$35*$Y$34*$A43*$D43</f>
        <v>134.0622996972038</v>
      </c>
      <c r="N43" s="174">
        <f>(N20+'SC-New'!M170)*N$35*$Y$34*$A43*$D43</f>
        <v>112.8658122630691</v>
      </c>
      <c r="O43" s="174">
        <f>(O20+'SC-New'!N170)*O$35*$Y$34*$A43*$D43</f>
        <v>94.44854187658828</v>
      </c>
      <c r="P43" s="174">
        <f>(P20+'SC-New'!O170)*P$35*$Y$34*$A43*$D43</f>
        <v>73.777174124204748</v>
      </c>
      <c r="Q43" s="174">
        <f>(Q20+'SC-New'!P170)*Q$35*$Y$34*$A43*$D43</f>
        <v>57.658559083322451</v>
      </c>
      <c r="R43" s="174">
        <f>(R20+'SC-New'!Q170)*R$35*$Y$34*$A43*$D43</f>
        <v>45.074202218364555</v>
      </c>
      <c r="S43" s="174">
        <f>(S20+'SC-New'!R170)*S$35*$Y$34*$A43*$D43</f>
        <v>35.220239665930386</v>
      </c>
      <c r="T43" s="174">
        <f>(T20+'SC-New'!S170)*T$35*$Y$34*$A43*$D43</f>
        <v>27.526075832014847</v>
      </c>
      <c r="U43" s="174">
        <f>(U20+'SC-New'!T170)*U$35*$Y$34*$A43*$D43</f>
        <v>21.497350112625025</v>
      </c>
      <c r="V43" s="174">
        <f>(V20+'SC-New'!U170)*V$35*$Y$34*$A43*$D43</f>
        <v>16.802881583333114</v>
      </c>
      <c r="W43" s="174">
        <f>(W20+'SC-New'!V170)*W$35*$Y$34*$A43*$D43</f>
        <v>13.123649320354179</v>
      </c>
      <c r="X43" s="174">
        <f>(X20+'SC-New'!W170)*X$35*$Y$34*$A43*$D43</f>
        <v>10.256229533471171</v>
      </c>
      <c r="Y43" s="561">
        <f t="shared" si="7"/>
        <v>3192.0398533504404</v>
      </c>
    </row>
    <row r="44" spans="1:25">
      <c r="A44" s="551">
        <f t="shared" si="4"/>
        <v>182.79537525596962</v>
      </c>
      <c r="B44" s="550">
        <f>'Savings &amp; Cost'!C13</f>
        <v>22329.077738344113</v>
      </c>
      <c r="C44" s="20" t="str">
        <f t="shared" si="5"/>
        <v>University</v>
      </c>
      <c r="D44" s="175">
        <f>VLOOKUP($C$35,[1]!APPLIC,MATCH(C44,BLDGTYP,0)+1,FALSE)</f>
        <v>0.8</v>
      </c>
      <c r="E44" s="174">
        <f t="shared" si="6"/>
        <v>3358.6386671124219</v>
      </c>
      <c r="F44" s="174">
        <f>(F21+'SC-New'!E171)*F$35*$Y$34*$A44*$D44</f>
        <v>2349.8839723825181</v>
      </c>
      <c r="G44" s="174">
        <f>(G21+'SC-New'!F171)*G$35*$Y$34*$A44*$D44</f>
        <v>1624.058668784374</v>
      </c>
      <c r="H44" s="174">
        <f>(H21+'SC-New'!G171)*H$35*$Y$34*$A44*$D44</f>
        <v>1265.7044589330078</v>
      </c>
      <c r="I44" s="174">
        <f>(I21+'SC-New'!H171)*I$35*$Y$34*$A44*$D44</f>
        <v>1112.0177634015388</v>
      </c>
      <c r="J44" s="174">
        <f>(J21+'SC-New'!I171)*J$35*$Y$34*$A44*$D44</f>
        <v>963.63327336315331</v>
      </c>
      <c r="K44" s="174">
        <f>(K21+'SC-New'!J171)*K$35*$Y$34*$A44*$D44</f>
        <v>827.18521677762408</v>
      </c>
      <c r="L44" s="174">
        <f>(L21+'SC-New'!K171)*L$35*$Y$34*$A44*$D44</f>
        <v>703.66429106711712</v>
      </c>
      <c r="M44" s="174">
        <f>(M21+'SC-New'!L171)*M$35*$Y$34*$A44*$D44</f>
        <v>596.03441072760029</v>
      </c>
      <c r="N44" s="174">
        <f>(N21+'SC-New'!M171)*N$35*$Y$34*$A44*$D44</f>
        <v>502.72887024583144</v>
      </c>
      <c r="O44" s="174">
        <f>(O21+'SC-New'!N171)*O$35*$Y$34*$A44*$D44</f>
        <v>421.84761149628395</v>
      </c>
      <c r="P44" s="174">
        <f>(P21+'SC-New'!O171)*P$35*$Y$34*$A44*$D44</f>
        <v>330.68282568287071</v>
      </c>
      <c r="Q44" s="174">
        <f>(Q21+'SC-New'!P171)*Q$35*$Y$34*$A44*$D44</f>
        <v>259.26954392752361</v>
      </c>
      <c r="R44" s="174">
        <f>(R21+'SC-New'!Q171)*R$35*$Y$34*$A44*$D44</f>
        <v>203.43240600873423</v>
      </c>
      <c r="S44" s="174">
        <f>(S21+'SC-New'!R171)*S$35*$Y$34*$A44*$D44</f>
        <v>159.63918572606343</v>
      </c>
      <c r="T44" s="174">
        <f>(T21+'SC-New'!S171)*T$35*$Y$34*$A44*$D44</f>
        <v>125.12204847920766</v>
      </c>
      <c r="U44" s="174">
        <f>(U21+'SC-New'!T171)*U$35*$Y$34*$A44*$D44</f>
        <v>97.979669562972674</v>
      </c>
      <c r="V44" s="174">
        <f>(V21+'SC-New'!U171)*V$35*$Y$34*$A44*$D44</f>
        <v>76.821064828688492</v>
      </c>
      <c r="W44" s="174">
        <f>(W21+'SC-New'!V171)*W$35*$Y$34*$A44*$D44</f>
        <v>60.176288574540401</v>
      </c>
      <c r="X44" s="174">
        <f>(X21+'SC-New'!W171)*X$35*$Y$34*$A44*$D44</f>
        <v>47.147949065737144</v>
      </c>
      <c r="Y44" s="561">
        <f t="shared" si="7"/>
        <v>14043.605250788236</v>
      </c>
    </row>
    <row r="45" spans="1:25">
      <c r="A45" s="551">
        <f t="shared" si="4"/>
        <v>0</v>
      </c>
      <c r="B45" s="550">
        <f>'Savings &amp; Cost'!C14</f>
        <v>0</v>
      </c>
      <c r="C45" s="20" t="str">
        <f t="shared" si="5"/>
        <v>Warehouse</v>
      </c>
      <c r="D45" s="175">
        <f>VLOOKUP($C$35,[1]!APPLIC,MATCH(C45,BLDGTYP,0)+1,FALSE)</f>
        <v>0.8</v>
      </c>
      <c r="E45" s="174">
        <f t="shared" si="6"/>
        <v>0</v>
      </c>
      <c r="F45" s="174">
        <f>(F22+'SC-New'!E172)*F$35*$Y$34*$A45*$D45</f>
        <v>0</v>
      </c>
      <c r="G45" s="174">
        <f>(G22+'SC-New'!F172)*G$35*$Y$34*$A45*$D45</f>
        <v>0</v>
      </c>
      <c r="H45" s="174">
        <f>(H22+'SC-New'!G172)*H$35*$Y$34*$A45*$D45</f>
        <v>0</v>
      </c>
      <c r="I45" s="174">
        <f>(I22+'SC-New'!H172)*I$35*$Y$34*$A45*$D45</f>
        <v>0</v>
      </c>
      <c r="J45" s="174">
        <f>(J22+'SC-New'!I172)*J$35*$Y$34*$A45*$D45</f>
        <v>0</v>
      </c>
      <c r="K45" s="174">
        <f>(K22+'SC-New'!J172)*K$35*$Y$34*$A45*$D45</f>
        <v>0</v>
      </c>
      <c r="L45" s="174">
        <f>(L22+'SC-New'!K172)*L$35*$Y$34*$A45*$D45</f>
        <v>0</v>
      </c>
      <c r="M45" s="174">
        <f>(M22+'SC-New'!L172)*M$35*$Y$34*$A45*$D45</f>
        <v>0</v>
      </c>
      <c r="N45" s="174">
        <f>(N22+'SC-New'!M172)*N$35*$Y$34*$A45*$D45</f>
        <v>0</v>
      </c>
      <c r="O45" s="174">
        <f>(O22+'SC-New'!N172)*O$35*$Y$34*$A45*$D45</f>
        <v>0</v>
      </c>
      <c r="P45" s="174">
        <f>(P22+'SC-New'!O172)*P$35*$Y$34*$A45*$D45</f>
        <v>0</v>
      </c>
      <c r="Q45" s="174">
        <f>(Q22+'SC-New'!P172)*Q$35*$Y$34*$A45*$D45</f>
        <v>0</v>
      </c>
      <c r="R45" s="174">
        <f>(R22+'SC-New'!Q172)*R$35*$Y$34*$A45*$D45</f>
        <v>0</v>
      </c>
      <c r="S45" s="174">
        <f>(S22+'SC-New'!R172)*S$35*$Y$34*$A45*$D45</f>
        <v>0</v>
      </c>
      <c r="T45" s="174">
        <f>(T22+'SC-New'!S172)*T$35*$Y$34*$A45*$D45</f>
        <v>0</v>
      </c>
      <c r="U45" s="174">
        <f>(U22+'SC-New'!T172)*U$35*$Y$34*$A45*$D45</f>
        <v>0</v>
      </c>
      <c r="V45" s="174">
        <f>(V22+'SC-New'!U172)*V$35*$Y$34*$A45*$D45</f>
        <v>0</v>
      </c>
      <c r="W45" s="174">
        <f>(W22+'SC-New'!V172)*W$35*$Y$34*$A45*$D45</f>
        <v>0</v>
      </c>
      <c r="X45" s="174">
        <f>(X22+'SC-New'!W172)*X$35*$Y$34*$A45*$D45</f>
        <v>0</v>
      </c>
      <c r="Y45" s="561">
        <f t="shared" si="7"/>
        <v>0</v>
      </c>
    </row>
    <row r="46" spans="1:25">
      <c r="A46" s="551">
        <f t="shared" si="4"/>
        <v>0</v>
      </c>
      <c r="B46" s="550">
        <f>'Savings &amp; Cost'!C15</f>
        <v>0</v>
      </c>
      <c r="C46" s="20" t="str">
        <f t="shared" si="5"/>
        <v>Supermarket</v>
      </c>
      <c r="D46" s="175">
        <f>VLOOKUP($C$35,[1]!APPLIC,MATCH(C46,BLDGTYP,0)+1,FALSE)</f>
        <v>0.8</v>
      </c>
      <c r="E46" s="174">
        <f t="shared" si="6"/>
        <v>0</v>
      </c>
      <c r="F46" s="174">
        <f>(F23+'SC-New'!E173)*F$35*$Y$34*$A46*$D46</f>
        <v>0</v>
      </c>
      <c r="G46" s="174">
        <f>(G23+'SC-New'!F173)*G$35*$Y$34*$A46*$D46</f>
        <v>0</v>
      </c>
      <c r="H46" s="174">
        <f>(H23+'SC-New'!G173)*H$35*$Y$34*$A46*$D46</f>
        <v>0</v>
      </c>
      <c r="I46" s="174">
        <f>(I23+'SC-New'!H173)*I$35*$Y$34*$A46*$D46</f>
        <v>0</v>
      </c>
      <c r="J46" s="174">
        <f>(J23+'SC-New'!I173)*J$35*$Y$34*$A46*$D46</f>
        <v>0</v>
      </c>
      <c r="K46" s="174">
        <f>(K23+'SC-New'!J173)*K$35*$Y$34*$A46*$D46</f>
        <v>0</v>
      </c>
      <c r="L46" s="174">
        <f>(L23+'SC-New'!K173)*L$35*$Y$34*$A46*$D46</f>
        <v>0</v>
      </c>
      <c r="M46" s="174">
        <f>(M23+'SC-New'!L173)*M$35*$Y$34*$A46*$D46</f>
        <v>0</v>
      </c>
      <c r="N46" s="174">
        <f>(N23+'SC-New'!M173)*N$35*$Y$34*$A46*$D46</f>
        <v>0</v>
      </c>
      <c r="O46" s="174">
        <f>(O23+'SC-New'!N173)*O$35*$Y$34*$A46*$D46</f>
        <v>0</v>
      </c>
      <c r="P46" s="174">
        <f>(P23+'SC-New'!O173)*P$35*$Y$34*$A46*$D46</f>
        <v>0</v>
      </c>
      <c r="Q46" s="174">
        <f>(Q23+'SC-New'!P173)*Q$35*$Y$34*$A46*$D46</f>
        <v>0</v>
      </c>
      <c r="R46" s="174">
        <f>(R23+'SC-New'!Q173)*R$35*$Y$34*$A46*$D46</f>
        <v>0</v>
      </c>
      <c r="S46" s="174">
        <f>(S23+'SC-New'!R173)*S$35*$Y$34*$A46*$D46</f>
        <v>0</v>
      </c>
      <c r="T46" s="174">
        <f>(T23+'SC-New'!S173)*T$35*$Y$34*$A46*$D46</f>
        <v>0</v>
      </c>
      <c r="U46" s="174">
        <f>(U23+'SC-New'!T173)*U$35*$Y$34*$A46*$D46</f>
        <v>0</v>
      </c>
      <c r="V46" s="174">
        <f>(V23+'SC-New'!U173)*V$35*$Y$34*$A46*$D46</f>
        <v>0</v>
      </c>
      <c r="W46" s="174">
        <f>(W23+'SC-New'!V173)*W$35*$Y$34*$A46*$D46</f>
        <v>0</v>
      </c>
      <c r="X46" s="174">
        <f>(X23+'SC-New'!W173)*X$35*$Y$34*$A46*$D46</f>
        <v>0</v>
      </c>
      <c r="Y46" s="561">
        <f t="shared" si="7"/>
        <v>0</v>
      </c>
    </row>
    <row r="47" spans="1:25">
      <c r="A47" s="551">
        <f t="shared" si="4"/>
        <v>0</v>
      </c>
      <c r="B47" s="550">
        <f>'Savings &amp; Cost'!C16</f>
        <v>0</v>
      </c>
      <c r="C47" s="20" t="str">
        <f t="shared" si="5"/>
        <v>MiniMart</v>
      </c>
      <c r="D47" s="175">
        <f>VLOOKUP($C$35,[1]!APPLIC,MATCH(C47,BLDGTYP,0)+1,FALSE)</f>
        <v>0.8</v>
      </c>
      <c r="E47" s="174">
        <f t="shared" si="6"/>
        <v>0</v>
      </c>
      <c r="F47" s="174">
        <f>(F24+'SC-New'!E174)*F$35*$Y$34*$A47*$D47</f>
        <v>0</v>
      </c>
      <c r="G47" s="174">
        <f>(G24+'SC-New'!F174)*G$35*$Y$34*$A47*$D47</f>
        <v>0</v>
      </c>
      <c r="H47" s="174">
        <f>(H24+'SC-New'!G174)*H$35*$Y$34*$A47*$D47</f>
        <v>0</v>
      </c>
      <c r="I47" s="174">
        <f>(I24+'SC-New'!H174)*I$35*$Y$34*$A47*$D47</f>
        <v>0</v>
      </c>
      <c r="J47" s="174">
        <f>(J24+'SC-New'!I174)*J$35*$Y$34*$A47*$D47</f>
        <v>0</v>
      </c>
      <c r="K47" s="174">
        <f>(K24+'SC-New'!J174)*K$35*$Y$34*$A47*$D47</f>
        <v>0</v>
      </c>
      <c r="L47" s="174">
        <f>(L24+'SC-New'!K174)*L$35*$Y$34*$A47*$D47</f>
        <v>0</v>
      </c>
      <c r="M47" s="174">
        <f>(M24+'SC-New'!L174)*M$35*$Y$34*$A47*$D47</f>
        <v>0</v>
      </c>
      <c r="N47" s="174">
        <f>(N24+'SC-New'!M174)*N$35*$Y$34*$A47*$D47</f>
        <v>0</v>
      </c>
      <c r="O47" s="174">
        <f>(O24+'SC-New'!N174)*O$35*$Y$34*$A47*$D47</f>
        <v>0</v>
      </c>
      <c r="P47" s="174">
        <f>(P24+'SC-New'!O174)*P$35*$Y$34*$A47*$D47</f>
        <v>0</v>
      </c>
      <c r="Q47" s="174">
        <f>(Q24+'SC-New'!P174)*Q$35*$Y$34*$A47*$D47</f>
        <v>0</v>
      </c>
      <c r="R47" s="174">
        <f>(R24+'SC-New'!Q174)*R$35*$Y$34*$A47*$D47</f>
        <v>0</v>
      </c>
      <c r="S47" s="174">
        <f>(S24+'SC-New'!R174)*S$35*$Y$34*$A47*$D47</f>
        <v>0</v>
      </c>
      <c r="T47" s="174">
        <f>(T24+'SC-New'!S174)*T$35*$Y$34*$A47*$D47</f>
        <v>0</v>
      </c>
      <c r="U47" s="174">
        <f>(U24+'SC-New'!T174)*U$35*$Y$34*$A47*$D47</f>
        <v>0</v>
      </c>
      <c r="V47" s="174">
        <f>(V24+'SC-New'!U174)*V$35*$Y$34*$A47*$D47</f>
        <v>0</v>
      </c>
      <c r="W47" s="174">
        <f>(W24+'SC-New'!V174)*W$35*$Y$34*$A47*$D47</f>
        <v>0</v>
      </c>
      <c r="X47" s="174">
        <f>(X24+'SC-New'!W174)*X$35*$Y$34*$A47*$D47</f>
        <v>0</v>
      </c>
      <c r="Y47" s="561">
        <f t="shared" si="7"/>
        <v>0</v>
      </c>
    </row>
    <row r="48" spans="1:25">
      <c r="A48" s="551">
        <f t="shared" si="4"/>
        <v>0</v>
      </c>
      <c r="B48" s="550">
        <f>'Savings &amp; Cost'!C17</f>
        <v>0</v>
      </c>
      <c r="C48" s="20" t="str">
        <f t="shared" si="5"/>
        <v>Restaurant</v>
      </c>
      <c r="D48" s="175">
        <f>VLOOKUP($C$35,[1]!APPLIC,MATCH(C48,BLDGTYP,0)+1,FALSE)</f>
        <v>0.8</v>
      </c>
      <c r="E48" s="174">
        <f t="shared" si="6"/>
        <v>0</v>
      </c>
      <c r="F48" s="174">
        <f>(F25+'SC-New'!E175)*F$35*$Y$34*$A48*$D48</f>
        <v>0</v>
      </c>
      <c r="G48" s="174">
        <f>(G25+'SC-New'!F175)*G$35*$Y$34*$A48*$D48</f>
        <v>0</v>
      </c>
      <c r="H48" s="174">
        <f>(H25+'SC-New'!G175)*H$35*$Y$34*$A48*$D48</f>
        <v>0</v>
      </c>
      <c r="I48" s="174">
        <f>(I25+'SC-New'!H175)*I$35*$Y$34*$A48*$D48</f>
        <v>0</v>
      </c>
      <c r="J48" s="174">
        <f>(J25+'SC-New'!I175)*J$35*$Y$34*$A48*$D48</f>
        <v>0</v>
      </c>
      <c r="K48" s="174">
        <f>(K25+'SC-New'!J175)*K$35*$Y$34*$A48*$D48</f>
        <v>0</v>
      </c>
      <c r="L48" s="174">
        <f>(L25+'SC-New'!K175)*L$35*$Y$34*$A48*$D48</f>
        <v>0</v>
      </c>
      <c r="M48" s="174">
        <f>(M25+'SC-New'!L175)*M$35*$Y$34*$A48*$D48</f>
        <v>0</v>
      </c>
      <c r="N48" s="174">
        <f>(N25+'SC-New'!M175)*N$35*$Y$34*$A48*$D48</f>
        <v>0</v>
      </c>
      <c r="O48" s="174">
        <f>(O25+'SC-New'!N175)*O$35*$Y$34*$A48*$D48</f>
        <v>0</v>
      </c>
      <c r="P48" s="174">
        <f>(P25+'SC-New'!O175)*P$35*$Y$34*$A48*$D48</f>
        <v>0</v>
      </c>
      <c r="Q48" s="174">
        <f>(Q25+'SC-New'!P175)*Q$35*$Y$34*$A48*$D48</f>
        <v>0</v>
      </c>
      <c r="R48" s="174">
        <f>(R25+'SC-New'!Q175)*R$35*$Y$34*$A48*$D48</f>
        <v>0</v>
      </c>
      <c r="S48" s="174">
        <f>(S25+'SC-New'!R175)*S$35*$Y$34*$A48*$D48</f>
        <v>0</v>
      </c>
      <c r="T48" s="174">
        <f>(T25+'SC-New'!S175)*T$35*$Y$34*$A48*$D48</f>
        <v>0</v>
      </c>
      <c r="U48" s="174">
        <f>(U25+'SC-New'!T175)*U$35*$Y$34*$A48*$D48</f>
        <v>0</v>
      </c>
      <c r="V48" s="174">
        <f>(V25+'SC-New'!U175)*V$35*$Y$34*$A48*$D48</f>
        <v>0</v>
      </c>
      <c r="W48" s="174">
        <f>(W25+'SC-New'!V175)*W$35*$Y$34*$A48*$D48</f>
        <v>0</v>
      </c>
      <c r="X48" s="174">
        <f>(X25+'SC-New'!W175)*X$35*$Y$34*$A48*$D48</f>
        <v>0</v>
      </c>
      <c r="Y48" s="561">
        <f t="shared" si="7"/>
        <v>0</v>
      </c>
    </row>
    <row r="49" spans="1:80">
      <c r="A49" s="551">
        <f t="shared" si="4"/>
        <v>1590.9871787508127</v>
      </c>
      <c r="B49" s="550">
        <f>'Savings &amp; Cost'!C18</f>
        <v>270709.48480192106</v>
      </c>
      <c r="C49" s="20" t="str">
        <f t="shared" si="5"/>
        <v>Lodging</v>
      </c>
      <c r="D49" s="175">
        <f>VLOOKUP($C$35,[1]!APPLIC,MATCH(C49,BLDGTYP,0)+1,FALSE)</f>
        <v>0.8</v>
      </c>
      <c r="E49" s="174">
        <f t="shared" si="6"/>
        <v>40718.893716263294</v>
      </c>
      <c r="F49" s="174">
        <f>(F26+'SC-New'!E176)*F$35*$Y$34*$A49*$D49</f>
        <v>28645.435856686243</v>
      </c>
      <c r="G49" s="174">
        <f>(G26+'SC-New'!F176)*G$35*$Y$34*$A49*$D49</f>
        <v>19900.957727979909</v>
      </c>
      <c r="H49" s="174">
        <f>(H26+'SC-New'!G176)*H$35*$Y$34*$A49*$D49</f>
        <v>15529.325140447339</v>
      </c>
      <c r="I49" s="174">
        <f>(I26+'SC-New'!H176)*I$35*$Y$34*$A49*$D49</f>
        <v>13634.168376783829</v>
      </c>
      <c r="J49" s="174">
        <f>(J26+'SC-New'!I176)*J$35*$Y$34*$A49*$D49</f>
        <v>11815.369978504481</v>
      </c>
      <c r="K49" s="174">
        <f>(K26+'SC-New'!J176)*K$35*$Y$34*$A49*$D49</f>
        <v>10135.162046016541</v>
      </c>
      <c r="L49" s="174">
        <f>(L26+'SC-New'!K176)*L$35*$Y$34*$A49*$D49</f>
        <v>8621.2078296626441</v>
      </c>
      <c r="M49" s="174">
        <f>(M26+'SC-New'!L176)*M$35*$Y$34*$A49*$D49</f>
        <v>7282.31627722352</v>
      </c>
      <c r="N49" s="174">
        <f>(N26+'SC-New'!M176)*N$35*$Y$34*$A49*$D49</f>
        <v>6116.5826232182881</v>
      </c>
      <c r="O49" s="174">
        <f>(O26+'SC-New'!N176)*O$35*$Y$34*$A49*$D49</f>
        <v>5112.5066282742591</v>
      </c>
      <c r="P49" s="174">
        <f>(P26+'SC-New'!O176)*P$35*$Y$34*$A49*$D49</f>
        <v>3990.5684971031696</v>
      </c>
      <c r="Q49" s="174">
        <f>(Q26+'SC-New'!P176)*Q$35*$Y$34*$A49*$D49</f>
        <v>3125.1372359001584</v>
      </c>
      <c r="R49" s="174">
        <f>(R26+'SC-New'!Q176)*R$35*$Y$34*$A49*$D49</f>
        <v>2450.6515469302667</v>
      </c>
      <c r="S49" s="174">
        <f>(S26+'SC-New'!R176)*S$35*$Y$34*$A49*$D49</f>
        <v>1922.0698800246691</v>
      </c>
      <c r="T49" s="174">
        <f>(T26+'SC-New'!S176)*T$35*$Y$34*$A49*$D49</f>
        <v>1507.6767062078657</v>
      </c>
      <c r="U49" s="174">
        <f>(U26+'SC-New'!T176)*U$35*$Y$34*$A49*$D49</f>
        <v>1183.1328526438419</v>
      </c>
      <c r="V49" s="174">
        <f>(V26+'SC-New'!U176)*V$35*$Y$34*$A49*$D49</f>
        <v>927.02734155481414</v>
      </c>
      <c r="W49" s="174">
        <f>(W26+'SC-New'!V176)*W$35*$Y$34*$A49*$D49</f>
        <v>726.14869227156623</v>
      </c>
      <c r="X49" s="174">
        <f>(X26+'SC-New'!W176)*X$35*$Y$34*$A49*$D49</f>
        <v>568.50312945335247</v>
      </c>
      <c r="Y49" s="561">
        <f t="shared" si="7"/>
        <v>175867.16144468161</v>
      </c>
    </row>
    <row r="50" spans="1:80">
      <c r="A50" s="551">
        <f t="shared" si="4"/>
        <v>345.20322304329721</v>
      </c>
      <c r="B50" s="550">
        <f>'Savings &amp; Cost'!C19</f>
        <v>36256.51485</v>
      </c>
      <c r="C50" s="20" t="str">
        <f t="shared" si="5"/>
        <v>Hospital</v>
      </c>
      <c r="D50" s="175">
        <f>VLOOKUP($C$35,[1]!APPLIC,MATCH(C50,BLDGTYP,0)+1,FALSE)</f>
        <v>0.8</v>
      </c>
      <c r="E50" s="174">
        <f t="shared" si="6"/>
        <v>5453.5406314983866</v>
      </c>
      <c r="F50" s="174">
        <f>(F27+'SC-New'!E177)*F$35*$Y$34*$A50*$D50</f>
        <v>3964.9130182499389</v>
      </c>
      <c r="G50" s="174">
        <f>(G27+'SC-New'!F177)*G$35*$Y$34*$A50*$D50</f>
        <v>2828.9315143560293</v>
      </c>
      <c r="H50" s="174">
        <f>(H27+'SC-New'!G177)*H$35*$Y$34*$A50*$D50</f>
        <v>2261.6691009533524</v>
      </c>
      <c r="I50" s="174">
        <f>(I27+'SC-New'!H177)*I$35*$Y$34*$A50*$D50</f>
        <v>2023.4071464756973</v>
      </c>
      <c r="J50" s="174">
        <f>(J27+'SC-New'!I177)*J$35*$Y$34*$A50*$D50</f>
        <v>1775.5334178822595</v>
      </c>
      <c r="K50" s="174">
        <f>(K27+'SC-New'!J177)*K$35*$Y$34*$A50*$D50</f>
        <v>1539.2704810660071</v>
      </c>
      <c r="L50" s="174">
        <f>(L27+'SC-New'!K177)*L$35*$Y$34*$A50*$D50</f>
        <v>1321.8612076114957</v>
      </c>
      <c r="M50" s="174">
        <f>(M27+'SC-New'!L177)*M$35*$Y$34*$A50*$D50</f>
        <v>1125.4455915788137</v>
      </c>
      <c r="N50" s="174">
        <f>(N27+'SC-New'!M177)*N$35*$Y$34*$A50*$D50</f>
        <v>952.50476592670623</v>
      </c>
      <c r="O50" s="174">
        <f>(O27+'SC-New'!N177)*O$35*$Y$34*$A50*$D50</f>
        <v>802.42029433752862</v>
      </c>
      <c r="P50" s="174">
        <f>(P27+'SC-New'!O177)*P$35*$Y$34*$A50*$D50</f>
        <v>632.1781741846703</v>
      </c>
      <c r="Q50" s="174">
        <f>(Q27+'SC-New'!P177)*Q$35*$Y$34*$A50*$D50</f>
        <v>499.32199845713899</v>
      </c>
      <c r="R50" s="174">
        <f>(R27+'SC-New'!Q177)*R$35*$Y$34*$A50*$D50</f>
        <v>395.17896129567771</v>
      </c>
      <c r="S50" s="174">
        <f>(S27+'SC-New'!R177)*S$35*$Y$34*$A50*$D50</f>
        <v>312.11517776399387</v>
      </c>
      <c r="T50" s="174">
        <f>(T27+'SC-New'!S177)*T$35*$Y$34*$A50*$D50</f>
        <v>246.32469299411815</v>
      </c>
      <c r="U50" s="174">
        <f>(U27+'SC-New'!T177)*U$35*$Y$34*$A50*$D50</f>
        <v>194.29222390475528</v>
      </c>
      <c r="V50" s="174">
        <f>(V27+'SC-New'!U177)*V$35*$Y$34*$A50*$D50</f>
        <v>153.04944727613295</v>
      </c>
      <c r="W50" s="174">
        <f>(W27+'SC-New'!V177)*W$35*$Y$34*$A50*$D50</f>
        <v>120.45789459779976</v>
      </c>
      <c r="X50" s="174">
        <f>(X27+'SC-New'!W177)*X$35*$Y$34*$A50*$D50</f>
        <v>94.708280403540698</v>
      </c>
      <c r="Y50" s="561">
        <f t="shared" si="7"/>
        <v>23689.091089579179</v>
      </c>
    </row>
    <row r="51" spans="1:80">
      <c r="A51" s="551">
        <f t="shared" si="4"/>
        <v>1153.9818463786005</v>
      </c>
      <c r="B51" s="550">
        <f>'Savings &amp; Cost'!C20</f>
        <v>148573.09613913839</v>
      </c>
      <c r="C51" s="20" t="str">
        <f t="shared" si="5"/>
        <v>Residential Care</v>
      </c>
      <c r="D51" s="175">
        <f>VLOOKUP($C$35,[1]!APPLIC,MATCH(C51,BLDGTYP,0)+1,FALSE)</f>
        <v>0.8</v>
      </c>
      <c r="E51" s="174">
        <f t="shared" si="6"/>
        <v>22347.691715391316</v>
      </c>
      <c r="F51" s="174">
        <f>(F28+'SC-New'!E178)*F$35*$Y$34*$A51*$D51</f>
        <v>16174.209921270487</v>
      </c>
      <c r="G51" s="174">
        <f>(G28+'SC-New'!F178)*G$35*$Y$34*$A51*$D51</f>
        <v>11514.430649987618</v>
      </c>
      <c r="H51" s="174">
        <f>(H28+'SC-New'!G178)*H$35*$Y$34*$A51*$D51</f>
        <v>9182.8873337612204</v>
      </c>
      <c r="I51" s="174">
        <f>(I28+'SC-New'!H178)*I$35*$Y$34*$A51*$D51</f>
        <v>8202.6779550576521</v>
      </c>
      <c r="J51" s="174">
        <f>(J28+'SC-New'!I178)*J$35*$Y$34*$A51*$D51</f>
        <v>7197.3113969596934</v>
      </c>
      <c r="K51" s="174">
        <f>(K28+'SC-New'!J178)*K$35*$Y$34*$A51*$D51</f>
        <v>6243.6282525703537</v>
      </c>
      <c r="L51" s="174">
        <f>(L28+'SC-New'!K178)*L$35*$Y$34*$A51*$D51</f>
        <v>5365.1320724218485</v>
      </c>
      <c r="M51" s="174">
        <f>(M28+'SC-New'!L178)*M$35*$Y$34*$A51*$D51</f>
        <v>4572.5501033116889</v>
      </c>
      <c r="N51" s="174">
        <f>(N28+'SC-New'!M178)*N$35*$Y$34*$A51*$D51</f>
        <v>3875.9976806768427</v>
      </c>
      <c r="O51" s="174">
        <f>(O28+'SC-New'!N178)*O$35*$Y$34*$A51*$D51</f>
        <v>3270.8053599951563</v>
      </c>
      <c r="P51" s="174">
        <f>(P28+'SC-New'!O178)*P$35*$Y$34*$A51*$D51</f>
        <v>2580.6343334511976</v>
      </c>
      <c r="Q51" s="174">
        <f>(Q28+'SC-New'!P178)*Q$35*$Y$34*$A51*$D51</f>
        <v>2042.185120275798</v>
      </c>
      <c r="R51" s="174">
        <f>(R28+'SC-New'!Q178)*R$35*$Y$34*$A51*$D51</f>
        <v>1618.3997857160564</v>
      </c>
      <c r="S51" s="174">
        <f>(S28+'SC-New'!R178)*S$35*$Y$34*$A51*$D51</f>
        <v>1279.6319072495921</v>
      </c>
      <c r="T51" s="174">
        <f>(T28+'SC-New'!S178)*T$35*$Y$34*$A51*$D51</f>
        <v>1011.9223491065528</v>
      </c>
      <c r="U51" s="174">
        <f>(U28+'SC-New'!T178)*U$35*$Y$34*$A51*$D51</f>
        <v>799.67506987204365</v>
      </c>
      <c r="V51" s="174">
        <f>(V28+'SC-New'!U178)*V$35*$Y$34*$A51*$D51</f>
        <v>630.95305242952691</v>
      </c>
      <c r="W51" s="174">
        <f>(W28+'SC-New'!V178)*W$35*$Y$34*$A51*$D51</f>
        <v>497.58391089298613</v>
      </c>
      <c r="X51" s="174">
        <f>(X28+'SC-New'!W178)*X$35*$Y$34*$A51*$D51</f>
        <v>392.12030233671408</v>
      </c>
      <c r="Y51" s="561">
        <f t="shared" si="7"/>
        <v>96520.92058819739</v>
      </c>
    </row>
    <row r="52" spans="1:80">
      <c r="A52" s="551">
        <f t="shared" si="4"/>
        <v>9.1796068071315116</v>
      </c>
      <c r="B52" s="550">
        <f>'Savings &amp; Cost'!C21</f>
        <v>3450.6348437960319</v>
      </c>
      <c r="C52" s="20" t="str">
        <f t="shared" si="5"/>
        <v>Assembly</v>
      </c>
      <c r="D52" s="175">
        <f>VLOOKUP($C$35,[1]!APPLIC,MATCH(C52,BLDGTYP,0)+1,FALSE)</f>
        <v>0.8</v>
      </c>
      <c r="E52" s="174">
        <f t="shared" si="6"/>
        <v>519.02885324086105</v>
      </c>
      <c r="F52" s="174">
        <f>(F29+'SC-New'!E179)*F$35*$Y$34*$A52*$D52</f>
        <v>365.24873824282452</v>
      </c>
      <c r="G52" s="174">
        <f>(G29+'SC-New'!F179)*G$35*$Y$34*$A52*$D52</f>
        <v>253.84866466487472</v>
      </c>
      <c r="H52" s="174">
        <f>(H29+'SC-New'!G179)*H$35*$Y$34*$A52*$D52</f>
        <v>198.00612075955743</v>
      </c>
      <c r="I52" s="174">
        <f>(I29+'SC-New'!H179)*I$35*$Y$34*$A52*$D52</f>
        <v>173.91223838373355</v>
      </c>
      <c r="J52" s="174">
        <f>(J29+'SC-New'!I179)*J$35*$Y$34*$A52*$D52</f>
        <v>150.74360169480758</v>
      </c>
      <c r="K52" s="174">
        <f>(K29+'SC-New'!J179)*K$35*$Y$34*$A52*$D52</f>
        <v>129.31084160296928</v>
      </c>
      <c r="L52" s="174">
        <f>(L29+'SC-New'!K179)*L$35*$Y$34*$A52*$D52</f>
        <v>109.81664459327567</v>
      </c>
      <c r="M52" s="174">
        <f>(M29+'SC-New'!L179)*M$35*$Y$34*$A52*$D52</f>
        <v>92.634431771125094</v>
      </c>
      <c r="N52" s="174">
        <f>(N29+'SC-New'!M179)*N$35*$Y$34*$A52*$D52</f>
        <v>77.841543066989516</v>
      </c>
      <c r="O52" s="174">
        <f>(O29+'SC-New'!N179)*O$35*$Y$34*$A52*$D52</f>
        <v>65.234532850764722</v>
      </c>
      <c r="P52" s="174">
        <f>(P29+'SC-New'!O179)*P$35*$Y$34*$A52*$D52</f>
        <v>51.071072048669301</v>
      </c>
      <c r="Q52" s="174">
        <f>(Q29+'SC-New'!P179)*Q$35*$Y$34*$A52*$D52</f>
        <v>40.066715440752603</v>
      </c>
      <c r="R52" s="174">
        <f>(R29+'SC-New'!Q179)*R$35*$Y$34*$A52*$D52</f>
        <v>31.543242253855045</v>
      </c>
      <c r="S52" s="174">
        <f>(S29+'SC-New'!R179)*S$35*$Y$34*$A52*$D52</f>
        <v>24.87046367401091</v>
      </c>
      <c r="T52" s="174">
        <f>(T29+'SC-New'!S179)*T$35*$Y$34*$A52*$D52</f>
        <v>19.628159629969772</v>
      </c>
      <c r="U52" s="174">
        <f>(U29+'SC-New'!T179)*U$35*$Y$34*$A52*$D52</f>
        <v>15.482620398091704</v>
      </c>
      <c r="V52" s="174">
        <f>(V29+'SC-New'!U179)*V$35*$Y$34*$A52*$D52</f>
        <v>12.201663322133376</v>
      </c>
      <c r="W52" s="174">
        <f>(W29+'SC-New'!V179)*W$35*$Y$34*$A52*$D52</f>
        <v>9.6117905196867461</v>
      </c>
      <c r="X52" s="174">
        <f>(X29+'SC-New'!W179)*X$35*$Y$34*$A52*$D52</f>
        <v>7.5693193986250025</v>
      </c>
      <c r="Y52" s="561">
        <f t="shared" si="7"/>
        <v>2154.2815245822394</v>
      </c>
    </row>
    <row r="53" spans="1:80">
      <c r="A53" s="551">
        <f t="shared" si="4"/>
        <v>35.89697872749683</v>
      </c>
      <c r="B53" s="550">
        <f>'Savings &amp; Cost'!C22</f>
        <v>12300.095571838167</v>
      </c>
      <c r="C53" s="20" t="str">
        <f t="shared" si="5"/>
        <v>Other</v>
      </c>
      <c r="D53" s="175">
        <f>VLOOKUP($C$35,[1]!APPLIC,MATCH(C53,BLDGTYP,0)+1,FALSE)</f>
        <v>0.8</v>
      </c>
      <c r="E53" s="174">
        <f t="shared" si="6"/>
        <v>1850.1246258734886</v>
      </c>
      <c r="F53" s="174">
        <f>(F30+'SC-New'!E180)*F$35*$Y$34*$A53*$D53</f>
        <v>1333.8011774783715</v>
      </c>
      <c r="G53" s="174">
        <f>(G30+'SC-New'!F180)*G$35*$Y$34*$A53*$D53</f>
        <v>943.43141864072959</v>
      </c>
      <c r="H53" s="174">
        <f>(H30+'SC-New'!G180)*H$35*$Y$34*$A53*$D53</f>
        <v>749.25973311934456</v>
      </c>
      <c r="I53" s="174">
        <f>(I30+'SC-New'!H180)*I$35*$Y$34*$A53*$D53</f>
        <v>668.01296789989703</v>
      </c>
      <c r="J53" s="174">
        <f>(J30+'SC-New'!I180)*J$35*$Y$34*$A53*$D53</f>
        <v>584.84495549278142</v>
      </c>
      <c r="K53" s="174">
        <f>(K30+'SC-New'!J180)*K$35*$Y$34*$A53*$D53</f>
        <v>507.9321997686352</v>
      </c>
      <c r="L53" s="174">
        <f>(L30+'SC-New'!K180)*L$35*$Y$34*$A53*$D53</f>
        <v>437.21364353689307</v>
      </c>
      <c r="M53" s="174">
        <f>(M30+'SC-New'!L180)*M$35*$Y$34*$A53*$D53</f>
        <v>374.29977540994105</v>
      </c>
      <c r="N53" s="174">
        <f>(N30+'SC-New'!M180)*N$35*$Y$34*$A53*$D53</f>
        <v>319.06905233315615</v>
      </c>
      <c r="O53" s="174">
        <f>(O30+'SC-New'!N180)*O$35*$Y$34*$A53*$D53</f>
        <v>270.37208186943406</v>
      </c>
      <c r="P53" s="174">
        <f>(P30+'SC-New'!O180)*P$35*$Y$34*$A53*$D53</f>
        <v>214.38043194113976</v>
      </c>
      <c r="Q53" s="174">
        <f>(Q30+'SC-New'!P180)*Q$35*$Y$34*$A53*$D53</f>
        <v>170.18380855762936</v>
      </c>
      <c r="R53" s="174">
        <f>(R30+'SC-New'!Q180)*R$35*$Y$34*$A53*$D53</f>
        <v>135.126525952647</v>
      </c>
      <c r="S53" s="174">
        <f>(S30+'SC-New'!R180)*S$35*$Y$34*$A53*$D53</f>
        <v>107.07710812190604</v>
      </c>
      <c r="T53" s="174">
        <f>(T30+'SC-New'!S180)*T$35*$Y$34*$A53*$D53</f>
        <v>84.974629972311917</v>
      </c>
      <c r="U53" s="174">
        <f>(U30+'SC-New'!T180)*U$35*$Y$34*$A53*$D53</f>
        <v>67.256481009464537</v>
      </c>
      <c r="V53" s="174">
        <f>(V30+'SC-New'!U180)*V$35*$Y$34*$A53*$D53</f>
        <v>53.265681381720668</v>
      </c>
      <c r="W53" s="174">
        <f>(W30+'SC-New'!V180)*W$35*$Y$34*$A53*$D53</f>
        <v>42.130615263697372</v>
      </c>
      <c r="X53" s="174">
        <f>(X30+'SC-New'!W180)*X$35*$Y$34*$A53*$D53</f>
        <v>33.281368586059877</v>
      </c>
      <c r="Y53" s="561">
        <f t="shared" si="7"/>
        <v>7043.9592335283305</v>
      </c>
    </row>
    <row r="54" spans="1:80">
      <c r="A54" s="45"/>
      <c r="E54" s="118"/>
      <c r="F54" s="118"/>
      <c r="G54" s="118"/>
      <c r="H54" s="118"/>
      <c r="I54" s="118"/>
      <c r="J54" s="118"/>
      <c r="K54" s="118"/>
      <c r="L54" s="118"/>
      <c r="M54" s="118"/>
      <c r="N54" s="118"/>
      <c r="O54" s="118"/>
      <c r="P54" s="118"/>
      <c r="Q54" s="118"/>
      <c r="R54" s="118"/>
      <c r="S54" s="118"/>
      <c r="T54" s="118"/>
      <c r="U54" s="118"/>
      <c r="V54" s="118"/>
      <c r="W54" s="118"/>
      <c r="X54" s="118"/>
      <c r="Y54" s="117"/>
    </row>
    <row r="55" spans="1:80">
      <c r="E55" s="118"/>
      <c r="F55" s="118"/>
      <c r="G55" s="118"/>
      <c r="H55" s="118"/>
      <c r="I55" s="118"/>
      <c r="J55" s="118"/>
      <c r="K55" s="118"/>
      <c r="L55" s="118"/>
      <c r="M55" s="118"/>
      <c r="N55" s="118"/>
      <c r="O55" s="118"/>
      <c r="P55" s="118"/>
      <c r="Q55" s="118"/>
      <c r="R55" s="118"/>
      <c r="S55" s="118"/>
      <c r="T55" s="118"/>
      <c r="U55" s="118"/>
      <c r="V55" s="118"/>
      <c r="W55" s="118"/>
      <c r="X55" s="118"/>
      <c r="Y55" s="117"/>
    </row>
    <row r="56" spans="1:80">
      <c r="A56" s="98"/>
      <c r="E56" s="118"/>
      <c r="F56" s="118"/>
      <c r="G56" s="118"/>
      <c r="H56" s="118"/>
      <c r="I56" s="118"/>
      <c r="J56" s="118"/>
      <c r="K56" s="118"/>
      <c r="L56" s="118"/>
      <c r="M56" s="118"/>
      <c r="N56" s="118"/>
      <c r="O56" s="118"/>
      <c r="P56" s="118"/>
      <c r="Q56" s="118"/>
      <c r="R56" s="118"/>
      <c r="S56" s="118"/>
      <c r="T56" s="118"/>
      <c r="U56" s="118"/>
      <c r="V56" s="118"/>
      <c r="W56" s="118"/>
      <c r="X56" s="118"/>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0" t="s">
        <v>48</v>
      </c>
      <c r="C58" s="91" t="str">
        <f>C8</f>
        <v>Showerheads-Retro</v>
      </c>
      <c r="D58" s="91"/>
      <c r="E58" s="20" t="s">
        <v>256</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1" t="s">
        <v>408</v>
      </c>
      <c r="B59" s="91"/>
      <c r="C59" s="91"/>
      <c r="D59" s="91"/>
      <c r="E59" s="92">
        <f>E11</f>
        <v>2016</v>
      </c>
      <c r="F59" s="92">
        <f t="shared" ref="F59:X59" si="8">F11</f>
        <v>2017</v>
      </c>
      <c r="G59" s="92">
        <f t="shared" si="8"/>
        <v>2018</v>
      </c>
      <c r="H59" s="92">
        <f t="shared" si="8"/>
        <v>2019</v>
      </c>
      <c r="I59" s="92">
        <f t="shared" si="8"/>
        <v>2020</v>
      </c>
      <c r="J59" s="92">
        <f t="shared" si="8"/>
        <v>2021</v>
      </c>
      <c r="K59" s="92">
        <f t="shared" si="8"/>
        <v>2022</v>
      </c>
      <c r="L59" s="92">
        <f t="shared" si="8"/>
        <v>2023</v>
      </c>
      <c r="M59" s="92">
        <f t="shared" si="8"/>
        <v>2024</v>
      </c>
      <c r="N59" s="92">
        <f t="shared" si="8"/>
        <v>2025</v>
      </c>
      <c r="O59" s="92">
        <f t="shared" si="8"/>
        <v>2026</v>
      </c>
      <c r="P59" s="92">
        <f t="shared" si="8"/>
        <v>2027</v>
      </c>
      <c r="Q59" s="92">
        <f t="shared" si="8"/>
        <v>2028</v>
      </c>
      <c r="R59" s="92">
        <f t="shared" si="8"/>
        <v>2029</v>
      </c>
      <c r="S59" s="92">
        <f t="shared" si="8"/>
        <v>2030</v>
      </c>
      <c r="T59" s="92">
        <f t="shared" si="8"/>
        <v>2031</v>
      </c>
      <c r="U59" s="92">
        <f t="shared" si="8"/>
        <v>2032</v>
      </c>
      <c r="V59" s="92">
        <f t="shared" si="8"/>
        <v>2033</v>
      </c>
      <c r="W59" s="92">
        <f t="shared" si="8"/>
        <v>2034</v>
      </c>
      <c r="X59" s="92">
        <f t="shared" si="8"/>
        <v>2035</v>
      </c>
      <c r="Y59" s="149" t="s">
        <v>46</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1" t="s">
        <v>306</v>
      </c>
      <c r="B60" s="91" t="s">
        <v>258</v>
      </c>
      <c r="C60" s="91" t="s">
        <v>259</v>
      </c>
      <c r="D60" s="91" t="s">
        <v>260</v>
      </c>
      <c r="E60" s="93" t="str">
        <f>CONCATENATE("aMW_",E$11)</f>
        <v>aMW_2016</v>
      </c>
      <c r="F60" s="93" t="str">
        <f t="shared" ref="F60:X60" si="9">CONCATENATE("aMW_",F$11)</f>
        <v>aMW_2017</v>
      </c>
      <c r="G60" s="93" t="str">
        <f t="shared" si="9"/>
        <v>aMW_2018</v>
      </c>
      <c r="H60" s="93" t="str">
        <f t="shared" si="9"/>
        <v>aMW_2019</v>
      </c>
      <c r="I60" s="93" t="str">
        <f t="shared" si="9"/>
        <v>aMW_2020</v>
      </c>
      <c r="J60" s="93" t="str">
        <f t="shared" si="9"/>
        <v>aMW_2021</v>
      </c>
      <c r="K60" s="93" t="str">
        <f t="shared" si="9"/>
        <v>aMW_2022</v>
      </c>
      <c r="L60" s="93" t="str">
        <f t="shared" si="9"/>
        <v>aMW_2023</v>
      </c>
      <c r="M60" s="93" t="str">
        <f t="shared" si="9"/>
        <v>aMW_2024</v>
      </c>
      <c r="N60" s="93" t="str">
        <f t="shared" si="9"/>
        <v>aMW_2025</v>
      </c>
      <c r="O60" s="93" t="str">
        <f t="shared" si="9"/>
        <v>aMW_2026</v>
      </c>
      <c r="P60" s="93" t="str">
        <f t="shared" si="9"/>
        <v>aMW_2027</v>
      </c>
      <c r="Q60" s="93" t="str">
        <f t="shared" si="9"/>
        <v>aMW_2028</v>
      </c>
      <c r="R60" s="93" t="str">
        <f t="shared" si="9"/>
        <v>aMW_2029</v>
      </c>
      <c r="S60" s="93" t="str">
        <f t="shared" si="9"/>
        <v>aMW_2030</v>
      </c>
      <c r="T60" s="93" t="str">
        <f t="shared" si="9"/>
        <v>aMW_2031</v>
      </c>
      <c r="U60" s="93" t="str">
        <f t="shared" si="9"/>
        <v>aMW_2032</v>
      </c>
      <c r="V60" s="93" t="str">
        <f t="shared" si="9"/>
        <v>aMW_2033</v>
      </c>
      <c r="W60" s="93" t="str">
        <f t="shared" si="9"/>
        <v>aMW_2034</v>
      </c>
      <c r="X60" s="93" t="str">
        <f t="shared" si="9"/>
        <v>aMW_2035</v>
      </c>
      <c r="Y60" s="150" t="s">
        <v>46</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83">
        <f t="shared" ref="A61:A78" si="10">VLOOKUP($D61,MeasureOutputR,3,FALSE)</f>
        <v>87.367093971108304</v>
      </c>
      <c r="B61" s="151">
        <f t="shared" ref="B61:B78" si="11">VLOOKUP($D61,MeasureOutputR,11,FALSE)</f>
        <v>-231.58779709821113</v>
      </c>
      <c r="C61" s="20" t="str">
        <f>C36</f>
        <v>Large Off</v>
      </c>
      <c r="D61" s="20" t="str">
        <f>CONCATENATE($C$58,"-",C61)</f>
        <v>Showerheads-Retro-Large Off</v>
      </c>
      <c r="E61" s="46">
        <f>E36*$A61/8760000</f>
        <v>4.8465104892916944E-2</v>
      </c>
      <c r="F61" s="46">
        <f t="shared" ref="F61:X75" si="12">F36*$A61/8760000</f>
        <v>3.4566000678623351E-2</v>
      </c>
      <c r="G61" s="46">
        <f t="shared" si="12"/>
        <v>2.4226690488434708E-2</v>
      </c>
      <c r="H61" s="46">
        <f t="shared" si="12"/>
        <v>1.9097005238059624E-2</v>
      </c>
      <c r="I61" s="46">
        <f t="shared" si="12"/>
        <v>1.6975095697889377E-2</v>
      </c>
      <c r="J61" s="46">
        <f t="shared" si="12"/>
        <v>1.4890583546663618E-2</v>
      </c>
      <c r="K61" s="46">
        <f t="shared" si="12"/>
        <v>1.2891521026281093E-2</v>
      </c>
      <c r="L61" s="46">
        <f t="shared" si="12"/>
        <v>1.1106967341157247E-2</v>
      </c>
      <c r="M61" s="46">
        <f t="shared" si="12"/>
        <v>9.4814215811286334E-3</v>
      </c>
      <c r="N61" s="46">
        <f t="shared" si="12"/>
        <v>8.0414994706533936E-3</v>
      </c>
      <c r="O61" s="46">
        <f t="shared" si="12"/>
        <v>6.796335031568854E-3</v>
      </c>
      <c r="P61" s="46">
        <f t="shared" si="12"/>
        <v>5.360260931011108E-3</v>
      </c>
      <c r="Q61" s="46">
        <f t="shared" si="12"/>
        <v>4.2328954736059864E-3</v>
      </c>
      <c r="R61" s="46">
        <f t="shared" si="12"/>
        <v>3.3472513567948054E-3</v>
      </c>
      <c r="S61" s="46">
        <f t="shared" si="12"/>
        <v>2.6424344954761657E-3</v>
      </c>
      <c r="T61" s="46">
        <f t="shared" si="12"/>
        <v>2.0886024641249075E-3</v>
      </c>
      <c r="U61" s="46">
        <f t="shared" si="12"/>
        <v>1.6499793241735923E-3</v>
      </c>
      <c r="V61" s="46">
        <f t="shared" si="12"/>
        <v>1.3028847397334056E-3</v>
      </c>
      <c r="W61" s="46">
        <f t="shared" si="12"/>
        <v>1.0276253387000982E-3</v>
      </c>
      <c r="X61" s="46">
        <f t="shared" si="12"/>
        <v>8.1024536956904596E-4</v>
      </c>
      <c r="Y61" s="46">
        <f>A61*Y36/8760000</f>
        <v>0.20694435284826959</v>
      </c>
      <c r="AA61" s="45"/>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83">
        <f t="shared" si="10"/>
        <v>87.367093971108304</v>
      </c>
      <c r="B62" s="151">
        <f t="shared" si="11"/>
        <v>-231.58779709821113</v>
      </c>
      <c r="C62" s="20" t="str">
        <f t="shared" ref="C62:C78" si="13">C37</f>
        <v>Medium Off</v>
      </c>
      <c r="D62" s="20" t="str">
        <f t="shared" ref="D62:D78" si="14">CONCATENATE($C$58,"-",C62)</f>
        <v>Showerheads-Retro-Medium Off</v>
      </c>
      <c r="E62" s="46">
        <f t="shared" ref="E62:T78" si="15">E37*$A62/8760000</f>
        <v>4.1546480947709907E-2</v>
      </c>
      <c r="F62" s="46">
        <f t="shared" si="15"/>
        <v>2.9999965542496822E-2</v>
      </c>
      <c r="G62" s="46">
        <f t="shared" si="15"/>
        <v>2.1196478723118122E-2</v>
      </c>
      <c r="H62" s="46">
        <f t="shared" si="15"/>
        <v>1.6847512019546259E-2</v>
      </c>
      <c r="I62" s="46">
        <f t="shared" si="15"/>
        <v>1.5120769512114029E-2</v>
      </c>
      <c r="J62" s="46">
        <f t="shared" si="15"/>
        <v>1.3379388176337359E-2</v>
      </c>
      <c r="K62" s="46">
        <f t="shared" si="15"/>
        <v>1.1650684994407471E-2</v>
      </c>
      <c r="L62" s="46">
        <f t="shared" si="15"/>
        <v>1.0128024185924296E-2</v>
      </c>
      <c r="M62" s="46">
        <f t="shared" si="15"/>
        <v>8.711056428898559E-3</v>
      </c>
      <c r="N62" s="46">
        <f t="shared" si="15"/>
        <v>7.4375076004809726E-3</v>
      </c>
      <c r="O62" s="46">
        <f t="shared" si="15"/>
        <v>6.3348938371754733E-3</v>
      </c>
      <c r="P62" s="46">
        <f t="shared" si="15"/>
        <v>5.0336666431347338E-3</v>
      </c>
      <c r="Q62" s="46">
        <f t="shared" si="15"/>
        <v>4.0042148454964835E-3</v>
      </c>
      <c r="R62" s="46">
        <f t="shared" si="15"/>
        <v>3.1895885193659853E-3</v>
      </c>
      <c r="S62" s="46">
        <f t="shared" si="15"/>
        <v>2.5358537085549285E-3</v>
      </c>
      <c r="T62" s="46">
        <f t="shared" si="15"/>
        <v>2.0201417211142378E-3</v>
      </c>
      <c r="U62" s="46">
        <f t="shared" si="12"/>
        <v>1.606565113663228E-3</v>
      </c>
      <c r="V62" s="46">
        <f t="shared" si="12"/>
        <v>1.278076221828876E-3</v>
      </c>
      <c r="W62" s="46">
        <f t="shared" si="12"/>
        <v>1.0135026649899506E-3</v>
      </c>
      <c r="X62" s="46">
        <f t="shared" si="12"/>
        <v>8.0340680135940136E-4</v>
      </c>
      <c r="Y62" s="46">
        <f t="shared" ref="Y62:Y78" si="16">A62*Y37/8760000</f>
        <v>0.1774020634401503</v>
      </c>
      <c r="AA62" s="45"/>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83">
        <f t="shared" si="10"/>
        <v>87.367093971108304</v>
      </c>
      <c r="B63" s="151">
        <f t="shared" si="11"/>
        <v>-231.58779709821113</v>
      </c>
      <c r="C63" s="20" t="str">
        <f t="shared" si="13"/>
        <v>Small Off</v>
      </c>
      <c r="D63" s="20" t="str">
        <f t="shared" si="14"/>
        <v>Showerheads-Retro-Small Off</v>
      </c>
      <c r="E63" s="46">
        <f t="shared" si="15"/>
        <v>7.4985224368546025E-3</v>
      </c>
      <c r="F63" s="46">
        <f t="shared" si="12"/>
        <v>5.2875560936352746E-3</v>
      </c>
      <c r="G63" s="46">
        <f t="shared" si="12"/>
        <v>3.6735745097067544E-3</v>
      </c>
      <c r="H63" s="46">
        <f t="shared" si="12"/>
        <v>2.871687751179667E-3</v>
      </c>
      <c r="I63" s="46">
        <f t="shared" si="12"/>
        <v>2.5283216257725354E-3</v>
      </c>
      <c r="J63" s="46">
        <f t="shared" si="12"/>
        <v>2.1978179612685013E-3</v>
      </c>
      <c r="K63" s="46">
        <f t="shared" si="12"/>
        <v>1.8881745980059764E-3</v>
      </c>
      <c r="L63" s="46">
        <f t="shared" si="12"/>
        <v>1.6121144000819853E-3</v>
      </c>
      <c r="M63" s="46">
        <f t="shared" si="12"/>
        <v>1.3655088319501495E-3</v>
      </c>
      <c r="N63" s="46">
        <f t="shared" si="12"/>
        <v>1.1493797037009121E-3</v>
      </c>
      <c r="O63" s="46">
        <f t="shared" si="12"/>
        <v>9.6340796764677499E-4</v>
      </c>
      <c r="P63" s="46">
        <f t="shared" si="12"/>
        <v>7.5367448785430358E-4</v>
      </c>
      <c r="Q63" s="46">
        <f t="shared" si="12"/>
        <v>5.8989867743422487E-4</v>
      </c>
      <c r="R63" s="46">
        <f t="shared" si="12"/>
        <v>4.6198886341923171E-4</v>
      </c>
      <c r="S63" s="46">
        <f t="shared" si="12"/>
        <v>3.6161947708065491E-4</v>
      </c>
      <c r="T63" s="46">
        <f t="shared" si="12"/>
        <v>2.8329570003149477E-4</v>
      </c>
      <c r="U63" s="46">
        <f t="shared" si="12"/>
        <v>2.2182752865922652E-4</v>
      </c>
      <c r="V63" s="46">
        <f t="shared" si="12"/>
        <v>1.7373043488451347E-4</v>
      </c>
      <c r="W63" s="46">
        <f t="shared" si="12"/>
        <v>1.3593387044756104E-4</v>
      </c>
      <c r="X63" s="46">
        <f t="shared" si="12"/>
        <v>1.0635699787223797E-4</v>
      </c>
      <c r="Y63" s="46">
        <f t="shared" si="16"/>
        <v>3.2018436284038533E-2</v>
      </c>
      <c r="AA63" s="45"/>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83">
        <f t="shared" si="10"/>
        <v>0</v>
      </c>
      <c r="B64" s="151">
        <f t="shared" si="11"/>
        <v>9999</v>
      </c>
      <c r="C64" s="20" t="str">
        <f t="shared" si="13"/>
        <v>XLarge Ret</v>
      </c>
      <c r="D64" s="20" t="str">
        <f t="shared" si="14"/>
        <v>Showerheads-Retro-XLarge Ret</v>
      </c>
      <c r="E64" s="46">
        <f t="shared" si="15"/>
        <v>0</v>
      </c>
      <c r="F64" s="46">
        <f t="shared" si="12"/>
        <v>0</v>
      </c>
      <c r="G64" s="46">
        <f t="shared" si="12"/>
        <v>0</v>
      </c>
      <c r="H64" s="46">
        <f t="shared" si="12"/>
        <v>0</v>
      </c>
      <c r="I64" s="46">
        <f t="shared" si="12"/>
        <v>0</v>
      </c>
      <c r="J64" s="46">
        <f t="shared" si="12"/>
        <v>0</v>
      </c>
      <c r="K64" s="46">
        <f t="shared" si="12"/>
        <v>0</v>
      </c>
      <c r="L64" s="46">
        <f t="shared" si="12"/>
        <v>0</v>
      </c>
      <c r="M64" s="46">
        <f t="shared" si="12"/>
        <v>0</v>
      </c>
      <c r="N64" s="46">
        <f t="shared" si="12"/>
        <v>0</v>
      </c>
      <c r="O64" s="46">
        <f t="shared" si="12"/>
        <v>0</v>
      </c>
      <c r="P64" s="46">
        <f t="shared" si="12"/>
        <v>0</v>
      </c>
      <c r="Q64" s="46">
        <f t="shared" si="12"/>
        <v>0</v>
      </c>
      <c r="R64" s="46">
        <f t="shared" si="12"/>
        <v>0</v>
      </c>
      <c r="S64" s="46">
        <f t="shared" si="12"/>
        <v>0</v>
      </c>
      <c r="T64" s="46">
        <f t="shared" si="12"/>
        <v>0</v>
      </c>
      <c r="U64" s="46">
        <f t="shared" si="12"/>
        <v>0</v>
      </c>
      <c r="V64" s="46">
        <f t="shared" si="12"/>
        <v>0</v>
      </c>
      <c r="W64" s="46">
        <f t="shared" si="12"/>
        <v>0</v>
      </c>
      <c r="X64" s="46">
        <f t="shared" si="12"/>
        <v>0</v>
      </c>
      <c r="Y64" s="46">
        <f t="shared" si="16"/>
        <v>0</v>
      </c>
      <c r="AA64" s="45"/>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83">
        <f t="shared" si="10"/>
        <v>0</v>
      </c>
      <c r="B65" s="151">
        <f t="shared" si="11"/>
        <v>9999</v>
      </c>
      <c r="C65" s="20" t="str">
        <f t="shared" si="13"/>
        <v>Large Ret</v>
      </c>
      <c r="D65" s="20" t="str">
        <f t="shared" si="14"/>
        <v>Showerheads-Retro-Large Ret</v>
      </c>
      <c r="E65" s="46">
        <f t="shared" si="15"/>
        <v>0</v>
      </c>
      <c r="F65" s="46">
        <f t="shared" si="12"/>
        <v>0</v>
      </c>
      <c r="G65" s="46">
        <f t="shared" si="12"/>
        <v>0</v>
      </c>
      <c r="H65" s="46">
        <f t="shared" si="12"/>
        <v>0</v>
      </c>
      <c r="I65" s="46">
        <f t="shared" si="12"/>
        <v>0</v>
      </c>
      <c r="J65" s="46">
        <f t="shared" si="12"/>
        <v>0</v>
      </c>
      <c r="K65" s="46">
        <f t="shared" si="12"/>
        <v>0</v>
      </c>
      <c r="L65" s="46">
        <f t="shared" si="12"/>
        <v>0</v>
      </c>
      <c r="M65" s="46">
        <f t="shared" si="12"/>
        <v>0</v>
      </c>
      <c r="N65" s="46">
        <f t="shared" si="12"/>
        <v>0</v>
      </c>
      <c r="O65" s="46">
        <f t="shared" si="12"/>
        <v>0</v>
      </c>
      <c r="P65" s="46">
        <f t="shared" si="12"/>
        <v>0</v>
      </c>
      <c r="Q65" s="46">
        <f t="shared" si="12"/>
        <v>0</v>
      </c>
      <c r="R65" s="46">
        <f t="shared" si="12"/>
        <v>0</v>
      </c>
      <c r="S65" s="46">
        <f t="shared" si="12"/>
        <v>0</v>
      </c>
      <c r="T65" s="46">
        <f t="shared" si="12"/>
        <v>0</v>
      </c>
      <c r="U65" s="46">
        <f t="shared" si="12"/>
        <v>0</v>
      </c>
      <c r="V65" s="46">
        <f t="shared" si="12"/>
        <v>0</v>
      </c>
      <c r="W65" s="46">
        <f t="shared" si="12"/>
        <v>0</v>
      </c>
      <c r="X65" s="46">
        <f t="shared" si="12"/>
        <v>0</v>
      </c>
      <c r="Y65" s="46">
        <f t="shared" si="16"/>
        <v>0</v>
      </c>
      <c r="AA65" s="4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83">
        <f t="shared" si="10"/>
        <v>0</v>
      </c>
      <c r="B66" s="151">
        <f t="shared" si="11"/>
        <v>9999</v>
      </c>
      <c r="C66" s="20" t="str">
        <f t="shared" si="13"/>
        <v>Medium Ret</v>
      </c>
      <c r="D66" s="20" t="str">
        <f t="shared" si="14"/>
        <v>Showerheads-Retro-Medium Ret</v>
      </c>
      <c r="E66" s="46">
        <f t="shared" si="15"/>
        <v>0</v>
      </c>
      <c r="F66" s="46">
        <f t="shared" si="12"/>
        <v>0</v>
      </c>
      <c r="G66" s="46">
        <f t="shared" si="12"/>
        <v>0</v>
      </c>
      <c r="H66" s="46">
        <f t="shared" si="12"/>
        <v>0</v>
      </c>
      <c r="I66" s="46">
        <f t="shared" si="12"/>
        <v>0</v>
      </c>
      <c r="J66" s="46">
        <f t="shared" si="12"/>
        <v>0</v>
      </c>
      <c r="K66" s="46">
        <f t="shared" si="12"/>
        <v>0</v>
      </c>
      <c r="L66" s="46">
        <f t="shared" si="12"/>
        <v>0</v>
      </c>
      <c r="M66" s="46">
        <f t="shared" si="12"/>
        <v>0</v>
      </c>
      <c r="N66" s="46">
        <f t="shared" si="12"/>
        <v>0</v>
      </c>
      <c r="O66" s="46">
        <f t="shared" si="12"/>
        <v>0</v>
      </c>
      <c r="P66" s="46">
        <f t="shared" si="12"/>
        <v>0</v>
      </c>
      <c r="Q66" s="46">
        <f t="shared" si="12"/>
        <v>0</v>
      </c>
      <c r="R66" s="46">
        <f t="shared" si="12"/>
        <v>0</v>
      </c>
      <c r="S66" s="46">
        <f t="shared" si="12"/>
        <v>0</v>
      </c>
      <c r="T66" s="46">
        <f t="shared" si="12"/>
        <v>0</v>
      </c>
      <c r="U66" s="46">
        <f t="shared" si="12"/>
        <v>0</v>
      </c>
      <c r="V66" s="46">
        <f t="shared" si="12"/>
        <v>0</v>
      </c>
      <c r="W66" s="46">
        <f t="shared" si="12"/>
        <v>0</v>
      </c>
      <c r="X66" s="46">
        <f t="shared" si="12"/>
        <v>0</v>
      </c>
      <c r="Y66" s="46">
        <f t="shared" si="16"/>
        <v>0</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83">
        <f t="shared" si="10"/>
        <v>0</v>
      </c>
      <c r="B67" s="151">
        <f t="shared" si="11"/>
        <v>9999</v>
      </c>
      <c r="C67" s="20" t="str">
        <f t="shared" si="13"/>
        <v>Small Ret</v>
      </c>
      <c r="D67" s="20" t="str">
        <f t="shared" si="14"/>
        <v>Showerheads-Retro-Small Ret</v>
      </c>
      <c r="E67" s="46">
        <f t="shared" si="15"/>
        <v>0</v>
      </c>
      <c r="F67" s="46">
        <f t="shared" si="12"/>
        <v>0</v>
      </c>
      <c r="G67" s="46">
        <f t="shared" si="12"/>
        <v>0</v>
      </c>
      <c r="H67" s="46">
        <f t="shared" si="12"/>
        <v>0</v>
      </c>
      <c r="I67" s="46">
        <f t="shared" si="12"/>
        <v>0</v>
      </c>
      <c r="J67" s="46">
        <f t="shared" si="12"/>
        <v>0</v>
      </c>
      <c r="K67" s="46">
        <f t="shared" si="12"/>
        <v>0</v>
      </c>
      <c r="L67" s="46">
        <f t="shared" si="12"/>
        <v>0</v>
      </c>
      <c r="M67" s="46">
        <f t="shared" si="12"/>
        <v>0</v>
      </c>
      <c r="N67" s="46">
        <f t="shared" si="12"/>
        <v>0</v>
      </c>
      <c r="O67" s="46">
        <f t="shared" si="12"/>
        <v>0</v>
      </c>
      <c r="P67" s="46">
        <f t="shared" si="12"/>
        <v>0</v>
      </c>
      <c r="Q67" s="46">
        <f t="shared" si="12"/>
        <v>0</v>
      </c>
      <c r="R67" s="46">
        <f t="shared" si="12"/>
        <v>0</v>
      </c>
      <c r="S67" s="46">
        <f t="shared" si="12"/>
        <v>0</v>
      </c>
      <c r="T67" s="46">
        <f t="shared" si="12"/>
        <v>0</v>
      </c>
      <c r="U67" s="46">
        <f t="shared" si="12"/>
        <v>0</v>
      </c>
      <c r="V67" s="46">
        <f t="shared" si="12"/>
        <v>0</v>
      </c>
      <c r="W67" s="46">
        <f t="shared" si="12"/>
        <v>0</v>
      </c>
      <c r="X67" s="46">
        <f t="shared" si="12"/>
        <v>0</v>
      </c>
      <c r="Y67" s="46">
        <f t="shared" si="16"/>
        <v>0</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83">
        <f t="shared" si="10"/>
        <v>31.19382820794868</v>
      </c>
      <c r="B68" s="151">
        <f t="shared" si="11"/>
        <v>-689.3403146610957</v>
      </c>
      <c r="C68" s="20" t="str">
        <f t="shared" si="13"/>
        <v>School K-12</v>
      </c>
      <c r="D68" s="20" t="str">
        <f t="shared" si="14"/>
        <v>Showerheads-Retro-School K-12</v>
      </c>
      <c r="E68" s="46">
        <f t="shared" si="15"/>
        <v>2.7184261859607762E-3</v>
      </c>
      <c r="F68" s="46">
        <f t="shared" si="12"/>
        <v>1.9014878552817973E-3</v>
      </c>
      <c r="G68" s="46">
        <f t="shared" si="12"/>
        <v>1.3169859326507417E-3</v>
      </c>
      <c r="H68" s="46">
        <f t="shared" si="12"/>
        <v>1.0255394415583537E-3</v>
      </c>
      <c r="I68" s="46">
        <f t="shared" si="12"/>
        <v>8.9755949462611733E-4</v>
      </c>
      <c r="J68" s="46">
        <f t="shared" si="12"/>
        <v>7.7595168177405018E-4</v>
      </c>
      <c r="K68" s="46">
        <f t="shared" si="12"/>
        <v>6.644189696620019E-4</v>
      </c>
      <c r="L68" s="46">
        <f t="shared" si="12"/>
        <v>5.6455412772675592E-4</v>
      </c>
      <c r="M68" s="46">
        <f t="shared" si="12"/>
        <v>4.7738771072113083E-4</v>
      </c>
      <c r="N68" s="46">
        <f t="shared" si="12"/>
        <v>4.0190830574026999E-4</v>
      </c>
      <c r="O68" s="46">
        <f t="shared" si="12"/>
        <v>3.3632552394857778E-4</v>
      </c>
      <c r="P68" s="46">
        <f t="shared" si="12"/>
        <v>2.6271603827606843E-4</v>
      </c>
      <c r="Q68" s="46">
        <f t="shared" si="12"/>
        <v>2.0531862862591547E-4</v>
      </c>
      <c r="R68" s="46">
        <f t="shared" si="12"/>
        <v>1.6050649778653005E-4</v>
      </c>
      <c r="S68" s="46">
        <f t="shared" si="12"/>
        <v>1.2541713534038954E-4</v>
      </c>
      <c r="T68" s="46">
        <f t="shared" si="12"/>
        <v>9.8018685016305841E-5</v>
      </c>
      <c r="U68" s="46">
        <f t="shared" si="12"/>
        <v>7.6550758714537815E-5</v>
      </c>
      <c r="V68" s="46">
        <f t="shared" si="12"/>
        <v>5.9834041268150447E-5</v>
      </c>
      <c r="W68" s="46">
        <f t="shared" si="12"/>
        <v>4.6732518534302599E-5</v>
      </c>
      <c r="X68" s="46">
        <f t="shared" si="12"/>
        <v>3.6521810745249925E-5</v>
      </c>
      <c r="Y68" s="46">
        <f t="shared" si="16"/>
        <v>1.1366660139079832E-2</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83">
        <f t="shared" si="10"/>
        <v>53.201158095537785</v>
      </c>
      <c r="B69" s="151">
        <f t="shared" si="11"/>
        <v>-712.11950988115018</v>
      </c>
      <c r="C69" s="20" t="str">
        <f t="shared" si="13"/>
        <v>University</v>
      </c>
      <c r="D69" s="20" t="str">
        <f t="shared" si="14"/>
        <v>Showerheads-Retro-University</v>
      </c>
      <c r="E69" s="46">
        <f t="shared" si="15"/>
        <v>2.0397656017675146E-2</v>
      </c>
      <c r="F69" s="46">
        <f t="shared" si="12"/>
        <v>1.4271295516083641E-2</v>
      </c>
      <c r="G69" s="46">
        <f t="shared" si="12"/>
        <v>9.8632194057564054E-3</v>
      </c>
      <c r="H69" s="46">
        <f t="shared" si="12"/>
        <v>7.6868656417719257E-3</v>
      </c>
      <c r="I69" s="46">
        <f t="shared" si="12"/>
        <v>6.7534968990606847E-3</v>
      </c>
      <c r="J69" s="46">
        <f t="shared" si="12"/>
        <v>5.8523294660175456E-3</v>
      </c>
      <c r="K69" s="46">
        <f t="shared" si="12"/>
        <v>5.023654279917588E-3</v>
      </c>
      <c r="L69" s="46">
        <f t="shared" si="12"/>
        <v>4.2734880359870109E-3</v>
      </c>
      <c r="M69" s="46">
        <f t="shared" si="12"/>
        <v>3.619831154737416E-3</v>
      </c>
      <c r="N69" s="46">
        <f t="shared" si="12"/>
        <v>3.0531687334634221E-3</v>
      </c>
      <c r="O69" s="46">
        <f t="shared" si="12"/>
        <v>2.5619613551870783E-3</v>
      </c>
      <c r="P69" s="46">
        <f t="shared" si="12"/>
        <v>2.0083001471042886E-3</v>
      </c>
      <c r="Q69" s="46">
        <f t="shared" si="12"/>
        <v>1.5745936068317537E-3</v>
      </c>
      <c r="R69" s="46">
        <f t="shared" si="12"/>
        <v>1.2354839718979795E-3</v>
      </c>
      <c r="S69" s="46">
        <f t="shared" si="12"/>
        <v>9.6951935594237677E-4</v>
      </c>
      <c r="T69" s="46">
        <f t="shared" si="12"/>
        <v>7.5989016922144625E-4</v>
      </c>
      <c r="U69" s="46">
        <f t="shared" si="12"/>
        <v>5.9504930257628548E-4</v>
      </c>
      <c r="V69" s="46">
        <f t="shared" si="12"/>
        <v>4.6654904281034405E-4</v>
      </c>
      <c r="W69" s="46">
        <f t="shared" si="12"/>
        <v>3.6546212808867898E-4</v>
      </c>
      <c r="X69" s="46">
        <f t="shared" si="12"/>
        <v>2.8633852649847543E-4</v>
      </c>
      <c r="Y69" s="46">
        <f t="shared" si="16"/>
        <v>8.5289504929053586E-2</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83">
        <f t="shared" si="10"/>
        <v>0</v>
      </c>
      <c r="B70" s="151">
        <f t="shared" si="11"/>
        <v>9999</v>
      </c>
      <c r="C70" s="20" t="str">
        <f t="shared" si="13"/>
        <v>Warehouse</v>
      </c>
      <c r="D70" s="20" t="str">
        <f t="shared" si="14"/>
        <v>Showerheads-Retro-Warehouse</v>
      </c>
      <c r="E70" s="46">
        <f t="shared" si="15"/>
        <v>0</v>
      </c>
      <c r="F70" s="46">
        <f t="shared" si="12"/>
        <v>0</v>
      </c>
      <c r="G70" s="46">
        <f t="shared" si="12"/>
        <v>0</v>
      </c>
      <c r="H70" s="46">
        <f t="shared" si="12"/>
        <v>0</v>
      </c>
      <c r="I70" s="46">
        <f t="shared" si="12"/>
        <v>0</v>
      </c>
      <c r="J70" s="46">
        <f t="shared" si="12"/>
        <v>0</v>
      </c>
      <c r="K70" s="46">
        <f t="shared" si="12"/>
        <v>0</v>
      </c>
      <c r="L70" s="46">
        <f t="shared" si="12"/>
        <v>0</v>
      </c>
      <c r="M70" s="46">
        <f t="shared" si="12"/>
        <v>0</v>
      </c>
      <c r="N70" s="46">
        <f t="shared" si="12"/>
        <v>0</v>
      </c>
      <c r="O70" s="46">
        <f t="shared" si="12"/>
        <v>0</v>
      </c>
      <c r="P70" s="46">
        <f t="shared" si="12"/>
        <v>0</v>
      </c>
      <c r="Q70" s="46">
        <f t="shared" si="12"/>
        <v>0</v>
      </c>
      <c r="R70" s="46">
        <f t="shared" si="12"/>
        <v>0</v>
      </c>
      <c r="S70" s="46">
        <f t="shared" si="12"/>
        <v>0</v>
      </c>
      <c r="T70" s="46">
        <f t="shared" si="12"/>
        <v>0</v>
      </c>
      <c r="U70" s="46">
        <f t="shared" si="12"/>
        <v>0</v>
      </c>
      <c r="V70" s="46">
        <f t="shared" si="12"/>
        <v>0</v>
      </c>
      <c r="W70" s="46">
        <f t="shared" si="12"/>
        <v>0</v>
      </c>
      <c r="X70" s="46">
        <f t="shared" si="12"/>
        <v>0</v>
      </c>
      <c r="Y70" s="46">
        <f t="shared" si="16"/>
        <v>0</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83">
        <f t="shared" si="10"/>
        <v>0</v>
      </c>
      <c r="B71" s="151">
        <f t="shared" si="11"/>
        <v>9999</v>
      </c>
      <c r="C71" s="20" t="str">
        <f t="shared" si="13"/>
        <v>Supermarket</v>
      </c>
      <c r="D71" s="20" t="str">
        <f t="shared" si="14"/>
        <v>Showerheads-Retro-Supermarket</v>
      </c>
      <c r="E71" s="46">
        <f t="shared" si="15"/>
        <v>0</v>
      </c>
      <c r="F71" s="46">
        <f t="shared" si="12"/>
        <v>0</v>
      </c>
      <c r="G71" s="46">
        <f t="shared" si="12"/>
        <v>0</v>
      </c>
      <c r="H71" s="46">
        <f t="shared" si="12"/>
        <v>0</v>
      </c>
      <c r="I71" s="46">
        <f t="shared" si="12"/>
        <v>0</v>
      </c>
      <c r="J71" s="46">
        <f t="shared" si="12"/>
        <v>0</v>
      </c>
      <c r="K71" s="46">
        <f t="shared" si="12"/>
        <v>0</v>
      </c>
      <c r="L71" s="46">
        <f t="shared" si="12"/>
        <v>0</v>
      </c>
      <c r="M71" s="46">
        <f t="shared" si="12"/>
        <v>0</v>
      </c>
      <c r="N71" s="46">
        <f t="shared" si="12"/>
        <v>0</v>
      </c>
      <c r="O71" s="46">
        <f t="shared" si="12"/>
        <v>0</v>
      </c>
      <c r="P71" s="46">
        <f t="shared" si="12"/>
        <v>0</v>
      </c>
      <c r="Q71" s="46">
        <f t="shared" si="12"/>
        <v>0</v>
      </c>
      <c r="R71" s="46">
        <f t="shared" si="12"/>
        <v>0</v>
      </c>
      <c r="S71" s="46">
        <f t="shared" si="12"/>
        <v>0</v>
      </c>
      <c r="T71" s="46">
        <f t="shared" si="12"/>
        <v>0</v>
      </c>
      <c r="U71" s="46">
        <f t="shared" si="12"/>
        <v>0</v>
      </c>
      <c r="V71" s="46">
        <f t="shared" si="12"/>
        <v>0</v>
      </c>
      <c r="W71" s="46">
        <f t="shared" si="12"/>
        <v>0</v>
      </c>
      <c r="X71" s="46">
        <f t="shared" si="12"/>
        <v>0</v>
      </c>
      <c r="Y71" s="46">
        <f t="shared" si="16"/>
        <v>0</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83">
        <f t="shared" si="10"/>
        <v>0</v>
      </c>
      <c r="B72" s="151">
        <f t="shared" si="11"/>
        <v>9999</v>
      </c>
      <c r="C72" s="20" t="str">
        <f t="shared" si="13"/>
        <v>MiniMart</v>
      </c>
      <c r="D72" s="20" t="str">
        <f t="shared" si="14"/>
        <v>Showerheads-Retro-MiniMart</v>
      </c>
      <c r="E72" s="46">
        <f t="shared" si="15"/>
        <v>0</v>
      </c>
      <c r="F72" s="46">
        <f t="shared" si="12"/>
        <v>0</v>
      </c>
      <c r="G72" s="46">
        <f t="shared" si="12"/>
        <v>0</v>
      </c>
      <c r="H72" s="46">
        <f t="shared" si="12"/>
        <v>0</v>
      </c>
      <c r="I72" s="46">
        <f t="shared" si="12"/>
        <v>0</v>
      </c>
      <c r="J72" s="46">
        <f t="shared" si="12"/>
        <v>0</v>
      </c>
      <c r="K72" s="46">
        <f t="shared" si="12"/>
        <v>0</v>
      </c>
      <c r="L72" s="46">
        <f t="shared" si="12"/>
        <v>0</v>
      </c>
      <c r="M72" s="46">
        <f t="shared" si="12"/>
        <v>0</v>
      </c>
      <c r="N72" s="46">
        <f t="shared" si="12"/>
        <v>0</v>
      </c>
      <c r="O72" s="46">
        <f t="shared" si="12"/>
        <v>0</v>
      </c>
      <c r="P72" s="46">
        <f t="shared" si="12"/>
        <v>0</v>
      </c>
      <c r="Q72" s="46">
        <f t="shared" si="12"/>
        <v>0</v>
      </c>
      <c r="R72" s="46">
        <f t="shared" si="12"/>
        <v>0</v>
      </c>
      <c r="S72" s="46">
        <f t="shared" si="12"/>
        <v>0</v>
      </c>
      <c r="T72" s="46">
        <f t="shared" si="12"/>
        <v>0</v>
      </c>
      <c r="U72" s="46">
        <f t="shared" si="12"/>
        <v>0</v>
      </c>
      <c r="V72" s="46">
        <f t="shared" si="12"/>
        <v>0</v>
      </c>
      <c r="W72" s="46">
        <f t="shared" si="12"/>
        <v>0</v>
      </c>
      <c r="X72" s="46">
        <f t="shared" si="12"/>
        <v>0</v>
      </c>
      <c r="Y72" s="46">
        <f t="shared" si="16"/>
        <v>0</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83">
        <f t="shared" si="10"/>
        <v>0</v>
      </c>
      <c r="B73" s="151">
        <f t="shared" si="11"/>
        <v>9999</v>
      </c>
      <c r="C73" s="20" t="str">
        <f t="shared" si="13"/>
        <v>Restaurant</v>
      </c>
      <c r="D73" s="20" t="str">
        <f t="shared" si="14"/>
        <v>Showerheads-Retro-Restaurant</v>
      </c>
      <c r="E73" s="46">
        <f t="shared" si="15"/>
        <v>0</v>
      </c>
      <c r="F73" s="46">
        <f t="shared" si="12"/>
        <v>0</v>
      </c>
      <c r="G73" s="46">
        <f t="shared" si="12"/>
        <v>0</v>
      </c>
      <c r="H73" s="46">
        <f t="shared" si="12"/>
        <v>0</v>
      </c>
      <c r="I73" s="46">
        <f t="shared" si="12"/>
        <v>0</v>
      </c>
      <c r="J73" s="46">
        <f t="shared" si="12"/>
        <v>0</v>
      </c>
      <c r="K73" s="46">
        <f t="shared" si="12"/>
        <v>0</v>
      </c>
      <c r="L73" s="46">
        <f t="shared" si="12"/>
        <v>0</v>
      </c>
      <c r="M73" s="46">
        <f t="shared" si="12"/>
        <v>0</v>
      </c>
      <c r="N73" s="46">
        <f t="shared" si="12"/>
        <v>0</v>
      </c>
      <c r="O73" s="46">
        <f t="shared" si="12"/>
        <v>0</v>
      </c>
      <c r="P73" s="46">
        <f t="shared" si="12"/>
        <v>0</v>
      </c>
      <c r="Q73" s="46">
        <f t="shared" si="12"/>
        <v>0</v>
      </c>
      <c r="R73" s="46">
        <f t="shared" si="12"/>
        <v>0</v>
      </c>
      <c r="S73" s="46">
        <f t="shared" si="12"/>
        <v>0</v>
      </c>
      <c r="T73" s="46">
        <f t="shared" si="12"/>
        <v>0</v>
      </c>
      <c r="U73" s="46">
        <f t="shared" si="12"/>
        <v>0</v>
      </c>
      <c r="V73" s="46">
        <f t="shared" si="12"/>
        <v>0</v>
      </c>
      <c r="W73" s="46">
        <f t="shared" si="12"/>
        <v>0</v>
      </c>
      <c r="X73" s="46">
        <f t="shared" si="12"/>
        <v>0</v>
      </c>
      <c r="Y73" s="46">
        <f t="shared" si="16"/>
        <v>0</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83">
        <f t="shared" si="10"/>
        <v>53.201158095537785</v>
      </c>
      <c r="B74" s="151">
        <f t="shared" si="11"/>
        <v>-712.11950988115018</v>
      </c>
      <c r="C74" s="20" t="str">
        <f t="shared" si="13"/>
        <v>Lodging</v>
      </c>
      <c r="D74" s="20" t="str">
        <f t="shared" si="14"/>
        <v>Showerheads-Retro-Lodging</v>
      </c>
      <c r="E74" s="46">
        <f t="shared" si="15"/>
        <v>0.24729364178930632</v>
      </c>
      <c r="F74" s="46">
        <f t="shared" si="12"/>
        <v>0.17396921937524562</v>
      </c>
      <c r="G74" s="46">
        <f t="shared" si="12"/>
        <v>0.12086232857749697</v>
      </c>
      <c r="H74" s="46">
        <f t="shared" si="12"/>
        <v>9.4312566428532918E-2</v>
      </c>
      <c r="I74" s="46">
        <f t="shared" si="12"/>
        <v>8.2802916360097983E-2</v>
      </c>
      <c r="J74" s="46">
        <f t="shared" si="12"/>
        <v>7.1757005272110486E-2</v>
      </c>
      <c r="K74" s="46">
        <f t="shared" si="12"/>
        <v>6.1552780631737469E-2</v>
      </c>
      <c r="L74" s="46">
        <f t="shared" si="12"/>
        <v>5.2358246657576539E-2</v>
      </c>
      <c r="M74" s="46">
        <f t="shared" si="12"/>
        <v>4.4226901776972222E-2</v>
      </c>
      <c r="N74" s="46">
        <f t="shared" si="12"/>
        <v>3.7147177984275727E-2</v>
      </c>
      <c r="O74" s="46">
        <f t="shared" si="12"/>
        <v>3.1049232122751562E-2</v>
      </c>
      <c r="P74" s="46">
        <f t="shared" si="12"/>
        <v>2.4235486929846842E-2</v>
      </c>
      <c r="Q74" s="46">
        <f t="shared" si="12"/>
        <v>1.8979557095590901E-2</v>
      </c>
      <c r="R74" s="46">
        <f t="shared" si="12"/>
        <v>1.4883276299693077E-2</v>
      </c>
      <c r="S74" s="46">
        <f t="shared" si="12"/>
        <v>1.1673098579664814E-2</v>
      </c>
      <c r="T74" s="46">
        <f t="shared" si="12"/>
        <v>9.1564094525027773E-3</v>
      </c>
      <c r="U74" s="46">
        <f t="shared" si="12"/>
        <v>7.1853924590787269E-3</v>
      </c>
      <c r="V74" s="46">
        <f t="shared" si="12"/>
        <v>5.6300146297881019E-3</v>
      </c>
      <c r="W74" s="46">
        <f t="shared" si="12"/>
        <v>4.4100401116903666E-3</v>
      </c>
      <c r="X74" s="46">
        <f t="shared" si="12"/>
        <v>3.4526284095725787E-3</v>
      </c>
      <c r="Y74" s="46">
        <f t="shared" si="16"/>
        <v>1.0680749611680334</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83">
        <f t="shared" si="10"/>
        <v>74.10148453691663</v>
      </c>
      <c r="B75" s="151">
        <f t="shared" si="11"/>
        <v>-366.59792668389559</v>
      </c>
      <c r="C75" s="20" t="str">
        <f t="shared" si="13"/>
        <v>Hospital</v>
      </c>
      <c r="D75" s="20" t="str">
        <f t="shared" si="14"/>
        <v>Showerheads-Retro-Hospital</v>
      </c>
      <c r="E75" s="46">
        <f t="shared" si="15"/>
        <v>4.6131901458495918E-2</v>
      </c>
      <c r="F75" s="46">
        <f t="shared" si="12"/>
        <v>3.353949094886613E-2</v>
      </c>
      <c r="G75" s="46">
        <f t="shared" si="12"/>
        <v>2.3930139825005643E-2</v>
      </c>
      <c r="H75" s="46">
        <f t="shared" si="12"/>
        <v>1.9131625332410612E-2</v>
      </c>
      <c r="I75" s="46">
        <f t="shared" si="12"/>
        <v>1.7116149928819119E-2</v>
      </c>
      <c r="J75" s="46">
        <f t="shared" ref="F75:X78" si="17">J50*$A75/8760000</f>
        <v>1.5019367820774086E-2</v>
      </c>
      <c r="K75" s="46">
        <f t="shared" si="17"/>
        <v>1.3020802254662666E-2</v>
      </c>
      <c r="L75" s="46">
        <f t="shared" si="17"/>
        <v>1.118172121412936E-2</v>
      </c>
      <c r="M75" s="46">
        <f t="shared" si="17"/>
        <v>9.5202270663833841E-3</v>
      </c>
      <c r="N75" s="46">
        <f t="shared" si="17"/>
        <v>8.0573078976777634E-3</v>
      </c>
      <c r="O75" s="46">
        <f t="shared" si="17"/>
        <v>6.7877323096986837E-3</v>
      </c>
      <c r="P75" s="46">
        <f t="shared" si="17"/>
        <v>5.3476416893746036E-3</v>
      </c>
      <c r="Q75" s="46">
        <f t="shared" si="17"/>
        <v>4.2238015237002274E-3</v>
      </c>
      <c r="R75" s="46">
        <f t="shared" si="17"/>
        <v>3.3428479097906893E-3</v>
      </c>
      <c r="S75" s="46">
        <f t="shared" si="17"/>
        <v>2.6402052532894494E-3</v>
      </c>
      <c r="T75" s="46">
        <f t="shared" si="17"/>
        <v>2.0836787019365734E-3</v>
      </c>
      <c r="U75" s="46">
        <f t="shared" si="17"/>
        <v>1.6435322175024391E-3</v>
      </c>
      <c r="V75" s="46">
        <f t="shared" si="17"/>
        <v>1.2946565354698635E-3</v>
      </c>
      <c r="W75" s="46">
        <f t="shared" si="17"/>
        <v>1.0189621933662549E-3</v>
      </c>
      <c r="X75" s="46">
        <f t="shared" si="17"/>
        <v>8.0114431231060907E-4</v>
      </c>
      <c r="Y75" s="46">
        <f t="shared" si="16"/>
        <v>0.20038776450548643</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83">
        <f t="shared" si="10"/>
        <v>53.201158095537785</v>
      </c>
      <c r="B76" s="151">
        <f t="shared" si="11"/>
        <v>-712.11950988115018</v>
      </c>
      <c r="C76" s="20" t="str">
        <f t="shared" si="13"/>
        <v>Residential Care</v>
      </c>
      <c r="D76" s="20" t="str">
        <f t="shared" si="14"/>
        <v>Showerheads-Retro-Residential Care</v>
      </c>
      <c r="E76" s="46">
        <f t="shared" si="15"/>
        <v>0.13572181278777093</v>
      </c>
      <c r="F76" s="46">
        <f t="shared" si="17"/>
        <v>9.8229075238804447E-2</v>
      </c>
      <c r="G76" s="46">
        <f t="shared" si="17"/>
        <v>6.9929343081061329E-2</v>
      </c>
      <c r="H76" s="46">
        <f t="shared" si="17"/>
        <v>5.5769433883212573E-2</v>
      </c>
      <c r="I76" s="46">
        <f t="shared" si="17"/>
        <v>4.9816434554087297E-2</v>
      </c>
      <c r="J76" s="46">
        <f t="shared" si="17"/>
        <v>4.3710650855304629E-2</v>
      </c>
      <c r="K76" s="46">
        <f t="shared" si="17"/>
        <v>3.7918750428625768E-2</v>
      </c>
      <c r="L76" s="46">
        <f t="shared" si="17"/>
        <v>3.2583474838853314E-2</v>
      </c>
      <c r="M76" s="46">
        <f t="shared" si="17"/>
        <v>2.7769972710736623E-2</v>
      </c>
      <c r="N76" s="46">
        <f t="shared" si="17"/>
        <v>2.3539676414112615E-2</v>
      </c>
      <c r="O76" s="46">
        <f t="shared" si="17"/>
        <v>1.9864227517903503E-2</v>
      </c>
      <c r="P76" s="46">
        <f t="shared" si="17"/>
        <v>1.5672686662181499E-2</v>
      </c>
      <c r="Q76" s="46">
        <f t="shared" si="17"/>
        <v>1.2402581443395842E-2</v>
      </c>
      <c r="R76" s="46">
        <f t="shared" si="17"/>
        <v>9.8288519248475332E-3</v>
      </c>
      <c r="S76" s="46">
        <f t="shared" si="17"/>
        <v>7.7714497033881391E-3</v>
      </c>
      <c r="T76" s="46">
        <f t="shared" si="17"/>
        <v>6.1455982734275908E-3</v>
      </c>
      <c r="U76" s="46">
        <f t="shared" si="17"/>
        <v>4.85657988782224E-3</v>
      </c>
      <c r="V76" s="46">
        <f t="shared" si="17"/>
        <v>3.8318987549275573E-3</v>
      </c>
      <c r="W76" s="46">
        <f t="shared" si="17"/>
        <v>3.0219224097275963E-3</v>
      </c>
      <c r="X76" s="46">
        <f t="shared" si="17"/>
        <v>2.3814217119960731E-3</v>
      </c>
      <c r="Y76" s="46">
        <f t="shared" si="16"/>
        <v>0.58619004060953617</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83">
        <f t="shared" si="10"/>
        <v>53.201158095537785</v>
      </c>
      <c r="B77" s="151">
        <f t="shared" si="11"/>
        <v>-712.11950988115018</v>
      </c>
      <c r="C77" s="20" t="str">
        <f t="shared" si="13"/>
        <v>Assembly</v>
      </c>
      <c r="D77" s="20" t="str">
        <f t="shared" si="14"/>
        <v>Showerheads-Retro-Assembly</v>
      </c>
      <c r="E77" s="46">
        <f t="shared" si="15"/>
        <v>3.1521616526726855E-3</v>
      </c>
      <c r="F77" s="46">
        <f t="shared" si="17"/>
        <v>2.2182255556452289E-3</v>
      </c>
      <c r="G77" s="46">
        <f t="shared" si="17"/>
        <v>1.5416715686275293E-3</v>
      </c>
      <c r="H77" s="46">
        <f t="shared" si="17"/>
        <v>1.202529102101982E-3</v>
      </c>
      <c r="I77" s="46">
        <f t="shared" si="17"/>
        <v>1.0562023389271533E-3</v>
      </c>
      <c r="J77" s="46">
        <f t="shared" si="17"/>
        <v>9.1549477005208177E-4</v>
      </c>
      <c r="K77" s="46">
        <f t="shared" si="17"/>
        <v>7.8532951228157683E-4</v>
      </c>
      <c r="L77" s="46">
        <f t="shared" si="17"/>
        <v>6.6693751946670591E-4</v>
      </c>
      <c r="M77" s="46">
        <f t="shared" si="17"/>
        <v>5.62586649514376E-4</v>
      </c>
      <c r="N77" s="46">
        <f t="shared" si="17"/>
        <v>4.7274660263784503E-4</v>
      </c>
      <c r="O77" s="46">
        <f t="shared" si="17"/>
        <v>3.9618181455274964E-4</v>
      </c>
      <c r="P77" s="46">
        <f t="shared" si="17"/>
        <v>3.1016440390066848E-4</v>
      </c>
      <c r="Q77" s="46">
        <f t="shared" si="17"/>
        <v>2.4333283818863061E-4</v>
      </c>
      <c r="R77" s="46">
        <f t="shared" si="17"/>
        <v>1.9156815273894861E-4</v>
      </c>
      <c r="S77" s="46">
        <f t="shared" si="17"/>
        <v>1.5104309016328584E-4</v>
      </c>
      <c r="T77" s="46">
        <f t="shared" si="17"/>
        <v>1.1920557347014546E-4</v>
      </c>
      <c r="U77" s="46">
        <f t="shared" si="17"/>
        <v>9.4028919581287096E-5</v>
      </c>
      <c r="V77" s="46">
        <f t="shared" si="17"/>
        <v>7.4103038747641846E-5</v>
      </c>
      <c r="W77" s="46">
        <f t="shared" si="17"/>
        <v>5.8374245093498387E-5</v>
      </c>
      <c r="X77" s="46">
        <f t="shared" si="17"/>
        <v>4.5969926712542207E-5</v>
      </c>
      <c r="Y77" s="46">
        <f t="shared" si="16"/>
        <v>1.3083364380319165E-2</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83">
        <f t="shared" si="10"/>
        <v>1667.5932805821674</v>
      </c>
      <c r="B78" s="151">
        <f t="shared" si="11"/>
        <v>-388.74893866765819</v>
      </c>
      <c r="C78" s="20" t="str">
        <f t="shared" si="13"/>
        <v>Other</v>
      </c>
      <c r="D78" s="20" t="str">
        <f t="shared" si="14"/>
        <v>Showerheads-Retro-Other</v>
      </c>
      <c r="E78" s="46">
        <f t="shared" si="15"/>
        <v>0.35219810437742305</v>
      </c>
      <c r="F78" s="46">
        <f t="shared" si="17"/>
        <v>0.2539084339264287</v>
      </c>
      <c r="G78" s="46">
        <f t="shared" si="17"/>
        <v>0.17959587835792035</v>
      </c>
      <c r="H78" s="46">
        <f t="shared" si="17"/>
        <v>0.14263247675349394</v>
      </c>
      <c r="I78" s="46">
        <f t="shared" si="17"/>
        <v>0.12716597449904329</v>
      </c>
      <c r="J78" s="46">
        <f t="shared" si="17"/>
        <v>0.11133373492718483</v>
      </c>
      <c r="K78" s="46">
        <f t="shared" si="17"/>
        <v>9.6692274352225466E-2</v>
      </c>
      <c r="L78" s="46">
        <f t="shared" si="17"/>
        <v>8.322996965079564E-2</v>
      </c>
      <c r="M78" s="46">
        <f t="shared" si="17"/>
        <v>7.1253400730254796E-2</v>
      </c>
      <c r="N78" s="46">
        <f t="shared" si="17"/>
        <v>6.0739430104165652E-2</v>
      </c>
      <c r="O78" s="46">
        <f t="shared" si="17"/>
        <v>5.1469254221744275E-2</v>
      </c>
      <c r="P78" s="46">
        <f t="shared" si="17"/>
        <v>4.0810430113395815E-2</v>
      </c>
      <c r="Q78" s="46">
        <f t="shared" si="17"/>
        <v>3.2396960686596421E-2</v>
      </c>
      <c r="R78" s="46">
        <f t="shared" si="17"/>
        <v>2.5723297569297487E-2</v>
      </c>
      <c r="S78" s="46">
        <f t="shared" si="17"/>
        <v>2.0383683334276339E-2</v>
      </c>
      <c r="T78" s="46">
        <f t="shared" si="17"/>
        <v>1.6176155475089427E-2</v>
      </c>
      <c r="U78" s="46">
        <f t="shared" si="17"/>
        <v>1.2803248379792832E-2</v>
      </c>
      <c r="V78" s="46">
        <f t="shared" si="17"/>
        <v>1.0139896387875347E-2</v>
      </c>
      <c r="W78" s="46">
        <f t="shared" si="17"/>
        <v>8.0201747626180622E-3</v>
      </c>
      <c r="X78" s="46">
        <f t="shared" si="17"/>
        <v>6.3355920802159677E-3</v>
      </c>
      <c r="Y78" s="46">
        <f t="shared" si="16"/>
        <v>1.3409199870464108</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52"/>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0"/>
      <c r="E80" s="40">
        <f>SUM(E61:E79)</f>
        <v>0.90512381254678631</v>
      </c>
      <c r="F80" s="40">
        <f t="shared" ref="F80:X80" si="18">SUM(F61:F79)</f>
        <v>0.64789075073111102</v>
      </c>
      <c r="G80" s="40">
        <f t="shared" si="18"/>
        <v>0.45613631046977859</v>
      </c>
      <c r="H80" s="40">
        <f t="shared" si="18"/>
        <v>0.36057724159186788</v>
      </c>
      <c r="I80" s="40">
        <f t="shared" si="18"/>
        <v>0.32023292091043759</v>
      </c>
      <c r="J80" s="40">
        <f t="shared" si="18"/>
        <v>0.27983232447748718</v>
      </c>
      <c r="K80" s="40">
        <f t="shared" si="18"/>
        <v>0.24208839104780708</v>
      </c>
      <c r="L80" s="40">
        <f t="shared" si="18"/>
        <v>0.20770549797169885</v>
      </c>
      <c r="M80" s="40">
        <f t="shared" si="18"/>
        <v>0.17698829464129728</v>
      </c>
      <c r="N80" s="40">
        <f t="shared" si="18"/>
        <v>0.15003980281690857</v>
      </c>
      <c r="O80" s="40">
        <f t="shared" si="18"/>
        <v>0.12655955170217753</v>
      </c>
      <c r="P80" s="40">
        <f t="shared" si="18"/>
        <v>9.9795028046079925E-2</v>
      </c>
      <c r="Q80" s="40">
        <f t="shared" si="18"/>
        <v>7.8853154819466392E-2</v>
      </c>
      <c r="R80" s="40">
        <f t="shared" si="18"/>
        <v>6.2364661065632265E-2</v>
      </c>
      <c r="S80" s="40">
        <f t="shared" si="18"/>
        <v>4.9254324133176541E-2</v>
      </c>
      <c r="T80" s="40">
        <f t="shared" si="18"/>
        <v>3.8930996215934904E-2</v>
      </c>
      <c r="U80" s="40">
        <f t="shared" si="18"/>
        <v>3.0732753891564393E-2</v>
      </c>
      <c r="V80" s="40">
        <f t="shared" si="18"/>
        <v>2.4251643827333799E-2</v>
      </c>
      <c r="W80" s="40">
        <f t="shared" si="18"/>
        <v>1.911873024325637E-2</v>
      </c>
      <c r="X80" s="40">
        <f t="shared" si="18"/>
        <v>1.505962594685218E-2</v>
      </c>
      <c r="Y80" s="40">
        <f>SUM(Y61:Y79)</f>
        <v>3.7216771353503777</v>
      </c>
      <c r="Z80" s="40"/>
      <c r="AA80" s="40"/>
      <c r="AB80" s="94"/>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9" t="s">
        <v>261</v>
      </c>
      <c r="B83" s="100"/>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19"/>
      <c r="D84" s="119"/>
      <c r="E84" s="92">
        <f>E59</f>
        <v>2016</v>
      </c>
      <c r="F84" s="92">
        <f t="shared" ref="F84:X84" si="19">F59</f>
        <v>2017</v>
      </c>
      <c r="G84" s="92">
        <f t="shared" si="19"/>
        <v>2018</v>
      </c>
      <c r="H84" s="92">
        <f t="shared" si="19"/>
        <v>2019</v>
      </c>
      <c r="I84" s="92">
        <f t="shared" si="19"/>
        <v>2020</v>
      </c>
      <c r="J84" s="92">
        <f t="shared" si="19"/>
        <v>2021</v>
      </c>
      <c r="K84" s="92">
        <f t="shared" si="19"/>
        <v>2022</v>
      </c>
      <c r="L84" s="92">
        <f t="shared" si="19"/>
        <v>2023</v>
      </c>
      <c r="M84" s="92">
        <f t="shared" si="19"/>
        <v>2024</v>
      </c>
      <c r="N84" s="92">
        <f t="shared" si="19"/>
        <v>2025</v>
      </c>
      <c r="O84" s="92">
        <f t="shared" si="19"/>
        <v>2026</v>
      </c>
      <c r="P84" s="92">
        <f t="shared" si="19"/>
        <v>2027</v>
      </c>
      <c r="Q84" s="92">
        <f t="shared" si="19"/>
        <v>2028</v>
      </c>
      <c r="R84" s="92">
        <f t="shared" si="19"/>
        <v>2029</v>
      </c>
      <c r="S84" s="92">
        <f t="shared" si="19"/>
        <v>2030</v>
      </c>
      <c r="T84" s="92">
        <f t="shared" si="19"/>
        <v>2031</v>
      </c>
      <c r="U84" s="92">
        <f t="shared" si="19"/>
        <v>2032</v>
      </c>
      <c r="V84" s="92">
        <f t="shared" si="19"/>
        <v>2033</v>
      </c>
      <c r="W84" s="92">
        <f t="shared" si="19"/>
        <v>2034</v>
      </c>
      <c r="X84" s="92">
        <f t="shared" si="19"/>
        <v>2035</v>
      </c>
      <c r="Y84" s="92" t="s">
        <v>364</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0" t="s">
        <v>258</v>
      </c>
      <c r="D85" s="120" t="s">
        <v>258</v>
      </c>
      <c r="E85" s="93" t="str">
        <f>CONCATENATE("aMW_",E$11)</f>
        <v>aMW_2016</v>
      </c>
      <c r="F85" s="93" t="str">
        <f t="shared" ref="F85:X85" si="20">CONCATENATE("aMW_",F$11)</f>
        <v>aMW_2017</v>
      </c>
      <c r="G85" s="93" t="str">
        <f t="shared" si="20"/>
        <v>aMW_2018</v>
      </c>
      <c r="H85" s="93" t="str">
        <f t="shared" si="20"/>
        <v>aMW_2019</v>
      </c>
      <c r="I85" s="93" t="str">
        <f t="shared" si="20"/>
        <v>aMW_2020</v>
      </c>
      <c r="J85" s="93" t="str">
        <f t="shared" si="20"/>
        <v>aMW_2021</v>
      </c>
      <c r="K85" s="93" t="str">
        <f t="shared" si="20"/>
        <v>aMW_2022</v>
      </c>
      <c r="L85" s="93" t="str">
        <f t="shared" si="20"/>
        <v>aMW_2023</v>
      </c>
      <c r="M85" s="93" t="str">
        <f t="shared" si="20"/>
        <v>aMW_2024</v>
      </c>
      <c r="N85" s="93" t="str">
        <f t="shared" si="20"/>
        <v>aMW_2025</v>
      </c>
      <c r="O85" s="93" t="str">
        <f t="shared" si="20"/>
        <v>aMW_2026</v>
      </c>
      <c r="P85" s="93" t="str">
        <f t="shared" si="20"/>
        <v>aMW_2027</v>
      </c>
      <c r="Q85" s="93" t="str">
        <f t="shared" si="20"/>
        <v>aMW_2028</v>
      </c>
      <c r="R85" s="93" t="str">
        <f t="shared" si="20"/>
        <v>aMW_2029</v>
      </c>
      <c r="S85" s="93" t="str">
        <f t="shared" si="20"/>
        <v>aMW_2030</v>
      </c>
      <c r="T85" s="93" t="str">
        <f t="shared" si="20"/>
        <v>aMW_2031</v>
      </c>
      <c r="U85" s="93" t="str">
        <f t="shared" si="20"/>
        <v>aMW_2032</v>
      </c>
      <c r="V85" s="93" t="str">
        <f t="shared" si="20"/>
        <v>aMW_2033</v>
      </c>
      <c r="W85" s="93" t="str">
        <f t="shared" si="20"/>
        <v>aMW_2034</v>
      </c>
      <c r="X85" s="93" t="str">
        <f t="shared" si="20"/>
        <v>aMW_2035</v>
      </c>
      <c r="Y85" s="93" t="s">
        <v>399</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0" t="s">
        <v>51</v>
      </c>
      <c r="C86" s="115" t="s">
        <v>262</v>
      </c>
      <c r="D86" s="115" t="s">
        <v>263</v>
      </c>
      <c r="E86" s="46">
        <f>DSUM($B$60:$Y$78,E$60,$C$85:$D86)</f>
        <v>0.90512381254678631</v>
      </c>
      <c r="F86" s="46">
        <f>DSUM($B$60:$Y$78,F$60,$C$85:$D86)</f>
        <v>0.64789075073111102</v>
      </c>
      <c r="G86" s="46">
        <f>DSUM($B$60:$Y$78,G$60,$C$85:$D86)</f>
        <v>0.45613631046977859</v>
      </c>
      <c r="H86" s="46">
        <f>DSUM($B$60:$Y$78,H$60,$C$85:$D86)</f>
        <v>0.36057724159186788</v>
      </c>
      <c r="I86" s="46">
        <f>DSUM($B$60:$Y$78,I$60,$C$85:$D86)</f>
        <v>0.32023292091043759</v>
      </c>
      <c r="J86" s="46">
        <f>DSUM($B$60:$Y$78,J$60,$C$85:$D86)</f>
        <v>0.27983232447748718</v>
      </c>
      <c r="K86" s="46">
        <f>DSUM($B$60:$Y$78,K$60,$C$85:$D86)</f>
        <v>0.24208839104780708</v>
      </c>
      <c r="L86" s="46">
        <f>DSUM($B$60:$Y$78,L$60,$C$85:$D86)</f>
        <v>0.20770549797169885</v>
      </c>
      <c r="M86" s="46">
        <f>DSUM($B$60:$Y$78,M$60,$C$85:$D86)</f>
        <v>0.17698829464129728</v>
      </c>
      <c r="N86" s="46">
        <f>DSUM($B$60:$Y$78,N$60,$C$85:$D86)</f>
        <v>0.15003980281690857</v>
      </c>
      <c r="O86" s="46">
        <f>DSUM($B$60:$Y$78,O$60,$C$85:$D86)</f>
        <v>0.12655955170217753</v>
      </c>
      <c r="P86" s="46">
        <f>DSUM($B$60:$Y$78,P$60,$C$85:$D86)</f>
        <v>9.9795028046079925E-2</v>
      </c>
      <c r="Q86" s="46">
        <f>DSUM($B$60:$Y$78,Q$60,$C$85:$D86)</f>
        <v>7.8853154819466392E-2</v>
      </c>
      <c r="R86" s="46">
        <f>DSUM($B$60:$Y$78,R$60,$C$85:$D86)</f>
        <v>6.2364661065632265E-2</v>
      </c>
      <c r="S86" s="46">
        <f>DSUM($B$60:$Y$78,S$60,$C$85:$D86)</f>
        <v>4.9254324133176541E-2</v>
      </c>
      <c r="T86" s="46">
        <f>DSUM($B$60:$Y$78,T$60,$C$85:$D86)</f>
        <v>3.8930996215934904E-2</v>
      </c>
      <c r="U86" s="46">
        <f>DSUM($B$60:$Y$78,U$60,$C$85:$D86)</f>
        <v>3.0732753891564393E-2</v>
      </c>
      <c r="V86" s="46">
        <f>DSUM($B$60:$Y$78,V$60,$C$85:$D86)</f>
        <v>2.4251643827333799E-2</v>
      </c>
      <c r="W86" s="46">
        <f>DSUM($B$60:$Y$78,W$60,$C$85:$D86)</f>
        <v>1.911873024325637E-2</v>
      </c>
      <c r="X86" s="46">
        <f>DSUM($B$60:$Y$78,X$60,$C$85:$D86)</f>
        <v>1.505962594685218E-2</v>
      </c>
      <c r="Y86" s="46">
        <f>DSUM($B$60:$Y$78,Y$60,$C$85:$D86)</f>
        <v>3.7216771353503777</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0" t="s">
        <v>52</v>
      </c>
      <c r="C87" s="115" t="s">
        <v>264</v>
      </c>
      <c r="D87" s="115" t="s">
        <v>265</v>
      </c>
      <c r="E87" s="46">
        <f>DSUM($B$60:$Y$78,E$60,$C$85:$D87)</f>
        <v>0.90512381254678631</v>
      </c>
      <c r="F87" s="46">
        <f>DSUM($B$60:$Y$78,F$60,$C$85:$D87)</f>
        <v>0.64789075073111102</v>
      </c>
      <c r="G87" s="46">
        <f>DSUM($B$60:$Y$78,G$60,$C$85:$D87)</f>
        <v>0.45613631046977859</v>
      </c>
      <c r="H87" s="46">
        <f>DSUM($B$60:$Y$78,H$60,$C$85:$D87)</f>
        <v>0.36057724159186788</v>
      </c>
      <c r="I87" s="46">
        <f>DSUM($B$60:$Y$78,I$60,$C$85:$D87)</f>
        <v>0.32023292091043759</v>
      </c>
      <c r="J87" s="46">
        <f>DSUM($B$60:$Y$78,J$60,$C$85:$D87)</f>
        <v>0.27983232447748718</v>
      </c>
      <c r="K87" s="46">
        <f>DSUM($B$60:$Y$78,K$60,$C$85:$D87)</f>
        <v>0.24208839104780708</v>
      </c>
      <c r="L87" s="46">
        <f>DSUM($B$60:$Y$78,L$60,$C$85:$D87)</f>
        <v>0.20770549797169885</v>
      </c>
      <c r="M87" s="46">
        <f>DSUM($B$60:$Y$78,M$60,$C$85:$D87)</f>
        <v>0.17698829464129728</v>
      </c>
      <c r="N87" s="46">
        <f>DSUM($B$60:$Y$78,N$60,$C$85:$D87)</f>
        <v>0.15003980281690857</v>
      </c>
      <c r="O87" s="46">
        <f>DSUM($B$60:$Y$78,O$60,$C$85:$D87)</f>
        <v>0.12655955170217753</v>
      </c>
      <c r="P87" s="46">
        <f>DSUM($B$60:$Y$78,P$60,$C$85:$D87)</f>
        <v>9.9795028046079925E-2</v>
      </c>
      <c r="Q87" s="46">
        <f>DSUM($B$60:$Y$78,Q$60,$C$85:$D87)</f>
        <v>7.8853154819466392E-2</v>
      </c>
      <c r="R87" s="46">
        <f>DSUM($B$60:$Y$78,R$60,$C$85:$D87)</f>
        <v>6.2364661065632265E-2</v>
      </c>
      <c r="S87" s="46">
        <f>DSUM($B$60:$Y$78,S$60,$C$85:$D87)</f>
        <v>4.9254324133176541E-2</v>
      </c>
      <c r="T87" s="46">
        <f>DSUM($B$60:$Y$78,T$60,$C$85:$D87)</f>
        <v>3.8930996215934904E-2</v>
      </c>
      <c r="U87" s="46">
        <f>DSUM($B$60:$Y$78,U$60,$C$85:$D87)</f>
        <v>3.0732753891564393E-2</v>
      </c>
      <c r="V87" s="46">
        <f>DSUM($B$60:$Y$78,V$60,$C$85:$D87)</f>
        <v>2.4251643827333799E-2</v>
      </c>
      <c r="W87" s="46">
        <f>DSUM($B$60:$Y$78,W$60,$C$85:$D87)</f>
        <v>1.911873024325637E-2</v>
      </c>
      <c r="X87" s="46">
        <f>DSUM($B$60:$Y$78,X$60,$C$85:$D87)</f>
        <v>1.505962594685218E-2</v>
      </c>
      <c r="Y87" s="46">
        <f>DSUM($B$60:$Y$78,Y$60,$C$85:$D87)</f>
        <v>3.7216771353503777</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0" t="s">
        <v>53</v>
      </c>
      <c r="C88" s="115" t="s">
        <v>266</v>
      </c>
      <c r="D88" s="115" t="s">
        <v>267</v>
      </c>
      <c r="E88" s="46">
        <f>DSUM($B$60:$Y$78,E$60,$C$85:$D88)</f>
        <v>0.90512381254678631</v>
      </c>
      <c r="F88" s="46">
        <f>DSUM($B$60:$Y$78,F$60,$C$85:$D88)</f>
        <v>0.64789075073111102</v>
      </c>
      <c r="G88" s="46">
        <f>DSUM($B$60:$Y$78,G$60,$C$85:$D88)</f>
        <v>0.45613631046977859</v>
      </c>
      <c r="H88" s="46">
        <f>DSUM($B$60:$Y$78,H$60,$C$85:$D88)</f>
        <v>0.36057724159186788</v>
      </c>
      <c r="I88" s="46">
        <f>DSUM($B$60:$Y$78,I$60,$C$85:$D88)</f>
        <v>0.32023292091043759</v>
      </c>
      <c r="J88" s="46">
        <f>DSUM($B$60:$Y$78,J$60,$C$85:$D88)</f>
        <v>0.27983232447748718</v>
      </c>
      <c r="K88" s="46">
        <f>DSUM($B$60:$Y$78,K$60,$C$85:$D88)</f>
        <v>0.24208839104780708</v>
      </c>
      <c r="L88" s="46">
        <f>DSUM($B$60:$Y$78,L$60,$C$85:$D88)</f>
        <v>0.20770549797169885</v>
      </c>
      <c r="M88" s="46">
        <f>DSUM($B$60:$Y$78,M$60,$C$85:$D88)</f>
        <v>0.17698829464129728</v>
      </c>
      <c r="N88" s="46">
        <f>DSUM($B$60:$Y$78,N$60,$C$85:$D88)</f>
        <v>0.15003980281690857</v>
      </c>
      <c r="O88" s="46">
        <f>DSUM($B$60:$Y$78,O$60,$C$85:$D88)</f>
        <v>0.12655955170217753</v>
      </c>
      <c r="P88" s="46">
        <f>DSUM($B$60:$Y$78,P$60,$C$85:$D88)</f>
        <v>9.9795028046079925E-2</v>
      </c>
      <c r="Q88" s="46">
        <f>DSUM($B$60:$Y$78,Q$60,$C$85:$D88)</f>
        <v>7.8853154819466392E-2</v>
      </c>
      <c r="R88" s="46">
        <f>DSUM($B$60:$Y$78,R$60,$C$85:$D88)</f>
        <v>6.2364661065632265E-2</v>
      </c>
      <c r="S88" s="46">
        <f>DSUM($B$60:$Y$78,S$60,$C$85:$D88)</f>
        <v>4.9254324133176541E-2</v>
      </c>
      <c r="T88" s="46">
        <f>DSUM($B$60:$Y$78,T$60,$C$85:$D88)</f>
        <v>3.8930996215934904E-2</v>
      </c>
      <c r="U88" s="46">
        <f>DSUM($B$60:$Y$78,U$60,$C$85:$D88)</f>
        <v>3.0732753891564393E-2</v>
      </c>
      <c r="V88" s="46">
        <f>DSUM($B$60:$Y$78,V$60,$C$85:$D88)</f>
        <v>2.4251643827333799E-2</v>
      </c>
      <c r="W88" s="46">
        <f>DSUM($B$60:$Y$78,W$60,$C$85:$D88)</f>
        <v>1.911873024325637E-2</v>
      </c>
      <c r="X88" s="46">
        <f>DSUM($B$60:$Y$78,X$60,$C$85:$D88)</f>
        <v>1.505962594685218E-2</v>
      </c>
      <c r="Y88" s="46">
        <f>DSUM($B$60:$Y$78,Y$60,$C$85:$D88)</f>
        <v>3.7216771353503777</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0" t="s">
        <v>54</v>
      </c>
      <c r="C89" s="115" t="s">
        <v>268</v>
      </c>
      <c r="D89" s="115" t="s">
        <v>269</v>
      </c>
      <c r="E89" s="46">
        <f>DSUM($B$60:$Y$78,E$60,$C$85:$D89)</f>
        <v>0.90512381254678631</v>
      </c>
      <c r="F89" s="46">
        <f>DSUM($B$60:$Y$78,F$60,$C$85:$D89)</f>
        <v>0.64789075073111102</v>
      </c>
      <c r="G89" s="46">
        <f>DSUM($B$60:$Y$78,G$60,$C$85:$D89)</f>
        <v>0.45613631046977859</v>
      </c>
      <c r="H89" s="46">
        <f>DSUM($B$60:$Y$78,H$60,$C$85:$D89)</f>
        <v>0.36057724159186788</v>
      </c>
      <c r="I89" s="46">
        <f>DSUM($B$60:$Y$78,I$60,$C$85:$D89)</f>
        <v>0.32023292091043759</v>
      </c>
      <c r="J89" s="46">
        <f>DSUM($B$60:$Y$78,J$60,$C$85:$D89)</f>
        <v>0.27983232447748718</v>
      </c>
      <c r="K89" s="46">
        <f>DSUM($B$60:$Y$78,K$60,$C$85:$D89)</f>
        <v>0.24208839104780708</v>
      </c>
      <c r="L89" s="46">
        <f>DSUM($B$60:$Y$78,L$60,$C$85:$D89)</f>
        <v>0.20770549797169885</v>
      </c>
      <c r="M89" s="46">
        <f>DSUM($B$60:$Y$78,M$60,$C$85:$D89)</f>
        <v>0.17698829464129728</v>
      </c>
      <c r="N89" s="46">
        <f>DSUM($B$60:$Y$78,N$60,$C$85:$D89)</f>
        <v>0.15003980281690857</v>
      </c>
      <c r="O89" s="46">
        <f>DSUM($B$60:$Y$78,O$60,$C$85:$D89)</f>
        <v>0.12655955170217753</v>
      </c>
      <c r="P89" s="46">
        <f>DSUM($B$60:$Y$78,P$60,$C$85:$D89)</f>
        <v>9.9795028046079925E-2</v>
      </c>
      <c r="Q89" s="46">
        <f>DSUM($B$60:$Y$78,Q$60,$C$85:$D89)</f>
        <v>7.8853154819466392E-2</v>
      </c>
      <c r="R89" s="46">
        <f>DSUM($B$60:$Y$78,R$60,$C$85:$D89)</f>
        <v>6.2364661065632265E-2</v>
      </c>
      <c r="S89" s="46">
        <f>DSUM($B$60:$Y$78,S$60,$C$85:$D89)</f>
        <v>4.9254324133176541E-2</v>
      </c>
      <c r="T89" s="46">
        <f>DSUM($B$60:$Y$78,T$60,$C$85:$D89)</f>
        <v>3.8930996215934904E-2</v>
      </c>
      <c r="U89" s="46">
        <f>DSUM($B$60:$Y$78,U$60,$C$85:$D89)</f>
        <v>3.0732753891564393E-2</v>
      </c>
      <c r="V89" s="46">
        <f>DSUM($B$60:$Y$78,V$60,$C$85:$D89)</f>
        <v>2.4251643827333799E-2</v>
      </c>
      <c r="W89" s="46">
        <f>DSUM($B$60:$Y$78,W$60,$C$85:$D89)</f>
        <v>1.911873024325637E-2</v>
      </c>
      <c r="X89" s="46">
        <f>DSUM($B$60:$Y$78,X$60,$C$85:$D89)</f>
        <v>1.505962594685218E-2</v>
      </c>
      <c r="Y89" s="46">
        <f>DSUM($B$60:$Y$78,Y$60,$C$85:$D89)</f>
        <v>3.7216771353503777</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0" t="s">
        <v>55</v>
      </c>
      <c r="C90" s="115" t="s">
        <v>270</v>
      </c>
      <c r="D90" s="115" t="s">
        <v>271</v>
      </c>
      <c r="E90" s="46">
        <f>DSUM($B$60:$Y$78,E$60,$C$85:$D90)</f>
        <v>0.90512381254678631</v>
      </c>
      <c r="F90" s="46">
        <f>DSUM($B$60:$Y$78,F$60,$C$85:$D90)</f>
        <v>0.64789075073111102</v>
      </c>
      <c r="G90" s="46">
        <f>DSUM($B$60:$Y$78,G$60,$C$85:$D90)</f>
        <v>0.45613631046977859</v>
      </c>
      <c r="H90" s="46">
        <f>DSUM($B$60:$Y$78,H$60,$C$85:$D90)</f>
        <v>0.36057724159186788</v>
      </c>
      <c r="I90" s="46">
        <f>DSUM($B$60:$Y$78,I$60,$C$85:$D90)</f>
        <v>0.32023292091043759</v>
      </c>
      <c r="J90" s="46">
        <f>DSUM($B$60:$Y$78,J$60,$C$85:$D90)</f>
        <v>0.27983232447748718</v>
      </c>
      <c r="K90" s="46">
        <f>DSUM($B$60:$Y$78,K$60,$C$85:$D90)</f>
        <v>0.24208839104780708</v>
      </c>
      <c r="L90" s="46">
        <f>DSUM($B$60:$Y$78,L$60,$C$85:$D90)</f>
        <v>0.20770549797169885</v>
      </c>
      <c r="M90" s="46">
        <f>DSUM($B$60:$Y$78,M$60,$C$85:$D90)</f>
        <v>0.17698829464129728</v>
      </c>
      <c r="N90" s="46">
        <f>DSUM($B$60:$Y$78,N$60,$C$85:$D90)</f>
        <v>0.15003980281690857</v>
      </c>
      <c r="O90" s="46">
        <f>DSUM($B$60:$Y$78,O$60,$C$85:$D90)</f>
        <v>0.12655955170217753</v>
      </c>
      <c r="P90" s="46">
        <f>DSUM($B$60:$Y$78,P$60,$C$85:$D90)</f>
        <v>9.9795028046079925E-2</v>
      </c>
      <c r="Q90" s="46">
        <f>DSUM($B$60:$Y$78,Q$60,$C$85:$D90)</f>
        <v>7.8853154819466392E-2</v>
      </c>
      <c r="R90" s="46">
        <f>DSUM($B$60:$Y$78,R$60,$C$85:$D90)</f>
        <v>6.2364661065632265E-2</v>
      </c>
      <c r="S90" s="46">
        <f>DSUM($B$60:$Y$78,S$60,$C$85:$D90)</f>
        <v>4.9254324133176541E-2</v>
      </c>
      <c r="T90" s="46">
        <f>DSUM($B$60:$Y$78,T$60,$C$85:$D90)</f>
        <v>3.8930996215934904E-2</v>
      </c>
      <c r="U90" s="46">
        <f>DSUM($B$60:$Y$78,U$60,$C$85:$D90)</f>
        <v>3.0732753891564393E-2</v>
      </c>
      <c r="V90" s="46">
        <f>DSUM($B$60:$Y$78,V$60,$C$85:$D90)</f>
        <v>2.4251643827333799E-2</v>
      </c>
      <c r="W90" s="46">
        <f>DSUM($B$60:$Y$78,W$60,$C$85:$D90)</f>
        <v>1.911873024325637E-2</v>
      </c>
      <c r="X90" s="46">
        <f>DSUM($B$60:$Y$78,X$60,$C$85:$D90)</f>
        <v>1.505962594685218E-2</v>
      </c>
      <c r="Y90" s="46">
        <f>DSUM($B$60:$Y$78,Y$60,$C$85:$D90)</f>
        <v>3.7216771353503777</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0" t="s">
        <v>56</v>
      </c>
      <c r="C91" s="115" t="s">
        <v>272</v>
      </c>
      <c r="D91" s="115" t="s">
        <v>273</v>
      </c>
      <c r="E91" s="46">
        <f>DSUM($B$60:$Y$78,E$60,$C$85:$D91)</f>
        <v>0.90512381254678631</v>
      </c>
      <c r="F91" s="46">
        <f>DSUM($B$60:$Y$78,F$60,$C$85:$D91)</f>
        <v>0.64789075073111102</v>
      </c>
      <c r="G91" s="46">
        <f>DSUM($B$60:$Y$78,G$60,$C$85:$D91)</f>
        <v>0.45613631046977859</v>
      </c>
      <c r="H91" s="46">
        <f>DSUM($B$60:$Y$78,H$60,$C$85:$D91)</f>
        <v>0.36057724159186788</v>
      </c>
      <c r="I91" s="46">
        <f>DSUM($B$60:$Y$78,I$60,$C$85:$D91)</f>
        <v>0.32023292091043759</v>
      </c>
      <c r="J91" s="46">
        <f>DSUM($B$60:$Y$78,J$60,$C$85:$D91)</f>
        <v>0.27983232447748718</v>
      </c>
      <c r="K91" s="46">
        <f>DSUM($B$60:$Y$78,K$60,$C$85:$D91)</f>
        <v>0.24208839104780708</v>
      </c>
      <c r="L91" s="46">
        <f>DSUM($B$60:$Y$78,L$60,$C$85:$D91)</f>
        <v>0.20770549797169885</v>
      </c>
      <c r="M91" s="46">
        <f>DSUM($B$60:$Y$78,M$60,$C$85:$D91)</f>
        <v>0.17698829464129728</v>
      </c>
      <c r="N91" s="46">
        <f>DSUM($B$60:$Y$78,N$60,$C$85:$D91)</f>
        <v>0.15003980281690857</v>
      </c>
      <c r="O91" s="46">
        <f>DSUM($B$60:$Y$78,O$60,$C$85:$D91)</f>
        <v>0.12655955170217753</v>
      </c>
      <c r="P91" s="46">
        <f>DSUM($B$60:$Y$78,P$60,$C$85:$D91)</f>
        <v>9.9795028046079925E-2</v>
      </c>
      <c r="Q91" s="46">
        <f>DSUM($B$60:$Y$78,Q$60,$C$85:$D91)</f>
        <v>7.8853154819466392E-2</v>
      </c>
      <c r="R91" s="46">
        <f>DSUM($B$60:$Y$78,R$60,$C$85:$D91)</f>
        <v>6.2364661065632265E-2</v>
      </c>
      <c r="S91" s="46">
        <f>DSUM($B$60:$Y$78,S$60,$C$85:$D91)</f>
        <v>4.9254324133176541E-2</v>
      </c>
      <c r="T91" s="46">
        <f>DSUM($B$60:$Y$78,T$60,$C$85:$D91)</f>
        <v>3.8930996215934904E-2</v>
      </c>
      <c r="U91" s="46">
        <f>DSUM($B$60:$Y$78,U$60,$C$85:$D91)</f>
        <v>3.0732753891564393E-2</v>
      </c>
      <c r="V91" s="46">
        <f>DSUM($B$60:$Y$78,V$60,$C$85:$D91)</f>
        <v>2.4251643827333799E-2</v>
      </c>
      <c r="W91" s="46">
        <f>DSUM($B$60:$Y$78,W$60,$C$85:$D91)</f>
        <v>1.911873024325637E-2</v>
      </c>
      <c r="X91" s="46">
        <f>DSUM($B$60:$Y$78,X$60,$C$85:$D91)</f>
        <v>1.505962594685218E-2</v>
      </c>
      <c r="Y91" s="46">
        <f>DSUM($B$60:$Y$78,Y$60,$C$85:$D91)</f>
        <v>3.7216771353503777</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0" t="s">
        <v>57</v>
      </c>
      <c r="C92" s="115" t="s">
        <v>274</v>
      </c>
      <c r="D92" s="115" t="s">
        <v>275</v>
      </c>
      <c r="E92" s="46">
        <f>DSUM($B$60:$Y$78,E$60,$C$85:$D92)</f>
        <v>0.90512381254678631</v>
      </c>
      <c r="F92" s="46">
        <f>DSUM($B$60:$Y$78,F$60,$C$85:$D92)</f>
        <v>0.64789075073111102</v>
      </c>
      <c r="G92" s="46">
        <f>DSUM($B$60:$Y$78,G$60,$C$85:$D92)</f>
        <v>0.45613631046977859</v>
      </c>
      <c r="H92" s="46">
        <f>DSUM($B$60:$Y$78,H$60,$C$85:$D92)</f>
        <v>0.36057724159186788</v>
      </c>
      <c r="I92" s="46">
        <f>DSUM($B$60:$Y$78,I$60,$C$85:$D92)</f>
        <v>0.32023292091043759</v>
      </c>
      <c r="J92" s="46">
        <f>DSUM($B$60:$Y$78,J$60,$C$85:$D92)</f>
        <v>0.27983232447748718</v>
      </c>
      <c r="K92" s="46">
        <f>DSUM($B$60:$Y$78,K$60,$C$85:$D92)</f>
        <v>0.24208839104780708</v>
      </c>
      <c r="L92" s="46">
        <f>DSUM($B$60:$Y$78,L$60,$C$85:$D92)</f>
        <v>0.20770549797169885</v>
      </c>
      <c r="M92" s="46">
        <f>DSUM($B$60:$Y$78,M$60,$C$85:$D92)</f>
        <v>0.17698829464129728</v>
      </c>
      <c r="N92" s="46">
        <f>DSUM($B$60:$Y$78,N$60,$C$85:$D92)</f>
        <v>0.15003980281690857</v>
      </c>
      <c r="O92" s="46">
        <f>DSUM($B$60:$Y$78,O$60,$C$85:$D92)</f>
        <v>0.12655955170217753</v>
      </c>
      <c r="P92" s="46">
        <f>DSUM($B$60:$Y$78,P$60,$C$85:$D92)</f>
        <v>9.9795028046079925E-2</v>
      </c>
      <c r="Q92" s="46">
        <f>DSUM($B$60:$Y$78,Q$60,$C$85:$D92)</f>
        <v>7.8853154819466392E-2</v>
      </c>
      <c r="R92" s="46">
        <f>DSUM($B$60:$Y$78,R$60,$C$85:$D92)</f>
        <v>6.2364661065632265E-2</v>
      </c>
      <c r="S92" s="46">
        <f>DSUM($B$60:$Y$78,S$60,$C$85:$D92)</f>
        <v>4.9254324133176541E-2</v>
      </c>
      <c r="T92" s="46">
        <f>DSUM($B$60:$Y$78,T$60,$C$85:$D92)</f>
        <v>3.8930996215934904E-2</v>
      </c>
      <c r="U92" s="46">
        <f>DSUM($B$60:$Y$78,U$60,$C$85:$D92)</f>
        <v>3.0732753891564393E-2</v>
      </c>
      <c r="V92" s="46">
        <f>DSUM($B$60:$Y$78,V$60,$C$85:$D92)</f>
        <v>2.4251643827333799E-2</v>
      </c>
      <c r="W92" s="46">
        <f>DSUM($B$60:$Y$78,W$60,$C$85:$D92)</f>
        <v>1.911873024325637E-2</v>
      </c>
      <c r="X92" s="46">
        <f>DSUM($B$60:$Y$78,X$60,$C$85:$D92)</f>
        <v>1.505962594685218E-2</v>
      </c>
      <c r="Y92" s="46">
        <f>DSUM($B$60:$Y$78,Y$60,$C$85:$D92)</f>
        <v>3.7216771353503777</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0" t="s">
        <v>58</v>
      </c>
      <c r="C93" s="115" t="s">
        <v>276</v>
      </c>
      <c r="D93" s="115" t="s">
        <v>277</v>
      </c>
      <c r="E93" s="46">
        <f>DSUM($B$60:$Y$78,E$60,$C$85:$D93)</f>
        <v>0.90512381254678631</v>
      </c>
      <c r="F93" s="46">
        <f>DSUM($B$60:$Y$78,F$60,$C$85:$D93)</f>
        <v>0.64789075073111102</v>
      </c>
      <c r="G93" s="46">
        <f>DSUM($B$60:$Y$78,G$60,$C$85:$D93)</f>
        <v>0.45613631046977859</v>
      </c>
      <c r="H93" s="46">
        <f>DSUM($B$60:$Y$78,H$60,$C$85:$D93)</f>
        <v>0.36057724159186788</v>
      </c>
      <c r="I93" s="46">
        <f>DSUM($B$60:$Y$78,I$60,$C$85:$D93)</f>
        <v>0.32023292091043759</v>
      </c>
      <c r="J93" s="46">
        <f>DSUM($B$60:$Y$78,J$60,$C$85:$D93)</f>
        <v>0.27983232447748718</v>
      </c>
      <c r="K93" s="46">
        <f>DSUM($B$60:$Y$78,K$60,$C$85:$D93)</f>
        <v>0.24208839104780708</v>
      </c>
      <c r="L93" s="46">
        <f>DSUM($B$60:$Y$78,L$60,$C$85:$D93)</f>
        <v>0.20770549797169885</v>
      </c>
      <c r="M93" s="46">
        <f>DSUM($B$60:$Y$78,M$60,$C$85:$D93)</f>
        <v>0.17698829464129728</v>
      </c>
      <c r="N93" s="46">
        <f>DSUM($B$60:$Y$78,N$60,$C$85:$D93)</f>
        <v>0.15003980281690857</v>
      </c>
      <c r="O93" s="46">
        <f>DSUM($B$60:$Y$78,O$60,$C$85:$D93)</f>
        <v>0.12655955170217753</v>
      </c>
      <c r="P93" s="46">
        <f>DSUM($B$60:$Y$78,P$60,$C$85:$D93)</f>
        <v>9.9795028046079925E-2</v>
      </c>
      <c r="Q93" s="46">
        <f>DSUM($B$60:$Y$78,Q$60,$C$85:$D93)</f>
        <v>7.8853154819466392E-2</v>
      </c>
      <c r="R93" s="46">
        <f>DSUM($B$60:$Y$78,R$60,$C$85:$D93)</f>
        <v>6.2364661065632265E-2</v>
      </c>
      <c r="S93" s="46">
        <f>DSUM($B$60:$Y$78,S$60,$C$85:$D93)</f>
        <v>4.9254324133176541E-2</v>
      </c>
      <c r="T93" s="46">
        <f>DSUM($B$60:$Y$78,T$60,$C$85:$D93)</f>
        <v>3.8930996215934904E-2</v>
      </c>
      <c r="U93" s="46">
        <f>DSUM($B$60:$Y$78,U$60,$C$85:$D93)</f>
        <v>3.0732753891564393E-2</v>
      </c>
      <c r="V93" s="46">
        <f>DSUM($B$60:$Y$78,V$60,$C$85:$D93)</f>
        <v>2.4251643827333799E-2</v>
      </c>
      <c r="W93" s="46">
        <f>DSUM($B$60:$Y$78,W$60,$C$85:$D93)</f>
        <v>1.911873024325637E-2</v>
      </c>
      <c r="X93" s="46">
        <f>DSUM($B$60:$Y$78,X$60,$C$85:$D93)</f>
        <v>1.505962594685218E-2</v>
      </c>
      <c r="Y93" s="46">
        <f>DSUM($B$60:$Y$78,Y$60,$C$85:$D93)</f>
        <v>3.7216771353503777</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0" t="s">
        <v>59</v>
      </c>
      <c r="C94" s="115" t="s">
        <v>278</v>
      </c>
      <c r="D94" s="115" t="s">
        <v>279</v>
      </c>
      <c r="E94" s="46">
        <f>DSUM($B$60:$Y$78,E$60,$C$85:$D94)</f>
        <v>0.90512381254678631</v>
      </c>
      <c r="F94" s="46">
        <f>DSUM($B$60:$Y$78,F$60,$C$85:$D94)</f>
        <v>0.64789075073111102</v>
      </c>
      <c r="G94" s="46">
        <f>DSUM($B$60:$Y$78,G$60,$C$85:$D94)</f>
        <v>0.45613631046977859</v>
      </c>
      <c r="H94" s="46">
        <f>DSUM($B$60:$Y$78,H$60,$C$85:$D94)</f>
        <v>0.36057724159186788</v>
      </c>
      <c r="I94" s="46">
        <f>DSUM($B$60:$Y$78,I$60,$C$85:$D94)</f>
        <v>0.32023292091043759</v>
      </c>
      <c r="J94" s="46">
        <f>DSUM($B$60:$Y$78,J$60,$C$85:$D94)</f>
        <v>0.27983232447748718</v>
      </c>
      <c r="K94" s="46">
        <f>DSUM($B$60:$Y$78,K$60,$C$85:$D94)</f>
        <v>0.24208839104780708</v>
      </c>
      <c r="L94" s="46">
        <f>DSUM($B$60:$Y$78,L$60,$C$85:$D94)</f>
        <v>0.20770549797169885</v>
      </c>
      <c r="M94" s="46">
        <f>DSUM($B$60:$Y$78,M$60,$C$85:$D94)</f>
        <v>0.17698829464129728</v>
      </c>
      <c r="N94" s="46">
        <f>DSUM($B$60:$Y$78,N$60,$C$85:$D94)</f>
        <v>0.15003980281690857</v>
      </c>
      <c r="O94" s="46">
        <f>DSUM($B$60:$Y$78,O$60,$C$85:$D94)</f>
        <v>0.12655955170217753</v>
      </c>
      <c r="P94" s="46">
        <f>DSUM($B$60:$Y$78,P$60,$C$85:$D94)</f>
        <v>9.9795028046079925E-2</v>
      </c>
      <c r="Q94" s="46">
        <f>DSUM($B$60:$Y$78,Q$60,$C$85:$D94)</f>
        <v>7.8853154819466392E-2</v>
      </c>
      <c r="R94" s="46">
        <f>DSUM($B$60:$Y$78,R$60,$C$85:$D94)</f>
        <v>6.2364661065632265E-2</v>
      </c>
      <c r="S94" s="46">
        <f>DSUM($B$60:$Y$78,S$60,$C$85:$D94)</f>
        <v>4.9254324133176541E-2</v>
      </c>
      <c r="T94" s="46">
        <f>DSUM($B$60:$Y$78,T$60,$C$85:$D94)</f>
        <v>3.8930996215934904E-2</v>
      </c>
      <c r="U94" s="46">
        <f>DSUM($B$60:$Y$78,U$60,$C$85:$D94)</f>
        <v>3.0732753891564393E-2</v>
      </c>
      <c r="V94" s="46">
        <f>DSUM($B$60:$Y$78,V$60,$C$85:$D94)</f>
        <v>2.4251643827333799E-2</v>
      </c>
      <c r="W94" s="46">
        <f>DSUM($B$60:$Y$78,W$60,$C$85:$D94)</f>
        <v>1.911873024325637E-2</v>
      </c>
      <c r="X94" s="46">
        <f>DSUM($B$60:$Y$78,X$60,$C$85:$D94)</f>
        <v>1.505962594685218E-2</v>
      </c>
      <c r="Y94" s="46">
        <f>DSUM($B$60:$Y$78,Y$60,$C$85:$D94)</f>
        <v>3.7216771353503777</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0" t="s">
        <v>60</v>
      </c>
      <c r="C95" s="115" t="s">
        <v>280</v>
      </c>
      <c r="D95" s="115" t="s">
        <v>281</v>
      </c>
      <c r="E95" s="46">
        <f>DSUM($B$60:$Y$78,E$60,$C$85:$D95)</f>
        <v>0.90512381254678631</v>
      </c>
      <c r="F95" s="46">
        <f>DSUM($B$60:$Y$78,F$60,$C$85:$D95)</f>
        <v>0.64789075073111102</v>
      </c>
      <c r="G95" s="46">
        <f>DSUM($B$60:$Y$78,G$60,$C$85:$D95)</f>
        <v>0.45613631046977859</v>
      </c>
      <c r="H95" s="46">
        <f>DSUM($B$60:$Y$78,H$60,$C$85:$D95)</f>
        <v>0.36057724159186788</v>
      </c>
      <c r="I95" s="46">
        <f>DSUM($B$60:$Y$78,I$60,$C$85:$D95)</f>
        <v>0.32023292091043759</v>
      </c>
      <c r="J95" s="46">
        <f>DSUM($B$60:$Y$78,J$60,$C$85:$D95)</f>
        <v>0.27983232447748718</v>
      </c>
      <c r="K95" s="46">
        <f>DSUM($B$60:$Y$78,K$60,$C$85:$D95)</f>
        <v>0.24208839104780708</v>
      </c>
      <c r="L95" s="46">
        <f>DSUM($B$60:$Y$78,L$60,$C$85:$D95)</f>
        <v>0.20770549797169885</v>
      </c>
      <c r="M95" s="46">
        <f>DSUM($B$60:$Y$78,M$60,$C$85:$D95)</f>
        <v>0.17698829464129728</v>
      </c>
      <c r="N95" s="46">
        <f>DSUM($B$60:$Y$78,N$60,$C$85:$D95)</f>
        <v>0.15003980281690857</v>
      </c>
      <c r="O95" s="46">
        <f>DSUM($B$60:$Y$78,O$60,$C$85:$D95)</f>
        <v>0.12655955170217753</v>
      </c>
      <c r="P95" s="46">
        <f>DSUM($B$60:$Y$78,P$60,$C$85:$D95)</f>
        <v>9.9795028046079925E-2</v>
      </c>
      <c r="Q95" s="46">
        <f>DSUM($B$60:$Y$78,Q$60,$C$85:$D95)</f>
        <v>7.8853154819466392E-2</v>
      </c>
      <c r="R95" s="46">
        <f>DSUM($B$60:$Y$78,R$60,$C$85:$D95)</f>
        <v>6.2364661065632265E-2</v>
      </c>
      <c r="S95" s="46">
        <f>DSUM($B$60:$Y$78,S$60,$C$85:$D95)</f>
        <v>4.9254324133176541E-2</v>
      </c>
      <c r="T95" s="46">
        <f>DSUM($B$60:$Y$78,T$60,$C$85:$D95)</f>
        <v>3.8930996215934904E-2</v>
      </c>
      <c r="U95" s="46">
        <f>DSUM($B$60:$Y$78,U$60,$C$85:$D95)</f>
        <v>3.0732753891564393E-2</v>
      </c>
      <c r="V95" s="46">
        <f>DSUM($B$60:$Y$78,V$60,$C$85:$D95)</f>
        <v>2.4251643827333799E-2</v>
      </c>
      <c r="W95" s="46">
        <f>DSUM($B$60:$Y$78,W$60,$C$85:$D95)</f>
        <v>1.911873024325637E-2</v>
      </c>
      <c r="X95" s="46">
        <f>DSUM($B$60:$Y$78,X$60,$C$85:$D95)</f>
        <v>1.505962594685218E-2</v>
      </c>
      <c r="Y95" s="46">
        <f>DSUM($B$60:$Y$78,Y$60,$C$85:$D95)</f>
        <v>3.7216771353503777</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0" t="s">
        <v>61</v>
      </c>
      <c r="C96" s="115" t="s">
        <v>282</v>
      </c>
      <c r="D96" s="115" t="s">
        <v>283</v>
      </c>
      <c r="E96" s="46">
        <f>DSUM($B$60:$Y$78,E$60,$C$85:$D96)</f>
        <v>0.90512381254678631</v>
      </c>
      <c r="F96" s="46">
        <f>DSUM($B$60:$Y$78,F$60,$C$85:$D96)</f>
        <v>0.64789075073111102</v>
      </c>
      <c r="G96" s="46">
        <f>DSUM($B$60:$Y$78,G$60,$C$85:$D96)</f>
        <v>0.45613631046977859</v>
      </c>
      <c r="H96" s="46">
        <f>DSUM($B$60:$Y$78,H$60,$C$85:$D96)</f>
        <v>0.36057724159186788</v>
      </c>
      <c r="I96" s="46">
        <f>DSUM($B$60:$Y$78,I$60,$C$85:$D96)</f>
        <v>0.32023292091043759</v>
      </c>
      <c r="J96" s="46">
        <f>DSUM($B$60:$Y$78,J$60,$C$85:$D96)</f>
        <v>0.27983232447748718</v>
      </c>
      <c r="K96" s="46">
        <f>DSUM($B$60:$Y$78,K$60,$C$85:$D96)</f>
        <v>0.24208839104780708</v>
      </c>
      <c r="L96" s="46">
        <f>DSUM($B$60:$Y$78,L$60,$C$85:$D96)</f>
        <v>0.20770549797169885</v>
      </c>
      <c r="M96" s="46">
        <f>DSUM($B$60:$Y$78,M$60,$C$85:$D96)</f>
        <v>0.17698829464129728</v>
      </c>
      <c r="N96" s="46">
        <f>DSUM($B$60:$Y$78,N$60,$C$85:$D96)</f>
        <v>0.15003980281690857</v>
      </c>
      <c r="O96" s="46">
        <f>DSUM($B$60:$Y$78,O$60,$C$85:$D96)</f>
        <v>0.12655955170217753</v>
      </c>
      <c r="P96" s="46">
        <f>DSUM($B$60:$Y$78,P$60,$C$85:$D96)</f>
        <v>9.9795028046079925E-2</v>
      </c>
      <c r="Q96" s="46">
        <f>DSUM($B$60:$Y$78,Q$60,$C$85:$D96)</f>
        <v>7.8853154819466392E-2</v>
      </c>
      <c r="R96" s="46">
        <f>DSUM($B$60:$Y$78,R$60,$C$85:$D96)</f>
        <v>6.2364661065632265E-2</v>
      </c>
      <c r="S96" s="46">
        <f>DSUM($B$60:$Y$78,S$60,$C$85:$D96)</f>
        <v>4.9254324133176541E-2</v>
      </c>
      <c r="T96" s="46">
        <f>DSUM($B$60:$Y$78,T$60,$C$85:$D96)</f>
        <v>3.8930996215934904E-2</v>
      </c>
      <c r="U96" s="46">
        <f>DSUM($B$60:$Y$78,U$60,$C$85:$D96)</f>
        <v>3.0732753891564393E-2</v>
      </c>
      <c r="V96" s="46">
        <f>DSUM($B$60:$Y$78,V$60,$C$85:$D96)</f>
        <v>2.4251643827333799E-2</v>
      </c>
      <c r="W96" s="46">
        <f>DSUM($B$60:$Y$78,W$60,$C$85:$D96)</f>
        <v>1.911873024325637E-2</v>
      </c>
      <c r="X96" s="46">
        <f>DSUM($B$60:$Y$78,X$60,$C$85:$D96)</f>
        <v>1.505962594685218E-2</v>
      </c>
      <c r="Y96" s="46">
        <f>DSUM($B$60:$Y$78,Y$60,$C$85:$D96)</f>
        <v>3.7216771353503777</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0" t="s">
        <v>62</v>
      </c>
      <c r="C97" s="115" t="s">
        <v>284</v>
      </c>
      <c r="D97" s="115" t="s">
        <v>285</v>
      </c>
      <c r="E97" s="46">
        <f>DSUM($B$60:$Y$78,E$60,$C$85:$D97)</f>
        <v>0.90512381254678631</v>
      </c>
      <c r="F97" s="46">
        <f>DSUM($B$60:$Y$78,F$60,$C$85:$D97)</f>
        <v>0.64789075073111102</v>
      </c>
      <c r="G97" s="46">
        <f>DSUM($B$60:$Y$78,G$60,$C$85:$D97)</f>
        <v>0.45613631046977859</v>
      </c>
      <c r="H97" s="46">
        <f>DSUM($B$60:$Y$78,H$60,$C$85:$D97)</f>
        <v>0.36057724159186788</v>
      </c>
      <c r="I97" s="46">
        <f>DSUM($B$60:$Y$78,I$60,$C$85:$D97)</f>
        <v>0.32023292091043759</v>
      </c>
      <c r="J97" s="46">
        <f>DSUM($B$60:$Y$78,J$60,$C$85:$D97)</f>
        <v>0.27983232447748718</v>
      </c>
      <c r="K97" s="46">
        <f>DSUM($B$60:$Y$78,K$60,$C$85:$D97)</f>
        <v>0.24208839104780708</v>
      </c>
      <c r="L97" s="46">
        <f>DSUM($B$60:$Y$78,L$60,$C$85:$D97)</f>
        <v>0.20770549797169885</v>
      </c>
      <c r="M97" s="46">
        <f>DSUM($B$60:$Y$78,M$60,$C$85:$D97)</f>
        <v>0.17698829464129728</v>
      </c>
      <c r="N97" s="46">
        <f>DSUM($B$60:$Y$78,N$60,$C$85:$D97)</f>
        <v>0.15003980281690857</v>
      </c>
      <c r="O97" s="46">
        <f>DSUM($B$60:$Y$78,O$60,$C$85:$D97)</f>
        <v>0.12655955170217753</v>
      </c>
      <c r="P97" s="46">
        <f>DSUM($B$60:$Y$78,P$60,$C$85:$D97)</f>
        <v>9.9795028046079925E-2</v>
      </c>
      <c r="Q97" s="46">
        <f>DSUM($B$60:$Y$78,Q$60,$C$85:$D97)</f>
        <v>7.8853154819466392E-2</v>
      </c>
      <c r="R97" s="46">
        <f>DSUM($B$60:$Y$78,R$60,$C$85:$D97)</f>
        <v>6.2364661065632265E-2</v>
      </c>
      <c r="S97" s="46">
        <f>DSUM($B$60:$Y$78,S$60,$C$85:$D97)</f>
        <v>4.9254324133176541E-2</v>
      </c>
      <c r="T97" s="46">
        <f>DSUM($B$60:$Y$78,T$60,$C$85:$D97)</f>
        <v>3.8930996215934904E-2</v>
      </c>
      <c r="U97" s="46">
        <f>DSUM($B$60:$Y$78,U$60,$C$85:$D97)</f>
        <v>3.0732753891564393E-2</v>
      </c>
      <c r="V97" s="46">
        <f>DSUM($B$60:$Y$78,V$60,$C$85:$D97)</f>
        <v>2.4251643827333799E-2</v>
      </c>
      <c r="W97" s="46">
        <f>DSUM($B$60:$Y$78,W$60,$C$85:$D97)</f>
        <v>1.911873024325637E-2</v>
      </c>
      <c r="X97" s="46">
        <f>DSUM($B$60:$Y$78,X$60,$C$85:$D97)</f>
        <v>1.505962594685218E-2</v>
      </c>
      <c r="Y97" s="46">
        <f>DSUM($B$60:$Y$78,Y$60,$C$85:$D97)</f>
        <v>3.7216771353503777</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0" t="s">
        <v>63</v>
      </c>
      <c r="C98" s="115" t="s">
        <v>286</v>
      </c>
      <c r="D98" s="115" t="s">
        <v>287</v>
      </c>
      <c r="E98" s="46">
        <f>DSUM($B$60:$Y$78,E$60,$C$85:$D98)</f>
        <v>0.90512381254678631</v>
      </c>
      <c r="F98" s="46">
        <f>DSUM($B$60:$Y$78,F$60,$C$85:$D98)</f>
        <v>0.64789075073111102</v>
      </c>
      <c r="G98" s="46">
        <f>DSUM($B$60:$Y$78,G$60,$C$85:$D98)</f>
        <v>0.45613631046977859</v>
      </c>
      <c r="H98" s="46">
        <f>DSUM($B$60:$Y$78,H$60,$C$85:$D98)</f>
        <v>0.36057724159186788</v>
      </c>
      <c r="I98" s="46">
        <f>DSUM($B$60:$Y$78,I$60,$C$85:$D98)</f>
        <v>0.32023292091043759</v>
      </c>
      <c r="J98" s="46">
        <f>DSUM($B$60:$Y$78,J$60,$C$85:$D98)</f>
        <v>0.27983232447748718</v>
      </c>
      <c r="K98" s="46">
        <f>DSUM($B$60:$Y$78,K$60,$C$85:$D98)</f>
        <v>0.24208839104780708</v>
      </c>
      <c r="L98" s="46">
        <f>DSUM($B$60:$Y$78,L$60,$C$85:$D98)</f>
        <v>0.20770549797169885</v>
      </c>
      <c r="M98" s="46">
        <f>DSUM($B$60:$Y$78,M$60,$C$85:$D98)</f>
        <v>0.17698829464129728</v>
      </c>
      <c r="N98" s="46">
        <f>DSUM($B$60:$Y$78,N$60,$C$85:$D98)</f>
        <v>0.15003980281690857</v>
      </c>
      <c r="O98" s="46">
        <f>DSUM($B$60:$Y$78,O$60,$C$85:$D98)</f>
        <v>0.12655955170217753</v>
      </c>
      <c r="P98" s="46">
        <f>DSUM($B$60:$Y$78,P$60,$C$85:$D98)</f>
        <v>9.9795028046079925E-2</v>
      </c>
      <c r="Q98" s="46">
        <f>DSUM($B$60:$Y$78,Q$60,$C$85:$D98)</f>
        <v>7.8853154819466392E-2</v>
      </c>
      <c r="R98" s="46">
        <f>DSUM($B$60:$Y$78,R$60,$C$85:$D98)</f>
        <v>6.2364661065632265E-2</v>
      </c>
      <c r="S98" s="46">
        <f>DSUM($B$60:$Y$78,S$60,$C$85:$D98)</f>
        <v>4.9254324133176541E-2</v>
      </c>
      <c r="T98" s="46">
        <f>DSUM($B$60:$Y$78,T$60,$C$85:$D98)</f>
        <v>3.8930996215934904E-2</v>
      </c>
      <c r="U98" s="46">
        <f>DSUM($B$60:$Y$78,U$60,$C$85:$D98)</f>
        <v>3.0732753891564393E-2</v>
      </c>
      <c r="V98" s="46">
        <f>DSUM($B$60:$Y$78,V$60,$C$85:$D98)</f>
        <v>2.4251643827333799E-2</v>
      </c>
      <c r="W98" s="46">
        <f>DSUM($B$60:$Y$78,W$60,$C$85:$D98)</f>
        <v>1.911873024325637E-2</v>
      </c>
      <c r="X98" s="46">
        <f>DSUM($B$60:$Y$78,X$60,$C$85:$D98)</f>
        <v>1.505962594685218E-2</v>
      </c>
      <c r="Y98" s="46">
        <f>DSUM($B$60:$Y$78,Y$60,$C$85:$D98)</f>
        <v>3.7216771353503777</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0" t="s">
        <v>64</v>
      </c>
      <c r="C99" s="115" t="s">
        <v>288</v>
      </c>
      <c r="D99" s="115" t="s">
        <v>289</v>
      </c>
      <c r="E99" s="46">
        <f>DSUM($B$60:$Y$78,E$60,$C$85:$D99)</f>
        <v>0.90512381254678631</v>
      </c>
      <c r="F99" s="46">
        <f>DSUM($B$60:$Y$78,F$60,$C$85:$D99)</f>
        <v>0.64789075073111102</v>
      </c>
      <c r="G99" s="46">
        <f>DSUM($B$60:$Y$78,G$60,$C$85:$D99)</f>
        <v>0.45613631046977859</v>
      </c>
      <c r="H99" s="46">
        <f>DSUM($B$60:$Y$78,H$60,$C$85:$D99)</f>
        <v>0.36057724159186788</v>
      </c>
      <c r="I99" s="46">
        <f>DSUM($B$60:$Y$78,I$60,$C$85:$D99)</f>
        <v>0.32023292091043759</v>
      </c>
      <c r="J99" s="46">
        <f>DSUM($B$60:$Y$78,J$60,$C$85:$D99)</f>
        <v>0.27983232447748718</v>
      </c>
      <c r="K99" s="46">
        <f>DSUM($B$60:$Y$78,K$60,$C$85:$D99)</f>
        <v>0.24208839104780708</v>
      </c>
      <c r="L99" s="46">
        <f>DSUM($B$60:$Y$78,L$60,$C$85:$D99)</f>
        <v>0.20770549797169885</v>
      </c>
      <c r="M99" s="46">
        <f>DSUM($B$60:$Y$78,M$60,$C$85:$D99)</f>
        <v>0.17698829464129728</v>
      </c>
      <c r="N99" s="46">
        <f>DSUM($B$60:$Y$78,N$60,$C$85:$D99)</f>
        <v>0.15003980281690857</v>
      </c>
      <c r="O99" s="46">
        <f>DSUM($B$60:$Y$78,O$60,$C$85:$D99)</f>
        <v>0.12655955170217753</v>
      </c>
      <c r="P99" s="46">
        <f>DSUM($B$60:$Y$78,P$60,$C$85:$D99)</f>
        <v>9.9795028046079925E-2</v>
      </c>
      <c r="Q99" s="46">
        <f>DSUM($B$60:$Y$78,Q$60,$C$85:$D99)</f>
        <v>7.8853154819466392E-2</v>
      </c>
      <c r="R99" s="46">
        <f>DSUM($B$60:$Y$78,R$60,$C$85:$D99)</f>
        <v>6.2364661065632265E-2</v>
      </c>
      <c r="S99" s="46">
        <f>DSUM($B$60:$Y$78,S$60,$C$85:$D99)</f>
        <v>4.9254324133176541E-2</v>
      </c>
      <c r="T99" s="46">
        <f>DSUM($B$60:$Y$78,T$60,$C$85:$D99)</f>
        <v>3.8930996215934904E-2</v>
      </c>
      <c r="U99" s="46">
        <f>DSUM($B$60:$Y$78,U$60,$C$85:$D99)</f>
        <v>3.0732753891564393E-2</v>
      </c>
      <c r="V99" s="46">
        <f>DSUM($B$60:$Y$78,V$60,$C$85:$D99)</f>
        <v>2.4251643827333799E-2</v>
      </c>
      <c r="W99" s="46">
        <f>DSUM($B$60:$Y$78,W$60,$C$85:$D99)</f>
        <v>1.911873024325637E-2</v>
      </c>
      <c r="X99" s="46">
        <f>DSUM($B$60:$Y$78,X$60,$C$85:$D99)</f>
        <v>1.505962594685218E-2</v>
      </c>
      <c r="Y99" s="46">
        <f>DSUM($B$60:$Y$78,Y$60,$C$85:$D99)</f>
        <v>3.7216771353503777</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0" t="s">
        <v>65</v>
      </c>
      <c r="C100" s="115" t="s">
        <v>290</v>
      </c>
      <c r="D100" s="115" t="s">
        <v>291</v>
      </c>
      <c r="E100" s="46">
        <f>DSUM($B$60:$Y$78,E$60,$C$85:$D100)</f>
        <v>0.90512381254678631</v>
      </c>
      <c r="F100" s="46">
        <f>DSUM($B$60:$Y$78,F$60,$C$85:$D100)</f>
        <v>0.64789075073111102</v>
      </c>
      <c r="G100" s="46">
        <f>DSUM($B$60:$Y$78,G$60,$C$85:$D100)</f>
        <v>0.45613631046977859</v>
      </c>
      <c r="H100" s="46">
        <f>DSUM($B$60:$Y$78,H$60,$C$85:$D100)</f>
        <v>0.36057724159186788</v>
      </c>
      <c r="I100" s="46">
        <f>DSUM($B$60:$Y$78,I$60,$C$85:$D100)</f>
        <v>0.32023292091043759</v>
      </c>
      <c r="J100" s="46">
        <f>DSUM($B$60:$Y$78,J$60,$C$85:$D100)</f>
        <v>0.27983232447748718</v>
      </c>
      <c r="K100" s="46">
        <f>DSUM($B$60:$Y$78,K$60,$C$85:$D100)</f>
        <v>0.24208839104780708</v>
      </c>
      <c r="L100" s="46">
        <f>DSUM($B$60:$Y$78,L$60,$C$85:$D100)</f>
        <v>0.20770549797169885</v>
      </c>
      <c r="M100" s="46">
        <f>DSUM($B$60:$Y$78,M$60,$C$85:$D100)</f>
        <v>0.17698829464129728</v>
      </c>
      <c r="N100" s="46">
        <f>DSUM($B$60:$Y$78,N$60,$C$85:$D100)</f>
        <v>0.15003980281690857</v>
      </c>
      <c r="O100" s="46">
        <f>DSUM($B$60:$Y$78,O$60,$C$85:$D100)</f>
        <v>0.12655955170217753</v>
      </c>
      <c r="P100" s="46">
        <f>DSUM($B$60:$Y$78,P$60,$C$85:$D100)</f>
        <v>9.9795028046079925E-2</v>
      </c>
      <c r="Q100" s="46">
        <f>DSUM($B$60:$Y$78,Q$60,$C$85:$D100)</f>
        <v>7.8853154819466392E-2</v>
      </c>
      <c r="R100" s="46">
        <f>DSUM($B$60:$Y$78,R$60,$C$85:$D100)</f>
        <v>6.2364661065632265E-2</v>
      </c>
      <c r="S100" s="46">
        <f>DSUM($B$60:$Y$78,S$60,$C$85:$D100)</f>
        <v>4.9254324133176541E-2</v>
      </c>
      <c r="T100" s="46">
        <f>DSUM($B$60:$Y$78,T$60,$C$85:$D100)</f>
        <v>3.8930996215934904E-2</v>
      </c>
      <c r="U100" s="46">
        <f>DSUM($B$60:$Y$78,U$60,$C$85:$D100)</f>
        <v>3.0732753891564393E-2</v>
      </c>
      <c r="V100" s="46">
        <f>DSUM($B$60:$Y$78,V$60,$C$85:$D100)</f>
        <v>2.4251643827333799E-2</v>
      </c>
      <c r="W100" s="46">
        <f>DSUM($B$60:$Y$78,W$60,$C$85:$D100)</f>
        <v>1.911873024325637E-2</v>
      </c>
      <c r="X100" s="46">
        <f>DSUM($B$60:$Y$78,X$60,$C$85:$D100)</f>
        <v>1.505962594685218E-2</v>
      </c>
      <c r="Y100" s="46">
        <f>DSUM($B$60:$Y$78,Y$60,$C$85:$D100)</f>
        <v>3.7216771353503777</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0" t="s">
        <v>66</v>
      </c>
      <c r="C101" s="115" t="s">
        <v>292</v>
      </c>
      <c r="D101" s="115" t="s">
        <v>293</v>
      </c>
      <c r="E101" s="46">
        <f>DSUM($B$60:$Y$78,E$60,$C$85:$D101)</f>
        <v>0.90512381254678631</v>
      </c>
      <c r="F101" s="46">
        <f>DSUM($B$60:$Y$78,F$60,$C$85:$D101)</f>
        <v>0.64789075073111102</v>
      </c>
      <c r="G101" s="46">
        <f>DSUM($B$60:$Y$78,G$60,$C$85:$D101)</f>
        <v>0.45613631046977859</v>
      </c>
      <c r="H101" s="46">
        <f>DSUM($B$60:$Y$78,H$60,$C$85:$D101)</f>
        <v>0.36057724159186788</v>
      </c>
      <c r="I101" s="46">
        <f>DSUM($B$60:$Y$78,I$60,$C$85:$D101)</f>
        <v>0.32023292091043759</v>
      </c>
      <c r="J101" s="46">
        <f>DSUM($B$60:$Y$78,J$60,$C$85:$D101)</f>
        <v>0.27983232447748718</v>
      </c>
      <c r="K101" s="46">
        <f>DSUM($B$60:$Y$78,K$60,$C$85:$D101)</f>
        <v>0.24208839104780708</v>
      </c>
      <c r="L101" s="46">
        <f>DSUM($B$60:$Y$78,L$60,$C$85:$D101)</f>
        <v>0.20770549797169885</v>
      </c>
      <c r="M101" s="46">
        <f>DSUM($B$60:$Y$78,M$60,$C$85:$D101)</f>
        <v>0.17698829464129728</v>
      </c>
      <c r="N101" s="46">
        <f>DSUM($B$60:$Y$78,N$60,$C$85:$D101)</f>
        <v>0.15003980281690857</v>
      </c>
      <c r="O101" s="46">
        <f>DSUM($B$60:$Y$78,O$60,$C$85:$D101)</f>
        <v>0.12655955170217753</v>
      </c>
      <c r="P101" s="46">
        <f>DSUM($B$60:$Y$78,P$60,$C$85:$D101)</f>
        <v>9.9795028046079925E-2</v>
      </c>
      <c r="Q101" s="46">
        <f>DSUM($B$60:$Y$78,Q$60,$C$85:$D101)</f>
        <v>7.8853154819466392E-2</v>
      </c>
      <c r="R101" s="46">
        <f>DSUM($B$60:$Y$78,R$60,$C$85:$D101)</f>
        <v>6.2364661065632265E-2</v>
      </c>
      <c r="S101" s="46">
        <f>DSUM($B$60:$Y$78,S$60,$C$85:$D101)</f>
        <v>4.9254324133176541E-2</v>
      </c>
      <c r="T101" s="46">
        <f>DSUM($B$60:$Y$78,T$60,$C$85:$D101)</f>
        <v>3.8930996215934904E-2</v>
      </c>
      <c r="U101" s="46">
        <f>DSUM($B$60:$Y$78,U$60,$C$85:$D101)</f>
        <v>3.0732753891564393E-2</v>
      </c>
      <c r="V101" s="46">
        <f>DSUM($B$60:$Y$78,V$60,$C$85:$D101)</f>
        <v>2.4251643827333799E-2</v>
      </c>
      <c r="W101" s="46">
        <f>DSUM($B$60:$Y$78,W$60,$C$85:$D101)</f>
        <v>1.911873024325637E-2</v>
      </c>
      <c r="X101" s="46">
        <f>DSUM($B$60:$Y$78,X$60,$C$85:$D101)</f>
        <v>1.505962594685218E-2</v>
      </c>
      <c r="Y101" s="46">
        <f>DSUM($B$60:$Y$78,Y$60,$C$85:$D101)</f>
        <v>3.7216771353503777</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0" t="s">
        <v>67</v>
      </c>
      <c r="C102" s="115" t="s">
        <v>294</v>
      </c>
      <c r="D102" s="115" t="s">
        <v>295</v>
      </c>
      <c r="E102" s="46">
        <f>DSUM($B$60:$Y$78,E$60,$C$85:$D102)</f>
        <v>0.90512381254678631</v>
      </c>
      <c r="F102" s="46">
        <f>DSUM($B$60:$Y$78,F$60,$C$85:$D102)</f>
        <v>0.64789075073111102</v>
      </c>
      <c r="G102" s="46">
        <f>DSUM($B$60:$Y$78,G$60,$C$85:$D102)</f>
        <v>0.45613631046977859</v>
      </c>
      <c r="H102" s="46">
        <f>DSUM($B$60:$Y$78,H$60,$C$85:$D102)</f>
        <v>0.36057724159186788</v>
      </c>
      <c r="I102" s="46">
        <f>DSUM($B$60:$Y$78,I$60,$C$85:$D102)</f>
        <v>0.32023292091043759</v>
      </c>
      <c r="J102" s="46">
        <f>DSUM($B$60:$Y$78,J$60,$C$85:$D102)</f>
        <v>0.27983232447748718</v>
      </c>
      <c r="K102" s="46">
        <f>DSUM($B$60:$Y$78,K$60,$C$85:$D102)</f>
        <v>0.24208839104780708</v>
      </c>
      <c r="L102" s="46">
        <f>DSUM($B$60:$Y$78,L$60,$C$85:$D102)</f>
        <v>0.20770549797169885</v>
      </c>
      <c r="M102" s="46">
        <f>DSUM($B$60:$Y$78,M$60,$C$85:$D102)</f>
        <v>0.17698829464129728</v>
      </c>
      <c r="N102" s="46">
        <f>DSUM($B$60:$Y$78,N$60,$C$85:$D102)</f>
        <v>0.15003980281690857</v>
      </c>
      <c r="O102" s="46">
        <f>DSUM($B$60:$Y$78,O$60,$C$85:$D102)</f>
        <v>0.12655955170217753</v>
      </c>
      <c r="P102" s="46">
        <f>DSUM($B$60:$Y$78,P$60,$C$85:$D102)</f>
        <v>9.9795028046079925E-2</v>
      </c>
      <c r="Q102" s="46">
        <f>DSUM($B$60:$Y$78,Q$60,$C$85:$D102)</f>
        <v>7.8853154819466392E-2</v>
      </c>
      <c r="R102" s="46">
        <f>DSUM($B$60:$Y$78,R$60,$C$85:$D102)</f>
        <v>6.2364661065632265E-2</v>
      </c>
      <c r="S102" s="46">
        <f>DSUM($B$60:$Y$78,S$60,$C$85:$D102)</f>
        <v>4.9254324133176541E-2</v>
      </c>
      <c r="T102" s="46">
        <f>DSUM($B$60:$Y$78,T$60,$C$85:$D102)</f>
        <v>3.8930996215934904E-2</v>
      </c>
      <c r="U102" s="46">
        <f>DSUM($B$60:$Y$78,U$60,$C$85:$D102)</f>
        <v>3.0732753891564393E-2</v>
      </c>
      <c r="V102" s="46">
        <f>DSUM($B$60:$Y$78,V$60,$C$85:$D102)</f>
        <v>2.4251643827333799E-2</v>
      </c>
      <c r="W102" s="46">
        <f>DSUM($B$60:$Y$78,W$60,$C$85:$D102)</f>
        <v>1.911873024325637E-2</v>
      </c>
      <c r="X102" s="46">
        <f>DSUM($B$60:$Y$78,X$60,$C$85:$D102)</f>
        <v>1.505962594685218E-2</v>
      </c>
      <c r="Y102" s="46">
        <f>DSUM($B$60:$Y$78,Y$60,$C$85:$D102)</f>
        <v>3.7216771353503777</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0" t="s">
        <v>68</v>
      </c>
      <c r="C103" s="115" t="s">
        <v>296</v>
      </c>
      <c r="D103" s="115" t="s">
        <v>297</v>
      </c>
      <c r="E103" s="46">
        <f>DSUM($B$60:$Y$78,E$60,$C$85:$D103)</f>
        <v>0.90512381254678631</v>
      </c>
      <c r="F103" s="46">
        <f>DSUM($B$60:$Y$78,F$60,$C$85:$D103)</f>
        <v>0.64789075073111102</v>
      </c>
      <c r="G103" s="46">
        <f>DSUM($B$60:$Y$78,G$60,$C$85:$D103)</f>
        <v>0.45613631046977859</v>
      </c>
      <c r="H103" s="46">
        <f>DSUM($B$60:$Y$78,H$60,$C$85:$D103)</f>
        <v>0.36057724159186788</v>
      </c>
      <c r="I103" s="46">
        <f>DSUM($B$60:$Y$78,I$60,$C$85:$D103)</f>
        <v>0.32023292091043759</v>
      </c>
      <c r="J103" s="46">
        <f>DSUM($B$60:$Y$78,J$60,$C$85:$D103)</f>
        <v>0.27983232447748718</v>
      </c>
      <c r="K103" s="46">
        <f>DSUM($B$60:$Y$78,K$60,$C$85:$D103)</f>
        <v>0.24208839104780708</v>
      </c>
      <c r="L103" s="46">
        <f>DSUM($B$60:$Y$78,L$60,$C$85:$D103)</f>
        <v>0.20770549797169885</v>
      </c>
      <c r="M103" s="46">
        <f>DSUM($B$60:$Y$78,M$60,$C$85:$D103)</f>
        <v>0.17698829464129728</v>
      </c>
      <c r="N103" s="46">
        <f>DSUM($B$60:$Y$78,N$60,$C$85:$D103)</f>
        <v>0.15003980281690857</v>
      </c>
      <c r="O103" s="46">
        <f>DSUM($B$60:$Y$78,O$60,$C$85:$D103)</f>
        <v>0.12655955170217753</v>
      </c>
      <c r="P103" s="46">
        <f>DSUM($B$60:$Y$78,P$60,$C$85:$D103)</f>
        <v>9.9795028046079925E-2</v>
      </c>
      <c r="Q103" s="46">
        <f>DSUM($B$60:$Y$78,Q$60,$C$85:$D103)</f>
        <v>7.8853154819466392E-2</v>
      </c>
      <c r="R103" s="46">
        <f>DSUM($B$60:$Y$78,R$60,$C$85:$D103)</f>
        <v>6.2364661065632265E-2</v>
      </c>
      <c r="S103" s="46">
        <f>DSUM($B$60:$Y$78,S$60,$C$85:$D103)</f>
        <v>4.9254324133176541E-2</v>
      </c>
      <c r="T103" s="46">
        <f>DSUM($B$60:$Y$78,T$60,$C$85:$D103)</f>
        <v>3.8930996215934904E-2</v>
      </c>
      <c r="U103" s="46">
        <f>DSUM($B$60:$Y$78,U$60,$C$85:$D103)</f>
        <v>3.0732753891564393E-2</v>
      </c>
      <c r="V103" s="46">
        <f>DSUM($B$60:$Y$78,V$60,$C$85:$D103)</f>
        <v>2.4251643827333799E-2</v>
      </c>
      <c r="W103" s="46">
        <f>DSUM($B$60:$Y$78,W$60,$C$85:$D103)</f>
        <v>1.911873024325637E-2</v>
      </c>
      <c r="X103" s="46">
        <f>DSUM($B$60:$Y$78,X$60,$C$85:$D103)</f>
        <v>1.505962594685218E-2</v>
      </c>
      <c r="Y103" s="46">
        <f>DSUM($B$60:$Y$78,Y$60,$C$85:$D103)</f>
        <v>3.7216771353503777</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0" t="s">
        <v>69</v>
      </c>
      <c r="C104" s="115" t="s">
        <v>298</v>
      </c>
      <c r="D104" s="115" t="s">
        <v>299</v>
      </c>
      <c r="E104" s="46">
        <f>DSUM($B$60:$Y$78,E$60,$C$85:$D104)</f>
        <v>0.90512381254678631</v>
      </c>
      <c r="F104" s="46">
        <f>DSUM($B$60:$Y$78,F$60,$C$85:$D104)</f>
        <v>0.64789075073111102</v>
      </c>
      <c r="G104" s="46">
        <f>DSUM($B$60:$Y$78,G$60,$C$85:$D104)</f>
        <v>0.45613631046977859</v>
      </c>
      <c r="H104" s="46">
        <f>DSUM($B$60:$Y$78,H$60,$C$85:$D104)</f>
        <v>0.36057724159186788</v>
      </c>
      <c r="I104" s="46">
        <f>DSUM($B$60:$Y$78,I$60,$C$85:$D104)</f>
        <v>0.32023292091043759</v>
      </c>
      <c r="J104" s="46">
        <f>DSUM($B$60:$Y$78,J$60,$C$85:$D104)</f>
        <v>0.27983232447748718</v>
      </c>
      <c r="K104" s="46">
        <f>DSUM($B$60:$Y$78,K$60,$C$85:$D104)</f>
        <v>0.24208839104780708</v>
      </c>
      <c r="L104" s="46">
        <f>DSUM($B$60:$Y$78,L$60,$C$85:$D104)</f>
        <v>0.20770549797169885</v>
      </c>
      <c r="M104" s="46">
        <f>DSUM($B$60:$Y$78,M$60,$C$85:$D104)</f>
        <v>0.17698829464129728</v>
      </c>
      <c r="N104" s="46">
        <f>DSUM($B$60:$Y$78,N$60,$C$85:$D104)</f>
        <v>0.15003980281690857</v>
      </c>
      <c r="O104" s="46">
        <f>DSUM($B$60:$Y$78,O$60,$C$85:$D104)</f>
        <v>0.12655955170217753</v>
      </c>
      <c r="P104" s="46">
        <f>DSUM($B$60:$Y$78,P$60,$C$85:$D104)</f>
        <v>9.9795028046079925E-2</v>
      </c>
      <c r="Q104" s="46">
        <f>DSUM($B$60:$Y$78,Q$60,$C$85:$D104)</f>
        <v>7.8853154819466392E-2</v>
      </c>
      <c r="R104" s="46">
        <f>DSUM($B$60:$Y$78,R$60,$C$85:$D104)</f>
        <v>6.2364661065632265E-2</v>
      </c>
      <c r="S104" s="46">
        <f>DSUM($B$60:$Y$78,S$60,$C$85:$D104)</f>
        <v>4.9254324133176541E-2</v>
      </c>
      <c r="T104" s="46">
        <f>DSUM($B$60:$Y$78,T$60,$C$85:$D104)</f>
        <v>3.8930996215934904E-2</v>
      </c>
      <c r="U104" s="46">
        <f>DSUM($B$60:$Y$78,U$60,$C$85:$D104)</f>
        <v>3.0732753891564393E-2</v>
      </c>
      <c r="V104" s="46">
        <f>DSUM($B$60:$Y$78,V$60,$C$85:$D104)</f>
        <v>2.4251643827333799E-2</v>
      </c>
      <c r="W104" s="46">
        <f>DSUM($B$60:$Y$78,W$60,$C$85:$D104)</f>
        <v>1.911873024325637E-2</v>
      </c>
      <c r="X104" s="46">
        <f>DSUM($B$60:$Y$78,X$60,$C$85:$D104)</f>
        <v>1.505962594685218E-2</v>
      </c>
      <c r="Y104" s="46">
        <f>DSUM($B$60:$Y$78,Y$60,$C$85:$D104)</f>
        <v>3.7216771353503777</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0" t="s">
        <v>70</v>
      </c>
      <c r="C105" s="115" t="s">
        <v>300</v>
      </c>
      <c r="D105" s="115" t="s">
        <v>301</v>
      </c>
      <c r="E105" s="46">
        <f>DSUM($B$60:$Y$78,E$60,$C$85:$D105)</f>
        <v>0.90512381254678631</v>
      </c>
      <c r="F105" s="46">
        <f>DSUM($B$60:$Y$78,F$60,$C$85:$D105)</f>
        <v>0.64789075073111102</v>
      </c>
      <c r="G105" s="46">
        <f>DSUM($B$60:$Y$78,G$60,$C$85:$D105)</f>
        <v>0.45613631046977859</v>
      </c>
      <c r="H105" s="46">
        <f>DSUM($B$60:$Y$78,H$60,$C$85:$D105)</f>
        <v>0.36057724159186788</v>
      </c>
      <c r="I105" s="46">
        <f>DSUM($B$60:$Y$78,I$60,$C$85:$D105)</f>
        <v>0.32023292091043759</v>
      </c>
      <c r="J105" s="46">
        <f>DSUM($B$60:$Y$78,J$60,$C$85:$D105)</f>
        <v>0.27983232447748718</v>
      </c>
      <c r="K105" s="46">
        <f>DSUM($B$60:$Y$78,K$60,$C$85:$D105)</f>
        <v>0.24208839104780708</v>
      </c>
      <c r="L105" s="46">
        <f>DSUM($B$60:$Y$78,L$60,$C$85:$D105)</f>
        <v>0.20770549797169885</v>
      </c>
      <c r="M105" s="46">
        <f>DSUM($B$60:$Y$78,M$60,$C$85:$D105)</f>
        <v>0.17698829464129728</v>
      </c>
      <c r="N105" s="46">
        <f>DSUM($B$60:$Y$78,N$60,$C$85:$D105)</f>
        <v>0.15003980281690857</v>
      </c>
      <c r="O105" s="46">
        <f>DSUM($B$60:$Y$78,O$60,$C$85:$D105)</f>
        <v>0.12655955170217753</v>
      </c>
      <c r="P105" s="46">
        <f>DSUM($B$60:$Y$78,P$60,$C$85:$D105)</f>
        <v>9.9795028046079925E-2</v>
      </c>
      <c r="Q105" s="46">
        <f>DSUM($B$60:$Y$78,Q$60,$C$85:$D105)</f>
        <v>7.8853154819466392E-2</v>
      </c>
      <c r="R105" s="46">
        <f>DSUM($B$60:$Y$78,R$60,$C$85:$D105)</f>
        <v>6.2364661065632265E-2</v>
      </c>
      <c r="S105" s="46">
        <f>DSUM($B$60:$Y$78,S$60,$C$85:$D105)</f>
        <v>4.9254324133176541E-2</v>
      </c>
      <c r="T105" s="46">
        <f>DSUM($B$60:$Y$78,T$60,$C$85:$D105)</f>
        <v>3.8930996215934904E-2</v>
      </c>
      <c r="U105" s="46">
        <f>DSUM($B$60:$Y$78,U$60,$C$85:$D105)</f>
        <v>3.0732753891564393E-2</v>
      </c>
      <c r="V105" s="46">
        <f>DSUM($B$60:$Y$78,V$60,$C$85:$D105)</f>
        <v>2.4251643827333799E-2</v>
      </c>
      <c r="W105" s="46">
        <f>DSUM($B$60:$Y$78,W$60,$C$85:$D105)</f>
        <v>1.911873024325637E-2</v>
      </c>
      <c r="X105" s="46">
        <f>DSUM($B$60:$Y$78,X$60,$C$85:$D105)</f>
        <v>1.505962594685218E-2</v>
      </c>
      <c r="Y105" s="46">
        <f>DSUM($B$60:$Y$78,Y$60,$C$85:$D105)</f>
        <v>3.7216771353503777</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0" t="s">
        <v>71</v>
      </c>
      <c r="C106" s="115" t="s">
        <v>302</v>
      </c>
      <c r="D106" s="115" t="s">
        <v>303</v>
      </c>
      <c r="E106" s="46">
        <f>DSUM($B$60:$Y$78,E$60,$C$85:$D106)</f>
        <v>0.90512381254678631</v>
      </c>
      <c r="F106" s="46">
        <f>DSUM($B$60:$Y$78,F$60,$C$85:$D106)</f>
        <v>0.64789075073111102</v>
      </c>
      <c r="G106" s="46">
        <f>DSUM($B$60:$Y$78,G$60,$C$85:$D106)</f>
        <v>0.45613631046977859</v>
      </c>
      <c r="H106" s="46">
        <f>DSUM($B$60:$Y$78,H$60,$C$85:$D106)</f>
        <v>0.36057724159186788</v>
      </c>
      <c r="I106" s="46">
        <f>DSUM($B$60:$Y$78,I$60,$C$85:$D106)</f>
        <v>0.32023292091043759</v>
      </c>
      <c r="J106" s="46">
        <f>DSUM($B$60:$Y$78,J$60,$C$85:$D106)</f>
        <v>0.27983232447748718</v>
      </c>
      <c r="K106" s="46">
        <f>DSUM($B$60:$Y$78,K$60,$C$85:$D106)</f>
        <v>0.24208839104780708</v>
      </c>
      <c r="L106" s="46">
        <f>DSUM($B$60:$Y$78,L$60,$C$85:$D106)</f>
        <v>0.20770549797169885</v>
      </c>
      <c r="M106" s="46">
        <f>DSUM($B$60:$Y$78,M$60,$C$85:$D106)</f>
        <v>0.17698829464129728</v>
      </c>
      <c r="N106" s="46">
        <f>DSUM($B$60:$Y$78,N$60,$C$85:$D106)</f>
        <v>0.15003980281690857</v>
      </c>
      <c r="O106" s="46">
        <f>DSUM($B$60:$Y$78,O$60,$C$85:$D106)</f>
        <v>0.12655955170217753</v>
      </c>
      <c r="P106" s="46">
        <f>DSUM($B$60:$Y$78,P$60,$C$85:$D106)</f>
        <v>9.9795028046079925E-2</v>
      </c>
      <c r="Q106" s="46">
        <f>DSUM($B$60:$Y$78,Q$60,$C$85:$D106)</f>
        <v>7.8853154819466392E-2</v>
      </c>
      <c r="R106" s="46">
        <f>DSUM($B$60:$Y$78,R$60,$C$85:$D106)</f>
        <v>6.2364661065632265E-2</v>
      </c>
      <c r="S106" s="46">
        <f>DSUM($B$60:$Y$78,S$60,$C$85:$D106)</f>
        <v>4.9254324133176541E-2</v>
      </c>
      <c r="T106" s="46">
        <f>DSUM($B$60:$Y$78,T$60,$C$85:$D106)</f>
        <v>3.8930996215934904E-2</v>
      </c>
      <c r="U106" s="46">
        <f>DSUM($B$60:$Y$78,U$60,$C$85:$D106)</f>
        <v>3.0732753891564393E-2</v>
      </c>
      <c r="V106" s="46">
        <f>DSUM($B$60:$Y$78,V$60,$C$85:$D106)</f>
        <v>2.4251643827333799E-2</v>
      </c>
      <c r="W106" s="46">
        <f>DSUM($B$60:$Y$78,W$60,$C$85:$D106)</f>
        <v>1.911873024325637E-2</v>
      </c>
      <c r="X106" s="46">
        <f>DSUM($B$60:$Y$78,X$60,$C$85:$D106)</f>
        <v>1.505962594685218E-2</v>
      </c>
      <c r="Y106" s="46">
        <f>DSUM($B$60:$Y$78,Y$60,$C$85:$D106)</f>
        <v>3.7216771353503777</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0" t="s">
        <v>332</v>
      </c>
      <c r="C107" s="115" t="s">
        <v>304</v>
      </c>
      <c r="D107" s="115" t="s">
        <v>333</v>
      </c>
      <c r="E107" s="46">
        <f>DSUM($B$60:$Y$78,E$60,$C$85:$D107)</f>
        <v>0.90512381254678631</v>
      </c>
      <c r="F107" s="46">
        <f>DSUM($B$60:$Y$78,F$60,$C$85:$D107)</f>
        <v>0.64789075073111102</v>
      </c>
      <c r="G107" s="46">
        <f>DSUM($B$60:$Y$78,G$60,$C$85:$D107)</f>
        <v>0.45613631046977859</v>
      </c>
      <c r="H107" s="46">
        <f>DSUM($B$60:$Y$78,H$60,$C$85:$D107)</f>
        <v>0.36057724159186788</v>
      </c>
      <c r="I107" s="46">
        <f>DSUM($B$60:$Y$78,I$60,$C$85:$D107)</f>
        <v>0.32023292091043759</v>
      </c>
      <c r="J107" s="46">
        <f>DSUM($B$60:$Y$78,J$60,$C$85:$D107)</f>
        <v>0.27983232447748718</v>
      </c>
      <c r="K107" s="46">
        <f>DSUM($B$60:$Y$78,K$60,$C$85:$D107)</f>
        <v>0.24208839104780708</v>
      </c>
      <c r="L107" s="46">
        <f>DSUM($B$60:$Y$78,L$60,$C$85:$D107)</f>
        <v>0.20770549797169885</v>
      </c>
      <c r="M107" s="46">
        <f>DSUM($B$60:$Y$78,M$60,$C$85:$D107)</f>
        <v>0.17698829464129728</v>
      </c>
      <c r="N107" s="46">
        <f>DSUM($B$60:$Y$78,N$60,$C$85:$D107)</f>
        <v>0.15003980281690857</v>
      </c>
      <c r="O107" s="46">
        <f>DSUM($B$60:$Y$78,O$60,$C$85:$D107)</f>
        <v>0.12655955170217753</v>
      </c>
      <c r="P107" s="46">
        <f>DSUM($B$60:$Y$78,P$60,$C$85:$D107)</f>
        <v>9.9795028046079925E-2</v>
      </c>
      <c r="Q107" s="46">
        <f>DSUM($B$60:$Y$78,Q$60,$C$85:$D107)</f>
        <v>7.8853154819466392E-2</v>
      </c>
      <c r="R107" s="46">
        <f>DSUM($B$60:$Y$78,R$60,$C$85:$D107)</f>
        <v>6.2364661065632265E-2</v>
      </c>
      <c r="S107" s="46">
        <f>DSUM($B$60:$Y$78,S$60,$C$85:$D107)</f>
        <v>4.9254324133176541E-2</v>
      </c>
      <c r="T107" s="46">
        <f>DSUM($B$60:$Y$78,T$60,$C$85:$D107)</f>
        <v>3.8930996215934904E-2</v>
      </c>
      <c r="U107" s="46">
        <f>DSUM($B$60:$Y$78,U$60,$C$85:$D107)</f>
        <v>3.0732753891564393E-2</v>
      </c>
      <c r="V107" s="46">
        <f>DSUM($B$60:$Y$78,V$60,$C$85:$D107)</f>
        <v>2.4251643827333799E-2</v>
      </c>
      <c r="W107" s="46">
        <f>DSUM($B$60:$Y$78,W$60,$C$85:$D107)</f>
        <v>1.911873024325637E-2</v>
      </c>
      <c r="X107" s="46">
        <f>DSUM($B$60:$Y$78,X$60,$C$85:$D107)</f>
        <v>1.505962594685218E-2</v>
      </c>
      <c r="Y107" s="46">
        <f>DSUM($B$60:$Y$78,Y$60,$C$85:$D107)</f>
        <v>3.7216771353503777</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0" t="s">
        <v>334</v>
      </c>
      <c r="C108" s="115" t="s">
        <v>335</v>
      </c>
      <c r="D108" s="115" t="s">
        <v>336</v>
      </c>
      <c r="E108" s="46">
        <f>DSUM($B$60:$Y$78,E$60,$C$85:$D108)</f>
        <v>0.90512381254678631</v>
      </c>
      <c r="F108" s="46">
        <f>DSUM($B$60:$Y$78,F$60,$C$85:$D108)</f>
        <v>0.64789075073111102</v>
      </c>
      <c r="G108" s="46">
        <f>DSUM($B$60:$Y$78,G$60,$C$85:$D108)</f>
        <v>0.45613631046977859</v>
      </c>
      <c r="H108" s="46">
        <f>DSUM($B$60:$Y$78,H$60,$C$85:$D108)</f>
        <v>0.36057724159186788</v>
      </c>
      <c r="I108" s="46">
        <f>DSUM($B$60:$Y$78,I$60,$C$85:$D108)</f>
        <v>0.32023292091043759</v>
      </c>
      <c r="J108" s="46">
        <f>DSUM($B$60:$Y$78,J$60,$C$85:$D108)</f>
        <v>0.27983232447748718</v>
      </c>
      <c r="K108" s="46">
        <f>DSUM($B$60:$Y$78,K$60,$C$85:$D108)</f>
        <v>0.24208839104780708</v>
      </c>
      <c r="L108" s="46">
        <f>DSUM($B$60:$Y$78,L$60,$C$85:$D108)</f>
        <v>0.20770549797169885</v>
      </c>
      <c r="M108" s="46">
        <f>DSUM($B$60:$Y$78,M$60,$C$85:$D108)</f>
        <v>0.17698829464129728</v>
      </c>
      <c r="N108" s="46">
        <f>DSUM($B$60:$Y$78,N$60,$C$85:$D108)</f>
        <v>0.15003980281690857</v>
      </c>
      <c r="O108" s="46">
        <f>DSUM($B$60:$Y$78,O$60,$C$85:$D108)</f>
        <v>0.12655955170217753</v>
      </c>
      <c r="P108" s="46">
        <f>DSUM($B$60:$Y$78,P$60,$C$85:$D108)</f>
        <v>9.9795028046079925E-2</v>
      </c>
      <c r="Q108" s="46">
        <f>DSUM($B$60:$Y$78,Q$60,$C$85:$D108)</f>
        <v>7.8853154819466392E-2</v>
      </c>
      <c r="R108" s="46">
        <f>DSUM($B$60:$Y$78,R$60,$C$85:$D108)</f>
        <v>6.2364661065632265E-2</v>
      </c>
      <c r="S108" s="46">
        <f>DSUM($B$60:$Y$78,S$60,$C$85:$D108)</f>
        <v>4.9254324133176541E-2</v>
      </c>
      <c r="T108" s="46">
        <f>DSUM($B$60:$Y$78,T$60,$C$85:$D108)</f>
        <v>3.8930996215934904E-2</v>
      </c>
      <c r="U108" s="46">
        <f>DSUM($B$60:$Y$78,U$60,$C$85:$D108)</f>
        <v>3.0732753891564393E-2</v>
      </c>
      <c r="V108" s="46">
        <f>DSUM($B$60:$Y$78,V$60,$C$85:$D108)</f>
        <v>2.4251643827333799E-2</v>
      </c>
      <c r="W108" s="46">
        <f>DSUM($B$60:$Y$78,W$60,$C$85:$D108)</f>
        <v>1.911873024325637E-2</v>
      </c>
      <c r="X108" s="46">
        <f>DSUM($B$60:$Y$78,X$60,$C$85:$D108)</f>
        <v>1.505962594685218E-2</v>
      </c>
      <c r="Y108" s="46">
        <f>DSUM($B$60:$Y$78,Y$60,$C$85:$D108)</f>
        <v>3.7216771353503777</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0" t="s">
        <v>337</v>
      </c>
      <c r="C109" s="115" t="s">
        <v>338</v>
      </c>
      <c r="D109" s="115" t="s">
        <v>339</v>
      </c>
      <c r="E109" s="46">
        <f>DSUM($B$60:$Y$78,E$60,$C$85:$D109)</f>
        <v>0.90512381254678631</v>
      </c>
      <c r="F109" s="46">
        <f>DSUM($B$60:$Y$78,F$60,$C$85:$D109)</f>
        <v>0.64789075073111102</v>
      </c>
      <c r="G109" s="46">
        <f>DSUM($B$60:$Y$78,G$60,$C$85:$D109)</f>
        <v>0.45613631046977859</v>
      </c>
      <c r="H109" s="46">
        <f>DSUM($B$60:$Y$78,H$60,$C$85:$D109)</f>
        <v>0.36057724159186788</v>
      </c>
      <c r="I109" s="46">
        <f>DSUM($B$60:$Y$78,I$60,$C$85:$D109)</f>
        <v>0.32023292091043759</v>
      </c>
      <c r="J109" s="46">
        <f>DSUM($B$60:$Y$78,J$60,$C$85:$D109)</f>
        <v>0.27983232447748718</v>
      </c>
      <c r="K109" s="46">
        <f>DSUM($B$60:$Y$78,K$60,$C$85:$D109)</f>
        <v>0.24208839104780708</v>
      </c>
      <c r="L109" s="46">
        <f>DSUM($B$60:$Y$78,L$60,$C$85:$D109)</f>
        <v>0.20770549797169885</v>
      </c>
      <c r="M109" s="46">
        <f>DSUM($B$60:$Y$78,M$60,$C$85:$D109)</f>
        <v>0.17698829464129728</v>
      </c>
      <c r="N109" s="46">
        <f>DSUM($B$60:$Y$78,N$60,$C$85:$D109)</f>
        <v>0.15003980281690857</v>
      </c>
      <c r="O109" s="46">
        <f>DSUM($B$60:$Y$78,O$60,$C$85:$D109)</f>
        <v>0.12655955170217753</v>
      </c>
      <c r="P109" s="46">
        <f>DSUM($B$60:$Y$78,P$60,$C$85:$D109)</f>
        <v>9.9795028046079925E-2</v>
      </c>
      <c r="Q109" s="46">
        <f>DSUM($B$60:$Y$78,Q$60,$C$85:$D109)</f>
        <v>7.8853154819466392E-2</v>
      </c>
      <c r="R109" s="46">
        <f>DSUM($B$60:$Y$78,R$60,$C$85:$D109)</f>
        <v>6.2364661065632265E-2</v>
      </c>
      <c r="S109" s="46">
        <f>DSUM($B$60:$Y$78,S$60,$C$85:$D109)</f>
        <v>4.9254324133176541E-2</v>
      </c>
      <c r="T109" s="46">
        <f>DSUM($B$60:$Y$78,T$60,$C$85:$D109)</f>
        <v>3.8930996215934904E-2</v>
      </c>
      <c r="U109" s="46">
        <f>DSUM($B$60:$Y$78,U$60,$C$85:$D109)</f>
        <v>3.0732753891564393E-2</v>
      </c>
      <c r="V109" s="46">
        <f>DSUM($B$60:$Y$78,V$60,$C$85:$D109)</f>
        <v>2.4251643827333799E-2</v>
      </c>
      <c r="W109" s="46">
        <f>DSUM($B$60:$Y$78,W$60,$C$85:$D109)</f>
        <v>1.911873024325637E-2</v>
      </c>
      <c r="X109" s="46">
        <f>DSUM($B$60:$Y$78,X$60,$C$85:$D109)</f>
        <v>1.505962594685218E-2</v>
      </c>
      <c r="Y109" s="46">
        <f>DSUM($B$60:$Y$78,Y$60,$C$85:$D109)</f>
        <v>3.7216771353503777</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0" t="s">
        <v>340</v>
      </c>
      <c r="C110" s="115" t="s">
        <v>341</v>
      </c>
      <c r="D110" s="115" t="s">
        <v>342</v>
      </c>
      <c r="E110" s="46">
        <f>DSUM($B$60:$Y$78,E$60,$C$85:$D110)</f>
        <v>0.90512381254678631</v>
      </c>
      <c r="F110" s="46">
        <f>DSUM($B$60:$Y$78,F$60,$C$85:$D110)</f>
        <v>0.64789075073111102</v>
      </c>
      <c r="G110" s="46">
        <f>DSUM($B$60:$Y$78,G$60,$C$85:$D110)</f>
        <v>0.45613631046977859</v>
      </c>
      <c r="H110" s="46">
        <f>DSUM($B$60:$Y$78,H$60,$C$85:$D110)</f>
        <v>0.36057724159186788</v>
      </c>
      <c r="I110" s="46">
        <f>DSUM($B$60:$Y$78,I$60,$C$85:$D110)</f>
        <v>0.32023292091043759</v>
      </c>
      <c r="J110" s="46">
        <f>DSUM($B$60:$Y$78,J$60,$C$85:$D110)</f>
        <v>0.27983232447748718</v>
      </c>
      <c r="K110" s="46">
        <f>DSUM($B$60:$Y$78,K$60,$C$85:$D110)</f>
        <v>0.24208839104780708</v>
      </c>
      <c r="L110" s="46">
        <f>DSUM($B$60:$Y$78,L$60,$C$85:$D110)</f>
        <v>0.20770549797169885</v>
      </c>
      <c r="M110" s="46">
        <f>DSUM($B$60:$Y$78,M$60,$C$85:$D110)</f>
        <v>0.17698829464129728</v>
      </c>
      <c r="N110" s="46">
        <f>DSUM($B$60:$Y$78,N$60,$C$85:$D110)</f>
        <v>0.15003980281690857</v>
      </c>
      <c r="O110" s="46">
        <f>DSUM($B$60:$Y$78,O$60,$C$85:$D110)</f>
        <v>0.12655955170217753</v>
      </c>
      <c r="P110" s="46">
        <f>DSUM($B$60:$Y$78,P$60,$C$85:$D110)</f>
        <v>9.9795028046079925E-2</v>
      </c>
      <c r="Q110" s="46">
        <f>DSUM($B$60:$Y$78,Q$60,$C$85:$D110)</f>
        <v>7.8853154819466392E-2</v>
      </c>
      <c r="R110" s="46">
        <f>DSUM($B$60:$Y$78,R$60,$C$85:$D110)</f>
        <v>6.2364661065632265E-2</v>
      </c>
      <c r="S110" s="46">
        <f>DSUM($B$60:$Y$78,S$60,$C$85:$D110)</f>
        <v>4.9254324133176541E-2</v>
      </c>
      <c r="T110" s="46">
        <f>DSUM($B$60:$Y$78,T$60,$C$85:$D110)</f>
        <v>3.8930996215934904E-2</v>
      </c>
      <c r="U110" s="46">
        <f>DSUM($B$60:$Y$78,U$60,$C$85:$D110)</f>
        <v>3.0732753891564393E-2</v>
      </c>
      <c r="V110" s="46">
        <f>DSUM($B$60:$Y$78,V$60,$C$85:$D110)</f>
        <v>2.4251643827333799E-2</v>
      </c>
      <c r="W110" s="46">
        <f>DSUM($B$60:$Y$78,W$60,$C$85:$D110)</f>
        <v>1.911873024325637E-2</v>
      </c>
      <c r="X110" s="46">
        <f>DSUM($B$60:$Y$78,X$60,$C$85:$D110)</f>
        <v>1.505962594685218E-2</v>
      </c>
      <c r="Y110" s="46">
        <f>DSUM($B$60:$Y$78,Y$60,$C$85:$D110)</f>
        <v>3.7216771353503777</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0" t="s">
        <v>343</v>
      </c>
      <c r="C111" s="115" t="s">
        <v>344</v>
      </c>
      <c r="D111" s="115" t="s">
        <v>345</v>
      </c>
      <c r="E111" s="46">
        <f>DSUM($B$60:$Y$78,E$60,$C$85:$D111)</f>
        <v>0.90512381254678631</v>
      </c>
      <c r="F111" s="46">
        <f>DSUM($B$60:$Y$78,F$60,$C$85:$D111)</f>
        <v>0.64789075073111102</v>
      </c>
      <c r="G111" s="46">
        <f>DSUM($B$60:$Y$78,G$60,$C$85:$D111)</f>
        <v>0.45613631046977859</v>
      </c>
      <c r="H111" s="46">
        <f>DSUM($B$60:$Y$78,H$60,$C$85:$D111)</f>
        <v>0.36057724159186788</v>
      </c>
      <c r="I111" s="46">
        <f>DSUM($B$60:$Y$78,I$60,$C$85:$D111)</f>
        <v>0.32023292091043759</v>
      </c>
      <c r="J111" s="46">
        <f>DSUM($B$60:$Y$78,J$60,$C$85:$D111)</f>
        <v>0.27983232447748718</v>
      </c>
      <c r="K111" s="46">
        <f>DSUM($B$60:$Y$78,K$60,$C$85:$D111)</f>
        <v>0.24208839104780708</v>
      </c>
      <c r="L111" s="46">
        <f>DSUM($B$60:$Y$78,L$60,$C$85:$D111)</f>
        <v>0.20770549797169885</v>
      </c>
      <c r="M111" s="46">
        <f>DSUM($B$60:$Y$78,M$60,$C$85:$D111)</f>
        <v>0.17698829464129728</v>
      </c>
      <c r="N111" s="46">
        <f>DSUM($B$60:$Y$78,N$60,$C$85:$D111)</f>
        <v>0.15003980281690857</v>
      </c>
      <c r="O111" s="46">
        <f>DSUM($B$60:$Y$78,O$60,$C$85:$D111)</f>
        <v>0.12655955170217753</v>
      </c>
      <c r="P111" s="46">
        <f>DSUM($B$60:$Y$78,P$60,$C$85:$D111)</f>
        <v>9.9795028046079925E-2</v>
      </c>
      <c r="Q111" s="46">
        <f>DSUM($B$60:$Y$78,Q$60,$C$85:$D111)</f>
        <v>7.8853154819466392E-2</v>
      </c>
      <c r="R111" s="46">
        <f>DSUM($B$60:$Y$78,R$60,$C$85:$D111)</f>
        <v>6.2364661065632265E-2</v>
      </c>
      <c r="S111" s="46">
        <f>DSUM($B$60:$Y$78,S$60,$C$85:$D111)</f>
        <v>4.9254324133176541E-2</v>
      </c>
      <c r="T111" s="46">
        <f>DSUM($B$60:$Y$78,T$60,$C$85:$D111)</f>
        <v>3.8930996215934904E-2</v>
      </c>
      <c r="U111" s="46">
        <f>DSUM($B$60:$Y$78,U$60,$C$85:$D111)</f>
        <v>3.0732753891564393E-2</v>
      </c>
      <c r="V111" s="46">
        <f>DSUM($B$60:$Y$78,V$60,$C$85:$D111)</f>
        <v>2.4251643827333799E-2</v>
      </c>
      <c r="W111" s="46">
        <f>DSUM($B$60:$Y$78,W$60,$C$85:$D111)</f>
        <v>1.911873024325637E-2</v>
      </c>
      <c r="X111" s="46">
        <f>DSUM($B$60:$Y$78,X$60,$C$85:$D111)</f>
        <v>1.505962594685218E-2</v>
      </c>
      <c r="Y111" s="46">
        <f>DSUM($B$60:$Y$78,Y$60,$C$85:$D111)</f>
        <v>3.7216771353503777</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0" t="s">
        <v>346</v>
      </c>
      <c r="C112" s="115" t="s">
        <v>347</v>
      </c>
      <c r="D112" s="115" t="s">
        <v>348</v>
      </c>
      <c r="E112" s="46">
        <f>DSUM($B$60:$Y$78,E$60,$C$85:$D112)</f>
        <v>0.90512381254678631</v>
      </c>
      <c r="F112" s="46">
        <f>DSUM($B$60:$Y$78,F$60,$C$85:$D112)</f>
        <v>0.64789075073111102</v>
      </c>
      <c r="G112" s="46">
        <f>DSUM($B$60:$Y$78,G$60,$C$85:$D112)</f>
        <v>0.45613631046977859</v>
      </c>
      <c r="H112" s="46">
        <f>DSUM($B$60:$Y$78,H$60,$C$85:$D112)</f>
        <v>0.36057724159186788</v>
      </c>
      <c r="I112" s="46">
        <f>DSUM($B$60:$Y$78,I$60,$C$85:$D112)</f>
        <v>0.32023292091043759</v>
      </c>
      <c r="J112" s="46">
        <f>DSUM($B$60:$Y$78,J$60,$C$85:$D112)</f>
        <v>0.27983232447748718</v>
      </c>
      <c r="K112" s="46">
        <f>DSUM($B$60:$Y$78,K$60,$C$85:$D112)</f>
        <v>0.24208839104780708</v>
      </c>
      <c r="L112" s="46">
        <f>DSUM($B$60:$Y$78,L$60,$C$85:$D112)</f>
        <v>0.20770549797169885</v>
      </c>
      <c r="M112" s="46">
        <f>DSUM($B$60:$Y$78,M$60,$C$85:$D112)</f>
        <v>0.17698829464129728</v>
      </c>
      <c r="N112" s="46">
        <f>DSUM($B$60:$Y$78,N$60,$C$85:$D112)</f>
        <v>0.15003980281690857</v>
      </c>
      <c r="O112" s="46">
        <f>DSUM($B$60:$Y$78,O$60,$C$85:$D112)</f>
        <v>0.12655955170217753</v>
      </c>
      <c r="P112" s="46">
        <f>DSUM($B$60:$Y$78,P$60,$C$85:$D112)</f>
        <v>9.9795028046079925E-2</v>
      </c>
      <c r="Q112" s="46">
        <f>DSUM($B$60:$Y$78,Q$60,$C$85:$D112)</f>
        <v>7.8853154819466392E-2</v>
      </c>
      <c r="R112" s="46">
        <f>DSUM($B$60:$Y$78,R$60,$C$85:$D112)</f>
        <v>6.2364661065632265E-2</v>
      </c>
      <c r="S112" s="46">
        <f>DSUM($B$60:$Y$78,S$60,$C$85:$D112)</f>
        <v>4.9254324133176541E-2</v>
      </c>
      <c r="T112" s="46">
        <f>DSUM($B$60:$Y$78,T$60,$C$85:$D112)</f>
        <v>3.8930996215934904E-2</v>
      </c>
      <c r="U112" s="46">
        <f>DSUM($B$60:$Y$78,U$60,$C$85:$D112)</f>
        <v>3.0732753891564393E-2</v>
      </c>
      <c r="V112" s="46">
        <f>DSUM($B$60:$Y$78,V$60,$C$85:$D112)</f>
        <v>2.4251643827333799E-2</v>
      </c>
      <c r="W112" s="46">
        <f>DSUM($B$60:$Y$78,W$60,$C$85:$D112)</f>
        <v>1.911873024325637E-2</v>
      </c>
      <c r="X112" s="46">
        <f>DSUM($B$60:$Y$78,X$60,$C$85:$D112)</f>
        <v>1.505962594685218E-2</v>
      </c>
      <c r="Y112" s="46">
        <f>DSUM($B$60:$Y$78,Y$60,$C$85:$D112)</f>
        <v>3.7216771353503777</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0" t="s">
        <v>349</v>
      </c>
      <c r="C113" s="115" t="s">
        <v>350</v>
      </c>
      <c r="D113" s="115" t="s">
        <v>351</v>
      </c>
      <c r="E113" s="46">
        <f>DSUM($B$60:$Y$78,E$60,$C$85:$D113)</f>
        <v>0.90512381254678631</v>
      </c>
      <c r="F113" s="46">
        <f>DSUM($B$60:$Y$78,F$60,$C$85:$D113)</f>
        <v>0.64789075073111102</v>
      </c>
      <c r="G113" s="46">
        <f>DSUM($B$60:$Y$78,G$60,$C$85:$D113)</f>
        <v>0.45613631046977859</v>
      </c>
      <c r="H113" s="46">
        <f>DSUM($B$60:$Y$78,H$60,$C$85:$D113)</f>
        <v>0.36057724159186788</v>
      </c>
      <c r="I113" s="46">
        <f>DSUM($B$60:$Y$78,I$60,$C$85:$D113)</f>
        <v>0.32023292091043759</v>
      </c>
      <c r="J113" s="46">
        <f>DSUM($B$60:$Y$78,J$60,$C$85:$D113)</f>
        <v>0.27983232447748718</v>
      </c>
      <c r="K113" s="46">
        <f>DSUM($B$60:$Y$78,K$60,$C$85:$D113)</f>
        <v>0.24208839104780708</v>
      </c>
      <c r="L113" s="46">
        <f>DSUM($B$60:$Y$78,L$60,$C$85:$D113)</f>
        <v>0.20770549797169885</v>
      </c>
      <c r="M113" s="46">
        <f>DSUM($B$60:$Y$78,M$60,$C$85:$D113)</f>
        <v>0.17698829464129728</v>
      </c>
      <c r="N113" s="46">
        <f>DSUM($B$60:$Y$78,N$60,$C$85:$D113)</f>
        <v>0.15003980281690857</v>
      </c>
      <c r="O113" s="46">
        <f>DSUM($B$60:$Y$78,O$60,$C$85:$D113)</f>
        <v>0.12655955170217753</v>
      </c>
      <c r="P113" s="46">
        <f>DSUM($B$60:$Y$78,P$60,$C$85:$D113)</f>
        <v>9.9795028046079925E-2</v>
      </c>
      <c r="Q113" s="46">
        <f>DSUM($B$60:$Y$78,Q$60,$C$85:$D113)</f>
        <v>7.8853154819466392E-2</v>
      </c>
      <c r="R113" s="46">
        <f>DSUM($B$60:$Y$78,R$60,$C$85:$D113)</f>
        <v>6.2364661065632265E-2</v>
      </c>
      <c r="S113" s="46">
        <f>DSUM($B$60:$Y$78,S$60,$C$85:$D113)</f>
        <v>4.9254324133176541E-2</v>
      </c>
      <c r="T113" s="46">
        <f>DSUM($B$60:$Y$78,T$60,$C$85:$D113)</f>
        <v>3.8930996215934904E-2</v>
      </c>
      <c r="U113" s="46">
        <f>DSUM($B$60:$Y$78,U$60,$C$85:$D113)</f>
        <v>3.0732753891564393E-2</v>
      </c>
      <c r="V113" s="46">
        <f>DSUM($B$60:$Y$78,V$60,$C$85:$D113)</f>
        <v>2.4251643827333799E-2</v>
      </c>
      <c r="W113" s="46">
        <f>DSUM($B$60:$Y$78,W$60,$C$85:$D113)</f>
        <v>1.911873024325637E-2</v>
      </c>
      <c r="X113" s="46">
        <f>DSUM($B$60:$Y$78,X$60,$C$85:$D113)</f>
        <v>1.505962594685218E-2</v>
      </c>
      <c r="Y113" s="46">
        <f>DSUM($B$60:$Y$78,Y$60,$C$85:$D113)</f>
        <v>3.7216771353503777</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0" t="s">
        <v>352</v>
      </c>
      <c r="C114" s="115" t="s">
        <v>353</v>
      </c>
      <c r="D114" s="115" t="s">
        <v>354</v>
      </c>
      <c r="E114" s="46">
        <f>DSUM($B$60:$Y$78,E$60,$C$85:$D114)</f>
        <v>0.90512381254678631</v>
      </c>
      <c r="F114" s="46">
        <f>DSUM($B$60:$Y$78,F$60,$C$85:$D114)</f>
        <v>0.64789075073111102</v>
      </c>
      <c r="G114" s="46">
        <f>DSUM($B$60:$Y$78,G$60,$C$85:$D114)</f>
        <v>0.45613631046977859</v>
      </c>
      <c r="H114" s="46">
        <f>DSUM($B$60:$Y$78,H$60,$C$85:$D114)</f>
        <v>0.36057724159186788</v>
      </c>
      <c r="I114" s="46">
        <f>DSUM($B$60:$Y$78,I$60,$C$85:$D114)</f>
        <v>0.32023292091043759</v>
      </c>
      <c r="J114" s="46">
        <f>DSUM($B$60:$Y$78,J$60,$C$85:$D114)</f>
        <v>0.27983232447748718</v>
      </c>
      <c r="K114" s="46">
        <f>DSUM($B$60:$Y$78,K$60,$C$85:$D114)</f>
        <v>0.24208839104780708</v>
      </c>
      <c r="L114" s="46">
        <f>DSUM($B$60:$Y$78,L$60,$C$85:$D114)</f>
        <v>0.20770549797169885</v>
      </c>
      <c r="M114" s="46">
        <f>DSUM($B$60:$Y$78,M$60,$C$85:$D114)</f>
        <v>0.17698829464129728</v>
      </c>
      <c r="N114" s="46">
        <f>DSUM($B$60:$Y$78,N$60,$C$85:$D114)</f>
        <v>0.15003980281690857</v>
      </c>
      <c r="O114" s="46">
        <f>DSUM($B$60:$Y$78,O$60,$C$85:$D114)</f>
        <v>0.12655955170217753</v>
      </c>
      <c r="P114" s="46">
        <f>DSUM($B$60:$Y$78,P$60,$C$85:$D114)</f>
        <v>9.9795028046079925E-2</v>
      </c>
      <c r="Q114" s="46">
        <f>DSUM($B$60:$Y$78,Q$60,$C$85:$D114)</f>
        <v>7.8853154819466392E-2</v>
      </c>
      <c r="R114" s="46">
        <f>DSUM($B$60:$Y$78,R$60,$C$85:$D114)</f>
        <v>6.2364661065632265E-2</v>
      </c>
      <c r="S114" s="46">
        <f>DSUM($B$60:$Y$78,S$60,$C$85:$D114)</f>
        <v>4.9254324133176541E-2</v>
      </c>
      <c r="T114" s="46">
        <f>DSUM($B$60:$Y$78,T$60,$C$85:$D114)</f>
        <v>3.8930996215934904E-2</v>
      </c>
      <c r="U114" s="46">
        <f>DSUM($B$60:$Y$78,U$60,$C$85:$D114)</f>
        <v>3.0732753891564393E-2</v>
      </c>
      <c r="V114" s="46">
        <f>DSUM($B$60:$Y$78,V$60,$C$85:$D114)</f>
        <v>2.4251643827333799E-2</v>
      </c>
      <c r="W114" s="46">
        <f>DSUM($B$60:$Y$78,W$60,$C$85:$D114)</f>
        <v>1.911873024325637E-2</v>
      </c>
      <c r="X114" s="46">
        <f>DSUM($B$60:$Y$78,X$60,$C$85:$D114)</f>
        <v>1.505962594685218E-2</v>
      </c>
      <c r="Y114" s="46">
        <f>DSUM($B$60:$Y$78,Y$60,$C$85:$D114)</f>
        <v>3.7216771353503777</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0" t="s">
        <v>355</v>
      </c>
      <c r="C115" s="115" t="s">
        <v>356</v>
      </c>
      <c r="D115" s="115" t="s">
        <v>357</v>
      </c>
      <c r="E115" s="46">
        <f>DSUM($B$60:$Y$78,E$60,$C$85:$D115)</f>
        <v>0.90512381254678631</v>
      </c>
      <c r="F115" s="46">
        <f>DSUM($B$60:$Y$78,F$60,$C$85:$D115)</f>
        <v>0.64789075073111102</v>
      </c>
      <c r="G115" s="46">
        <f>DSUM($B$60:$Y$78,G$60,$C$85:$D115)</f>
        <v>0.45613631046977859</v>
      </c>
      <c r="H115" s="46">
        <f>DSUM($B$60:$Y$78,H$60,$C$85:$D115)</f>
        <v>0.36057724159186788</v>
      </c>
      <c r="I115" s="46">
        <f>DSUM($B$60:$Y$78,I$60,$C$85:$D115)</f>
        <v>0.32023292091043759</v>
      </c>
      <c r="J115" s="46">
        <f>DSUM($B$60:$Y$78,J$60,$C$85:$D115)</f>
        <v>0.27983232447748718</v>
      </c>
      <c r="K115" s="46">
        <f>DSUM($B$60:$Y$78,K$60,$C$85:$D115)</f>
        <v>0.24208839104780708</v>
      </c>
      <c r="L115" s="46">
        <f>DSUM($B$60:$Y$78,L$60,$C$85:$D115)</f>
        <v>0.20770549797169885</v>
      </c>
      <c r="M115" s="46">
        <f>DSUM($B$60:$Y$78,M$60,$C$85:$D115)</f>
        <v>0.17698829464129728</v>
      </c>
      <c r="N115" s="46">
        <f>DSUM($B$60:$Y$78,N$60,$C$85:$D115)</f>
        <v>0.15003980281690857</v>
      </c>
      <c r="O115" s="46">
        <f>DSUM($B$60:$Y$78,O$60,$C$85:$D115)</f>
        <v>0.12655955170217753</v>
      </c>
      <c r="P115" s="46">
        <f>DSUM($B$60:$Y$78,P$60,$C$85:$D115)</f>
        <v>9.9795028046079925E-2</v>
      </c>
      <c r="Q115" s="46">
        <f>DSUM($B$60:$Y$78,Q$60,$C$85:$D115)</f>
        <v>7.8853154819466392E-2</v>
      </c>
      <c r="R115" s="46">
        <f>DSUM($B$60:$Y$78,R$60,$C$85:$D115)</f>
        <v>6.2364661065632265E-2</v>
      </c>
      <c r="S115" s="46">
        <f>DSUM($B$60:$Y$78,S$60,$C$85:$D115)</f>
        <v>4.9254324133176541E-2</v>
      </c>
      <c r="T115" s="46">
        <f>DSUM($B$60:$Y$78,T$60,$C$85:$D115)</f>
        <v>3.8930996215934904E-2</v>
      </c>
      <c r="U115" s="46">
        <f>DSUM($B$60:$Y$78,U$60,$C$85:$D115)</f>
        <v>3.0732753891564393E-2</v>
      </c>
      <c r="V115" s="46">
        <f>DSUM($B$60:$Y$78,V$60,$C$85:$D115)</f>
        <v>2.4251643827333799E-2</v>
      </c>
      <c r="W115" s="46">
        <f>DSUM($B$60:$Y$78,W$60,$C$85:$D115)</f>
        <v>1.911873024325637E-2</v>
      </c>
      <c r="X115" s="46">
        <f>DSUM($B$60:$Y$78,X$60,$C$85:$D115)</f>
        <v>1.505962594685218E-2</v>
      </c>
      <c r="Y115" s="46">
        <f>DSUM($B$60:$Y$78,Y$60,$C$85:$D115)</f>
        <v>3.7216771353503777</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0" t="s">
        <v>358</v>
      </c>
      <c r="C116" s="115" t="s">
        <v>359</v>
      </c>
      <c r="D116" s="115" t="s">
        <v>360</v>
      </c>
      <c r="E116" s="46">
        <f>DSUM($B$60:$Y$78,E$60,$C$85:$D116)</f>
        <v>0.90512381254678631</v>
      </c>
      <c r="F116" s="46">
        <f>DSUM($B$60:$Y$78,F$60,$C$85:$D116)</f>
        <v>0.64789075073111102</v>
      </c>
      <c r="G116" s="46">
        <f>DSUM($B$60:$Y$78,G$60,$C$85:$D116)</f>
        <v>0.45613631046977859</v>
      </c>
      <c r="H116" s="46">
        <f>DSUM($B$60:$Y$78,H$60,$C$85:$D116)</f>
        <v>0.36057724159186788</v>
      </c>
      <c r="I116" s="46">
        <f>DSUM($B$60:$Y$78,I$60,$C$85:$D116)</f>
        <v>0.32023292091043759</v>
      </c>
      <c r="J116" s="46">
        <f>DSUM($B$60:$Y$78,J$60,$C$85:$D116)</f>
        <v>0.27983232447748718</v>
      </c>
      <c r="K116" s="46">
        <f>DSUM($B$60:$Y$78,K$60,$C$85:$D116)</f>
        <v>0.24208839104780708</v>
      </c>
      <c r="L116" s="46">
        <f>DSUM($B$60:$Y$78,L$60,$C$85:$D116)</f>
        <v>0.20770549797169885</v>
      </c>
      <c r="M116" s="46">
        <f>DSUM($B$60:$Y$78,M$60,$C$85:$D116)</f>
        <v>0.17698829464129728</v>
      </c>
      <c r="N116" s="46">
        <f>DSUM($B$60:$Y$78,N$60,$C$85:$D116)</f>
        <v>0.15003980281690857</v>
      </c>
      <c r="O116" s="46">
        <f>DSUM($B$60:$Y$78,O$60,$C$85:$D116)</f>
        <v>0.12655955170217753</v>
      </c>
      <c r="P116" s="46">
        <f>DSUM($B$60:$Y$78,P$60,$C$85:$D116)</f>
        <v>9.9795028046079925E-2</v>
      </c>
      <c r="Q116" s="46">
        <f>DSUM($B$60:$Y$78,Q$60,$C$85:$D116)</f>
        <v>7.8853154819466392E-2</v>
      </c>
      <c r="R116" s="46">
        <f>DSUM($B$60:$Y$78,R$60,$C$85:$D116)</f>
        <v>6.2364661065632265E-2</v>
      </c>
      <c r="S116" s="46">
        <f>DSUM($B$60:$Y$78,S$60,$C$85:$D116)</f>
        <v>4.9254324133176541E-2</v>
      </c>
      <c r="T116" s="46">
        <f>DSUM($B$60:$Y$78,T$60,$C$85:$D116)</f>
        <v>3.8930996215934904E-2</v>
      </c>
      <c r="U116" s="46">
        <f>DSUM($B$60:$Y$78,U$60,$C$85:$D116)</f>
        <v>3.0732753891564393E-2</v>
      </c>
      <c r="V116" s="46">
        <f>DSUM($B$60:$Y$78,V$60,$C$85:$D116)</f>
        <v>2.4251643827333799E-2</v>
      </c>
      <c r="W116" s="46">
        <f>DSUM($B$60:$Y$78,W$60,$C$85:$D116)</f>
        <v>1.911873024325637E-2</v>
      </c>
      <c r="X116" s="46">
        <f>DSUM($B$60:$Y$78,X$60,$C$85:$D116)</f>
        <v>1.505962594685218E-2</v>
      </c>
      <c r="Y116" s="46">
        <f>DSUM($B$60:$Y$78,Y$60,$C$85:$D116)</f>
        <v>3.7216771353503777</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0" t="s">
        <v>361</v>
      </c>
      <c r="C117" s="115" t="s">
        <v>362</v>
      </c>
      <c r="D117" s="115" t="s">
        <v>363</v>
      </c>
      <c r="E117" s="46">
        <f>DSUM($B$60:$Y$78,E$60,$C$85:$D117)</f>
        <v>0.90512381254678631</v>
      </c>
      <c r="F117" s="46">
        <f>DSUM($B$60:$Y$78,F$60,$C$85:$D117)</f>
        <v>0.64789075073111102</v>
      </c>
      <c r="G117" s="46">
        <f>DSUM($B$60:$Y$78,G$60,$C$85:$D117)</f>
        <v>0.45613631046977859</v>
      </c>
      <c r="H117" s="46">
        <f>DSUM($B$60:$Y$78,H$60,$C$85:$D117)</f>
        <v>0.36057724159186788</v>
      </c>
      <c r="I117" s="46">
        <f>DSUM($B$60:$Y$78,I$60,$C$85:$D117)</f>
        <v>0.32023292091043759</v>
      </c>
      <c r="J117" s="46">
        <f>DSUM($B$60:$Y$78,J$60,$C$85:$D117)</f>
        <v>0.27983232447748718</v>
      </c>
      <c r="K117" s="46">
        <f>DSUM($B$60:$Y$78,K$60,$C$85:$D117)</f>
        <v>0.24208839104780708</v>
      </c>
      <c r="L117" s="46">
        <f>DSUM($B$60:$Y$78,L$60,$C$85:$D117)</f>
        <v>0.20770549797169885</v>
      </c>
      <c r="M117" s="46">
        <f>DSUM($B$60:$Y$78,M$60,$C$85:$D117)</f>
        <v>0.17698829464129728</v>
      </c>
      <c r="N117" s="46">
        <f>DSUM($B$60:$Y$78,N$60,$C$85:$D117)</f>
        <v>0.15003980281690857</v>
      </c>
      <c r="O117" s="46">
        <f>DSUM($B$60:$Y$78,O$60,$C$85:$D117)</f>
        <v>0.12655955170217753</v>
      </c>
      <c r="P117" s="46">
        <f>DSUM($B$60:$Y$78,P$60,$C$85:$D117)</f>
        <v>9.9795028046079925E-2</v>
      </c>
      <c r="Q117" s="46">
        <f>DSUM($B$60:$Y$78,Q$60,$C$85:$D117)</f>
        <v>7.8853154819466392E-2</v>
      </c>
      <c r="R117" s="46">
        <f>DSUM($B$60:$Y$78,R$60,$C$85:$D117)</f>
        <v>6.2364661065632265E-2</v>
      </c>
      <c r="S117" s="46">
        <f>DSUM($B$60:$Y$78,S$60,$C$85:$D117)</f>
        <v>4.9254324133176541E-2</v>
      </c>
      <c r="T117" s="46">
        <f>DSUM($B$60:$Y$78,T$60,$C$85:$D117)</f>
        <v>3.8930996215934904E-2</v>
      </c>
      <c r="U117" s="46">
        <f>DSUM($B$60:$Y$78,U$60,$C$85:$D117)</f>
        <v>3.0732753891564393E-2</v>
      </c>
      <c r="V117" s="46">
        <f>DSUM($B$60:$Y$78,V$60,$C$85:$D117)</f>
        <v>2.4251643827333799E-2</v>
      </c>
      <c r="W117" s="46">
        <f>DSUM($B$60:$Y$78,W$60,$C$85:$D117)</f>
        <v>1.911873024325637E-2</v>
      </c>
      <c r="X117" s="46">
        <f>DSUM($B$60:$Y$78,X$60,$C$85:$D117)</f>
        <v>1.505962594685218E-2</v>
      </c>
      <c r="Y117" s="46">
        <f>DSUM($B$60:$Y$78,Y$60,$C$85:$D117)</f>
        <v>3.7216771353503777</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53"/>
      <c r="D118" s="153"/>
      <c r="E118" s="46"/>
      <c r="F118" s="46"/>
      <c r="G118" s="46"/>
      <c r="H118" s="46"/>
      <c r="I118" s="46"/>
      <c r="J118" s="46"/>
      <c r="K118" s="46"/>
      <c r="L118" s="46"/>
      <c r="M118" s="46"/>
      <c r="N118" s="46"/>
      <c r="O118" s="46"/>
      <c r="P118" s="46"/>
      <c r="Q118" s="46"/>
      <c r="R118" s="46"/>
      <c r="S118" s="46"/>
      <c r="T118" s="46"/>
      <c r="U118" s="46"/>
      <c r="V118" s="46"/>
      <c r="W118" s="46"/>
      <c r="X118" s="46"/>
      <c r="Y118" s="46"/>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6">
        <f>E117</f>
        <v>0.90512381254678631</v>
      </c>
      <c r="F119" s="116">
        <f t="shared" ref="F119:Y119" si="21">F117</f>
        <v>0.64789075073111102</v>
      </c>
      <c r="G119" s="116">
        <f t="shared" si="21"/>
        <v>0.45613631046977859</v>
      </c>
      <c r="H119" s="116">
        <f t="shared" si="21"/>
        <v>0.36057724159186788</v>
      </c>
      <c r="I119" s="116">
        <f t="shared" si="21"/>
        <v>0.32023292091043759</v>
      </c>
      <c r="J119" s="116">
        <f t="shared" si="21"/>
        <v>0.27983232447748718</v>
      </c>
      <c r="K119" s="116">
        <f t="shared" si="21"/>
        <v>0.24208839104780708</v>
      </c>
      <c r="L119" s="116">
        <f t="shared" si="21"/>
        <v>0.20770549797169885</v>
      </c>
      <c r="M119" s="116">
        <f t="shared" si="21"/>
        <v>0.17698829464129728</v>
      </c>
      <c r="N119" s="116">
        <f t="shared" si="21"/>
        <v>0.15003980281690857</v>
      </c>
      <c r="O119" s="116">
        <f t="shared" si="21"/>
        <v>0.12655955170217753</v>
      </c>
      <c r="P119" s="116">
        <f t="shared" si="21"/>
        <v>9.9795028046079925E-2</v>
      </c>
      <c r="Q119" s="116">
        <f t="shared" si="21"/>
        <v>7.8853154819466392E-2</v>
      </c>
      <c r="R119" s="116">
        <f t="shared" si="21"/>
        <v>6.2364661065632265E-2</v>
      </c>
      <c r="S119" s="116">
        <f t="shared" si="21"/>
        <v>4.9254324133176541E-2</v>
      </c>
      <c r="T119" s="116">
        <f t="shared" si="21"/>
        <v>3.8930996215934904E-2</v>
      </c>
      <c r="U119" s="116">
        <f t="shared" si="21"/>
        <v>3.0732753891564393E-2</v>
      </c>
      <c r="V119" s="116">
        <f t="shared" si="21"/>
        <v>2.4251643827333799E-2</v>
      </c>
      <c r="W119" s="116">
        <f t="shared" si="21"/>
        <v>1.911873024325637E-2</v>
      </c>
      <c r="X119" s="116">
        <f t="shared" si="21"/>
        <v>1.505962594685218E-2</v>
      </c>
      <c r="Y119" s="116">
        <f t="shared" si="21"/>
        <v>3.7216771353503777</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0" t="s">
        <v>305</v>
      </c>
      <c r="B120" s="10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1" t="str">
        <f>C8</f>
        <v>Showerheads-Retro</v>
      </c>
      <c r="E121" s="92">
        <f>E84</f>
        <v>2016</v>
      </c>
      <c r="F121" s="92">
        <f t="shared" ref="F121:Y121" si="22">F84</f>
        <v>2017</v>
      </c>
      <c r="G121" s="92">
        <f t="shared" si="22"/>
        <v>2018</v>
      </c>
      <c r="H121" s="92">
        <f t="shared" si="22"/>
        <v>2019</v>
      </c>
      <c r="I121" s="92">
        <f t="shared" si="22"/>
        <v>2020</v>
      </c>
      <c r="J121" s="92">
        <f t="shared" si="22"/>
        <v>2021</v>
      </c>
      <c r="K121" s="92">
        <f t="shared" si="22"/>
        <v>2022</v>
      </c>
      <c r="L121" s="92">
        <f t="shared" si="22"/>
        <v>2023</v>
      </c>
      <c r="M121" s="92">
        <f t="shared" si="22"/>
        <v>2024</v>
      </c>
      <c r="N121" s="92">
        <f t="shared" si="22"/>
        <v>2025</v>
      </c>
      <c r="O121" s="92">
        <f t="shared" si="22"/>
        <v>2026</v>
      </c>
      <c r="P121" s="92">
        <f t="shared" si="22"/>
        <v>2027</v>
      </c>
      <c r="Q121" s="92">
        <f t="shared" si="22"/>
        <v>2028</v>
      </c>
      <c r="R121" s="92">
        <f t="shared" si="22"/>
        <v>2029</v>
      </c>
      <c r="S121" s="92">
        <f t="shared" si="22"/>
        <v>2030</v>
      </c>
      <c r="T121" s="92">
        <f t="shared" si="22"/>
        <v>2031</v>
      </c>
      <c r="U121" s="92">
        <f t="shared" si="22"/>
        <v>2032</v>
      </c>
      <c r="V121" s="92">
        <f t="shared" si="22"/>
        <v>2033</v>
      </c>
      <c r="W121" s="92">
        <f t="shared" si="22"/>
        <v>2034</v>
      </c>
      <c r="X121" s="92">
        <f t="shared" si="22"/>
        <v>2035</v>
      </c>
      <c r="Y121" s="92" t="str">
        <f t="shared" si="22"/>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3" t="str">
        <f>CONCATENATE("aMW_",E$11)</f>
        <v>aMW_2016</v>
      </c>
      <c r="F122" s="93" t="str">
        <f t="shared" ref="F122:Y122" si="23">CONCATENATE("aMW_",F$11)</f>
        <v>aMW_2017</v>
      </c>
      <c r="G122" s="93" t="str">
        <f t="shared" si="23"/>
        <v>aMW_2018</v>
      </c>
      <c r="H122" s="93" t="str">
        <f t="shared" si="23"/>
        <v>aMW_2019</v>
      </c>
      <c r="I122" s="93" t="str">
        <f t="shared" si="23"/>
        <v>aMW_2020</v>
      </c>
      <c r="J122" s="93" t="str">
        <f t="shared" si="23"/>
        <v>aMW_2021</v>
      </c>
      <c r="K122" s="93" t="str">
        <f t="shared" si="23"/>
        <v>aMW_2022</v>
      </c>
      <c r="L122" s="93" t="str">
        <f t="shared" si="23"/>
        <v>aMW_2023</v>
      </c>
      <c r="M122" s="93" t="str">
        <f t="shared" si="23"/>
        <v>aMW_2024</v>
      </c>
      <c r="N122" s="93" t="str">
        <f t="shared" si="23"/>
        <v>aMW_2025</v>
      </c>
      <c r="O122" s="93" t="str">
        <f t="shared" si="23"/>
        <v>aMW_2026</v>
      </c>
      <c r="P122" s="93" t="str">
        <f t="shared" si="23"/>
        <v>aMW_2027</v>
      </c>
      <c r="Q122" s="93" t="str">
        <f t="shared" si="23"/>
        <v>aMW_2028</v>
      </c>
      <c r="R122" s="93" t="str">
        <f t="shared" si="23"/>
        <v>aMW_2029</v>
      </c>
      <c r="S122" s="93" t="str">
        <f t="shared" si="23"/>
        <v>aMW_2030</v>
      </c>
      <c r="T122" s="93" t="str">
        <f t="shared" si="23"/>
        <v>aMW_2031</v>
      </c>
      <c r="U122" s="93" t="str">
        <f t="shared" si="23"/>
        <v>aMW_2032</v>
      </c>
      <c r="V122" s="93" t="str">
        <f t="shared" si="23"/>
        <v>aMW_2033</v>
      </c>
      <c r="W122" s="93" t="str">
        <f t="shared" si="23"/>
        <v>aMW_2034</v>
      </c>
      <c r="X122" s="93" t="str">
        <f t="shared" si="23"/>
        <v>aMW_2035</v>
      </c>
      <c r="Y122" s="93" t="str">
        <f t="shared" si="23"/>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0" t="s">
        <v>51</v>
      </c>
      <c r="E123" s="95">
        <f t="shared" ref="E123:Y123" si="24">E86</f>
        <v>0.90512381254678631</v>
      </c>
      <c r="F123" s="95">
        <f t="shared" si="24"/>
        <v>0.64789075073111102</v>
      </c>
      <c r="G123" s="95">
        <f t="shared" si="24"/>
        <v>0.45613631046977859</v>
      </c>
      <c r="H123" s="95">
        <f t="shared" si="24"/>
        <v>0.36057724159186788</v>
      </c>
      <c r="I123" s="95">
        <f t="shared" si="24"/>
        <v>0.32023292091043759</v>
      </c>
      <c r="J123" s="95">
        <f t="shared" si="24"/>
        <v>0.27983232447748718</v>
      </c>
      <c r="K123" s="95">
        <f t="shared" si="24"/>
        <v>0.24208839104780708</v>
      </c>
      <c r="L123" s="95">
        <f t="shared" si="24"/>
        <v>0.20770549797169885</v>
      </c>
      <c r="M123" s="95">
        <f t="shared" si="24"/>
        <v>0.17698829464129728</v>
      </c>
      <c r="N123" s="95">
        <f t="shared" si="24"/>
        <v>0.15003980281690857</v>
      </c>
      <c r="O123" s="95">
        <f t="shared" si="24"/>
        <v>0.12655955170217753</v>
      </c>
      <c r="P123" s="95">
        <f t="shared" si="24"/>
        <v>9.9795028046079925E-2</v>
      </c>
      <c r="Q123" s="95">
        <f t="shared" si="24"/>
        <v>7.8853154819466392E-2</v>
      </c>
      <c r="R123" s="95">
        <f t="shared" si="24"/>
        <v>6.2364661065632265E-2</v>
      </c>
      <c r="S123" s="95">
        <f t="shared" si="24"/>
        <v>4.9254324133176541E-2</v>
      </c>
      <c r="T123" s="95">
        <f t="shared" si="24"/>
        <v>3.8930996215934904E-2</v>
      </c>
      <c r="U123" s="95">
        <f t="shared" si="24"/>
        <v>3.0732753891564393E-2</v>
      </c>
      <c r="V123" s="95">
        <f t="shared" si="24"/>
        <v>2.4251643827333799E-2</v>
      </c>
      <c r="W123" s="95">
        <f t="shared" si="24"/>
        <v>1.911873024325637E-2</v>
      </c>
      <c r="X123" s="95">
        <f t="shared" si="24"/>
        <v>1.505962594685218E-2</v>
      </c>
      <c r="Y123" s="95">
        <f t="shared" si="24"/>
        <v>3.7216771353503777</v>
      </c>
      <c r="Z123" s="154"/>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0" t="s">
        <v>52</v>
      </c>
      <c r="E124" s="95">
        <f t="shared" ref="E124:Y136" si="25">E87-E86</f>
        <v>0</v>
      </c>
      <c r="F124" s="95">
        <f t="shared" si="25"/>
        <v>0</v>
      </c>
      <c r="G124" s="95">
        <f t="shared" si="25"/>
        <v>0</v>
      </c>
      <c r="H124" s="95">
        <f t="shared" si="25"/>
        <v>0</v>
      </c>
      <c r="I124" s="95">
        <f t="shared" si="25"/>
        <v>0</v>
      </c>
      <c r="J124" s="95">
        <f t="shared" si="25"/>
        <v>0</v>
      </c>
      <c r="K124" s="95">
        <f t="shared" si="25"/>
        <v>0</v>
      </c>
      <c r="L124" s="95">
        <f t="shared" si="25"/>
        <v>0</v>
      </c>
      <c r="M124" s="95">
        <f t="shared" si="25"/>
        <v>0</v>
      </c>
      <c r="N124" s="95">
        <f t="shared" si="25"/>
        <v>0</v>
      </c>
      <c r="O124" s="95">
        <f t="shared" si="25"/>
        <v>0</v>
      </c>
      <c r="P124" s="95">
        <f t="shared" si="25"/>
        <v>0</v>
      </c>
      <c r="Q124" s="95">
        <f t="shared" si="25"/>
        <v>0</v>
      </c>
      <c r="R124" s="95">
        <f t="shared" si="25"/>
        <v>0</v>
      </c>
      <c r="S124" s="95">
        <f t="shared" si="25"/>
        <v>0</v>
      </c>
      <c r="T124" s="95">
        <f t="shared" si="25"/>
        <v>0</v>
      </c>
      <c r="U124" s="95">
        <f t="shared" si="25"/>
        <v>0</v>
      </c>
      <c r="V124" s="95">
        <f t="shared" si="25"/>
        <v>0</v>
      </c>
      <c r="W124" s="95">
        <f t="shared" si="25"/>
        <v>0</v>
      </c>
      <c r="X124" s="95">
        <f t="shared" si="25"/>
        <v>0</v>
      </c>
      <c r="Y124" s="95">
        <f t="shared" si="25"/>
        <v>0</v>
      </c>
      <c r="Z124" s="15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0" t="s">
        <v>53</v>
      </c>
      <c r="E125" s="95">
        <f t="shared" si="25"/>
        <v>0</v>
      </c>
      <c r="F125" s="95">
        <f t="shared" si="25"/>
        <v>0</v>
      </c>
      <c r="G125" s="95">
        <f t="shared" si="25"/>
        <v>0</v>
      </c>
      <c r="H125" s="95">
        <f t="shared" si="25"/>
        <v>0</v>
      </c>
      <c r="I125" s="95">
        <f t="shared" si="25"/>
        <v>0</v>
      </c>
      <c r="J125" s="95">
        <f t="shared" si="25"/>
        <v>0</v>
      </c>
      <c r="K125" s="95">
        <f t="shared" si="25"/>
        <v>0</v>
      </c>
      <c r="L125" s="95">
        <f t="shared" si="25"/>
        <v>0</v>
      </c>
      <c r="M125" s="95">
        <f t="shared" si="25"/>
        <v>0</v>
      </c>
      <c r="N125" s="95">
        <f t="shared" si="25"/>
        <v>0</v>
      </c>
      <c r="O125" s="95">
        <f t="shared" si="25"/>
        <v>0</v>
      </c>
      <c r="P125" s="95">
        <f t="shared" si="25"/>
        <v>0</v>
      </c>
      <c r="Q125" s="95">
        <f t="shared" si="25"/>
        <v>0</v>
      </c>
      <c r="R125" s="95">
        <f t="shared" si="25"/>
        <v>0</v>
      </c>
      <c r="S125" s="95">
        <f t="shared" si="25"/>
        <v>0</v>
      </c>
      <c r="T125" s="95">
        <f t="shared" si="25"/>
        <v>0</v>
      </c>
      <c r="U125" s="95">
        <f t="shared" si="25"/>
        <v>0</v>
      </c>
      <c r="V125" s="95">
        <f t="shared" si="25"/>
        <v>0</v>
      </c>
      <c r="W125" s="95">
        <f t="shared" si="25"/>
        <v>0</v>
      </c>
      <c r="X125" s="95">
        <f t="shared" si="25"/>
        <v>0</v>
      </c>
      <c r="Y125" s="95">
        <f t="shared" si="25"/>
        <v>0</v>
      </c>
      <c r="Z125" s="154"/>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0" t="s">
        <v>54</v>
      </c>
      <c r="E126" s="95">
        <f t="shared" si="25"/>
        <v>0</v>
      </c>
      <c r="F126" s="95">
        <f t="shared" si="25"/>
        <v>0</v>
      </c>
      <c r="G126" s="95">
        <f t="shared" si="25"/>
        <v>0</v>
      </c>
      <c r="H126" s="95">
        <f t="shared" si="25"/>
        <v>0</v>
      </c>
      <c r="I126" s="95">
        <f t="shared" si="25"/>
        <v>0</v>
      </c>
      <c r="J126" s="95">
        <f t="shared" si="25"/>
        <v>0</v>
      </c>
      <c r="K126" s="95">
        <f t="shared" si="25"/>
        <v>0</v>
      </c>
      <c r="L126" s="95">
        <f t="shared" si="25"/>
        <v>0</v>
      </c>
      <c r="M126" s="95">
        <f t="shared" si="25"/>
        <v>0</v>
      </c>
      <c r="N126" s="95">
        <f t="shared" si="25"/>
        <v>0</v>
      </c>
      <c r="O126" s="95">
        <f t="shared" si="25"/>
        <v>0</v>
      </c>
      <c r="P126" s="95">
        <f t="shared" si="25"/>
        <v>0</v>
      </c>
      <c r="Q126" s="95">
        <f t="shared" si="25"/>
        <v>0</v>
      </c>
      <c r="R126" s="95">
        <f t="shared" si="25"/>
        <v>0</v>
      </c>
      <c r="S126" s="95">
        <f t="shared" si="25"/>
        <v>0</v>
      </c>
      <c r="T126" s="95">
        <f t="shared" si="25"/>
        <v>0</v>
      </c>
      <c r="U126" s="95">
        <f t="shared" si="25"/>
        <v>0</v>
      </c>
      <c r="V126" s="95">
        <f t="shared" si="25"/>
        <v>0</v>
      </c>
      <c r="W126" s="95">
        <f t="shared" si="25"/>
        <v>0</v>
      </c>
      <c r="X126" s="95">
        <f t="shared" si="25"/>
        <v>0</v>
      </c>
      <c r="Y126" s="95">
        <f t="shared" si="25"/>
        <v>0</v>
      </c>
      <c r="Z126" s="154"/>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0" t="s">
        <v>55</v>
      </c>
      <c r="E127" s="95">
        <f t="shared" si="25"/>
        <v>0</v>
      </c>
      <c r="F127" s="95">
        <f t="shared" si="25"/>
        <v>0</v>
      </c>
      <c r="G127" s="95">
        <f t="shared" si="25"/>
        <v>0</v>
      </c>
      <c r="H127" s="95">
        <f t="shared" si="25"/>
        <v>0</v>
      </c>
      <c r="I127" s="95">
        <f t="shared" si="25"/>
        <v>0</v>
      </c>
      <c r="J127" s="95">
        <f t="shared" si="25"/>
        <v>0</v>
      </c>
      <c r="K127" s="95">
        <f t="shared" si="25"/>
        <v>0</v>
      </c>
      <c r="L127" s="95">
        <f t="shared" si="25"/>
        <v>0</v>
      </c>
      <c r="M127" s="95">
        <f t="shared" si="25"/>
        <v>0</v>
      </c>
      <c r="N127" s="95">
        <f t="shared" si="25"/>
        <v>0</v>
      </c>
      <c r="O127" s="95">
        <f t="shared" si="25"/>
        <v>0</v>
      </c>
      <c r="P127" s="95">
        <f t="shared" si="25"/>
        <v>0</v>
      </c>
      <c r="Q127" s="95">
        <f t="shared" si="25"/>
        <v>0</v>
      </c>
      <c r="R127" s="95">
        <f t="shared" si="25"/>
        <v>0</v>
      </c>
      <c r="S127" s="95">
        <f t="shared" si="25"/>
        <v>0</v>
      </c>
      <c r="T127" s="95">
        <f t="shared" si="25"/>
        <v>0</v>
      </c>
      <c r="U127" s="95">
        <f t="shared" si="25"/>
        <v>0</v>
      </c>
      <c r="V127" s="95">
        <f t="shared" si="25"/>
        <v>0</v>
      </c>
      <c r="W127" s="95">
        <f t="shared" si="25"/>
        <v>0</v>
      </c>
      <c r="X127" s="95">
        <f t="shared" si="25"/>
        <v>0</v>
      </c>
      <c r="Y127" s="95">
        <f t="shared" si="25"/>
        <v>0</v>
      </c>
      <c r="Z127" s="154"/>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0" t="s">
        <v>56</v>
      </c>
      <c r="E128" s="95">
        <f t="shared" si="25"/>
        <v>0</v>
      </c>
      <c r="F128" s="95">
        <f t="shared" si="25"/>
        <v>0</v>
      </c>
      <c r="G128" s="95">
        <f t="shared" si="25"/>
        <v>0</v>
      </c>
      <c r="H128" s="95">
        <f t="shared" si="25"/>
        <v>0</v>
      </c>
      <c r="I128" s="95">
        <f t="shared" si="25"/>
        <v>0</v>
      </c>
      <c r="J128" s="95">
        <f t="shared" si="25"/>
        <v>0</v>
      </c>
      <c r="K128" s="95">
        <f t="shared" si="25"/>
        <v>0</v>
      </c>
      <c r="L128" s="95">
        <f t="shared" si="25"/>
        <v>0</v>
      </c>
      <c r="M128" s="95">
        <f t="shared" si="25"/>
        <v>0</v>
      </c>
      <c r="N128" s="95">
        <f t="shared" si="25"/>
        <v>0</v>
      </c>
      <c r="O128" s="95">
        <f t="shared" si="25"/>
        <v>0</v>
      </c>
      <c r="P128" s="95">
        <f t="shared" si="25"/>
        <v>0</v>
      </c>
      <c r="Q128" s="95">
        <f t="shared" si="25"/>
        <v>0</v>
      </c>
      <c r="R128" s="95">
        <f t="shared" si="25"/>
        <v>0</v>
      </c>
      <c r="S128" s="95">
        <f t="shared" si="25"/>
        <v>0</v>
      </c>
      <c r="T128" s="95">
        <f t="shared" si="25"/>
        <v>0</v>
      </c>
      <c r="U128" s="95">
        <f t="shared" si="25"/>
        <v>0</v>
      </c>
      <c r="V128" s="95">
        <f t="shared" si="25"/>
        <v>0</v>
      </c>
      <c r="W128" s="95">
        <f t="shared" si="25"/>
        <v>0</v>
      </c>
      <c r="X128" s="95">
        <f t="shared" si="25"/>
        <v>0</v>
      </c>
      <c r="Y128" s="95">
        <f t="shared" si="25"/>
        <v>0</v>
      </c>
      <c r="Z128" s="154"/>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0" t="s">
        <v>57</v>
      </c>
      <c r="E129" s="95">
        <f t="shared" si="25"/>
        <v>0</v>
      </c>
      <c r="F129" s="95">
        <f t="shared" si="25"/>
        <v>0</v>
      </c>
      <c r="G129" s="95">
        <f t="shared" si="25"/>
        <v>0</v>
      </c>
      <c r="H129" s="95">
        <f t="shared" si="25"/>
        <v>0</v>
      </c>
      <c r="I129" s="95">
        <f t="shared" si="25"/>
        <v>0</v>
      </c>
      <c r="J129" s="95">
        <f t="shared" si="25"/>
        <v>0</v>
      </c>
      <c r="K129" s="95">
        <f t="shared" si="25"/>
        <v>0</v>
      </c>
      <c r="L129" s="95">
        <f t="shared" si="25"/>
        <v>0</v>
      </c>
      <c r="M129" s="95">
        <f t="shared" si="25"/>
        <v>0</v>
      </c>
      <c r="N129" s="95">
        <f t="shared" si="25"/>
        <v>0</v>
      </c>
      <c r="O129" s="95">
        <f t="shared" si="25"/>
        <v>0</v>
      </c>
      <c r="P129" s="95">
        <f t="shared" si="25"/>
        <v>0</v>
      </c>
      <c r="Q129" s="95">
        <f t="shared" si="25"/>
        <v>0</v>
      </c>
      <c r="R129" s="95">
        <f t="shared" si="25"/>
        <v>0</v>
      </c>
      <c r="S129" s="95">
        <f t="shared" si="25"/>
        <v>0</v>
      </c>
      <c r="T129" s="95">
        <f t="shared" si="25"/>
        <v>0</v>
      </c>
      <c r="U129" s="95">
        <f t="shared" si="25"/>
        <v>0</v>
      </c>
      <c r="V129" s="95">
        <f t="shared" si="25"/>
        <v>0</v>
      </c>
      <c r="W129" s="95">
        <f t="shared" si="25"/>
        <v>0</v>
      </c>
      <c r="X129" s="95">
        <f t="shared" si="25"/>
        <v>0</v>
      </c>
      <c r="Y129" s="95">
        <f t="shared" si="25"/>
        <v>0</v>
      </c>
      <c r="Z129" s="154"/>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0" t="s">
        <v>58</v>
      </c>
      <c r="E130" s="95">
        <f t="shared" si="25"/>
        <v>0</v>
      </c>
      <c r="F130" s="95">
        <f t="shared" si="25"/>
        <v>0</v>
      </c>
      <c r="G130" s="95">
        <f t="shared" si="25"/>
        <v>0</v>
      </c>
      <c r="H130" s="95">
        <f t="shared" si="25"/>
        <v>0</v>
      </c>
      <c r="I130" s="95">
        <f t="shared" si="25"/>
        <v>0</v>
      </c>
      <c r="J130" s="95">
        <f t="shared" si="25"/>
        <v>0</v>
      </c>
      <c r="K130" s="95">
        <f t="shared" si="25"/>
        <v>0</v>
      </c>
      <c r="L130" s="95">
        <f t="shared" si="25"/>
        <v>0</v>
      </c>
      <c r="M130" s="95">
        <f t="shared" si="25"/>
        <v>0</v>
      </c>
      <c r="N130" s="95">
        <f t="shared" si="25"/>
        <v>0</v>
      </c>
      <c r="O130" s="95">
        <f t="shared" si="25"/>
        <v>0</v>
      </c>
      <c r="P130" s="95">
        <f t="shared" si="25"/>
        <v>0</v>
      </c>
      <c r="Q130" s="95">
        <f t="shared" si="25"/>
        <v>0</v>
      </c>
      <c r="R130" s="95">
        <f t="shared" si="25"/>
        <v>0</v>
      </c>
      <c r="S130" s="95">
        <f t="shared" si="25"/>
        <v>0</v>
      </c>
      <c r="T130" s="95">
        <f t="shared" si="25"/>
        <v>0</v>
      </c>
      <c r="U130" s="95">
        <f t="shared" si="25"/>
        <v>0</v>
      </c>
      <c r="V130" s="95">
        <f t="shared" si="25"/>
        <v>0</v>
      </c>
      <c r="W130" s="95">
        <f t="shared" si="25"/>
        <v>0</v>
      </c>
      <c r="X130" s="95">
        <f t="shared" si="25"/>
        <v>0</v>
      </c>
      <c r="Y130" s="95">
        <f t="shared" si="25"/>
        <v>0</v>
      </c>
      <c r="Z130" s="154"/>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0" t="s">
        <v>59</v>
      </c>
      <c r="E131" s="95">
        <f t="shared" si="25"/>
        <v>0</v>
      </c>
      <c r="F131" s="95">
        <f t="shared" si="25"/>
        <v>0</v>
      </c>
      <c r="G131" s="95">
        <f t="shared" si="25"/>
        <v>0</v>
      </c>
      <c r="H131" s="95">
        <f t="shared" si="25"/>
        <v>0</v>
      </c>
      <c r="I131" s="95">
        <f t="shared" si="25"/>
        <v>0</v>
      </c>
      <c r="J131" s="95">
        <f t="shared" si="25"/>
        <v>0</v>
      </c>
      <c r="K131" s="95">
        <f t="shared" si="25"/>
        <v>0</v>
      </c>
      <c r="L131" s="95">
        <f t="shared" si="25"/>
        <v>0</v>
      </c>
      <c r="M131" s="95">
        <f t="shared" si="25"/>
        <v>0</v>
      </c>
      <c r="N131" s="95">
        <f t="shared" si="25"/>
        <v>0</v>
      </c>
      <c r="O131" s="95">
        <f t="shared" si="25"/>
        <v>0</v>
      </c>
      <c r="P131" s="95">
        <f t="shared" si="25"/>
        <v>0</v>
      </c>
      <c r="Q131" s="95">
        <f t="shared" si="25"/>
        <v>0</v>
      </c>
      <c r="R131" s="95">
        <f t="shared" si="25"/>
        <v>0</v>
      </c>
      <c r="S131" s="95">
        <f t="shared" si="25"/>
        <v>0</v>
      </c>
      <c r="T131" s="95">
        <f t="shared" si="25"/>
        <v>0</v>
      </c>
      <c r="U131" s="95">
        <f t="shared" si="25"/>
        <v>0</v>
      </c>
      <c r="V131" s="95">
        <f t="shared" si="25"/>
        <v>0</v>
      </c>
      <c r="W131" s="95">
        <f t="shared" si="25"/>
        <v>0</v>
      </c>
      <c r="X131" s="95">
        <f t="shared" si="25"/>
        <v>0</v>
      </c>
      <c r="Y131" s="95">
        <f t="shared" si="25"/>
        <v>0</v>
      </c>
      <c r="Z131" s="154"/>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0" t="s">
        <v>60</v>
      </c>
      <c r="E132" s="95">
        <f t="shared" si="25"/>
        <v>0</v>
      </c>
      <c r="F132" s="95">
        <f t="shared" si="25"/>
        <v>0</v>
      </c>
      <c r="G132" s="95">
        <f t="shared" si="25"/>
        <v>0</v>
      </c>
      <c r="H132" s="95">
        <f t="shared" si="25"/>
        <v>0</v>
      </c>
      <c r="I132" s="95">
        <f t="shared" si="25"/>
        <v>0</v>
      </c>
      <c r="J132" s="95">
        <f t="shared" si="25"/>
        <v>0</v>
      </c>
      <c r="K132" s="95">
        <f t="shared" si="25"/>
        <v>0</v>
      </c>
      <c r="L132" s="95">
        <f t="shared" si="25"/>
        <v>0</v>
      </c>
      <c r="M132" s="95">
        <f t="shared" si="25"/>
        <v>0</v>
      </c>
      <c r="N132" s="95">
        <f t="shared" si="25"/>
        <v>0</v>
      </c>
      <c r="O132" s="95">
        <f t="shared" si="25"/>
        <v>0</v>
      </c>
      <c r="P132" s="95">
        <f t="shared" si="25"/>
        <v>0</v>
      </c>
      <c r="Q132" s="95">
        <f t="shared" si="25"/>
        <v>0</v>
      </c>
      <c r="R132" s="95">
        <f t="shared" si="25"/>
        <v>0</v>
      </c>
      <c r="S132" s="95">
        <f t="shared" si="25"/>
        <v>0</v>
      </c>
      <c r="T132" s="95">
        <f t="shared" si="25"/>
        <v>0</v>
      </c>
      <c r="U132" s="95">
        <f t="shared" si="25"/>
        <v>0</v>
      </c>
      <c r="V132" s="95">
        <f t="shared" si="25"/>
        <v>0</v>
      </c>
      <c r="W132" s="95">
        <f t="shared" si="25"/>
        <v>0</v>
      </c>
      <c r="X132" s="95">
        <f t="shared" si="25"/>
        <v>0</v>
      </c>
      <c r="Y132" s="95">
        <f t="shared" si="25"/>
        <v>0</v>
      </c>
      <c r="Z132" s="154"/>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0" t="s">
        <v>61</v>
      </c>
      <c r="E133" s="95">
        <f t="shared" si="25"/>
        <v>0</v>
      </c>
      <c r="F133" s="95">
        <f t="shared" si="25"/>
        <v>0</v>
      </c>
      <c r="G133" s="95">
        <f t="shared" si="25"/>
        <v>0</v>
      </c>
      <c r="H133" s="95">
        <f t="shared" si="25"/>
        <v>0</v>
      </c>
      <c r="I133" s="95">
        <f t="shared" si="25"/>
        <v>0</v>
      </c>
      <c r="J133" s="95">
        <f t="shared" si="25"/>
        <v>0</v>
      </c>
      <c r="K133" s="95">
        <f t="shared" si="25"/>
        <v>0</v>
      </c>
      <c r="L133" s="95">
        <f t="shared" si="25"/>
        <v>0</v>
      </c>
      <c r="M133" s="95">
        <f t="shared" si="25"/>
        <v>0</v>
      </c>
      <c r="N133" s="95">
        <f t="shared" si="25"/>
        <v>0</v>
      </c>
      <c r="O133" s="95">
        <f t="shared" si="25"/>
        <v>0</v>
      </c>
      <c r="P133" s="95">
        <f t="shared" si="25"/>
        <v>0</v>
      </c>
      <c r="Q133" s="95">
        <f t="shared" si="25"/>
        <v>0</v>
      </c>
      <c r="R133" s="95">
        <f t="shared" si="25"/>
        <v>0</v>
      </c>
      <c r="S133" s="95">
        <f t="shared" si="25"/>
        <v>0</v>
      </c>
      <c r="T133" s="95">
        <f t="shared" si="25"/>
        <v>0</v>
      </c>
      <c r="U133" s="95">
        <f t="shared" si="25"/>
        <v>0</v>
      </c>
      <c r="V133" s="95">
        <f t="shared" si="25"/>
        <v>0</v>
      </c>
      <c r="W133" s="95">
        <f t="shared" si="25"/>
        <v>0</v>
      </c>
      <c r="X133" s="95">
        <f t="shared" si="25"/>
        <v>0</v>
      </c>
      <c r="Y133" s="95">
        <f t="shared" si="25"/>
        <v>0</v>
      </c>
      <c r="Z133" s="154"/>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0" t="s">
        <v>62</v>
      </c>
      <c r="E134" s="95">
        <f t="shared" si="25"/>
        <v>0</v>
      </c>
      <c r="F134" s="95">
        <f t="shared" si="25"/>
        <v>0</v>
      </c>
      <c r="G134" s="95">
        <f t="shared" si="25"/>
        <v>0</v>
      </c>
      <c r="H134" s="95">
        <f t="shared" si="25"/>
        <v>0</v>
      </c>
      <c r="I134" s="95">
        <f t="shared" si="25"/>
        <v>0</v>
      </c>
      <c r="J134" s="95">
        <f t="shared" si="25"/>
        <v>0</v>
      </c>
      <c r="K134" s="95">
        <f t="shared" si="25"/>
        <v>0</v>
      </c>
      <c r="L134" s="95">
        <f t="shared" si="25"/>
        <v>0</v>
      </c>
      <c r="M134" s="95">
        <f t="shared" si="25"/>
        <v>0</v>
      </c>
      <c r="N134" s="95">
        <f t="shared" si="25"/>
        <v>0</v>
      </c>
      <c r="O134" s="95">
        <f t="shared" si="25"/>
        <v>0</v>
      </c>
      <c r="P134" s="95">
        <f t="shared" si="25"/>
        <v>0</v>
      </c>
      <c r="Q134" s="95">
        <f t="shared" si="25"/>
        <v>0</v>
      </c>
      <c r="R134" s="95">
        <f t="shared" si="25"/>
        <v>0</v>
      </c>
      <c r="S134" s="95">
        <f t="shared" si="25"/>
        <v>0</v>
      </c>
      <c r="T134" s="95">
        <f t="shared" si="25"/>
        <v>0</v>
      </c>
      <c r="U134" s="95">
        <f t="shared" si="25"/>
        <v>0</v>
      </c>
      <c r="V134" s="95">
        <f t="shared" si="25"/>
        <v>0</v>
      </c>
      <c r="W134" s="95">
        <f t="shared" si="25"/>
        <v>0</v>
      </c>
      <c r="X134" s="95">
        <f t="shared" si="25"/>
        <v>0</v>
      </c>
      <c r="Y134" s="95">
        <f t="shared" si="25"/>
        <v>0</v>
      </c>
      <c r="Z134" s="15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0" t="s">
        <v>63</v>
      </c>
      <c r="E135" s="95">
        <f t="shared" si="25"/>
        <v>0</v>
      </c>
      <c r="F135" s="95">
        <f t="shared" si="25"/>
        <v>0</v>
      </c>
      <c r="G135" s="95">
        <f t="shared" si="25"/>
        <v>0</v>
      </c>
      <c r="H135" s="95">
        <f t="shared" si="25"/>
        <v>0</v>
      </c>
      <c r="I135" s="95">
        <f t="shared" si="25"/>
        <v>0</v>
      </c>
      <c r="J135" s="95">
        <f t="shared" si="25"/>
        <v>0</v>
      </c>
      <c r="K135" s="95">
        <f t="shared" si="25"/>
        <v>0</v>
      </c>
      <c r="L135" s="95">
        <f t="shared" si="25"/>
        <v>0</v>
      </c>
      <c r="M135" s="95">
        <f t="shared" si="25"/>
        <v>0</v>
      </c>
      <c r="N135" s="95">
        <f t="shared" si="25"/>
        <v>0</v>
      </c>
      <c r="O135" s="95">
        <f t="shared" si="25"/>
        <v>0</v>
      </c>
      <c r="P135" s="95">
        <f t="shared" si="25"/>
        <v>0</v>
      </c>
      <c r="Q135" s="95">
        <f t="shared" si="25"/>
        <v>0</v>
      </c>
      <c r="R135" s="95">
        <f t="shared" si="25"/>
        <v>0</v>
      </c>
      <c r="S135" s="95">
        <f t="shared" si="25"/>
        <v>0</v>
      </c>
      <c r="T135" s="95">
        <f t="shared" si="25"/>
        <v>0</v>
      </c>
      <c r="U135" s="95">
        <f t="shared" si="25"/>
        <v>0</v>
      </c>
      <c r="V135" s="95">
        <f t="shared" si="25"/>
        <v>0</v>
      </c>
      <c r="W135" s="95">
        <f t="shared" si="25"/>
        <v>0</v>
      </c>
      <c r="X135" s="95">
        <f t="shared" si="25"/>
        <v>0</v>
      </c>
      <c r="Y135" s="95">
        <f t="shared" si="25"/>
        <v>0</v>
      </c>
      <c r="Z135" s="154"/>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0" t="s">
        <v>64</v>
      </c>
      <c r="E136" s="95">
        <f t="shared" si="25"/>
        <v>0</v>
      </c>
      <c r="F136" s="95">
        <f t="shared" si="25"/>
        <v>0</v>
      </c>
      <c r="G136" s="95">
        <f t="shared" si="25"/>
        <v>0</v>
      </c>
      <c r="H136" s="95">
        <f t="shared" ref="H136:Y136" si="26">H99-H98</f>
        <v>0</v>
      </c>
      <c r="I136" s="95">
        <f t="shared" si="26"/>
        <v>0</v>
      </c>
      <c r="J136" s="95">
        <f t="shared" si="26"/>
        <v>0</v>
      </c>
      <c r="K136" s="95">
        <f t="shared" si="26"/>
        <v>0</v>
      </c>
      <c r="L136" s="95">
        <f t="shared" si="26"/>
        <v>0</v>
      </c>
      <c r="M136" s="95">
        <f t="shared" si="26"/>
        <v>0</v>
      </c>
      <c r="N136" s="95">
        <f t="shared" si="26"/>
        <v>0</v>
      </c>
      <c r="O136" s="95">
        <f t="shared" si="26"/>
        <v>0</v>
      </c>
      <c r="P136" s="95">
        <f t="shared" si="26"/>
        <v>0</v>
      </c>
      <c r="Q136" s="95">
        <f t="shared" si="26"/>
        <v>0</v>
      </c>
      <c r="R136" s="95">
        <f t="shared" si="26"/>
        <v>0</v>
      </c>
      <c r="S136" s="95">
        <f t="shared" si="26"/>
        <v>0</v>
      </c>
      <c r="T136" s="95">
        <f t="shared" si="26"/>
        <v>0</v>
      </c>
      <c r="U136" s="95">
        <f t="shared" si="26"/>
        <v>0</v>
      </c>
      <c r="V136" s="95">
        <f t="shared" si="26"/>
        <v>0</v>
      </c>
      <c r="W136" s="95">
        <f t="shared" si="26"/>
        <v>0</v>
      </c>
      <c r="X136" s="95">
        <f t="shared" si="26"/>
        <v>0</v>
      </c>
      <c r="Y136" s="95">
        <f t="shared" si="26"/>
        <v>0</v>
      </c>
      <c r="Z136" s="154"/>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0" t="s">
        <v>65</v>
      </c>
      <c r="E137" s="95">
        <f t="shared" ref="E137:Y149" si="27">E100-E99</f>
        <v>0</v>
      </c>
      <c r="F137" s="95">
        <f t="shared" si="27"/>
        <v>0</v>
      </c>
      <c r="G137" s="95">
        <f t="shared" si="27"/>
        <v>0</v>
      </c>
      <c r="H137" s="95">
        <f t="shared" si="27"/>
        <v>0</v>
      </c>
      <c r="I137" s="95">
        <f t="shared" si="27"/>
        <v>0</v>
      </c>
      <c r="J137" s="95">
        <f t="shared" si="27"/>
        <v>0</v>
      </c>
      <c r="K137" s="95">
        <f t="shared" si="27"/>
        <v>0</v>
      </c>
      <c r="L137" s="95">
        <f t="shared" si="27"/>
        <v>0</v>
      </c>
      <c r="M137" s="95">
        <f t="shared" si="27"/>
        <v>0</v>
      </c>
      <c r="N137" s="95">
        <f t="shared" si="27"/>
        <v>0</v>
      </c>
      <c r="O137" s="95">
        <f t="shared" si="27"/>
        <v>0</v>
      </c>
      <c r="P137" s="95">
        <f t="shared" si="27"/>
        <v>0</v>
      </c>
      <c r="Q137" s="95">
        <f t="shared" si="27"/>
        <v>0</v>
      </c>
      <c r="R137" s="95">
        <f t="shared" si="27"/>
        <v>0</v>
      </c>
      <c r="S137" s="95">
        <f t="shared" si="27"/>
        <v>0</v>
      </c>
      <c r="T137" s="95">
        <f t="shared" si="27"/>
        <v>0</v>
      </c>
      <c r="U137" s="95">
        <f t="shared" si="27"/>
        <v>0</v>
      </c>
      <c r="V137" s="95">
        <f t="shared" si="27"/>
        <v>0</v>
      </c>
      <c r="W137" s="95">
        <f t="shared" si="27"/>
        <v>0</v>
      </c>
      <c r="X137" s="95">
        <f t="shared" si="27"/>
        <v>0</v>
      </c>
      <c r="Y137" s="95">
        <f t="shared" si="27"/>
        <v>0</v>
      </c>
      <c r="Z137" s="154"/>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0" t="s">
        <v>66</v>
      </c>
      <c r="E138" s="95">
        <f t="shared" si="27"/>
        <v>0</v>
      </c>
      <c r="F138" s="95">
        <f t="shared" si="27"/>
        <v>0</v>
      </c>
      <c r="G138" s="95">
        <f t="shared" si="27"/>
        <v>0</v>
      </c>
      <c r="H138" s="95">
        <f t="shared" si="27"/>
        <v>0</v>
      </c>
      <c r="I138" s="95">
        <f t="shared" si="27"/>
        <v>0</v>
      </c>
      <c r="J138" s="95">
        <f t="shared" si="27"/>
        <v>0</v>
      </c>
      <c r="K138" s="95">
        <f t="shared" si="27"/>
        <v>0</v>
      </c>
      <c r="L138" s="95">
        <f t="shared" si="27"/>
        <v>0</v>
      </c>
      <c r="M138" s="95">
        <f t="shared" si="27"/>
        <v>0</v>
      </c>
      <c r="N138" s="95">
        <f t="shared" si="27"/>
        <v>0</v>
      </c>
      <c r="O138" s="95">
        <f t="shared" si="27"/>
        <v>0</v>
      </c>
      <c r="P138" s="95">
        <f t="shared" si="27"/>
        <v>0</v>
      </c>
      <c r="Q138" s="95">
        <f t="shared" si="27"/>
        <v>0</v>
      </c>
      <c r="R138" s="95">
        <f t="shared" si="27"/>
        <v>0</v>
      </c>
      <c r="S138" s="95">
        <f t="shared" si="27"/>
        <v>0</v>
      </c>
      <c r="T138" s="95">
        <f t="shared" si="27"/>
        <v>0</v>
      </c>
      <c r="U138" s="95">
        <f t="shared" si="27"/>
        <v>0</v>
      </c>
      <c r="V138" s="95">
        <f t="shared" si="27"/>
        <v>0</v>
      </c>
      <c r="W138" s="95">
        <f t="shared" si="27"/>
        <v>0</v>
      </c>
      <c r="X138" s="95">
        <f t="shared" si="27"/>
        <v>0</v>
      </c>
      <c r="Y138" s="95">
        <f t="shared" si="27"/>
        <v>0</v>
      </c>
      <c r="Z138" s="154"/>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0" t="s">
        <v>67</v>
      </c>
      <c r="E139" s="95">
        <f t="shared" si="27"/>
        <v>0</v>
      </c>
      <c r="F139" s="95">
        <f t="shared" si="27"/>
        <v>0</v>
      </c>
      <c r="G139" s="95">
        <f t="shared" si="27"/>
        <v>0</v>
      </c>
      <c r="H139" s="95">
        <f t="shared" si="27"/>
        <v>0</v>
      </c>
      <c r="I139" s="95">
        <f t="shared" si="27"/>
        <v>0</v>
      </c>
      <c r="J139" s="95">
        <f t="shared" si="27"/>
        <v>0</v>
      </c>
      <c r="K139" s="95">
        <f t="shared" si="27"/>
        <v>0</v>
      </c>
      <c r="L139" s="95">
        <f t="shared" si="27"/>
        <v>0</v>
      </c>
      <c r="M139" s="95">
        <f t="shared" si="27"/>
        <v>0</v>
      </c>
      <c r="N139" s="95">
        <f t="shared" si="27"/>
        <v>0</v>
      </c>
      <c r="O139" s="95">
        <f t="shared" si="27"/>
        <v>0</v>
      </c>
      <c r="P139" s="95">
        <f t="shared" si="27"/>
        <v>0</v>
      </c>
      <c r="Q139" s="95">
        <f t="shared" si="27"/>
        <v>0</v>
      </c>
      <c r="R139" s="95">
        <f t="shared" si="27"/>
        <v>0</v>
      </c>
      <c r="S139" s="95">
        <f t="shared" si="27"/>
        <v>0</v>
      </c>
      <c r="T139" s="95">
        <f t="shared" si="27"/>
        <v>0</v>
      </c>
      <c r="U139" s="95">
        <f t="shared" si="27"/>
        <v>0</v>
      </c>
      <c r="V139" s="95">
        <f t="shared" si="27"/>
        <v>0</v>
      </c>
      <c r="W139" s="95">
        <f t="shared" si="27"/>
        <v>0</v>
      </c>
      <c r="X139" s="95">
        <f t="shared" si="27"/>
        <v>0</v>
      </c>
      <c r="Y139" s="95">
        <f t="shared" si="27"/>
        <v>0</v>
      </c>
      <c r="Z139" s="154"/>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0" t="s">
        <v>68</v>
      </c>
      <c r="E140" s="95">
        <f t="shared" si="27"/>
        <v>0</v>
      </c>
      <c r="F140" s="95">
        <f t="shared" si="27"/>
        <v>0</v>
      </c>
      <c r="G140" s="95">
        <f t="shared" si="27"/>
        <v>0</v>
      </c>
      <c r="H140" s="95">
        <f t="shared" si="27"/>
        <v>0</v>
      </c>
      <c r="I140" s="95">
        <f t="shared" si="27"/>
        <v>0</v>
      </c>
      <c r="J140" s="95">
        <f t="shared" si="27"/>
        <v>0</v>
      </c>
      <c r="K140" s="95">
        <f t="shared" si="27"/>
        <v>0</v>
      </c>
      <c r="L140" s="95">
        <f t="shared" si="27"/>
        <v>0</v>
      </c>
      <c r="M140" s="95">
        <f t="shared" si="27"/>
        <v>0</v>
      </c>
      <c r="N140" s="95">
        <f t="shared" si="27"/>
        <v>0</v>
      </c>
      <c r="O140" s="95">
        <f t="shared" si="27"/>
        <v>0</v>
      </c>
      <c r="P140" s="95">
        <f t="shared" si="27"/>
        <v>0</v>
      </c>
      <c r="Q140" s="95">
        <f t="shared" si="27"/>
        <v>0</v>
      </c>
      <c r="R140" s="95">
        <f t="shared" si="27"/>
        <v>0</v>
      </c>
      <c r="S140" s="95">
        <f t="shared" si="27"/>
        <v>0</v>
      </c>
      <c r="T140" s="95">
        <f t="shared" si="27"/>
        <v>0</v>
      </c>
      <c r="U140" s="95">
        <f t="shared" si="27"/>
        <v>0</v>
      </c>
      <c r="V140" s="95">
        <f t="shared" si="27"/>
        <v>0</v>
      </c>
      <c r="W140" s="95">
        <f t="shared" si="27"/>
        <v>0</v>
      </c>
      <c r="X140" s="95">
        <f t="shared" si="27"/>
        <v>0</v>
      </c>
      <c r="Y140" s="95">
        <f t="shared" si="27"/>
        <v>0</v>
      </c>
      <c r="Z140" s="154"/>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0" t="s">
        <v>69</v>
      </c>
      <c r="E141" s="95">
        <f t="shared" si="27"/>
        <v>0</v>
      </c>
      <c r="F141" s="95">
        <f t="shared" si="27"/>
        <v>0</v>
      </c>
      <c r="G141" s="95">
        <f t="shared" si="27"/>
        <v>0</v>
      </c>
      <c r="H141" s="95">
        <f t="shared" si="27"/>
        <v>0</v>
      </c>
      <c r="I141" s="95">
        <f t="shared" si="27"/>
        <v>0</v>
      </c>
      <c r="J141" s="95">
        <f t="shared" si="27"/>
        <v>0</v>
      </c>
      <c r="K141" s="95">
        <f t="shared" si="27"/>
        <v>0</v>
      </c>
      <c r="L141" s="95">
        <f t="shared" si="27"/>
        <v>0</v>
      </c>
      <c r="M141" s="95">
        <f t="shared" si="27"/>
        <v>0</v>
      </c>
      <c r="N141" s="95">
        <f t="shared" si="27"/>
        <v>0</v>
      </c>
      <c r="O141" s="95">
        <f t="shared" si="27"/>
        <v>0</v>
      </c>
      <c r="P141" s="95">
        <f t="shared" si="27"/>
        <v>0</v>
      </c>
      <c r="Q141" s="95">
        <f t="shared" si="27"/>
        <v>0</v>
      </c>
      <c r="R141" s="95">
        <f t="shared" si="27"/>
        <v>0</v>
      </c>
      <c r="S141" s="95">
        <f t="shared" si="27"/>
        <v>0</v>
      </c>
      <c r="T141" s="95">
        <f t="shared" si="27"/>
        <v>0</v>
      </c>
      <c r="U141" s="95">
        <f t="shared" si="27"/>
        <v>0</v>
      </c>
      <c r="V141" s="95">
        <f t="shared" si="27"/>
        <v>0</v>
      </c>
      <c r="W141" s="95">
        <f t="shared" si="27"/>
        <v>0</v>
      </c>
      <c r="X141" s="95">
        <f t="shared" si="27"/>
        <v>0</v>
      </c>
      <c r="Y141" s="95">
        <f t="shared" si="27"/>
        <v>0</v>
      </c>
      <c r="Z141" s="154"/>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0" t="s">
        <v>70</v>
      </c>
      <c r="E142" s="95">
        <f t="shared" si="27"/>
        <v>0</v>
      </c>
      <c r="F142" s="95">
        <f t="shared" si="27"/>
        <v>0</v>
      </c>
      <c r="G142" s="95">
        <f t="shared" si="27"/>
        <v>0</v>
      </c>
      <c r="H142" s="95">
        <f t="shared" si="27"/>
        <v>0</v>
      </c>
      <c r="I142" s="95">
        <f t="shared" si="27"/>
        <v>0</v>
      </c>
      <c r="J142" s="95">
        <f t="shared" si="27"/>
        <v>0</v>
      </c>
      <c r="K142" s="95">
        <f t="shared" si="27"/>
        <v>0</v>
      </c>
      <c r="L142" s="95">
        <f t="shared" si="27"/>
        <v>0</v>
      </c>
      <c r="M142" s="95">
        <f t="shared" si="27"/>
        <v>0</v>
      </c>
      <c r="N142" s="95">
        <f t="shared" si="27"/>
        <v>0</v>
      </c>
      <c r="O142" s="95">
        <f t="shared" si="27"/>
        <v>0</v>
      </c>
      <c r="P142" s="95">
        <f t="shared" si="27"/>
        <v>0</v>
      </c>
      <c r="Q142" s="95">
        <f t="shared" si="27"/>
        <v>0</v>
      </c>
      <c r="R142" s="95">
        <f t="shared" si="27"/>
        <v>0</v>
      </c>
      <c r="S142" s="95">
        <f t="shared" si="27"/>
        <v>0</v>
      </c>
      <c r="T142" s="95">
        <f t="shared" si="27"/>
        <v>0</v>
      </c>
      <c r="U142" s="95">
        <f t="shared" si="27"/>
        <v>0</v>
      </c>
      <c r="V142" s="95">
        <f t="shared" si="27"/>
        <v>0</v>
      </c>
      <c r="W142" s="95">
        <f t="shared" si="27"/>
        <v>0</v>
      </c>
      <c r="X142" s="95">
        <f t="shared" si="27"/>
        <v>0</v>
      </c>
      <c r="Y142" s="95">
        <f t="shared" si="27"/>
        <v>0</v>
      </c>
      <c r="Z142" s="154"/>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0" t="s">
        <v>71</v>
      </c>
      <c r="E143" s="95">
        <f t="shared" si="27"/>
        <v>0</v>
      </c>
      <c r="F143" s="95">
        <f t="shared" si="27"/>
        <v>0</v>
      </c>
      <c r="G143" s="95">
        <f t="shared" si="27"/>
        <v>0</v>
      </c>
      <c r="H143" s="95">
        <f t="shared" si="27"/>
        <v>0</v>
      </c>
      <c r="I143" s="95">
        <f t="shared" si="27"/>
        <v>0</v>
      </c>
      <c r="J143" s="95">
        <f t="shared" si="27"/>
        <v>0</v>
      </c>
      <c r="K143" s="95">
        <f t="shared" si="27"/>
        <v>0</v>
      </c>
      <c r="L143" s="95">
        <f t="shared" si="27"/>
        <v>0</v>
      </c>
      <c r="M143" s="95">
        <f t="shared" si="27"/>
        <v>0</v>
      </c>
      <c r="N143" s="95">
        <f t="shared" si="27"/>
        <v>0</v>
      </c>
      <c r="O143" s="95">
        <f t="shared" si="27"/>
        <v>0</v>
      </c>
      <c r="P143" s="95">
        <f t="shared" si="27"/>
        <v>0</v>
      </c>
      <c r="Q143" s="95">
        <f t="shared" si="27"/>
        <v>0</v>
      </c>
      <c r="R143" s="95">
        <f t="shared" si="27"/>
        <v>0</v>
      </c>
      <c r="S143" s="95">
        <f t="shared" si="27"/>
        <v>0</v>
      </c>
      <c r="T143" s="95">
        <f t="shared" si="27"/>
        <v>0</v>
      </c>
      <c r="U143" s="95">
        <f t="shared" si="27"/>
        <v>0</v>
      </c>
      <c r="V143" s="95">
        <f t="shared" si="27"/>
        <v>0</v>
      </c>
      <c r="W143" s="95">
        <f t="shared" si="27"/>
        <v>0</v>
      </c>
      <c r="X143" s="95">
        <f t="shared" si="27"/>
        <v>0</v>
      </c>
      <c r="Y143" s="95">
        <f t="shared" si="27"/>
        <v>0</v>
      </c>
      <c r="Z143" s="154"/>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0" t="s">
        <v>332</v>
      </c>
      <c r="E144" s="95">
        <f t="shared" si="27"/>
        <v>0</v>
      </c>
      <c r="F144" s="95">
        <f t="shared" si="27"/>
        <v>0</v>
      </c>
      <c r="G144" s="95">
        <f t="shared" si="27"/>
        <v>0</v>
      </c>
      <c r="H144" s="95">
        <f t="shared" si="27"/>
        <v>0</v>
      </c>
      <c r="I144" s="95">
        <f t="shared" si="27"/>
        <v>0</v>
      </c>
      <c r="J144" s="95">
        <f t="shared" si="27"/>
        <v>0</v>
      </c>
      <c r="K144" s="95">
        <f t="shared" si="27"/>
        <v>0</v>
      </c>
      <c r="L144" s="95">
        <f t="shared" si="27"/>
        <v>0</v>
      </c>
      <c r="M144" s="95">
        <f t="shared" si="27"/>
        <v>0</v>
      </c>
      <c r="N144" s="95">
        <f t="shared" si="27"/>
        <v>0</v>
      </c>
      <c r="O144" s="95">
        <f t="shared" si="27"/>
        <v>0</v>
      </c>
      <c r="P144" s="95">
        <f t="shared" si="27"/>
        <v>0</v>
      </c>
      <c r="Q144" s="95">
        <f t="shared" si="27"/>
        <v>0</v>
      </c>
      <c r="R144" s="95">
        <f t="shared" si="27"/>
        <v>0</v>
      </c>
      <c r="S144" s="95">
        <f t="shared" si="27"/>
        <v>0</v>
      </c>
      <c r="T144" s="95">
        <f t="shared" si="27"/>
        <v>0</v>
      </c>
      <c r="U144" s="95">
        <f t="shared" si="27"/>
        <v>0</v>
      </c>
      <c r="V144" s="95">
        <f t="shared" si="27"/>
        <v>0</v>
      </c>
      <c r="W144" s="95">
        <f t="shared" si="27"/>
        <v>0</v>
      </c>
      <c r="X144" s="95">
        <f t="shared" si="27"/>
        <v>0</v>
      </c>
      <c r="Y144" s="95">
        <f t="shared" si="27"/>
        <v>0</v>
      </c>
      <c r="Z144" s="15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0" t="s">
        <v>334</v>
      </c>
      <c r="E145" s="95">
        <f t="shared" si="27"/>
        <v>0</v>
      </c>
      <c r="F145" s="95">
        <f t="shared" si="27"/>
        <v>0</v>
      </c>
      <c r="G145" s="95">
        <f t="shared" si="27"/>
        <v>0</v>
      </c>
      <c r="H145" s="95">
        <f t="shared" si="27"/>
        <v>0</v>
      </c>
      <c r="I145" s="95">
        <f t="shared" si="27"/>
        <v>0</v>
      </c>
      <c r="J145" s="95">
        <f t="shared" si="27"/>
        <v>0</v>
      </c>
      <c r="K145" s="95">
        <f t="shared" si="27"/>
        <v>0</v>
      </c>
      <c r="L145" s="95">
        <f t="shared" si="27"/>
        <v>0</v>
      </c>
      <c r="M145" s="95">
        <f t="shared" si="27"/>
        <v>0</v>
      </c>
      <c r="N145" s="95">
        <f t="shared" si="27"/>
        <v>0</v>
      </c>
      <c r="O145" s="95">
        <f t="shared" si="27"/>
        <v>0</v>
      </c>
      <c r="P145" s="95">
        <f t="shared" si="27"/>
        <v>0</v>
      </c>
      <c r="Q145" s="95">
        <f t="shared" si="27"/>
        <v>0</v>
      </c>
      <c r="R145" s="95">
        <f t="shared" si="27"/>
        <v>0</v>
      </c>
      <c r="S145" s="95">
        <f t="shared" si="27"/>
        <v>0</v>
      </c>
      <c r="T145" s="95">
        <f t="shared" si="27"/>
        <v>0</v>
      </c>
      <c r="U145" s="95">
        <f t="shared" si="27"/>
        <v>0</v>
      </c>
      <c r="V145" s="95">
        <f t="shared" si="27"/>
        <v>0</v>
      </c>
      <c r="W145" s="95">
        <f t="shared" si="27"/>
        <v>0</v>
      </c>
      <c r="X145" s="95">
        <f t="shared" si="27"/>
        <v>0</v>
      </c>
      <c r="Y145" s="95">
        <f t="shared" si="27"/>
        <v>0</v>
      </c>
      <c r="Z145" s="154"/>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0" t="s">
        <v>337</v>
      </c>
      <c r="E146" s="95">
        <f t="shared" si="27"/>
        <v>0</v>
      </c>
      <c r="F146" s="95">
        <f t="shared" si="27"/>
        <v>0</v>
      </c>
      <c r="G146" s="95">
        <f t="shared" si="27"/>
        <v>0</v>
      </c>
      <c r="H146" s="95">
        <f t="shared" si="27"/>
        <v>0</v>
      </c>
      <c r="I146" s="95">
        <f t="shared" si="27"/>
        <v>0</v>
      </c>
      <c r="J146" s="95">
        <f t="shared" si="27"/>
        <v>0</v>
      </c>
      <c r="K146" s="95">
        <f t="shared" si="27"/>
        <v>0</v>
      </c>
      <c r="L146" s="95">
        <f t="shared" si="27"/>
        <v>0</v>
      </c>
      <c r="M146" s="95">
        <f t="shared" si="27"/>
        <v>0</v>
      </c>
      <c r="N146" s="95">
        <f t="shared" si="27"/>
        <v>0</v>
      </c>
      <c r="O146" s="95">
        <f t="shared" si="27"/>
        <v>0</v>
      </c>
      <c r="P146" s="95">
        <f t="shared" si="27"/>
        <v>0</v>
      </c>
      <c r="Q146" s="95">
        <f t="shared" si="27"/>
        <v>0</v>
      </c>
      <c r="R146" s="95">
        <f t="shared" si="27"/>
        <v>0</v>
      </c>
      <c r="S146" s="95">
        <f t="shared" si="27"/>
        <v>0</v>
      </c>
      <c r="T146" s="95">
        <f t="shared" si="27"/>
        <v>0</v>
      </c>
      <c r="U146" s="95">
        <f t="shared" si="27"/>
        <v>0</v>
      </c>
      <c r="V146" s="95">
        <f t="shared" si="27"/>
        <v>0</v>
      </c>
      <c r="W146" s="95">
        <f t="shared" si="27"/>
        <v>0</v>
      </c>
      <c r="X146" s="95">
        <f t="shared" si="27"/>
        <v>0</v>
      </c>
      <c r="Y146" s="95">
        <f t="shared" si="27"/>
        <v>0</v>
      </c>
      <c r="Z146" s="154"/>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0" t="s">
        <v>340</v>
      </c>
      <c r="E147" s="95">
        <f t="shared" si="27"/>
        <v>0</v>
      </c>
      <c r="F147" s="95">
        <f t="shared" si="27"/>
        <v>0</v>
      </c>
      <c r="G147" s="95">
        <f t="shared" si="27"/>
        <v>0</v>
      </c>
      <c r="H147" s="95">
        <f t="shared" si="27"/>
        <v>0</v>
      </c>
      <c r="I147" s="95">
        <f t="shared" si="27"/>
        <v>0</v>
      </c>
      <c r="J147" s="95">
        <f t="shared" si="27"/>
        <v>0</v>
      </c>
      <c r="K147" s="95">
        <f t="shared" si="27"/>
        <v>0</v>
      </c>
      <c r="L147" s="95">
        <f t="shared" si="27"/>
        <v>0</v>
      </c>
      <c r="M147" s="95">
        <f t="shared" si="27"/>
        <v>0</v>
      </c>
      <c r="N147" s="95">
        <f t="shared" si="27"/>
        <v>0</v>
      </c>
      <c r="O147" s="95">
        <f t="shared" si="27"/>
        <v>0</v>
      </c>
      <c r="P147" s="95">
        <f t="shared" si="27"/>
        <v>0</v>
      </c>
      <c r="Q147" s="95">
        <f t="shared" si="27"/>
        <v>0</v>
      </c>
      <c r="R147" s="95">
        <f t="shared" si="27"/>
        <v>0</v>
      </c>
      <c r="S147" s="95">
        <f t="shared" si="27"/>
        <v>0</v>
      </c>
      <c r="T147" s="95">
        <f t="shared" si="27"/>
        <v>0</v>
      </c>
      <c r="U147" s="95">
        <f t="shared" si="27"/>
        <v>0</v>
      </c>
      <c r="V147" s="95">
        <f t="shared" si="27"/>
        <v>0</v>
      </c>
      <c r="W147" s="95">
        <f t="shared" si="27"/>
        <v>0</v>
      </c>
      <c r="X147" s="95">
        <f t="shared" si="27"/>
        <v>0</v>
      </c>
      <c r="Y147" s="95">
        <f t="shared" si="27"/>
        <v>0</v>
      </c>
      <c r="Z147" s="154"/>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0" t="s">
        <v>343</v>
      </c>
      <c r="E148" s="95">
        <f t="shared" si="27"/>
        <v>0</v>
      </c>
      <c r="F148" s="95">
        <f t="shared" si="27"/>
        <v>0</v>
      </c>
      <c r="G148" s="95">
        <f t="shared" si="27"/>
        <v>0</v>
      </c>
      <c r="H148" s="95">
        <f t="shared" si="27"/>
        <v>0</v>
      </c>
      <c r="I148" s="95">
        <f t="shared" si="27"/>
        <v>0</v>
      </c>
      <c r="J148" s="95">
        <f t="shared" si="27"/>
        <v>0</v>
      </c>
      <c r="K148" s="95">
        <f t="shared" si="27"/>
        <v>0</v>
      </c>
      <c r="L148" s="95">
        <f t="shared" si="27"/>
        <v>0</v>
      </c>
      <c r="M148" s="95">
        <f t="shared" si="27"/>
        <v>0</v>
      </c>
      <c r="N148" s="95">
        <f t="shared" si="27"/>
        <v>0</v>
      </c>
      <c r="O148" s="95">
        <f t="shared" si="27"/>
        <v>0</v>
      </c>
      <c r="P148" s="95">
        <f t="shared" si="27"/>
        <v>0</v>
      </c>
      <c r="Q148" s="95">
        <f t="shared" si="27"/>
        <v>0</v>
      </c>
      <c r="R148" s="95">
        <f t="shared" si="27"/>
        <v>0</v>
      </c>
      <c r="S148" s="95">
        <f t="shared" si="27"/>
        <v>0</v>
      </c>
      <c r="T148" s="95">
        <f t="shared" si="27"/>
        <v>0</v>
      </c>
      <c r="U148" s="95">
        <f t="shared" si="27"/>
        <v>0</v>
      </c>
      <c r="V148" s="95">
        <f t="shared" si="27"/>
        <v>0</v>
      </c>
      <c r="W148" s="95">
        <f t="shared" si="27"/>
        <v>0</v>
      </c>
      <c r="X148" s="95">
        <f t="shared" si="27"/>
        <v>0</v>
      </c>
      <c r="Y148" s="95">
        <f t="shared" si="27"/>
        <v>0</v>
      </c>
      <c r="Z148" s="154"/>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0" t="s">
        <v>346</v>
      </c>
      <c r="E149" s="95">
        <f t="shared" si="27"/>
        <v>0</v>
      </c>
      <c r="F149" s="95">
        <f t="shared" si="27"/>
        <v>0</v>
      </c>
      <c r="G149" s="95">
        <f t="shared" si="27"/>
        <v>0</v>
      </c>
      <c r="H149" s="95">
        <f t="shared" ref="H149:Y149" si="28">H112-H111</f>
        <v>0</v>
      </c>
      <c r="I149" s="95">
        <f t="shared" si="28"/>
        <v>0</v>
      </c>
      <c r="J149" s="95">
        <f t="shared" si="28"/>
        <v>0</v>
      </c>
      <c r="K149" s="95">
        <f t="shared" si="28"/>
        <v>0</v>
      </c>
      <c r="L149" s="95">
        <f t="shared" si="28"/>
        <v>0</v>
      </c>
      <c r="M149" s="95">
        <f t="shared" si="28"/>
        <v>0</v>
      </c>
      <c r="N149" s="95">
        <f t="shared" si="28"/>
        <v>0</v>
      </c>
      <c r="O149" s="95">
        <f t="shared" si="28"/>
        <v>0</v>
      </c>
      <c r="P149" s="95">
        <f t="shared" si="28"/>
        <v>0</v>
      </c>
      <c r="Q149" s="95">
        <f t="shared" si="28"/>
        <v>0</v>
      </c>
      <c r="R149" s="95">
        <f t="shared" si="28"/>
        <v>0</v>
      </c>
      <c r="S149" s="95">
        <f t="shared" si="28"/>
        <v>0</v>
      </c>
      <c r="T149" s="95">
        <f t="shared" si="28"/>
        <v>0</v>
      </c>
      <c r="U149" s="95">
        <f t="shared" si="28"/>
        <v>0</v>
      </c>
      <c r="V149" s="95">
        <f t="shared" si="28"/>
        <v>0</v>
      </c>
      <c r="W149" s="95">
        <f t="shared" si="28"/>
        <v>0</v>
      </c>
      <c r="X149" s="95">
        <f t="shared" si="28"/>
        <v>0</v>
      </c>
      <c r="Y149" s="95">
        <f t="shared" si="28"/>
        <v>0</v>
      </c>
      <c r="Z149" s="154"/>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0" t="s">
        <v>349</v>
      </c>
      <c r="E150" s="95">
        <f t="shared" ref="E150:Y154" si="29">E113-E112</f>
        <v>0</v>
      </c>
      <c r="F150" s="95">
        <f t="shared" si="29"/>
        <v>0</v>
      </c>
      <c r="G150" s="95">
        <f t="shared" si="29"/>
        <v>0</v>
      </c>
      <c r="H150" s="95">
        <f t="shared" si="29"/>
        <v>0</v>
      </c>
      <c r="I150" s="95">
        <f t="shared" si="29"/>
        <v>0</v>
      </c>
      <c r="J150" s="95">
        <f t="shared" si="29"/>
        <v>0</v>
      </c>
      <c r="K150" s="95">
        <f t="shared" si="29"/>
        <v>0</v>
      </c>
      <c r="L150" s="95">
        <f t="shared" si="29"/>
        <v>0</v>
      </c>
      <c r="M150" s="95">
        <f t="shared" si="29"/>
        <v>0</v>
      </c>
      <c r="N150" s="95">
        <f t="shared" si="29"/>
        <v>0</v>
      </c>
      <c r="O150" s="95">
        <f t="shared" si="29"/>
        <v>0</v>
      </c>
      <c r="P150" s="95">
        <f t="shared" si="29"/>
        <v>0</v>
      </c>
      <c r="Q150" s="95">
        <f t="shared" si="29"/>
        <v>0</v>
      </c>
      <c r="R150" s="95">
        <f t="shared" si="29"/>
        <v>0</v>
      </c>
      <c r="S150" s="95">
        <f t="shared" si="29"/>
        <v>0</v>
      </c>
      <c r="T150" s="95">
        <f t="shared" si="29"/>
        <v>0</v>
      </c>
      <c r="U150" s="95">
        <f t="shared" si="29"/>
        <v>0</v>
      </c>
      <c r="V150" s="95">
        <f t="shared" si="29"/>
        <v>0</v>
      </c>
      <c r="W150" s="95">
        <f t="shared" si="29"/>
        <v>0</v>
      </c>
      <c r="X150" s="95">
        <f t="shared" si="29"/>
        <v>0</v>
      </c>
      <c r="Y150" s="95">
        <f t="shared" si="29"/>
        <v>0</v>
      </c>
      <c r="Z150" s="154"/>
    </row>
    <row r="151" spans="3:79">
      <c r="C151" s="20" t="s">
        <v>352</v>
      </c>
      <c r="E151" s="95">
        <f t="shared" si="29"/>
        <v>0</v>
      </c>
      <c r="F151" s="95">
        <f t="shared" si="29"/>
        <v>0</v>
      </c>
      <c r="G151" s="95">
        <f t="shared" si="29"/>
        <v>0</v>
      </c>
      <c r="H151" s="95">
        <f t="shared" si="29"/>
        <v>0</v>
      </c>
      <c r="I151" s="95">
        <f t="shared" si="29"/>
        <v>0</v>
      </c>
      <c r="J151" s="95">
        <f t="shared" si="29"/>
        <v>0</v>
      </c>
      <c r="K151" s="95">
        <f t="shared" si="29"/>
        <v>0</v>
      </c>
      <c r="L151" s="95">
        <f t="shared" si="29"/>
        <v>0</v>
      </c>
      <c r="M151" s="95">
        <f t="shared" si="29"/>
        <v>0</v>
      </c>
      <c r="N151" s="95">
        <f t="shared" si="29"/>
        <v>0</v>
      </c>
      <c r="O151" s="95">
        <f t="shared" si="29"/>
        <v>0</v>
      </c>
      <c r="P151" s="95">
        <f t="shared" si="29"/>
        <v>0</v>
      </c>
      <c r="Q151" s="95">
        <f t="shared" si="29"/>
        <v>0</v>
      </c>
      <c r="R151" s="95">
        <f t="shared" si="29"/>
        <v>0</v>
      </c>
      <c r="S151" s="95">
        <f t="shared" si="29"/>
        <v>0</v>
      </c>
      <c r="T151" s="95">
        <f t="shared" si="29"/>
        <v>0</v>
      </c>
      <c r="U151" s="95">
        <f t="shared" si="29"/>
        <v>0</v>
      </c>
      <c r="V151" s="95">
        <f t="shared" si="29"/>
        <v>0</v>
      </c>
      <c r="W151" s="95">
        <f t="shared" si="29"/>
        <v>0</v>
      </c>
      <c r="X151" s="95">
        <f t="shared" si="29"/>
        <v>0</v>
      </c>
      <c r="Y151" s="95">
        <f t="shared" si="29"/>
        <v>0</v>
      </c>
      <c r="Z151" s="154"/>
    </row>
    <row r="152" spans="3:79">
      <c r="C152" s="20" t="s">
        <v>355</v>
      </c>
      <c r="E152" s="95">
        <f t="shared" si="29"/>
        <v>0</v>
      </c>
      <c r="F152" s="95">
        <f t="shared" si="29"/>
        <v>0</v>
      </c>
      <c r="G152" s="95">
        <f t="shared" si="29"/>
        <v>0</v>
      </c>
      <c r="H152" s="95">
        <f t="shared" si="29"/>
        <v>0</v>
      </c>
      <c r="I152" s="95">
        <f t="shared" si="29"/>
        <v>0</v>
      </c>
      <c r="J152" s="95">
        <f t="shared" si="29"/>
        <v>0</v>
      </c>
      <c r="K152" s="95">
        <f t="shared" si="29"/>
        <v>0</v>
      </c>
      <c r="L152" s="95">
        <f t="shared" si="29"/>
        <v>0</v>
      </c>
      <c r="M152" s="95">
        <f t="shared" si="29"/>
        <v>0</v>
      </c>
      <c r="N152" s="95">
        <f t="shared" si="29"/>
        <v>0</v>
      </c>
      <c r="O152" s="95">
        <f t="shared" si="29"/>
        <v>0</v>
      </c>
      <c r="P152" s="95">
        <f t="shared" si="29"/>
        <v>0</v>
      </c>
      <c r="Q152" s="95">
        <f t="shared" si="29"/>
        <v>0</v>
      </c>
      <c r="R152" s="95">
        <f t="shared" si="29"/>
        <v>0</v>
      </c>
      <c r="S152" s="95">
        <f t="shared" si="29"/>
        <v>0</v>
      </c>
      <c r="T152" s="95">
        <f t="shared" si="29"/>
        <v>0</v>
      </c>
      <c r="U152" s="95">
        <f t="shared" si="29"/>
        <v>0</v>
      </c>
      <c r="V152" s="95">
        <f t="shared" si="29"/>
        <v>0</v>
      </c>
      <c r="W152" s="95">
        <f t="shared" si="29"/>
        <v>0</v>
      </c>
      <c r="X152" s="95">
        <f t="shared" si="29"/>
        <v>0</v>
      </c>
      <c r="Y152" s="95">
        <f t="shared" si="29"/>
        <v>0</v>
      </c>
      <c r="Z152" s="154"/>
    </row>
    <row r="153" spans="3:79">
      <c r="C153" s="20" t="s">
        <v>358</v>
      </c>
      <c r="E153" s="95">
        <f t="shared" si="29"/>
        <v>0</v>
      </c>
      <c r="F153" s="95">
        <f t="shared" si="29"/>
        <v>0</v>
      </c>
      <c r="G153" s="95">
        <f t="shared" si="29"/>
        <v>0</v>
      </c>
      <c r="H153" s="95">
        <f t="shared" si="29"/>
        <v>0</v>
      </c>
      <c r="I153" s="95">
        <f t="shared" si="29"/>
        <v>0</v>
      </c>
      <c r="J153" s="95">
        <f t="shared" si="29"/>
        <v>0</v>
      </c>
      <c r="K153" s="95">
        <f t="shared" si="29"/>
        <v>0</v>
      </c>
      <c r="L153" s="95">
        <f t="shared" si="29"/>
        <v>0</v>
      </c>
      <c r="M153" s="95">
        <f t="shared" si="29"/>
        <v>0</v>
      </c>
      <c r="N153" s="95">
        <f t="shared" si="29"/>
        <v>0</v>
      </c>
      <c r="O153" s="95">
        <f t="shared" si="29"/>
        <v>0</v>
      </c>
      <c r="P153" s="95">
        <f t="shared" si="29"/>
        <v>0</v>
      </c>
      <c r="Q153" s="95">
        <f t="shared" si="29"/>
        <v>0</v>
      </c>
      <c r="R153" s="95">
        <f t="shared" si="29"/>
        <v>0</v>
      </c>
      <c r="S153" s="95">
        <f t="shared" si="29"/>
        <v>0</v>
      </c>
      <c r="T153" s="95">
        <f t="shared" si="29"/>
        <v>0</v>
      </c>
      <c r="U153" s="95">
        <f t="shared" si="29"/>
        <v>0</v>
      </c>
      <c r="V153" s="95">
        <f t="shared" si="29"/>
        <v>0</v>
      </c>
      <c r="W153" s="95">
        <f t="shared" si="29"/>
        <v>0</v>
      </c>
      <c r="X153" s="95">
        <f t="shared" si="29"/>
        <v>0</v>
      </c>
      <c r="Y153" s="95">
        <f t="shared" si="29"/>
        <v>0</v>
      </c>
      <c r="Z153" s="154"/>
    </row>
    <row r="154" spans="3:79">
      <c r="C154" s="20" t="s">
        <v>361</v>
      </c>
      <c r="E154" s="95">
        <f t="shared" si="29"/>
        <v>0</v>
      </c>
      <c r="F154" s="95">
        <f t="shared" si="29"/>
        <v>0</v>
      </c>
      <c r="G154" s="95">
        <f t="shared" si="29"/>
        <v>0</v>
      </c>
      <c r="H154" s="95">
        <f t="shared" si="29"/>
        <v>0</v>
      </c>
      <c r="I154" s="95">
        <f t="shared" si="29"/>
        <v>0</v>
      </c>
      <c r="J154" s="95">
        <f t="shared" si="29"/>
        <v>0</v>
      </c>
      <c r="K154" s="95">
        <f t="shared" si="29"/>
        <v>0</v>
      </c>
      <c r="L154" s="95">
        <f t="shared" si="29"/>
        <v>0</v>
      </c>
      <c r="M154" s="95">
        <f t="shared" si="29"/>
        <v>0</v>
      </c>
      <c r="N154" s="95">
        <f t="shared" si="29"/>
        <v>0</v>
      </c>
      <c r="O154" s="95">
        <f t="shared" si="29"/>
        <v>0</v>
      </c>
      <c r="P154" s="95">
        <f t="shared" si="29"/>
        <v>0</v>
      </c>
      <c r="Q154" s="95">
        <f t="shared" si="29"/>
        <v>0</v>
      </c>
      <c r="R154" s="95">
        <f t="shared" si="29"/>
        <v>0</v>
      </c>
      <c r="S154" s="95">
        <f t="shared" si="29"/>
        <v>0</v>
      </c>
      <c r="T154" s="95">
        <f t="shared" si="29"/>
        <v>0</v>
      </c>
      <c r="U154" s="95">
        <f t="shared" si="29"/>
        <v>0</v>
      </c>
      <c r="V154" s="95">
        <f t="shared" si="29"/>
        <v>0</v>
      </c>
      <c r="W154" s="95">
        <f t="shared" si="29"/>
        <v>0</v>
      </c>
      <c r="X154" s="95">
        <f t="shared" si="29"/>
        <v>0</v>
      </c>
      <c r="Y154" s="95">
        <f t="shared" si="29"/>
        <v>0</v>
      </c>
      <c r="Z154" s="154"/>
    </row>
    <row r="155" spans="3:79">
      <c r="E155" s="46"/>
      <c r="Z155" s="155"/>
    </row>
    <row r="156" spans="3:79" ht="15">
      <c r="C156" s="96" t="s">
        <v>73</v>
      </c>
      <c r="D156" s="97"/>
      <c r="E156" s="97">
        <f t="shared" ref="E156:X156" si="30">SUM(E123:E154)</f>
        <v>0.90512381254678631</v>
      </c>
      <c r="F156" s="97">
        <f t="shared" si="30"/>
        <v>0.64789075073111102</v>
      </c>
      <c r="G156" s="97">
        <f t="shared" si="30"/>
        <v>0.45613631046977859</v>
      </c>
      <c r="H156" s="97">
        <f t="shared" si="30"/>
        <v>0.36057724159186788</v>
      </c>
      <c r="I156" s="97">
        <f t="shared" si="30"/>
        <v>0.32023292091043759</v>
      </c>
      <c r="J156" s="97">
        <f t="shared" si="30"/>
        <v>0.27983232447748718</v>
      </c>
      <c r="K156" s="97">
        <f t="shared" si="30"/>
        <v>0.24208839104780708</v>
      </c>
      <c r="L156" s="97">
        <f t="shared" si="30"/>
        <v>0.20770549797169885</v>
      </c>
      <c r="M156" s="97">
        <f t="shared" si="30"/>
        <v>0.17698829464129728</v>
      </c>
      <c r="N156" s="97">
        <f t="shared" si="30"/>
        <v>0.15003980281690857</v>
      </c>
      <c r="O156" s="97">
        <f t="shared" si="30"/>
        <v>0.12655955170217753</v>
      </c>
      <c r="P156" s="97">
        <f t="shared" si="30"/>
        <v>9.9795028046079925E-2</v>
      </c>
      <c r="Q156" s="97">
        <f t="shared" si="30"/>
        <v>7.8853154819466392E-2</v>
      </c>
      <c r="R156" s="97">
        <f t="shared" si="30"/>
        <v>6.2364661065632265E-2</v>
      </c>
      <c r="S156" s="97">
        <f t="shared" si="30"/>
        <v>4.9254324133176541E-2</v>
      </c>
      <c r="T156" s="97">
        <f t="shared" si="30"/>
        <v>3.8930996215934904E-2</v>
      </c>
      <c r="U156" s="97">
        <f t="shared" si="30"/>
        <v>3.0732753891564393E-2</v>
      </c>
      <c r="V156" s="97">
        <f t="shared" si="30"/>
        <v>2.4251643827333799E-2</v>
      </c>
      <c r="W156" s="97">
        <f t="shared" si="30"/>
        <v>1.911873024325637E-2</v>
      </c>
      <c r="X156" s="97">
        <f t="shared" si="30"/>
        <v>1.505962594685218E-2</v>
      </c>
      <c r="Y156" s="97"/>
      <c r="Z156" s="156"/>
    </row>
    <row r="157" spans="3:79" ht="15">
      <c r="C157" s="96" t="s">
        <v>74</v>
      </c>
      <c r="D157" s="97"/>
      <c r="E157" s="97">
        <f t="shared" ref="E157:X157" si="31">D157+E156</f>
        <v>0.90512381254678631</v>
      </c>
      <c r="F157" s="97">
        <f t="shared" si="31"/>
        <v>1.5530145632778973</v>
      </c>
      <c r="G157" s="97">
        <f t="shared" si="31"/>
        <v>2.009150873747676</v>
      </c>
      <c r="H157" s="97">
        <f t="shared" si="31"/>
        <v>2.369728115339544</v>
      </c>
      <c r="I157" s="97">
        <f t="shared" si="31"/>
        <v>2.6899610362499815</v>
      </c>
      <c r="J157" s="97">
        <f t="shared" si="31"/>
        <v>2.9697933607274685</v>
      </c>
      <c r="K157" s="97">
        <f t="shared" si="31"/>
        <v>3.2118817517752754</v>
      </c>
      <c r="L157" s="97">
        <f t="shared" si="31"/>
        <v>3.4195872497469741</v>
      </c>
      <c r="M157" s="97">
        <f t="shared" si="31"/>
        <v>3.5965755443882714</v>
      </c>
      <c r="N157" s="97">
        <f t="shared" si="31"/>
        <v>3.74661534720518</v>
      </c>
      <c r="O157" s="97">
        <f t="shared" si="31"/>
        <v>3.8731748989073576</v>
      </c>
      <c r="P157" s="97">
        <f t="shared" si="31"/>
        <v>3.9729699269534375</v>
      </c>
      <c r="Q157" s="97">
        <f t="shared" si="31"/>
        <v>4.0518230817729037</v>
      </c>
      <c r="R157" s="97">
        <f t="shared" si="31"/>
        <v>4.1141877428385358</v>
      </c>
      <c r="S157" s="97">
        <f t="shared" si="31"/>
        <v>4.1634420669717125</v>
      </c>
      <c r="T157" s="97">
        <f t="shared" si="31"/>
        <v>4.2023730631876477</v>
      </c>
      <c r="U157" s="97">
        <f t="shared" si="31"/>
        <v>4.2331058170792124</v>
      </c>
      <c r="V157" s="97">
        <f t="shared" si="31"/>
        <v>4.2573574609065465</v>
      </c>
      <c r="W157" s="97">
        <f t="shared" si="31"/>
        <v>4.2764761911498033</v>
      </c>
      <c r="X157" s="97">
        <f t="shared" si="31"/>
        <v>4.2915358170966558</v>
      </c>
      <c r="Y157" s="97">
        <f>SUM(Y123:Y154)</f>
        <v>3.7216771353503777</v>
      </c>
      <c r="Z157" s="156"/>
    </row>
    <row r="159" spans="3:79">
      <c r="C159" s="157" t="s">
        <v>400</v>
      </c>
      <c r="D159" s="158" t="str">
        <f>D35</f>
        <v>Retro20Fast</v>
      </c>
      <c r="E159" s="44">
        <f>E35</f>
        <v>0.22119921692859512</v>
      </c>
      <c r="F159" s="44">
        <f t="shared" ref="F159:X159" si="32">F35</f>
        <v>0.15504311102289431</v>
      </c>
      <c r="G159" s="44">
        <f t="shared" si="32"/>
        <v>0.10733128557729499</v>
      </c>
      <c r="H159" s="44">
        <f t="shared" si="32"/>
        <v>8.3589689255657879E-2</v>
      </c>
      <c r="I159" s="44">
        <f t="shared" si="32"/>
        <v>7.3237179880126971E-2</v>
      </c>
      <c r="J159" s="44">
        <f t="shared" si="32"/>
        <v>6.3374636711760357E-2</v>
      </c>
      <c r="K159" s="44">
        <f t="shared" si="32"/>
        <v>5.4291838367783084E-2</v>
      </c>
      <c r="L159" s="44">
        <f t="shared" si="32"/>
        <v>4.612639225659896E-2</v>
      </c>
      <c r="M159" s="44">
        <f t="shared" si="32"/>
        <v>3.8916876277172864E-2</v>
      </c>
      <c r="N159" s="44">
        <f t="shared" si="32"/>
        <v>3.2639916313151704E-2</v>
      </c>
      <c r="O159" s="44">
        <f t="shared" si="32"/>
        <v>2.7235706125786907E-2</v>
      </c>
      <c r="P159" s="44">
        <f t="shared" si="32"/>
        <v>2.1211189258265428E-2</v>
      </c>
      <c r="Q159" s="44">
        <f t="shared" si="32"/>
        <v>1.6519290804212883E-2</v>
      </c>
      <c r="R159" s="44">
        <f t="shared" si="32"/>
        <v>1.2865236614105324E-2</v>
      </c>
      <c r="S159" s="44">
        <f t="shared" si="32"/>
        <v>1.0019456349464106E-2</v>
      </c>
      <c r="T159" s="44">
        <f t="shared" si="32"/>
        <v>7.8031604509122832E-3</v>
      </c>
      <c r="U159" s="44">
        <f t="shared" si="32"/>
        <v>6.077107469602494E-3</v>
      </c>
      <c r="V159" s="44">
        <f t="shared" si="32"/>
        <v>4.7328560561354371E-3</v>
      </c>
      <c r="W159" s="44">
        <f t="shared" si="32"/>
        <v>3.6859520026825132E-3</v>
      </c>
      <c r="X159" s="44">
        <f t="shared" si="32"/>
        <v>2.8706223060526725E-3</v>
      </c>
    </row>
  </sheetData>
  <mergeCells count="1">
    <mergeCell ref="B1:S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cols>
    <col min="1" max="1" width="30.42578125" customWidth="1"/>
  </cols>
  <sheetData>
    <row r="1" spans="1:131" ht="13.5" thickBot="1">
      <c r="A1" s="51" t="s">
        <v>255</v>
      </c>
      <c r="B1" s="53"/>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row>
    <row r="2" spans="1:131" ht="13.5" thickBot="1">
      <c r="A2" s="84"/>
      <c r="B2" s="85"/>
      <c r="C2" s="86"/>
      <c r="D2" s="86"/>
      <c r="E2" s="86"/>
      <c r="F2" s="86"/>
      <c r="G2" s="86"/>
      <c r="H2" s="86"/>
      <c r="I2" s="86"/>
      <c r="J2" s="86"/>
      <c r="K2" s="86"/>
      <c r="L2" s="86"/>
      <c r="M2" s="86"/>
      <c r="N2" s="86"/>
      <c r="O2" s="87" t="s">
        <v>365</v>
      </c>
      <c r="P2" s="88"/>
      <c r="Q2" s="88"/>
      <c r="R2" s="88"/>
      <c r="S2" s="88"/>
      <c r="T2" s="88"/>
      <c r="U2" s="88"/>
      <c r="V2" s="88"/>
      <c r="W2" s="88"/>
      <c r="X2" s="88"/>
      <c r="Y2" s="88"/>
      <c r="Z2" s="77"/>
      <c r="AA2" s="86"/>
      <c r="AB2" s="87" t="s">
        <v>366</v>
      </c>
      <c r="AC2" s="88"/>
      <c r="AD2" s="88"/>
      <c r="AE2" s="88"/>
      <c r="AF2" s="88"/>
      <c r="AG2" s="88"/>
      <c r="AH2" s="88"/>
      <c r="AI2" s="88"/>
      <c r="AJ2" s="88"/>
      <c r="AK2" s="88"/>
      <c r="AL2" s="88"/>
      <c r="AM2" s="77"/>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row>
    <row r="3" spans="1:131" ht="204">
      <c r="A3" s="69" t="s">
        <v>148</v>
      </c>
      <c r="B3" s="70" t="s">
        <v>149</v>
      </c>
      <c r="C3" s="71" t="s">
        <v>50</v>
      </c>
      <c r="D3" s="71" t="s">
        <v>232</v>
      </c>
      <c r="E3" s="71" t="s">
        <v>233</v>
      </c>
      <c r="F3" s="71" t="s">
        <v>234</v>
      </c>
      <c r="G3" s="71" t="s">
        <v>235</v>
      </c>
      <c r="H3" s="71" t="s">
        <v>236</v>
      </c>
      <c r="I3" s="71" t="s">
        <v>237</v>
      </c>
      <c r="J3" s="71" t="s">
        <v>238</v>
      </c>
      <c r="K3" s="71" t="s">
        <v>49</v>
      </c>
      <c r="L3" s="71" t="s">
        <v>211</v>
      </c>
      <c r="M3" s="71" t="s">
        <v>239</v>
      </c>
      <c r="N3" s="71" t="s">
        <v>367</v>
      </c>
      <c r="O3" s="71" t="s">
        <v>240</v>
      </c>
      <c r="P3" s="71" t="s">
        <v>241</v>
      </c>
      <c r="Q3" s="71" t="s">
        <v>242</v>
      </c>
      <c r="R3" s="71" t="s">
        <v>243</v>
      </c>
      <c r="S3" s="71" t="s">
        <v>244</v>
      </c>
      <c r="T3" s="71" t="s">
        <v>245</v>
      </c>
      <c r="U3" s="71" t="s">
        <v>246</v>
      </c>
      <c r="V3" s="71" t="s">
        <v>247</v>
      </c>
      <c r="W3" s="71" t="s">
        <v>248</v>
      </c>
      <c r="X3" s="71" t="s">
        <v>249</v>
      </c>
      <c r="Y3" s="71" t="s">
        <v>250</v>
      </c>
      <c r="Z3" s="71" t="s">
        <v>251</v>
      </c>
      <c r="AA3" s="71"/>
      <c r="AB3" s="71" t="s">
        <v>240</v>
      </c>
      <c r="AC3" s="71" t="s">
        <v>241</v>
      </c>
      <c r="AD3" s="71" t="s">
        <v>242</v>
      </c>
      <c r="AE3" s="71" t="s">
        <v>243</v>
      </c>
      <c r="AF3" s="71" t="s">
        <v>244</v>
      </c>
      <c r="AG3" s="71" t="s">
        <v>245</v>
      </c>
      <c r="AH3" s="71" t="s">
        <v>246</v>
      </c>
      <c r="AI3" s="71" t="s">
        <v>247</v>
      </c>
      <c r="AJ3" s="71" t="s">
        <v>248</v>
      </c>
      <c r="AK3" s="71" t="s">
        <v>249</v>
      </c>
      <c r="AL3" s="71" t="s">
        <v>250</v>
      </c>
      <c r="AM3" s="71" t="s">
        <v>251</v>
      </c>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row>
    <row r="4" spans="1:131">
      <c r="A4" s="20" t="s">
        <v>1260</v>
      </c>
      <c r="B4" s="20"/>
      <c r="C4" s="45">
        <v>1667.5932805821674</v>
      </c>
      <c r="D4" s="45">
        <v>11.336666666666666</v>
      </c>
      <c r="E4" s="45">
        <v>2.2673333333333332</v>
      </c>
      <c r="F4" s="45">
        <v>13.603999999999999</v>
      </c>
      <c r="G4" s="45">
        <v>23.344827592377371</v>
      </c>
      <c r="H4" s="45">
        <v>9693.5567295936744</v>
      </c>
      <c r="I4" s="45">
        <v>71.462892893401815</v>
      </c>
      <c r="J4" s="45">
        <v>-9.3541236945276331</v>
      </c>
      <c r="K4" s="45">
        <v>-388.74893866765819</v>
      </c>
      <c r="L4" s="73">
        <v>415.2335968743177</v>
      </c>
      <c r="M4" s="45">
        <v>39.838761309111383</v>
      </c>
      <c r="N4" s="45">
        <v>0.28738159806208408</v>
      </c>
      <c r="O4" s="45">
        <v>106.32224969497891</v>
      </c>
      <c r="P4" s="45">
        <v>99.466017235269064</v>
      </c>
      <c r="Q4" s="45">
        <v>115.06504496829443</v>
      </c>
      <c r="R4" s="45">
        <v>100.10556199617311</v>
      </c>
      <c r="S4" s="45">
        <v>102.02025815000927</v>
      </c>
      <c r="T4" s="45">
        <v>91.974559470867561</v>
      </c>
      <c r="U4" s="45">
        <v>84.91844693379349</v>
      </c>
      <c r="V4" s="45">
        <v>89.168855451589238</v>
      </c>
      <c r="W4" s="45">
        <v>78.592181353638537</v>
      </c>
      <c r="X4" s="45">
        <v>90.19764679320204</v>
      </c>
      <c r="Y4" s="45">
        <v>87.269289771182756</v>
      </c>
      <c r="Z4" s="45">
        <v>99.270761800778345</v>
      </c>
      <c r="AA4" s="45"/>
      <c r="AB4" s="45">
        <v>52.171308748402168</v>
      </c>
      <c r="AC4" s="45">
        <v>46.42608613515408</v>
      </c>
      <c r="AD4" s="45">
        <v>45.415692916422238</v>
      </c>
      <c r="AE4" s="45">
        <v>45.99926924285576</v>
      </c>
      <c r="AF4" s="45">
        <v>46.240792878357816</v>
      </c>
      <c r="AG4" s="45">
        <v>37.886459202685757</v>
      </c>
      <c r="AH4" s="45">
        <v>42.721858566899826</v>
      </c>
      <c r="AI4" s="45">
        <v>35.933774582742714</v>
      </c>
      <c r="AJ4" s="45">
        <v>40.512146385469663</v>
      </c>
      <c r="AK4" s="45">
        <v>36.35292705613606</v>
      </c>
      <c r="AL4" s="45">
        <v>44.303860813414737</v>
      </c>
      <c r="AM4" s="40">
        <v>49.258230433849896</v>
      </c>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row>
    <row r="5" spans="1:131">
      <c r="A5" s="20" t="s">
        <v>1261</v>
      </c>
      <c r="B5" s="20"/>
      <c r="C5" s="45">
        <v>53.201158095537785</v>
      </c>
      <c r="D5" s="45">
        <v>11.336666666666666</v>
      </c>
      <c r="E5" s="45">
        <v>2.2673333333333332</v>
      </c>
      <c r="F5" s="45">
        <v>13.603999999999999</v>
      </c>
      <c r="G5" s="45">
        <v>23.344827592377371</v>
      </c>
      <c r="H5" s="45">
        <v>565.65693628826148</v>
      </c>
      <c r="I5" s="45">
        <v>2240.0083807573242</v>
      </c>
      <c r="J5" s="45">
        <v>3.7035712830940244</v>
      </c>
      <c r="K5" s="45">
        <v>-712.11950988115018</v>
      </c>
      <c r="L5" s="73">
        <v>24.230503911408693</v>
      </c>
      <c r="M5" s="45">
        <v>1.9854293830938703</v>
      </c>
      <c r="N5" s="45">
        <v>9.1683230019442945E-3</v>
      </c>
      <c r="O5" s="45">
        <v>3.3919942476148077</v>
      </c>
      <c r="P5" s="45">
        <v>3.1732601526312623</v>
      </c>
      <c r="Q5" s="45">
        <v>3.6709152764703572</v>
      </c>
      <c r="R5" s="45">
        <v>3.1936635221640004</v>
      </c>
      <c r="S5" s="45">
        <v>3.2547479928027849</v>
      </c>
      <c r="T5" s="45">
        <v>2.9342604915443395</v>
      </c>
      <c r="U5" s="45">
        <v>2.70914963088308</v>
      </c>
      <c r="V5" s="45">
        <v>2.8447502345548159</v>
      </c>
      <c r="W5" s="45">
        <v>2.5073230469053094</v>
      </c>
      <c r="X5" s="45">
        <v>2.8775717213344674</v>
      </c>
      <c r="Y5" s="45">
        <v>2.7841484707716933</v>
      </c>
      <c r="Z5" s="45">
        <v>3.167030926740086</v>
      </c>
      <c r="AA5" s="45"/>
      <c r="AB5" s="45">
        <v>1.6644190625461666</v>
      </c>
      <c r="AC5" s="45">
        <v>1.4811294678347</v>
      </c>
      <c r="AD5" s="45">
        <v>1.4488949355933336</v>
      </c>
      <c r="AE5" s="45">
        <v>1.4675127465217659</v>
      </c>
      <c r="AF5" s="45">
        <v>1.4752180648783306</v>
      </c>
      <c r="AG5" s="45">
        <v>1.2086901099880707</v>
      </c>
      <c r="AH5" s="45">
        <v>1.3629536519596528</v>
      </c>
      <c r="AI5" s="45">
        <v>1.1463936949173359</v>
      </c>
      <c r="AJ5" s="45">
        <v>1.2924572974355681</v>
      </c>
      <c r="AK5" s="45">
        <v>1.1597658985972106</v>
      </c>
      <c r="AL5" s="45">
        <v>1.4134242029053568</v>
      </c>
      <c r="AM5" s="40">
        <v>1.5714832479432952</v>
      </c>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row>
    <row r="6" spans="1:131">
      <c r="A6" s="20" t="s">
        <v>1262</v>
      </c>
      <c r="B6" s="20"/>
      <c r="C6" s="45">
        <v>53.201158095537785</v>
      </c>
      <c r="D6" s="45">
        <v>11.336666666666666</v>
      </c>
      <c r="E6" s="45">
        <v>2.2673333333333332</v>
      </c>
      <c r="F6" s="45">
        <v>13.603999999999999</v>
      </c>
      <c r="G6" s="45">
        <v>23.344827592377371</v>
      </c>
      <c r="H6" s="45">
        <v>565.65693628826148</v>
      </c>
      <c r="I6" s="45">
        <v>2240.0083807573242</v>
      </c>
      <c r="J6" s="45">
        <v>3.7035712830940244</v>
      </c>
      <c r="K6" s="45">
        <v>-712.11950988115018</v>
      </c>
      <c r="L6" s="73">
        <v>24.230503911408693</v>
      </c>
      <c r="M6" s="45">
        <v>1.9854293830938703</v>
      </c>
      <c r="N6" s="45">
        <v>9.1683230019442945E-3</v>
      </c>
      <c r="O6" s="45">
        <v>3.3919942476148077</v>
      </c>
      <c r="P6" s="45">
        <v>3.1732601526312623</v>
      </c>
      <c r="Q6" s="45">
        <v>3.6709152764703572</v>
      </c>
      <c r="R6" s="45">
        <v>3.1936635221640004</v>
      </c>
      <c r="S6" s="45">
        <v>3.2547479928027849</v>
      </c>
      <c r="T6" s="45">
        <v>2.9342604915443395</v>
      </c>
      <c r="U6" s="45">
        <v>2.70914963088308</v>
      </c>
      <c r="V6" s="45">
        <v>2.8447502345548159</v>
      </c>
      <c r="W6" s="45">
        <v>2.5073230469053094</v>
      </c>
      <c r="X6" s="45">
        <v>2.8775717213344674</v>
      </c>
      <c r="Y6" s="45">
        <v>2.7841484707716933</v>
      </c>
      <c r="Z6" s="45">
        <v>3.167030926740086</v>
      </c>
      <c r="AA6" s="45"/>
      <c r="AB6" s="45">
        <v>1.6644190625461666</v>
      </c>
      <c r="AC6" s="45">
        <v>1.4811294678347</v>
      </c>
      <c r="AD6" s="45">
        <v>1.4488949355933336</v>
      </c>
      <c r="AE6" s="45">
        <v>1.4675127465217659</v>
      </c>
      <c r="AF6" s="45">
        <v>1.4752180648783306</v>
      </c>
      <c r="AG6" s="45">
        <v>1.2086901099880707</v>
      </c>
      <c r="AH6" s="45">
        <v>1.3629536519596528</v>
      </c>
      <c r="AI6" s="45">
        <v>1.1463936949173359</v>
      </c>
      <c r="AJ6" s="45">
        <v>1.2924572974355681</v>
      </c>
      <c r="AK6" s="45">
        <v>1.1597658985972106</v>
      </c>
      <c r="AL6" s="45">
        <v>1.4134242029053568</v>
      </c>
      <c r="AM6" s="40">
        <v>1.5714832479432952</v>
      </c>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row>
    <row r="7" spans="1:131">
      <c r="A7" s="20" t="s">
        <v>1263</v>
      </c>
      <c r="B7" s="20"/>
      <c r="C7" s="45">
        <v>53.201158095537785</v>
      </c>
      <c r="D7" s="45">
        <v>11.336666666666666</v>
      </c>
      <c r="E7" s="45">
        <v>2.2673333333333332</v>
      </c>
      <c r="F7" s="45">
        <v>13.603999999999999</v>
      </c>
      <c r="G7" s="45">
        <v>23.344827592377371</v>
      </c>
      <c r="H7" s="45">
        <v>565.65693628826148</v>
      </c>
      <c r="I7" s="45">
        <v>2240.0083807573242</v>
      </c>
      <c r="J7" s="45">
        <v>3.7035712830940244</v>
      </c>
      <c r="K7" s="45">
        <v>-712.11950988115018</v>
      </c>
      <c r="L7" s="73">
        <v>24.230503911408693</v>
      </c>
      <c r="M7" s="45">
        <v>1.9854293830938703</v>
      </c>
      <c r="N7" s="45">
        <v>9.1683230019442945E-3</v>
      </c>
      <c r="O7" s="45">
        <v>3.3919942476148077</v>
      </c>
      <c r="P7" s="45">
        <v>3.1732601526312623</v>
      </c>
      <c r="Q7" s="45">
        <v>3.6709152764703572</v>
      </c>
      <c r="R7" s="45">
        <v>3.1936635221640004</v>
      </c>
      <c r="S7" s="45">
        <v>3.2547479928027849</v>
      </c>
      <c r="T7" s="45">
        <v>2.9342604915443395</v>
      </c>
      <c r="U7" s="45">
        <v>2.70914963088308</v>
      </c>
      <c r="V7" s="45">
        <v>2.8447502345548159</v>
      </c>
      <c r="W7" s="45">
        <v>2.5073230469053094</v>
      </c>
      <c r="X7" s="45">
        <v>2.8775717213344674</v>
      </c>
      <c r="Y7" s="45">
        <v>2.7841484707716933</v>
      </c>
      <c r="Z7" s="45">
        <v>3.167030926740086</v>
      </c>
      <c r="AA7" s="45"/>
      <c r="AB7" s="45">
        <v>1.6644190625461666</v>
      </c>
      <c r="AC7" s="45">
        <v>1.4811294678347</v>
      </c>
      <c r="AD7" s="45">
        <v>1.4488949355933336</v>
      </c>
      <c r="AE7" s="45">
        <v>1.4675127465217659</v>
      </c>
      <c r="AF7" s="45">
        <v>1.4752180648783306</v>
      </c>
      <c r="AG7" s="45">
        <v>1.2086901099880707</v>
      </c>
      <c r="AH7" s="45">
        <v>1.3629536519596528</v>
      </c>
      <c r="AI7" s="45">
        <v>1.1463936949173359</v>
      </c>
      <c r="AJ7" s="45">
        <v>1.2924572974355681</v>
      </c>
      <c r="AK7" s="45">
        <v>1.1597658985972106</v>
      </c>
      <c r="AL7" s="45">
        <v>1.4134242029053568</v>
      </c>
      <c r="AM7" s="40">
        <v>1.5714832479432952</v>
      </c>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row>
    <row r="8" spans="1:131">
      <c r="A8" s="20" t="s">
        <v>1264</v>
      </c>
      <c r="B8" s="20"/>
      <c r="C8" s="45">
        <v>53.201158095537785</v>
      </c>
      <c r="D8" s="45">
        <v>11.336666666666666</v>
      </c>
      <c r="E8" s="45">
        <v>2.2673333333333332</v>
      </c>
      <c r="F8" s="45">
        <v>13.603999999999999</v>
      </c>
      <c r="G8" s="45">
        <v>23.344827592377371</v>
      </c>
      <c r="H8" s="45">
        <v>565.65693628826148</v>
      </c>
      <c r="I8" s="45">
        <v>2240.0083807573242</v>
      </c>
      <c r="J8" s="45">
        <v>3.7035712830940244</v>
      </c>
      <c r="K8" s="45">
        <v>-712.11950988115018</v>
      </c>
      <c r="L8" s="73">
        <v>24.230503911408693</v>
      </c>
      <c r="M8" s="45">
        <v>1.9854293830938703</v>
      </c>
      <c r="N8" s="45">
        <v>9.1683230019442945E-3</v>
      </c>
      <c r="O8" s="45">
        <v>3.3919942476148077</v>
      </c>
      <c r="P8" s="45">
        <v>3.1732601526312623</v>
      </c>
      <c r="Q8" s="45">
        <v>3.6709152764703572</v>
      </c>
      <c r="R8" s="45">
        <v>3.1936635221640004</v>
      </c>
      <c r="S8" s="45">
        <v>3.2547479928027849</v>
      </c>
      <c r="T8" s="45">
        <v>2.9342604915443395</v>
      </c>
      <c r="U8" s="45">
        <v>2.70914963088308</v>
      </c>
      <c r="V8" s="45">
        <v>2.8447502345548159</v>
      </c>
      <c r="W8" s="45">
        <v>2.5073230469053094</v>
      </c>
      <c r="X8" s="45">
        <v>2.8775717213344674</v>
      </c>
      <c r="Y8" s="45">
        <v>2.7841484707716933</v>
      </c>
      <c r="Z8" s="45">
        <v>3.167030926740086</v>
      </c>
      <c r="AA8" s="45"/>
      <c r="AB8" s="45">
        <v>1.6644190625461666</v>
      </c>
      <c r="AC8" s="45">
        <v>1.4811294678347</v>
      </c>
      <c r="AD8" s="45">
        <v>1.4488949355933336</v>
      </c>
      <c r="AE8" s="45">
        <v>1.4675127465217659</v>
      </c>
      <c r="AF8" s="45">
        <v>1.4752180648783306</v>
      </c>
      <c r="AG8" s="45">
        <v>1.2086901099880707</v>
      </c>
      <c r="AH8" s="45">
        <v>1.3629536519596528</v>
      </c>
      <c r="AI8" s="45">
        <v>1.1463936949173359</v>
      </c>
      <c r="AJ8" s="45">
        <v>1.2924572974355681</v>
      </c>
      <c r="AK8" s="45">
        <v>1.1597658985972106</v>
      </c>
      <c r="AL8" s="45">
        <v>1.4134242029053568</v>
      </c>
      <c r="AM8" s="40">
        <v>1.5714832479432952</v>
      </c>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row>
    <row r="9" spans="1:131">
      <c r="A9" s="20" t="s">
        <v>1265</v>
      </c>
      <c r="B9" s="20"/>
      <c r="C9" s="45">
        <v>74.10148453691663</v>
      </c>
      <c r="D9" s="45">
        <v>11.336666666666666</v>
      </c>
      <c r="E9" s="45">
        <v>2.2673333333333332</v>
      </c>
      <c r="F9" s="45">
        <v>13.603999999999999</v>
      </c>
      <c r="G9" s="45">
        <v>23.344827592377371</v>
      </c>
      <c r="H9" s="45">
        <v>430.74468605135212</v>
      </c>
      <c r="I9" s="45">
        <v>1608.2139345080213</v>
      </c>
      <c r="J9" s="45">
        <v>-0.10072021729088509</v>
      </c>
      <c r="K9" s="45">
        <v>-366.59792668389559</v>
      </c>
      <c r="L9" s="73">
        <v>18.451397181960782</v>
      </c>
      <c r="M9" s="45">
        <v>1.77028259197976</v>
      </c>
      <c r="N9" s="45">
        <v>1.2770142032209168E-2</v>
      </c>
      <c r="O9" s="45">
        <v>4.7245552218537279</v>
      </c>
      <c r="P9" s="45">
        <v>4.4198904036929534</v>
      </c>
      <c r="Q9" s="45">
        <v>5.1130516953636524</v>
      </c>
      <c r="R9" s="45">
        <v>4.4483093333939978</v>
      </c>
      <c r="S9" s="45">
        <v>4.5333911270714413</v>
      </c>
      <c r="T9" s="45">
        <v>4.0869985959891215</v>
      </c>
      <c r="U9" s="45">
        <v>3.7734518696109718</v>
      </c>
      <c r="V9" s="45">
        <v>3.9623238114234653</v>
      </c>
      <c r="W9" s="45">
        <v>3.4923367580769265</v>
      </c>
      <c r="X9" s="45">
        <v>4.0080393744327028</v>
      </c>
      <c r="Y9" s="45">
        <v>3.8779143582717004</v>
      </c>
      <c r="Z9" s="45">
        <v>4.4112139969646824</v>
      </c>
      <c r="AA9" s="45"/>
      <c r="AB9" s="45">
        <v>2.3182939590286615</v>
      </c>
      <c r="AC9" s="45">
        <v>2.0629981806191191</v>
      </c>
      <c r="AD9" s="45">
        <v>2.0181001600130846</v>
      </c>
      <c r="AE9" s="45">
        <v>2.044032065971729</v>
      </c>
      <c r="AF9" s="45">
        <v>2.0547644550679522</v>
      </c>
      <c r="AG9" s="45">
        <v>1.6835297332130321</v>
      </c>
      <c r="AH9" s="45">
        <v>1.8983964368567627</v>
      </c>
      <c r="AI9" s="45">
        <v>1.5967598770046467</v>
      </c>
      <c r="AJ9" s="45">
        <v>1.8002052562194073</v>
      </c>
      <c r="AK9" s="45">
        <v>1.6153854141109873</v>
      </c>
      <c r="AL9" s="45">
        <v>1.9686945823173674</v>
      </c>
      <c r="AM9" s="40">
        <v>2.188847870348535</v>
      </c>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row>
    <row r="10" spans="1:131">
      <c r="A10" s="20" t="s">
        <v>1266</v>
      </c>
      <c r="B10" s="20"/>
      <c r="C10" s="45">
        <v>87.367093971108304</v>
      </c>
      <c r="D10" s="45">
        <v>11.336666666666666</v>
      </c>
      <c r="E10" s="45">
        <v>2.2673333333333332</v>
      </c>
      <c r="F10" s="45">
        <v>13.603999999999999</v>
      </c>
      <c r="G10" s="45">
        <v>23.344827592377371</v>
      </c>
      <c r="H10" s="45">
        <v>343.37328260767487</v>
      </c>
      <c r="I10" s="45">
        <v>1364.0265983827851</v>
      </c>
      <c r="J10" s="45">
        <v>-1.5710715520291227</v>
      </c>
      <c r="K10" s="45">
        <v>-231.58779709821113</v>
      </c>
      <c r="L10" s="73">
        <v>14.708752131448348</v>
      </c>
      <c r="M10" s="45">
        <v>1.6288745948239591</v>
      </c>
      <c r="N10" s="45">
        <v>1.5056246253698094E-2</v>
      </c>
      <c r="O10" s="45">
        <v>5.5703426539821459</v>
      </c>
      <c r="P10" s="45">
        <v>5.2111368976564094</v>
      </c>
      <c r="Q10" s="45">
        <v>6.0283875652372814</v>
      </c>
      <c r="R10" s="45">
        <v>5.2446433694533745</v>
      </c>
      <c r="S10" s="45">
        <v>5.3449564618279872</v>
      </c>
      <c r="T10" s="45">
        <v>4.8186509707194993</v>
      </c>
      <c r="U10" s="45">
        <v>4.4489732715613135</v>
      </c>
      <c r="V10" s="45">
        <v>4.6716569707066</v>
      </c>
      <c r="W10" s="45">
        <v>4.1175330781619781</v>
      </c>
      <c r="X10" s="45">
        <v>4.7255565101602306</v>
      </c>
      <c r="Y10" s="45">
        <v>4.5721365809108176</v>
      </c>
      <c r="Z10" s="45">
        <v>5.2009072450833527</v>
      </c>
      <c r="AA10" s="45"/>
      <c r="AB10" s="45">
        <v>2.7333137444797755</v>
      </c>
      <c r="AC10" s="45">
        <v>2.4323150478663238</v>
      </c>
      <c r="AD10" s="45">
        <v>2.3793794068340586</v>
      </c>
      <c r="AE10" s="45">
        <v>2.4099536291846264</v>
      </c>
      <c r="AF10" s="45">
        <v>2.4226073250257278</v>
      </c>
      <c r="AG10" s="45">
        <v>1.9849143552785575</v>
      </c>
      <c r="AH10" s="45">
        <v>2.2382463850728045</v>
      </c>
      <c r="AI10" s="45">
        <v>1.8826110042918325</v>
      </c>
      <c r="AJ10" s="45">
        <v>2.122477070065302</v>
      </c>
      <c r="AK10" s="45">
        <v>1.9045708754172395</v>
      </c>
      <c r="AL10" s="45">
        <v>2.3211292681733657</v>
      </c>
      <c r="AM10" s="40">
        <v>2.5806942839577012</v>
      </c>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row>
    <row r="11" spans="1:131">
      <c r="A11" s="20" t="s">
        <v>1267</v>
      </c>
      <c r="B11" s="20"/>
      <c r="C11" s="45">
        <v>87.367093971108304</v>
      </c>
      <c r="D11" s="45">
        <v>11.336666666666666</v>
      </c>
      <c r="E11" s="45">
        <v>2.2673333333333332</v>
      </c>
      <c r="F11" s="45">
        <v>13.603999999999999</v>
      </c>
      <c r="G11" s="45">
        <v>23.344827592377371</v>
      </c>
      <c r="H11" s="45">
        <v>343.37328260767487</v>
      </c>
      <c r="I11" s="45">
        <v>1364.0265983827851</v>
      </c>
      <c r="J11" s="45">
        <v>-1.5710715520291227</v>
      </c>
      <c r="K11" s="45">
        <v>-231.58779709821113</v>
      </c>
      <c r="L11" s="73">
        <v>14.708752131448348</v>
      </c>
      <c r="M11" s="45">
        <v>1.6288745948239591</v>
      </c>
      <c r="N11" s="45">
        <v>1.5056246253698094E-2</v>
      </c>
      <c r="O11" s="45">
        <v>5.5703426539821459</v>
      </c>
      <c r="P11" s="45">
        <v>5.2111368976564094</v>
      </c>
      <c r="Q11" s="45">
        <v>6.0283875652372814</v>
      </c>
      <c r="R11" s="45">
        <v>5.2446433694533745</v>
      </c>
      <c r="S11" s="45">
        <v>5.3449564618279872</v>
      </c>
      <c r="T11" s="45">
        <v>4.8186509707194993</v>
      </c>
      <c r="U11" s="45">
        <v>4.4489732715613135</v>
      </c>
      <c r="V11" s="45">
        <v>4.6716569707066</v>
      </c>
      <c r="W11" s="45">
        <v>4.1175330781619781</v>
      </c>
      <c r="X11" s="45">
        <v>4.7255565101602306</v>
      </c>
      <c r="Y11" s="45">
        <v>4.5721365809108176</v>
      </c>
      <c r="Z11" s="45">
        <v>5.2009072450833527</v>
      </c>
      <c r="AA11" s="45"/>
      <c r="AB11" s="45">
        <v>2.7333137444797755</v>
      </c>
      <c r="AC11" s="45">
        <v>2.4323150478663238</v>
      </c>
      <c r="AD11" s="45">
        <v>2.3793794068340586</v>
      </c>
      <c r="AE11" s="45">
        <v>2.4099536291846264</v>
      </c>
      <c r="AF11" s="45">
        <v>2.4226073250257278</v>
      </c>
      <c r="AG11" s="45">
        <v>1.9849143552785575</v>
      </c>
      <c r="AH11" s="45">
        <v>2.2382463850728045</v>
      </c>
      <c r="AI11" s="45">
        <v>1.8826110042918325</v>
      </c>
      <c r="AJ11" s="45">
        <v>2.122477070065302</v>
      </c>
      <c r="AK11" s="45">
        <v>1.9045708754172395</v>
      </c>
      <c r="AL11" s="45">
        <v>2.3211292681733657</v>
      </c>
      <c r="AM11" s="40">
        <v>2.5806942839577012</v>
      </c>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row>
    <row r="12" spans="1:131">
      <c r="A12" s="20" t="s">
        <v>1268</v>
      </c>
      <c r="B12" s="20"/>
      <c r="C12" s="45">
        <v>87.367093971108304</v>
      </c>
      <c r="D12" s="45">
        <v>11.336666666666666</v>
      </c>
      <c r="E12" s="45">
        <v>2.2673333333333332</v>
      </c>
      <c r="F12" s="45">
        <v>13.603999999999999</v>
      </c>
      <c r="G12" s="45">
        <v>23.344827592377371</v>
      </c>
      <c r="H12" s="45">
        <v>343.37328260767487</v>
      </c>
      <c r="I12" s="45">
        <v>1364.0265983827851</v>
      </c>
      <c r="J12" s="45">
        <v>-1.5710715520291227</v>
      </c>
      <c r="K12" s="45">
        <v>-231.58779709821113</v>
      </c>
      <c r="L12" s="73">
        <v>14.708752131448348</v>
      </c>
      <c r="M12" s="45">
        <v>1.6288745948239591</v>
      </c>
      <c r="N12" s="45">
        <v>1.5056246253698094E-2</v>
      </c>
      <c r="O12" s="45">
        <v>5.5703426539821459</v>
      </c>
      <c r="P12" s="45">
        <v>5.2111368976564094</v>
      </c>
      <c r="Q12" s="45">
        <v>6.0283875652372814</v>
      </c>
      <c r="R12" s="45">
        <v>5.2446433694533745</v>
      </c>
      <c r="S12" s="45">
        <v>5.3449564618279872</v>
      </c>
      <c r="T12" s="45">
        <v>4.8186509707194993</v>
      </c>
      <c r="U12" s="45">
        <v>4.4489732715613135</v>
      </c>
      <c r="V12" s="45">
        <v>4.6716569707066</v>
      </c>
      <c r="W12" s="45">
        <v>4.1175330781619781</v>
      </c>
      <c r="X12" s="45">
        <v>4.7255565101602306</v>
      </c>
      <c r="Y12" s="45">
        <v>4.5721365809108176</v>
      </c>
      <c r="Z12" s="45">
        <v>5.2009072450833527</v>
      </c>
      <c r="AA12" s="45"/>
      <c r="AB12" s="45">
        <v>2.7333137444797755</v>
      </c>
      <c r="AC12" s="45">
        <v>2.4323150478663238</v>
      </c>
      <c r="AD12" s="45">
        <v>2.3793794068340586</v>
      </c>
      <c r="AE12" s="45">
        <v>2.4099536291846264</v>
      </c>
      <c r="AF12" s="45">
        <v>2.4226073250257278</v>
      </c>
      <c r="AG12" s="45">
        <v>1.9849143552785575</v>
      </c>
      <c r="AH12" s="45">
        <v>2.2382463850728045</v>
      </c>
      <c r="AI12" s="45">
        <v>1.8826110042918325</v>
      </c>
      <c r="AJ12" s="45">
        <v>2.122477070065302</v>
      </c>
      <c r="AK12" s="45">
        <v>1.9045708754172395</v>
      </c>
      <c r="AL12" s="45">
        <v>2.3211292681733657</v>
      </c>
      <c r="AM12" s="40">
        <v>2.5806942839577012</v>
      </c>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row>
    <row r="13" spans="1:131">
      <c r="A13" s="20" t="s">
        <v>1269</v>
      </c>
      <c r="B13" s="20"/>
      <c r="C13" s="45">
        <v>31.19382820794868</v>
      </c>
      <c r="D13" s="45">
        <v>11.336666666666666</v>
      </c>
      <c r="E13" s="45">
        <v>2.2673333333333332</v>
      </c>
      <c r="F13" s="45">
        <v>13.603999999999999</v>
      </c>
      <c r="G13" s="45">
        <v>23.344827592377371</v>
      </c>
      <c r="H13" s="45">
        <v>331.6658119269506</v>
      </c>
      <c r="I13" s="45">
        <v>3820.3403316055105</v>
      </c>
      <c r="J13" s="45">
        <v>13.219393152199459</v>
      </c>
      <c r="K13" s="45">
        <v>-689.3403146610957</v>
      </c>
      <c r="L13" s="73">
        <v>14.207250433292863</v>
      </c>
      <c r="M13" s="45">
        <v>1.1641314834542733</v>
      </c>
      <c r="N13" s="45">
        <v>5.3757305839855826E-3</v>
      </c>
      <c r="O13" s="45">
        <v>1.9888530556503268</v>
      </c>
      <c r="P13" s="45">
        <v>1.8606010771899155</v>
      </c>
      <c r="Q13" s="45">
        <v>2.1523948838578986</v>
      </c>
      <c r="R13" s="45">
        <v>1.8725643356386243</v>
      </c>
      <c r="S13" s="45">
        <v>1.9083804447514736</v>
      </c>
      <c r="T13" s="45">
        <v>1.7204666395839654</v>
      </c>
      <c r="U13" s="45">
        <v>1.5884757249764172</v>
      </c>
      <c r="V13" s="45">
        <v>1.6679834290800435</v>
      </c>
      <c r="W13" s="45">
        <v>1.4701372523985476</v>
      </c>
      <c r="X13" s="45">
        <v>1.6872278939899112</v>
      </c>
      <c r="Y13" s="45">
        <v>1.6324503490453073</v>
      </c>
      <c r="Z13" s="45">
        <v>1.8569486491362084</v>
      </c>
      <c r="AA13" s="45"/>
      <c r="AB13" s="45">
        <v>0.97591112978901173</v>
      </c>
      <c r="AC13" s="45">
        <v>0.86844158712479702</v>
      </c>
      <c r="AD13" s="45">
        <v>0.84954127560723436</v>
      </c>
      <c r="AE13" s="45">
        <v>0.86045759428335544</v>
      </c>
      <c r="AF13" s="45">
        <v>0.86497551054131738</v>
      </c>
      <c r="AG13" s="45">
        <v>0.70870020498250852</v>
      </c>
      <c r="AH13" s="45">
        <v>0.79915068762744979</v>
      </c>
      <c r="AI13" s="45">
        <v>0.67217348753402961</v>
      </c>
      <c r="AJ13" s="45">
        <v>0.75781603907784634</v>
      </c>
      <c r="AK13" s="45">
        <v>0.68001411054457817</v>
      </c>
      <c r="AL13" s="45">
        <v>0.8287434587647543</v>
      </c>
      <c r="AM13" s="40">
        <v>0.92141938677316015</v>
      </c>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row>
    <row r="14" spans="1:131">
      <c r="A14" s="20" t="s">
        <v>1270</v>
      </c>
      <c r="B14" s="20"/>
      <c r="C14" s="45">
        <v>0</v>
      </c>
      <c r="D14" s="45">
        <v>11.336666666666666</v>
      </c>
      <c r="E14" s="45">
        <v>2.2673333333333332</v>
      </c>
      <c r="F14" s="45">
        <v>13.603999999999999</v>
      </c>
      <c r="G14" s="45">
        <v>23.344827592377371</v>
      </c>
      <c r="H14" s="45">
        <v>0</v>
      </c>
      <c r="I14" s="45">
        <v>0</v>
      </c>
      <c r="J14" s="45">
        <v>9999</v>
      </c>
      <c r="K14" s="45">
        <v>9999</v>
      </c>
      <c r="L14" s="81">
        <v>0</v>
      </c>
      <c r="M14" s="45">
        <v>0</v>
      </c>
      <c r="N14" s="45">
        <v>0</v>
      </c>
      <c r="O14" s="45">
        <v>0</v>
      </c>
      <c r="P14" s="45">
        <v>0</v>
      </c>
      <c r="Q14" s="45">
        <v>0</v>
      </c>
      <c r="R14" s="45">
        <v>0</v>
      </c>
      <c r="S14" s="45">
        <v>0</v>
      </c>
      <c r="T14" s="45">
        <v>0</v>
      </c>
      <c r="U14" s="45">
        <v>0</v>
      </c>
      <c r="V14" s="45">
        <v>0</v>
      </c>
      <c r="W14" s="45">
        <v>0</v>
      </c>
      <c r="X14" s="45">
        <v>0</v>
      </c>
      <c r="Y14" s="45">
        <v>0</v>
      </c>
      <c r="Z14" s="45">
        <v>0</v>
      </c>
      <c r="AA14" s="45"/>
      <c r="AB14" s="45">
        <v>0</v>
      </c>
      <c r="AC14" s="45">
        <v>0</v>
      </c>
      <c r="AD14" s="45">
        <v>0</v>
      </c>
      <c r="AE14" s="45">
        <v>0</v>
      </c>
      <c r="AF14" s="45">
        <v>0</v>
      </c>
      <c r="AG14" s="45">
        <v>0</v>
      </c>
      <c r="AH14" s="45">
        <v>0</v>
      </c>
      <c r="AI14" s="45">
        <v>0</v>
      </c>
      <c r="AJ14" s="45">
        <v>0</v>
      </c>
      <c r="AK14" s="45">
        <v>0</v>
      </c>
      <c r="AL14" s="45">
        <v>0</v>
      </c>
      <c r="AM14" s="40">
        <v>0</v>
      </c>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row>
    <row r="15" spans="1:131">
      <c r="A15" s="20" t="s">
        <v>1271</v>
      </c>
      <c r="B15" s="20"/>
      <c r="C15" s="45">
        <v>0</v>
      </c>
      <c r="D15" s="45">
        <v>11.336666666666666</v>
      </c>
      <c r="E15" s="45">
        <v>2.2673333333333332</v>
      </c>
      <c r="F15" s="45">
        <v>13.603999999999999</v>
      </c>
      <c r="G15" s="45">
        <v>23.344827592377371</v>
      </c>
      <c r="H15" s="45">
        <v>0</v>
      </c>
      <c r="I15" s="45">
        <v>0</v>
      </c>
      <c r="J15" s="45">
        <v>9999</v>
      </c>
      <c r="K15" s="45">
        <v>9999</v>
      </c>
      <c r="L15" s="81">
        <v>0</v>
      </c>
      <c r="M15" s="45">
        <v>0</v>
      </c>
      <c r="N15" s="45">
        <v>0</v>
      </c>
      <c r="O15" s="45">
        <v>0</v>
      </c>
      <c r="P15" s="45">
        <v>0</v>
      </c>
      <c r="Q15" s="45">
        <v>0</v>
      </c>
      <c r="R15" s="45">
        <v>0</v>
      </c>
      <c r="S15" s="45">
        <v>0</v>
      </c>
      <c r="T15" s="45">
        <v>0</v>
      </c>
      <c r="U15" s="45">
        <v>0</v>
      </c>
      <c r="V15" s="45">
        <v>0</v>
      </c>
      <c r="W15" s="45">
        <v>0</v>
      </c>
      <c r="X15" s="45">
        <v>0</v>
      </c>
      <c r="Y15" s="45">
        <v>0</v>
      </c>
      <c r="Z15" s="45">
        <v>0</v>
      </c>
      <c r="AA15" s="45"/>
      <c r="AB15" s="45">
        <v>0</v>
      </c>
      <c r="AC15" s="45">
        <v>0</v>
      </c>
      <c r="AD15" s="45">
        <v>0</v>
      </c>
      <c r="AE15" s="45">
        <v>0</v>
      </c>
      <c r="AF15" s="45">
        <v>0</v>
      </c>
      <c r="AG15" s="45">
        <v>0</v>
      </c>
      <c r="AH15" s="45">
        <v>0</v>
      </c>
      <c r="AI15" s="45">
        <v>0</v>
      </c>
      <c r="AJ15" s="45">
        <v>0</v>
      </c>
      <c r="AK15" s="45">
        <v>0</v>
      </c>
      <c r="AL15" s="45">
        <v>0</v>
      </c>
      <c r="AM15" s="40">
        <v>0</v>
      </c>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row>
    <row r="16" spans="1:131">
      <c r="A16" s="20" t="s">
        <v>1272</v>
      </c>
      <c r="B16" s="20"/>
      <c r="C16" s="45">
        <v>0</v>
      </c>
      <c r="D16" s="45">
        <v>11.336666666666666</v>
      </c>
      <c r="E16" s="45">
        <v>2.2673333333333332</v>
      </c>
      <c r="F16" s="45">
        <v>13.603999999999999</v>
      </c>
      <c r="G16" s="45">
        <v>23.344827592377371</v>
      </c>
      <c r="H16" s="45">
        <v>0</v>
      </c>
      <c r="I16" s="45">
        <v>0</v>
      </c>
      <c r="J16" s="45">
        <v>9999</v>
      </c>
      <c r="K16" s="45">
        <v>9999</v>
      </c>
      <c r="L16" s="81">
        <v>0</v>
      </c>
      <c r="M16" s="45">
        <v>0</v>
      </c>
      <c r="N16" s="45">
        <v>0</v>
      </c>
      <c r="O16" s="45">
        <v>0</v>
      </c>
      <c r="P16" s="45">
        <v>0</v>
      </c>
      <c r="Q16" s="45">
        <v>0</v>
      </c>
      <c r="R16" s="45">
        <v>0</v>
      </c>
      <c r="S16" s="45">
        <v>0</v>
      </c>
      <c r="T16" s="45">
        <v>0</v>
      </c>
      <c r="U16" s="45">
        <v>0</v>
      </c>
      <c r="V16" s="45">
        <v>0</v>
      </c>
      <c r="W16" s="45">
        <v>0</v>
      </c>
      <c r="X16" s="45">
        <v>0</v>
      </c>
      <c r="Y16" s="45">
        <v>0</v>
      </c>
      <c r="Z16" s="45">
        <v>0</v>
      </c>
      <c r="AA16" s="45"/>
      <c r="AB16" s="45">
        <v>0</v>
      </c>
      <c r="AC16" s="45">
        <v>0</v>
      </c>
      <c r="AD16" s="45">
        <v>0</v>
      </c>
      <c r="AE16" s="45">
        <v>0</v>
      </c>
      <c r="AF16" s="45">
        <v>0</v>
      </c>
      <c r="AG16" s="45">
        <v>0</v>
      </c>
      <c r="AH16" s="45">
        <v>0</v>
      </c>
      <c r="AI16" s="45">
        <v>0</v>
      </c>
      <c r="AJ16" s="45">
        <v>0</v>
      </c>
      <c r="AK16" s="45">
        <v>0</v>
      </c>
      <c r="AL16" s="45">
        <v>0</v>
      </c>
      <c r="AM16" s="40">
        <v>0</v>
      </c>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row>
    <row r="17" spans="1:131">
      <c r="A17" s="20" t="s">
        <v>1273</v>
      </c>
      <c r="B17" s="20"/>
      <c r="C17" s="45">
        <v>0</v>
      </c>
      <c r="D17" s="45">
        <v>11.336666666666666</v>
      </c>
      <c r="E17" s="45">
        <v>2.2673333333333332</v>
      </c>
      <c r="F17" s="45">
        <v>13.603999999999999</v>
      </c>
      <c r="G17" s="45">
        <v>23.344827592377371</v>
      </c>
      <c r="H17" s="45">
        <v>0</v>
      </c>
      <c r="I17" s="45">
        <v>0</v>
      </c>
      <c r="J17" s="45">
        <v>9999</v>
      </c>
      <c r="K17" s="45">
        <v>9999</v>
      </c>
      <c r="L17" s="81">
        <v>0</v>
      </c>
      <c r="M17" s="45">
        <v>0</v>
      </c>
      <c r="N17" s="45">
        <v>0</v>
      </c>
      <c r="O17" s="45">
        <v>0</v>
      </c>
      <c r="P17" s="45">
        <v>0</v>
      </c>
      <c r="Q17" s="45">
        <v>0</v>
      </c>
      <c r="R17" s="45">
        <v>0</v>
      </c>
      <c r="S17" s="45">
        <v>0</v>
      </c>
      <c r="T17" s="45">
        <v>0</v>
      </c>
      <c r="U17" s="45">
        <v>0</v>
      </c>
      <c r="V17" s="45">
        <v>0</v>
      </c>
      <c r="W17" s="45">
        <v>0</v>
      </c>
      <c r="X17" s="45">
        <v>0</v>
      </c>
      <c r="Y17" s="45">
        <v>0</v>
      </c>
      <c r="Z17" s="45">
        <v>0</v>
      </c>
      <c r="AA17" s="45"/>
      <c r="AB17" s="45">
        <v>0</v>
      </c>
      <c r="AC17" s="45">
        <v>0</v>
      </c>
      <c r="AD17" s="45">
        <v>0</v>
      </c>
      <c r="AE17" s="45">
        <v>0</v>
      </c>
      <c r="AF17" s="45">
        <v>0</v>
      </c>
      <c r="AG17" s="45">
        <v>0</v>
      </c>
      <c r="AH17" s="45">
        <v>0</v>
      </c>
      <c r="AI17" s="45">
        <v>0</v>
      </c>
      <c r="AJ17" s="45">
        <v>0</v>
      </c>
      <c r="AK17" s="45">
        <v>0</v>
      </c>
      <c r="AL17" s="45">
        <v>0</v>
      </c>
      <c r="AM17" s="40">
        <v>0</v>
      </c>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row>
    <row r="18" spans="1:131">
      <c r="A18" s="20" t="s">
        <v>1274</v>
      </c>
      <c r="B18" s="20"/>
      <c r="C18" s="45">
        <v>0</v>
      </c>
      <c r="D18" s="45">
        <v>11.336666666666666</v>
      </c>
      <c r="E18" s="45">
        <v>2.2673333333333332</v>
      </c>
      <c r="F18" s="45">
        <v>13.603999999999999</v>
      </c>
      <c r="G18" s="45">
        <v>23.344827592377371</v>
      </c>
      <c r="H18" s="45">
        <v>0</v>
      </c>
      <c r="I18" s="45">
        <v>0</v>
      </c>
      <c r="J18" s="45">
        <v>9999</v>
      </c>
      <c r="K18" s="45">
        <v>9999</v>
      </c>
      <c r="L18" s="81">
        <v>0</v>
      </c>
      <c r="M18" s="45">
        <v>0</v>
      </c>
      <c r="N18" s="45">
        <v>0</v>
      </c>
      <c r="O18" s="45">
        <v>0</v>
      </c>
      <c r="P18" s="45">
        <v>0</v>
      </c>
      <c r="Q18" s="45">
        <v>0</v>
      </c>
      <c r="R18" s="45">
        <v>0</v>
      </c>
      <c r="S18" s="45">
        <v>0</v>
      </c>
      <c r="T18" s="45">
        <v>0</v>
      </c>
      <c r="U18" s="45">
        <v>0</v>
      </c>
      <c r="V18" s="45">
        <v>0</v>
      </c>
      <c r="W18" s="45">
        <v>0</v>
      </c>
      <c r="X18" s="45">
        <v>0</v>
      </c>
      <c r="Y18" s="45">
        <v>0</v>
      </c>
      <c r="Z18" s="45">
        <v>0</v>
      </c>
      <c r="AA18" s="45"/>
      <c r="AB18" s="45">
        <v>0</v>
      </c>
      <c r="AC18" s="45">
        <v>0</v>
      </c>
      <c r="AD18" s="45">
        <v>0</v>
      </c>
      <c r="AE18" s="45">
        <v>0</v>
      </c>
      <c r="AF18" s="45">
        <v>0</v>
      </c>
      <c r="AG18" s="45">
        <v>0</v>
      </c>
      <c r="AH18" s="45">
        <v>0</v>
      </c>
      <c r="AI18" s="45">
        <v>0</v>
      </c>
      <c r="AJ18" s="45">
        <v>0</v>
      </c>
      <c r="AK18" s="45">
        <v>0</v>
      </c>
      <c r="AL18" s="45">
        <v>0</v>
      </c>
      <c r="AM18" s="40">
        <v>0</v>
      </c>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row>
    <row r="19" spans="1:131">
      <c r="A19" s="20" t="s">
        <v>1275</v>
      </c>
      <c r="B19" s="20"/>
      <c r="C19" s="45">
        <v>0</v>
      </c>
      <c r="D19" s="45">
        <v>11.336666666666666</v>
      </c>
      <c r="E19" s="45">
        <v>2.2673333333333332</v>
      </c>
      <c r="F19" s="45">
        <v>13.603999999999999</v>
      </c>
      <c r="G19" s="45">
        <v>23.344827592377371</v>
      </c>
      <c r="H19" s="45">
        <v>0</v>
      </c>
      <c r="I19" s="45">
        <v>0</v>
      </c>
      <c r="J19" s="45">
        <v>9999</v>
      </c>
      <c r="K19" s="45">
        <v>9999</v>
      </c>
      <c r="L19" s="81">
        <v>0</v>
      </c>
      <c r="M19" s="45">
        <v>0</v>
      </c>
      <c r="N19" s="45">
        <v>0</v>
      </c>
      <c r="O19" s="45">
        <v>0</v>
      </c>
      <c r="P19" s="45">
        <v>0</v>
      </c>
      <c r="Q19" s="45">
        <v>0</v>
      </c>
      <c r="R19" s="45">
        <v>0</v>
      </c>
      <c r="S19" s="45">
        <v>0</v>
      </c>
      <c r="T19" s="45">
        <v>0</v>
      </c>
      <c r="U19" s="45">
        <v>0</v>
      </c>
      <c r="V19" s="45">
        <v>0</v>
      </c>
      <c r="W19" s="45">
        <v>0</v>
      </c>
      <c r="X19" s="45">
        <v>0</v>
      </c>
      <c r="Y19" s="45">
        <v>0</v>
      </c>
      <c r="Z19" s="45">
        <v>0</v>
      </c>
      <c r="AA19" s="45"/>
      <c r="AB19" s="45">
        <v>0</v>
      </c>
      <c r="AC19" s="45">
        <v>0</v>
      </c>
      <c r="AD19" s="45">
        <v>0</v>
      </c>
      <c r="AE19" s="45">
        <v>0</v>
      </c>
      <c r="AF19" s="45">
        <v>0</v>
      </c>
      <c r="AG19" s="45">
        <v>0</v>
      </c>
      <c r="AH19" s="45">
        <v>0</v>
      </c>
      <c r="AI19" s="45">
        <v>0</v>
      </c>
      <c r="AJ19" s="45">
        <v>0</v>
      </c>
      <c r="AK19" s="45">
        <v>0</v>
      </c>
      <c r="AL19" s="45">
        <v>0</v>
      </c>
      <c r="AM19" s="40">
        <v>0</v>
      </c>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row>
    <row r="20" spans="1:131">
      <c r="A20" s="20" t="s">
        <v>1276</v>
      </c>
      <c r="B20" s="20"/>
      <c r="C20" s="45">
        <v>0</v>
      </c>
      <c r="D20" s="45">
        <v>11.336666666666666</v>
      </c>
      <c r="E20" s="45">
        <v>2.2673333333333332</v>
      </c>
      <c r="F20" s="45">
        <v>13.603999999999999</v>
      </c>
      <c r="G20" s="45">
        <v>23.344827592377371</v>
      </c>
      <c r="H20" s="45">
        <v>0</v>
      </c>
      <c r="I20" s="45">
        <v>0</v>
      </c>
      <c r="J20" s="45">
        <v>9999</v>
      </c>
      <c r="K20" s="45">
        <v>9999</v>
      </c>
      <c r="L20" s="81">
        <v>0</v>
      </c>
      <c r="M20" s="45">
        <v>0</v>
      </c>
      <c r="N20" s="45">
        <v>0</v>
      </c>
      <c r="O20" s="45">
        <v>0</v>
      </c>
      <c r="P20" s="45">
        <v>0</v>
      </c>
      <c r="Q20" s="45">
        <v>0</v>
      </c>
      <c r="R20" s="45">
        <v>0</v>
      </c>
      <c r="S20" s="45">
        <v>0</v>
      </c>
      <c r="T20" s="45">
        <v>0</v>
      </c>
      <c r="U20" s="45">
        <v>0</v>
      </c>
      <c r="V20" s="45">
        <v>0</v>
      </c>
      <c r="W20" s="45">
        <v>0</v>
      </c>
      <c r="X20" s="45">
        <v>0</v>
      </c>
      <c r="Y20" s="45">
        <v>0</v>
      </c>
      <c r="Z20" s="45">
        <v>0</v>
      </c>
      <c r="AA20" s="45"/>
      <c r="AB20" s="45">
        <v>0</v>
      </c>
      <c r="AC20" s="45">
        <v>0</v>
      </c>
      <c r="AD20" s="45">
        <v>0</v>
      </c>
      <c r="AE20" s="45">
        <v>0</v>
      </c>
      <c r="AF20" s="45">
        <v>0</v>
      </c>
      <c r="AG20" s="45">
        <v>0</v>
      </c>
      <c r="AH20" s="45">
        <v>0</v>
      </c>
      <c r="AI20" s="45">
        <v>0</v>
      </c>
      <c r="AJ20" s="45">
        <v>0</v>
      </c>
      <c r="AK20" s="45">
        <v>0</v>
      </c>
      <c r="AL20" s="45">
        <v>0</v>
      </c>
      <c r="AM20" s="40">
        <v>0</v>
      </c>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row>
    <row r="21" spans="1:131">
      <c r="A21" s="20" t="s">
        <v>1277</v>
      </c>
      <c r="B21" s="20"/>
      <c r="C21" s="45">
        <v>0</v>
      </c>
      <c r="D21" s="45">
        <v>11.336666666666666</v>
      </c>
      <c r="E21" s="45">
        <v>2.2673333333333332</v>
      </c>
      <c r="F21" s="45">
        <v>13.603999999999999</v>
      </c>
      <c r="G21" s="45">
        <v>23.344827592377371</v>
      </c>
      <c r="H21" s="45">
        <v>0</v>
      </c>
      <c r="I21" s="45">
        <v>0</v>
      </c>
      <c r="J21" s="45">
        <v>9999</v>
      </c>
      <c r="K21" s="45">
        <v>9999</v>
      </c>
      <c r="L21" s="81">
        <v>0</v>
      </c>
      <c r="M21" s="45">
        <v>0</v>
      </c>
      <c r="N21" s="45">
        <v>0</v>
      </c>
      <c r="O21" s="45">
        <v>0</v>
      </c>
      <c r="P21" s="45">
        <v>0</v>
      </c>
      <c r="Q21" s="45">
        <v>0</v>
      </c>
      <c r="R21" s="45">
        <v>0</v>
      </c>
      <c r="S21" s="45">
        <v>0</v>
      </c>
      <c r="T21" s="45">
        <v>0</v>
      </c>
      <c r="U21" s="45">
        <v>0</v>
      </c>
      <c r="V21" s="45">
        <v>0</v>
      </c>
      <c r="W21" s="45">
        <v>0</v>
      </c>
      <c r="X21" s="45">
        <v>0</v>
      </c>
      <c r="Y21" s="45">
        <v>0</v>
      </c>
      <c r="Z21" s="45">
        <v>0</v>
      </c>
      <c r="AA21" s="45"/>
      <c r="AB21" s="45">
        <v>0</v>
      </c>
      <c r="AC21" s="45">
        <v>0</v>
      </c>
      <c r="AD21" s="45">
        <v>0</v>
      </c>
      <c r="AE21" s="45">
        <v>0</v>
      </c>
      <c r="AF21" s="45">
        <v>0</v>
      </c>
      <c r="AG21" s="45">
        <v>0</v>
      </c>
      <c r="AH21" s="45">
        <v>0</v>
      </c>
      <c r="AI21" s="45">
        <v>0</v>
      </c>
      <c r="AJ21" s="45">
        <v>0</v>
      </c>
      <c r="AK21" s="45">
        <v>0</v>
      </c>
      <c r="AL21" s="45">
        <v>0</v>
      </c>
      <c r="AM21" s="40">
        <v>0</v>
      </c>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row>
    <row r="22" spans="1:131">
      <c r="A22" s="20"/>
      <c r="B22" s="2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EA158"/>
  <sheetViews>
    <sheetView zoomScaleNormal="100" workbookViewId="0">
      <selection activeCell="A28" sqref="A28:EA148"/>
    </sheetView>
  </sheetViews>
  <sheetFormatPr defaultRowHeight="12.75"/>
  <cols>
    <col min="1" max="1" width="43.5703125" customWidth="1"/>
    <col min="2" max="2" width="53.28515625" customWidth="1"/>
    <col min="3" max="3" width="17.42578125" bestFit="1" customWidth="1"/>
    <col min="4" max="4" width="12.140625" bestFit="1" customWidth="1"/>
    <col min="5" max="5" width="12.5703125" customWidth="1"/>
    <col min="6" max="6" width="13.7109375" customWidth="1"/>
    <col min="7" max="7" width="30.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1" t="s">
        <v>13</v>
      </c>
      <c r="B1" s="12"/>
      <c r="C1" s="12"/>
      <c r="D1" s="12"/>
      <c r="E1" s="12"/>
      <c r="F1" s="12"/>
      <c r="G1" s="12"/>
      <c r="H1" s="13"/>
      <c r="I1" s="14"/>
      <c r="J1" s="14"/>
      <c r="K1" s="14"/>
      <c r="L1" s="14"/>
      <c r="M1" s="14"/>
      <c r="N1" s="15"/>
      <c r="O1" s="16"/>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05">
      <c r="A2" s="19" t="s">
        <v>14</v>
      </c>
      <c r="B2" s="13" t="str">
        <f>'7PSourceSummary'!D2</f>
        <v>Showerheads</v>
      </c>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05">
      <c r="A3" s="19" t="s">
        <v>15</v>
      </c>
      <c r="B3" s="20"/>
      <c r="C3" s="19">
        <v>2012</v>
      </c>
      <c r="D3" s="20"/>
      <c r="E3" s="20"/>
      <c r="F3" s="20"/>
      <c r="G3" s="20"/>
      <c r="H3" s="20"/>
      <c r="I3" s="20"/>
      <c r="J3" s="21"/>
      <c r="K3" s="22"/>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2"/>
      <c r="CP3" s="22"/>
      <c r="CQ3" s="20"/>
      <c r="CR3" s="20"/>
      <c r="CS3" s="20"/>
      <c r="CT3" s="20"/>
      <c r="CU3" s="20"/>
      <c r="CV3" s="20"/>
      <c r="CW3" s="20"/>
      <c r="CX3" s="20"/>
      <c r="CY3" s="20"/>
      <c r="CZ3" s="20"/>
      <c r="DA3" s="20"/>
    </row>
    <row r="4" spans="1:105">
      <c r="A4" s="98"/>
      <c r="B4" s="102" t="s">
        <v>307</v>
      </c>
      <c r="C4" s="103">
        <v>1.107352410306802</v>
      </c>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row>
    <row r="5" spans="1:105">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05">
      <c r="A6" s="24" t="s">
        <v>16</v>
      </c>
      <c r="B6" s="25"/>
      <c r="C6" s="25"/>
      <c r="D6" s="25"/>
      <c r="E6" s="25"/>
      <c r="F6" s="25"/>
      <c r="G6" s="26"/>
      <c r="H6" s="27"/>
      <c r="I6" s="578" t="s">
        <v>17</v>
      </c>
      <c r="J6" s="579"/>
      <c r="K6" s="579"/>
      <c r="L6" s="579"/>
      <c r="M6" s="579"/>
      <c r="N6" s="580"/>
      <c r="O6" s="581" t="s">
        <v>18</v>
      </c>
      <c r="P6" s="582"/>
      <c r="Q6" s="28" t="s">
        <v>19</v>
      </c>
      <c r="R6" s="583" t="s">
        <v>20</v>
      </c>
      <c r="S6" s="583"/>
      <c r="T6" s="583"/>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05" ht="39.75" customHeight="1">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c r="Q7" s="37" t="s">
        <v>36</v>
      </c>
      <c r="R7" s="38" t="s">
        <v>37</v>
      </c>
      <c r="S7" s="38" t="s">
        <v>38</v>
      </c>
      <c r="T7" s="38" t="s">
        <v>39</v>
      </c>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05">
      <c r="A8" s="20" t="str">
        <f>MMap!A29</f>
        <v>Showerheads-Retro-Large Off</v>
      </c>
      <c r="B8" s="562" t="str">
        <f>A8</f>
        <v>Showerheads-Retro-Large Off</v>
      </c>
      <c r="C8" s="46">
        <f>MMap!I29</f>
        <v>81.293930844393842</v>
      </c>
      <c r="D8" s="46">
        <f>MMap!H11</f>
        <v>10</v>
      </c>
      <c r="E8" s="46">
        <f>MMap!J29</f>
        <v>11.336666666666666</v>
      </c>
      <c r="F8" s="46"/>
      <c r="G8" s="46" t="s">
        <v>1242</v>
      </c>
      <c r="H8" s="46">
        <f>MMap!L29</f>
        <v>17.451509929033971</v>
      </c>
      <c r="I8" s="46"/>
      <c r="J8" s="46"/>
      <c r="K8" s="46"/>
      <c r="L8" s="46"/>
      <c r="M8" s="46"/>
      <c r="N8" s="46"/>
      <c r="O8" s="46">
        <f>MMap!M29</f>
        <v>6.7604349038811193</v>
      </c>
      <c r="P8" s="46" t="s">
        <v>1242</v>
      </c>
      <c r="Q8" s="46" t="s">
        <v>406</v>
      </c>
      <c r="R8" s="46"/>
      <c r="S8" s="46"/>
      <c r="T8" s="46"/>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17"/>
      <c r="CZ8" s="17"/>
      <c r="DA8" s="17"/>
    </row>
    <row r="9" spans="1:105">
      <c r="A9" s="20" t="str">
        <f>MMap!A30</f>
        <v>Showerheads-Retro-Medium Off</v>
      </c>
      <c r="B9" s="562" t="str">
        <f t="shared" ref="B9:B25" si="0">A9</f>
        <v>Showerheads-Retro-Medium Off</v>
      </c>
      <c r="C9" s="46">
        <f>MMap!I30</f>
        <v>81.293930844393842</v>
      </c>
      <c r="D9" s="46">
        <f>MMap!H12</f>
        <v>10</v>
      </c>
      <c r="E9" s="46">
        <f>MMap!J30</f>
        <v>11.336666666666666</v>
      </c>
      <c r="F9" s="46"/>
      <c r="G9" s="46" t="s">
        <v>1242</v>
      </c>
      <c r="H9" s="46">
        <f>MMap!L30</f>
        <v>17.451509929033971</v>
      </c>
      <c r="O9" s="46">
        <f>MMap!M30</f>
        <v>6.7604349038811193</v>
      </c>
      <c r="P9" s="46" t="s">
        <v>1242</v>
      </c>
      <c r="Q9" s="46" t="s">
        <v>406</v>
      </c>
    </row>
    <row r="10" spans="1:105">
      <c r="A10" s="20" t="str">
        <f>MMap!A31</f>
        <v>Showerheads-Retro-Small Off</v>
      </c>
      <c r="B10" s="562" t="str">
        <f t="shared" si="0"/>
        <v>Showerheads-Retro-Small Off</v>
      </c>
      <c r="C10" s="46">
        <f>MMap!I31</f>
        <v>81.293930844393842</v>
      </c>
      <c r="D10" s="46">
        <f>MMap!H13</f>
        <v>10</v>
      </c>
      <c r="E10" s="46">
        <f>MMap!J31</f>
        <v>11.336666666666666</v>
      </c>
      <c r="F10" s="46"/>
      <c r="G10" s="46" t="s">
        <v>1242</v>
      </c>
      <c r="H10" s="46">
        <f>MMap!L31</f>
        <v>17.451509929033971</v>
      </c>
      <c r="O10" s="46">
        <f>MMap!M31</f>
        <v>6.7604349038811193</v>
      </c>
      <c r="P10" s="46" t="s">
        <v>1242</v>
      </c>
      <c r="Q10" s="46" t="s">
        <v>406</v>
      </c>
    </row>
    <row r="11" spans="1:105">
      <c r="A11" s="20" t="str">
        <f>MMap!A32</f>
        <v>Showerheads-Retro-Xlarge Ret</v>
      </c>
      <c r="B11" s="562" t="str">
        <f t="shared" si="0"/>
        <v>Showerheads-Retro-Xlarge Ret</v>
      </c>
      <c r="C11" s="46">
        <f>MMap!I32</f>
        <v>0</v>
      </c>
      <c r="D11" s="46">
        <f>MMap!H14</f>
        <v>10</v>
      </c>
      <c r="E11" s="46">
        <f>MMap!J32</f>
        <v>11.336666666666666</v>
      </c>
      <c r="F11" s="46"/>
      <c r="G11" s="46" t="s">
        <v>1242</v>
      </c>
      <c r="H11" s="46">
        <f>MMap!L32</f>
        <v>0</v>
      </c>
      <c r="O11" s="46">
        <f>MMap!M32</f>
        <v>0</v>
      </c>
      <c r="P11" s="46" t="s">
        <v>1242</v>
      </c>
      <c r="Q11" s="46" t="s">
        <v>406</v>
      </c>
    </row>
    <row r="12" spans="1:105">
      <c r="A12" s="20" t="str">
        <f>MMap!A33</f>
        <v>Showerheads-Retro-Large Ret</v>
      </c>
      <c r="B12" s="562" t="str">
        <f t="shared" si="0"/>
        <v>Showerheads-Retro-Large Ret</v>
      </c>
      <c r="C12" s="46">
        <f>MMap!I33</f>
        <v>0</v>
      </c>
      <c r="D12" s="46">
        <f>MMap!H15</f>
        <v>10</v>
      </c>
      <c r="E12" s="46">
        <f>MMap!J33</f>
        <v>11.336666666666666</v>
      </c>
      <c r="F12" s="46"/>
      <c r="G12" s="46" t="s">
        <v>1242</v>
      </c>
      <c r="H12" s="46">
        <f>MMap!L33</f>
        <v>0</v>
      </c>
      <c r="O12" s="46">
        <f>MMap!M33</f>
        <v>0</v>
      </c>
      <c r="P12" s="46" t="s">
        <v>1242</v>
      </c>
      <c r="Q12" s="46" t="s">
        <v>406</v>
      </c>
    </row>
    <row r="13" spans="1:105">
      <c r="A13" s="20" t="str">
        <f>MMap!A34</f>
        <v>Showerheads-Retro-Medium Ret</v>
      </c>
      <c r="B13" s="562" t="str">
        <f t="shared" si="0"/>
        <v>Showerheads-Retro-Medium Ret</v>
      </c>
      <c r="C13" s="46">
        <f>MMap!I34</f>
        <v>0</v>
      </c>
      <c r="D13" s="46">
        <f>MMap!H16</f>
        <v>10</v>
      </c>
      <c r="E13" s="46">
        <f>MMap!J34</f>
        <v>11.336666666666666</v>
      </c>
      <c r="F13" s="46"/>
      <c r="G13" s="46" t="s">
        <v>1242</v>
      </c>
      <c r="H13" s="46">
        <f>MMap!L34</f>
        <v>0</v>
      </c>
      <c r="O13" s="46">
        <f>MMap!M34</f>
        <v>0</v>
      </c>
      <c r="P13" s="46" t="s">
        <v>1242</v>
      </c>
      <c r="Q13" s="46" t="s">
        <v>406</v>
      </c>
    </row>
    <row r="14" spans="1:105">
      <c r="A14" s="20" t="str">
        <f>MMap!A35</f>
        <v>Showerheads-Retro-Small Ret</v>
      </c>
      <c r="B14" s="562" t="str">
        <f t="shared" si="0"/>
        <v>Showerheads-Retro-Small Ret</v>
      </c>
      <c r="C14" s="46">
        <f>MMap!I35</f>
        <v>0</v>
      </c>
      <c r="D14" s="46">
        <f>MMap!H17</f>
        <v>10</v>
      </c>
      <c r="E14" s="46">
        <f>MMap!J35</f>
        <v>11.336666666666666</v>
      </c>
      <c r="F14" s="46"/>
      <c r="G14" s="46" t="s">
        <v>1242</v>
      </c>
      <c r="H14" s="46">
        <f>MMap!L35</f>
        <v>0</v>
      </c>
      <c r="O14" s="46">
        <f>MMap!M35</f>
        <v>0</v>
      </c>
      <c r="P14" s="46" t="s">
        <v>1242</v>
      </c>
      <c r="Q14" s="46" t="s">
        <v>406</v>
      </c>
    </row>
    <row r="15" spans="1:105">
      <c r="A15" s="20" t="str">
        <f>MMap!A36</f>
        <v>Showerheads-Retro-School K-12</v>
      </c>
      <c r="B15" s="562" t="str">
        <f t="shared" si="0"/>
        <v>Showerheads-Retro-School K-12</v>
      </c>
      <c r="C15" s="46">
        <f>MMap!I36</f>
        <v>29.02544651362075</v>
      </c>
      <c r="D15" s="46">
        <f>MMap!H18</f>
        <v>10</v>
      </c>
      <c r="E15" s="46">
        <f>MMap!J36</f>
        <v>11.336666666666666</v>
      </c>
      <c r="F15" s="46"/>
      <c r="G15" s="46" t="s">
        <v>1242</v>
      </c>
      <c r="H15" s="46">
        <f>MMap!L36</f>
        <v>18.956783746622847</v>
      </c>
      <c r="O15" s="46">
        <f>MMap!M36</f>
        <v>7.3435538258373221</v>
      </c>
      <c r="P15" s="46" t="s">
        <v>1242</v>
      </c>
      <c r="Q15" s="46" t="s">
        <v>406</v>
      </c>
    </row>
    <row r="16" spans="1:105">
      <c r="A16" s="20" t="str">
        <f>MMap!A37</f>
        <v>Showerheads-Retro-University</v>
      </c>
      <c r="B16" s="562" t="str">
        <f t="shared" si="0"/>
        <v>Showerheads-Retro-University</v>
      </c>
      <c r="C16" s="46">
        <f>MMap!I37</f>
        <v>49.502977270716336</v>
      </c>
      <c r="D16" s="46">
        <f>MMap!H19</f>
        <v>10</v>
      </c>
      <c r="E16" s="46">
        <f>MMap!J37</f>
        <v>11.336666666666666</v>
      </c>
      <c r="F16" s="46"/>
      <c r="G16" s="46" t="s">
        <v>1242</v>
      </c>
      <c r="H16" s="46">
        <f>MMap!L37</f>
        <v>32.330845780256482</v>
      </c>
      <c r="O16" s="46">
        <f>MMap!M37</f>
        <v>12.524450845437102</v>
      </c>
      <c r="P16" s="46" t="s">
        <v>1242</v>
      </c>
      <c r="Q16" s="46" t="s">
        <v>406</v>
      </c>
    </row>
    <row r="17" spans="1:131">
      <c r="A17" s="20" t="str">
        <f>MMap!A38</f>
        <v>Showerheads-Retro-Warehouse</v>
      </c>
      <c r="B17" s="562" t="str">
        <f t="shared" si="0"/>
        <v>Showerheads-Retro-Warehouse</v>
      </c>
      <c r="C17" s="46">
        <f>MMap!I38</f>
        <v>0</v>
      </c>
      <c r="D17" s="46">
        <f>MMap!H20</f>
        <v>10</v>
      </c>
      <c r="E17" s="46">
        <f>MMap!J38</f>
        <v>11.336666666666666</v>
      </c>
      <c r="F17" s="46"/>
      <c r="G17" s="46" t="s">
        <v>1242</v>
      </c>
      <c r="H17" s="46">
        <f>MMap!L38</f>
        <v>0</v>
      </c>
      <c r="O17" s="46">
        <f>MMap!M38</f>
        <v>0</v>
      </c>
      <c r="P17" s="46" t="s">
        <v>1242</v>
      </c>
      <c r="Q17" s="46" t="s">
        <v>406</v>
      </c>
    </row>
    <row r="18" spans="1:131">
      <c r="A18" s="20" t="str">
        <f>MMap!A39</f>
        <v>Showerheads-Retro-Supermarket</v>
      </c>
      <c r="B18" s="562" t="str">
        <f t="shared" si="0"/>
        <v>Showerheads-Retro-Supermarket</v>
      </c>
      <c r="C18" s="46">
        <f>MMap!I39</f>
        <v>0</v>
      </c>
      <c r="D18" s="46">
        <f>MMap!H21</f>
        <v>10</v>
      </c>
      <c r="E18" s="46">
        <f>MMap!J39</f>
        <v>11.336666666666666</v>
      </c>
      <c r="F18" s="46"/>
      <c r="G18" s="46" t="s">
        <v>1242</v>
      </c>
      <c r="H18" s="46">
        <f>MMap!L39</f>
        <v>0</v>
      </c>
      <c r="O18" s="46">
        <f>MMap!M39</f>
        <v>0</v>
      </c>
      <c r="P18" s="46" t="s">
        <v>1242</v>
      </c>
      <c r="Q18" s="46" t="s">
        <v>406</v>
      </c>
    </row>
    <row r="19" spans="1:131">
      <c r="A19" s="20" t="str">
        <f>MMap!A40</f>
        <v>Showerheads-Retro-MiniMart</v>
      </c>
      <c r="B19" s="562" t="str">
        <f t="shared" si="0"/>
        <v>Showerheads-Retro-MiniMart</v>
      </c>
      <c r="C19" s="46">
        <f>MMap!I40</f>
        <v>0</v>
      </c>
      <c r="D19" s="46">
        <f>MMap!H22</f>
        <v>10</v>
      </c>
      <c r="E19" s="46">
        <f>MMap!J40</f>
        <v>11.336666666666666</v>
      </c>
      <c r="F19" s="46"/>
      <c r="G19" s="46" t="s">
        <v>1242</v>
      </c>
      <c r="H19" s="46">
        <f>MMap!L40</f>
        <v>0</v>
      </c>
      <c r="O19" s="46">
        <f>MMap!M40</f>
        <v>0</v>
      </c>
      <c r="P19" s="46" t="s">
        <v>1242</v>
      </c>
      <c r="Q19" s="46" t="s">
        <v>406</v>
      </c>
    </row>
    <row r="20" spans="1:131">
      <c r="A20" s="20" t="str">
        <f>MMap!A41</f>
        <v>Showerheads-Retro-Restaurant</v>
      </c>
      <c r="B20" s="562" t="str">
        <f t="shared" si="0"/>
        <v>Showerheads-Retro-Restaurant</v>
      </c>
      <c r="C20" s="46">
        <f>MMap!I41</f>
        <v>0</v>
      </c>
      <c r="D20" s="46">
        <f>MMap!H23</f>
        <v>10</v>
      </c>
      <c r="E20" s="46">
        <f>MMap!J41</f>
        <v>11.336666666666666</v>
      </c>
      <c r="F20" s="46"/>
      <c r="G20" s="46" t="s">
        <v>1242</v>
      </c>
      <c r="H20" s="46">
        <f>MMap!L41</f>
        <v>0</v>
      </c>
      <c r="O20" s="46">
        <f>MMap!M41</f>
        <v>0</v>
      </c>
      <c r="P20" s="46" t="s">
        <v>1242</v>
      </c>
      <c r="Q20" s="46" t="s">
        <v>406</v>
      </c>
    </row>
    <row r="21" spans="1:131">
      <c r="A21" s="20" t="str">
        <f>MMap!A42</f>
        <v>Showerheads-Retro-Lodging</v>
      </c>
      <c r="B21" s="562" t="str">
        <f t="shared" si="0"/>
        <v>Showerheads-Retro-Lodging</v>
      </c>
      <c r="C21" s="46">
        <f>MMap!I42</f>
        <v>49.502977270716336</v>
      </c>
      <c r="D21" s="46">
        <f>MMap!H24</f>
        <v>10</v>
      </c>
      <c r="E21" s="46">
        <f>MMap!J42</f>
        <v>11.336666666666666</v>
      </c>
      <c r="F21" s="46"/>
      <c r="G21" s="46" t="s">
        <v>1242</v>
      </c>
      <c r="H21" s="46">
        <f>MMap!L42</f>
        <v>32.330845780256482</v>
      </c>
      <c r="O21" s="46">
        <f>MMap!M42</f>
        <v>12.524450845437102</v>
      </c>
      <c r="P21" s="46" t="s">
        <v>1242</v>
      </c>
      <c r="Q21" s="46" t="s">
        <v>406</v>
      </c>
    </row>
    <row r="22" spans="1:131">
      <c r="A22" s="20" t="str">
        <f>MMap!A43</f>
        <v>Showerheads-Retro-Hospital</v>
      </c>
      <c r="B22" s="562" t="str">
        <f t="shared" si="0"/>
        <v>Showerheads-Retro-Hospital</v>
      </c>
      <c r="C22" s="46">
        <f>MMap!I43</f>
        <v>68.950455893647046</v>
      </c>
      <c r="D22" s="46">
        <f>MMap!H25</f>
        <v>10</v>
      </c>
      <c r="E22" s="46">
        <f>MMap!J43</f>
        <v>11.336666666666666</v>
      </c>
      <c r="F22" s="46"/>
      <c r="G22" s="46" t="s">
        <v>1242</v>
      </c>
      <c r="H22" s="46">
        <f>MMap!L43</f>
        <v>23.29355605420762</v>
      </c>
      <c r="O22" s="46">
        <f>MMap!M43</f>
        <v>9.0235498260461213</v>
      </c>
      <c r="P22" s="46" t="s">
        <v>1242</v>
      </c>
      <c r="Q22" s="46" t="s">
        <v>406</v>
      </c>
    </row>
    <row r="23" spans="1:131">
      <c r="A23" s="20" t="str">
        <f>MMap!A44</f>
        <v>Showerheads-Retro-Residential Care</v>
      </c>
      <c r="B23" s="562" t="str">
        <f t="shared" si="0"/>
        <v>Showerheads-Retro-Residential Care</v>
      </c>
      <c r="C23" s="46">
        <f>MMap!I44</f>
        <v>49.502977270716336</v>
      </c>
      <c r="D23" s="46">
        <f>MMap!H26</f>
        <v>10</v>
      </c>
      <c r="E23" s="46">
        <f>MMap!J44</f>
        <v>11.336666666666666</v>
      </c>
      <c r="F23" s="46"/>
      <c r="G23" s="46" t="s">
        <v>1242</v>
      </c>
      <c r="H23" s="46">
        <f>MMap!L44</f>
        <v>32.330845780256482</v>
      </c>
      <c r="O23" s="46">
        <f>MMap!M44</f>
        <v>12.524450845437102</v>
      </c>
      <c r="P23" s="46" t="s">
        <v>1242</v>
      </c>
      <c r="Q23" s="46" t="s">
        <v>406</v>
      </c>
    </row>
    <row r="24" spans="1:131">
      <c r="A24" s="20" t="str">
        <f>MMap!A45</f>
        <v>Showerheads-Retro-Assembly</v>
      </c>
      <c r="B24" s="562" t="str">
        <f t="shared" si="0"/>
        <v>Showerheads-Retro-Assembly</v>
      </c>
      <c r="C24" s="46">
        <f>MMap!I45</f>
        <v>49.502977270716336</v>
      </c>
      <c r="D24" s="46">
        <f>MMap!H27</f>
        <v>10</v>
      </c>
      <c r="E24" s="46">
        <f>MMap!J45</f>
        <v>11.336666666666666</v>
      </c>
      <c r="F24" s="46"/>
      <c r="G24" s="46" t="s">
        <v>1242</v>
      </c>
      <c r="H24" s="46">
        <f>MMap!L45</f>
        <v>32.330845780256482</v>
      </c>
      <c r="O24" s="46">
        <f>MMap!M45</f>
        <v>12.524450845437102</v>
      </c>
      <c r="P24" s="46" t="s">
        <v>1242</v>
      </c>
      <c r="Q24" s="46" t="s">
        <v>406</v>
      </c>
    </row>
    <row r="25" spans="1:131">
      <c r="A25" s="20" t="str">
        <f>MMap!A46</f>
        <v>Showerheads-Retro-Other</v>
      </c>
      <c r="B25" s="562" t="str">
        <f t="shared" si="0"/>
        <v>Showerheads-Retro-Other</v>
      </c>
      <c r="C25" s="46">
        <f>MMap!I46</f>
        <v>1551.6735954735207</v>
      </c>
      <c r="D25" s="46">
        <f>MMap!H28</f>
        <v>10</v>
      </c>
      <c r="E25" s="46">
        <f>MMap!J46</f>
        <v>11.336666666666666</v>
      </c>
      <c r="F25" s="46"/>
      <c r="G25" s="46" t="s">
        <v>1242</v>
      </c>
      <c r="H25" s="46">
        <f>MMap!L46</f>
        <v>524.20242049953663</v>
      </c>
      <c r="O25" s="46">
        <f>MMap!M46</f>
        <v>203.06760587794054</v>
      </c>
      <c r="P25" s="46" t="s">
        <v>1242</v>
      </c>
      <c r="Q25" s="46" t="s">
        <v>406</v>
      </c>
    </row>
    <row r="28" spans="1:131">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row>
    <row r="29" spans="1:131">
      <c r="A29" s="49" t="s">
        <v>75</v>
      </c>
      <c r="B29" s="5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row>
    <row r="30" spans="1:131">
      <c r="A30" s="20" t="s">
        <v>76</v>
      </c>
      <c r="B30" s="20" t="s">
        <v>308</v>
      </c>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row>
    <row r="31" spans="1:131">
      <c r="A31" s="20" t="s">
        <v>77</v>
      </c>
      <c r="B31" s="20" t="s">
        <v>1288</v>
      </c>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row>
    <row r="32" spans="1:131">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row>
    <row r="33" spans="1:131" ht="13.5" thickBot="1">
      <c r="A33" s="51" t="s">
        <v>78</v>
      </c>
      <c r="B33" s="52"/>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3"/>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row>
    <row r="34" spans="1:131">
      <c r="A34" s="20"/>
      <c r="B34" s="54" t="s">
        <v>79</v>
      </c>
      <c r="C34" s="55"/>
      <c r="D34" s="55" t="s">
        <v>79</v>
      </c>
      <c r="E34" s="56"/>
      <c r="F34" s="20"/>
      <c r="G34" s="54" t="s">
        <v>80</v>
      </c>
      <c r="H34" s="55"/>
      <c r="I34" s="55"/>
      <c r="J34" s="55"/>
      <c r="K34" s="55"/>
      <c r="L34" s="55"/>
      <c r="M34" s="55"/>
      <c r="N34" s="55"/>
      <c r="O34" s="56"/>
      <c r="P34" s="20"/>
      <c r="Q34" s="54" t="s">
        <v>81</v>
      </c>
      <c r="R34" s="55"/>
      <c r="S34" s="55"/>
      <c r="T34" s="55"/>
      <c r="U34" s="56"/>
      <c r="V34" s="20"/>
      <c r="W34" s="54" t="s">
        <v>82</v>
      </c>
      <c r="X34" s="56"/>
      <c r="Y34" s="20"/>
      <c r="Z34" s="54" t="s">
        <v>83</v>
      </c>
      <c r="AA34" s="55"/>
      <c r="AB34" s="56"/>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row>
    <row r="35" spans="1:131">
      <c r="A35" s="20"/>
      <c r="B35" s="57" t="s">
        <v>86</v>
      </c>
      <c r="C35" s="58" t="s">
        <v>84</v>
      </c>
      <c r="D35" s="58" t="s">
        <v>86</v>
      </c>
      <c r="E35" s="59" t="s">
        <v>84</v>
      </c>
      <c r="F35" s="20"/>
      <c r="G35" s="57" t="s">
        <v>87</v>
      </c>
      <c r="H35" s="58" t="s">
        <v>1283</v>
      </c>
      <c r="I35" s="58"/>
      <c r="J35" s="58"/>
      <c r="K35" s="58" t="s">
        <v>326</v>
      </c>
      <c r="L35" s="58"/>
      <c r="M35" s="58"/>
      <c r="N35" s="58"/>
      <c r="O35" s="59"/>
      <c r="P35" s="20"/>
      <c r="Q35" s="57"/>
      <c r="R35" s="58" t="s">
        <v>88</v>
      </c>
      <c r="S35" s="58" t="s">
        <v>89</v>
      </c>
      <c r="T35" s="58" t="s">
        <v>90</v>
      </c>
      <c r="U35" s="59" t="s">
        <v>91</v>
      </c>
      <c r="V35" s="20"/>
      <c r="W35" s="57" t="s">
        <v>92</v>
      </c>
      <c r="X35" s="59">
        <v>20</v>
      </c>
      <c r="Y35" s="20"/>
      <c r="Z35" s="57"/>
      <c r="AA35" s="58" t="s">
        <v>84</v>
      </c>
      <c r="AB35" s="59" t="s">
        <v>85</v>
      </c>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row>
    <row r="36" spans="1:131">
      <c r="A36" s="20"/>
      <c r="B36" s="57" t="s">
        <v>93</v>
      </c>
      <c r="C36" s="58" t="s">
        <v>309</v>
      </c>
      <c r="D36" s="58" t="s">
        <v>93</v>
      </c>
      <c r="E36" s="59" t="s">
        <v>309</v>
      </c>
      <c r="F36" s="20"/>
      <c r="G36" s="57" t="s">
        <v>94</v>
      </c>
      <c r="H36" s="58" t="s">
        <v>310</v>
      </c>
      <c r="I36" s="58"/>
      <c r="J36" s="58"/>
      <c r="K36" s="58" t="s">
        <v>327</v>
      </c>
      <c r="L36" s="58"/>
      <c r="M36" s="58"/>
      <c r="N36" s="58"/>
      <c r="O36" s="59"/>
      <c r="P36" s="20"/>
      <c r="Q36" s="57" t="s">
        <v>95</v>
      </c>
      <c r="R36" s="58">
        <v>6.8012888465852586E-2</v>
      </c>
      <c r="S36" s="58">
        <v>4.387844424080023E-2</v>
      </c>
      <c r="T36" s="58">
        <v>5.3289007766645871E-2</v>
      </c>
      <c r="U36" s="59">
        <v>5.447903102274565E-2</v>
      </c>
      <c r="V36" s="20"/>
      <c r="W36" s="57" t="s">
        <v>96</v>
      </c>
      <c r="X36" s="59">
        <v>2016</v>
      </c>
      <c r="Y36" s="20"/>
      <c r="Z36" s="57" t="s">
        <v>311</v>
      </c>
      <c r="AA36" s="58">
        <v>4.03890184699085E-3</v>
      </c>
      <c r="AB36" s="59">
        <v>0.01</v>
      </c>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row>
    <row r="37" spans="1:131">
      <c r="A37" s="20"/>
      <c r="B37" s="57" t="s">
        <v>98</v>
      </c>
      <c r="C37" s="58" t="s">
        <v>312</v>
      </c>
      <c r="D37" s="58" t="s">
        <v>98</v>
      </c>
      <c r="E37" s="59" t="s">
        <v>312</v>
      </c>
      <c r="F37" s="20"/>
      <c r="G37" s="57" t="s">
        <v>99</v>
      </c>
      <c r="H37" s="58" t="s">
        <v>313</v>
      </c>
      <c r="I37" s="58"/>
      <c r="J37" s="58"/>
      <c r="K37" s="58" t="s">
        <v>328</v>
      </c>
      <c r="L37" s="58"/>
      <c r="M37" s="58"/>
      <c r="N37" s="58"/>
      <c r="O37" s="59"/>
      <c r="P37" s="20"/>
      <c r="Q37" s="57" t="s">
        <v>100</v>
      </c>
      <c r="R37" s="58">
        <v>12</v>
      </c>
      <c r="S37" s="58">
        <v>12</v>
      </c>
      <c r="T37" s="58">
        <v>1</v>
      </c>
      <c r="U37" s="59">
        <v>1</v>
      </c>
      <c r="V37" s="20"/>
      <c r="W37" s="57" t="s">
        <v>101</v>
      </c>
      <c r="X37" s="59">
        <v>2016</v>
      </c>
      <c r="Y37" s="20"/>
      <c r="Z37" s="57" t="s">
        <v>97</v>
      </c>
      <c r="AA37" s="58">
        <v>26</v>
      </c>
      <c r="AB37" s="59">
        <v>0</v>
      </c>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row>
    <row r="38" spans="1:131" ht="13.5" thickBot="1">
      <c r="A38" s="20"/>
      <c r="B38" s="60" t="s">
        <v>102</v>
      </c>
      <c r="C38" s="61" t="s">
        <v>312</v>
      </c>
      <c r="D38" s="61" t="s">
        <v>102</v>
      </c>
      <c r="E38" s="62" t="s">
        <v>312</v>
      </c>
      <c r="F38" s="20"/>
      <c r="G38" s="57" t="s">
        <v>103</v>
      </c>
      <c r="H38" s="58" t="s">
        <v>314</v>
      </c>
      <c r="I38" s="58"/>
      <c r="J38" s="58"/>
      <c r="K38" s="58" t="s">
        <v>327</v>
      </c>
      <c r="L38" s="58"/>
      <c r="M38" s="58"/>
      <c r="N38" s="58"/>
      <c r="O38" s="59"/>
      <c r="P38" s="20"/>
      <c r="Q38" s="57"/>
      <c r="R38" s="58" t="s">
        <v>88</v>
      </c>
      <c r="S38" s="58" t="s">
        <v>89</v>
      </c>
      <c r="T38" s="58" t="s">
        <v>90</v>
      </c>
      <c r="U38" s="59" t="s">
        <v>91</v>
      </c>
      <c r="V38" s="20"/>
      <c r="W38" s="57" t="s">
        <v>104</v>
      </c>
      <c r="X38" s="59">
        <v>2012</v>
      </c>
      <c r="Y38" s="20"/>
      <c r="Z38" s="57" t="s">
        <v>315</v>
      </c>
      <c r="AA38" s="58">
        <v>0.9</v>
      </c>
      <c r="AB38" s="59" t="s">
        <v>316</v>
      </c>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row>
    <row r="39" spans="1:131">
      <c r="A39" s="20"/>
      <c r="B39" s="20"/>
      <c r="C39" s="20"/>
      <c r="D39" s="20"/>
      <c r="E39" s="20"/>
      <c r="F39" s="20"/>
      <c r="G39" s="57" t="s">
        <v>106</v>
      </c>
      <c r="H39" s="58" t="s">
        <v>313</v>
      </c>
      <c r="I39" s="58"/>
      <c r="J39" s="58"/>
      <c r="K39" s="58"/>
      <c r="L39" s="58"/>
      <c r="M39" s="58"/>
      <c r="N39" s="58"/>
      <c r="O39" s="59"/>
      <c r="P39" s="20"/>
      <c r="Q39" s="57" t="s">
        <v>107</v>
      </c>
      <c r="R39" s="58">
        <v>0.35</v>
      </c>
      <c r="S39" s="58">
        <v>0.19500000000000001</v>
      </c>
      <c r="T39" s="58">
        <v>0.45499999999999996</v>
      </c>
      <c r="U39" s="59">
        <v>0</v>
      </c>
      <c r="V39" s="20"/>
      <c r="W39" s="57" t="s">
        <v>108</v>
      </c>
      <c r="X39" s="59">
        <v>0.04</v>
      </c>
      <c r="Y39" s="20"/>
      <c r="Z39" s="57" t="s">
        <v>317</v>
      </c>
      <c r="AA39" s="58">
        <v>4.7399348199455904E-2</v>
      </c>
      <c r="AB39" s="59">
        <v>0</v>
      </c>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row>
    <row r="40" spans="1:131">
      <c r="A40" s="20"/>
      <c r="B40" s="20" t="s">
        <v>109</v>
      </c>
      <c r="C40" s="20" t="s">
        <v>84</v>
      </c>
      <c r="D40" s="20"/>
      <c r="E40" s="20"/>
      <c r="F40" s="20"/>
      <c r="G40" s="57" t="s">
        <v>110</v>
      </c>
      <c r="H40" s="58" t="s">
        <v>318</v>
      </c>
      <c r="I40" s="58"/>
      <c r="J40" s="58"/>
      <c r="K40" s="58" t="s">
        <v>116</v>
      </c>
      <c r="L40" s="58"/>
      <c r="M40" s="58"/>
      <c r="N40" s="58"/>
      <c r="O40" s="59"/>
      <c r="P40" s="20"/>
      <c r="Q40" s="57" t="s">
        <v>111</v>
      </c>
      <c r="R40" s="58">
        <v>1</v>
      </c>
      <c r="S40" s="58">
        <v>0</v>
      </c>
      <c r="T40" s="58">
        <v>0</v>
      </c>
      <c r="U40" s="59">
        <v>0</v>
      </c>
      <c r="V40" s="20"/>
      <c r="W40" s="57" t="s">
        <v>112</v>
      </c>
      <c r="X40" s="59">
        <v>0</v>
      </c>
      <c r="Y40" s="20"/>
      <c r="Z40" s="57" t="s">
        <v>105</v>
      </c>
      <c r="AA40" s="58">
        <v>31</v>
      </c>
      <c r="AB40" s="59">
        <v>0</v>
      </c>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row>
    <row r="41" spans="1:131">
      <c r="A41" s="20"/>
      <c r="B41" s="20" t="s">
        <v>113</v>
      </c>
      <c r="C41" s="20" t="s">
        <v>114</v>
      </c>
      <c r="D41" s="20"/>
      <c r="E41" s="20"/>
      <c r="F41" s="20"/>
      <c r="G41" s="57" t="s">
        <v>115</v>
      </c>
      <c r="H41" s="58" t="s">
        <v>116</v>
      </c>
      <c r="I41" s="58"/>
      <c r="J41" s="58"/>
      <c r="K41" s="58" t="s">
        <v>121</v>
      </c>
      <c r="L41" s="58"/>
      <c r="M41" s="58"/>
      <c r="N41" s="58"/>
      <c r="O41" s="59"/>
      <c r="P41" s="20"/>
      <c r="Q41" s="57" t="s">
        <v>117</v>
      </c>
      <c r="R41" s="58">
        <v>1</v>
      </c>
      <c r="S41" s="58">
        <v>0</v>
      </c>
      <c r="T41" s="58">
        <v>0</v>
      </c>
      <c r="U41" s="59">
        <v>0</v>
      </c>
      <c r="V41" s="20"/>
      <c r="W41" s="57" t="s">
        <v>319</v>
      </c>
      <c r="X41" s="59">
        <v>0.2</v>
      </c>
      <c r="Y41" s="20"/>
      <c r="Z41" s="57" t="s">
        <v>320</v>
      </c>
      <c r="AA41" s="58">
        <v>0.7</v>
      </c>
      <c r="AB41" s="59" t="s">
        <v>316</v>
      </c>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row>
    <row r="42" spans="1:131">
      <c r="A42" s="20"/>
      <c r="B42" s="20" t="s">
        <v>118</v>
      </c>
      <c r="C42" s="20" t="s">
        <v>119</v>
      </c>
      <c r="D42" s="20"/>
      <c r="E42" s="20"/>
      <c r="F42" s="20"/>
      <c r="G42" s="57" t="s">
        <v>120</v>
      </c>
      <c r="H42" s="58" t="s">
        <v>121</v>
      </c>
      <c r="I42" s="58"/>
      <c r="J42" s="58"/>
      <c r="K42" s="58" t="s">
        <v>127</v>
      </c>
      <c r="L42" s="58"/>
      <c r="M42" s="58"/>
      <c r="N42" s="58"/>
      <c r="O42" s="59"/>
      <c r="P42" s="20"/>
      <c r="Q42" s="57" t="s">
        <v>122</v>
      </c>
      <c r="R42" s="58"/>
      <c r="S42" s="58">
        <v>0.3</v>
      </c>
      <c r="T42" s="58">
        <v>0.7</v>
      </c>
      <c r="U42" s="59">
        <v>0</v>
      </c>
      <c r="V42" s="20"/>
      <c r="W42" s="57" t="s">
        <v>123</v>
      </c>
      <c r="X42" s="59">
        <v>0</v>
      </c>
      <c r="Y42" s="20"/>
      <c r="Z42" s="57" t="s">
        <v>321</v>
      </c>
      <c r="AA42" s="58">
        <v>0</v>
      </c>
      <c r="AB42" s="59">
        <v>0</v>
      </c>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row>
    <row r="43" spans="1:131" ht="13.5" thickBot="1">
      <c r="A43" s="20"/>
      <c r="B43" s="20" t="s">
        <v>124</v>
      </c>
      <c r="C43" s="20" t="s">
        <v>125</v>
      </c>
      <c r="D43" s="20"/>
      <c r="E43" s="20"/>
      <c r="F43" s="20"/>
      <c r="G43" s="60" t="s">
        <v>126</v>
      </c>
      <c r="H43" s="61" t="s">
        <v>127</v>
      </c>
      <c r="I43" s="61"/>
      <c r="J43" s="61"/>
      <c r="K43" s="61"/>
      <c r="L43" s="61"/>
      <c r="M43" s="61"/>
      <c r="N43" s="61"/>
      <c r="O43" s="62"/>
      <c r="P43" s="20"/>
      <c r="Q43" s="60" t="s">
        <v>322</v>
      </c>
      <c r="R43" s="61"/>
      <c r="S43" s="61">
        <v>20</v>
      </c>
      <c r="T43" s="61"/>
      <c r="U43" s="62"/>
      <c r="V43" s="20"/>
      <c r="W43" s="60" t="s">
        <v>128</v>
      </c>
      <c r="X43" s="62">
        <v>2018</v>
      </c>
      <c r="Y43" s="20"/>
      <c r="Z43" s="60" t="s">
        <v>323</v>
      </c>
      <c r="AA43" s="61">
        <v>0</v>
      </c>
      <c r="AB43" s="62">
        <v>0</v>
      </c>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row>
    <row r="44" spans="1:131">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row>
    <row r="45" spans="1:131">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row>
    <row r="46" spans="1:131">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row>
    <row r="47" spans="1:131">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row>
    <row r="48" spans="1:131" s="176" customFormat="1">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row>
    <row r="49" spans="1:131" s="176" customFormat="1">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row>
    <row r="50" spans="1:131" s="177" customFormat="1">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row>
    <row r="51" spans="1:131" s="20" customFormat="1" ht="13.5" thickBot="1">
      <c r="A51" s="51" t="s">
        <v>129</v>
      </c>
      <c r="B51" s="53"/>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row>
    <row r="52" spans="1:131" s="20" customFormat="1" ht="26.25" thickBot="1">
      <c r="A52" s="63" t="s">
        <v>130</v>
      </c>
      <c r="B52" s="64"/>
      <c r="C52" s="65" t="s">
        <v>131</v>
      </c>
      <c r="D52" s="66"/>
      <c r="E52" s="66"/>
      <c r="F52" s="66"/>
      <c r="G52" s="66"/>
      <c r="H52" s="66"/>
      <c r="I52" s="66"/>
      <c r="J52" s="66"/>
      <c r="K52" s="67"/>
      <c r="L52" s="65" t="s">
        <v>132</v>
      </c>
      <c r="M52" s="66"/>
      <c r="N52" s="66"/>
      <c r="O52" s="66"/>
      <c r="P52" s="66"/>
      <c r="Q52" s="67"/>
      <c r="R52" s="65" t="s">
        <v>133</v>
      </c>
      <c r="S52" s="66"/>
      <c r="T52" s="66"/>
      <c r="U52" s="67"/>
      <c r="V52" s="65" t="s">
        <v>134</v>
      </c>
      <c r="W52" s="66"/>
      <c r="X52" s="66"/>
      <c r="Y52" s="67"/>
      <c r="Z52" s="65" t="s">
        <v>135</v>
      </c>
      <c r="AA52" s="66"/>
      <c r="AB52" s="66"/>
      <c r="AC52" s="67"/>
      <c r="AD52" s="65" t="s">
        <v>136</v>
      </c>
      <c r="AE52" s="66"/>
      <c r="AF52" s="66"/>
      <c r="AG52" s="67"/>
      <c r="AH52" s="65" t="s">
        <v>137</v>
      </c>
      <c r="AI52" s="66"/>
      <c r="AJ52" s="66"/>
      <c r="AK52" s="66"/>
      <c r="AL52" s="67"/>
      <c r="AM52" s="65" t="s">
        <v>138</v>
      </c>
      <c r="AN52" s="66"/>
      <c r="AO52" s="66"/>
      <c r="AP52" s="66"/>
      <c r="AQ52" s="66"/>
      <c r="AR52" s="66"/>
      <c r="AS52" s="67"/>
      <c r="AT52" s="65" t="s">
        <v>139</v>
      </c>
      <c r="AU52" s="66"/>
      <c r="AV52" s="66"/>
      <c r="AW52" s="66"/>
      <c r="AX52" s="66"/>
      <c r="AY52" s="66"/>
      <c r="AZ52" s="67"/>
      <c r="BA52" s="65" t="s">
        <v>140</v>
      </c>
      <c r="BB52" s="66"/>
      <c r="BC52" s="66"/>
      <c r="BD52" s="66"/>
      <c r="BE52" s="66"/>
      <c r="BF52" s="67"/>
      <c r="BG52" s="65" t="s">
        <v>141</v>
      </c>
      <c r="BH52" s="67"/>
      <c r="BI52" s="65" t="s">
        <v>142</v>
      </c>
      <c r="BJ52" s="66"/>
      <c r="BK52" s="66"/>
      <c r="BL52" s="66"/>
      <c r="BM52" s="67"/>
      <c r="BN52" s="65" t="s">
        <v>143</v>
      </c>
      <c r="BO52" s="66"/>
      <c r="BP52" s="66"/>
      <c r="BQ52" s="66"/>
      <c r="BR52" s="66"/>
      <c r="BS52" s="66"/>
      <c r="BT52" s="66"/>
      <c r="BU52" s="66"/>
      <c r="BV52" s="66"/>
      <c r="BW52" s="66"/>
      <c r="BX52" s="66"/>
      <c r="BY52" s="66"/>
      <c r="BZ52" s="66"/>
      <c r="CA52" s="66"/>
      <c r="CB52" s="66"/>
      <c r="CC52" s="67"/>
      <c r="CD52" s="65" t="s">
        <v>144</v>
      </c>
      <c r="CE52" s="67"/>
      <c r="CF52" s="65" t="s">
        <v>145</v>
      </c>
      <c r="CG52" s="66"/>
      <c r="CH52" s="66"/>
      <c r="CI52" s="66"/>
      <c r="CJ52" s="66"/>
      <c r="CK52" s="67"/>
      <c r="CL52" s="68"/>
      <c r="CM52" s="65" t="s">
        <v>18</v>
      </c>
      <c r="CN52" s="66"/>
      <c r="CO52" s="66"/>
      <c r="CP52" s="67"/>
      <c r="CQ52" s="65" t="s">
        <v>146</v>
      </c>
      <c r="CR52" s="66"/>
      <c r="CS52" s="66"/>
      <c r="CT52" s="66"/>
      <c r="CU52" s="67"/>
      <c r="CV52" s="65" t="s">
        <v>147</v>
      </c>
      <c r="CW52" s="67"/>
    </row>
    <row r="53" spans="1:131" s="20" customFormat="1" ht="127.5">
      <c r="A53" s="69" t="s">
        <v>148</v>
      </c>
      <c r="B53" s="70" t="s">
        <v>149</v>
      </c>
      <c r="C53" s="71" t="s">
        <v>9</v>
      </c>
      <c r="D53" s="71" t="s">
        <v>150</v>
      </c>
      <c r="E53" s="71" t="s">
        <v>151</v>
      </c>
      <c r="F53" s="71" t="s">
        <v>152</v>
      </c>
      <c r="G53" s="71" t="s">
        <v>153</v>
      </c>
      <c r="H53" s="71" t="s">
        <v>154</v>
      </c>
      <c r="I53" s="71" t="s">
        <v>155</v>
      </c>
      <c r="J53" s="71" t="s">
        <v>156</v>
      </c>
      <c r="K53" s="71" t="s">
        <v>157</v>
      </c>
      <c r="L53" s="71" t="s">
        <v>158</v>
      </c>
      <c r="M53" s="71" t="s">
        <v>159</v>
      </c>
      <c r="N53" s="71" t="s">
        <v>160</v>
      </c>
      <c r="O53" s="71" t="s">
        <v>161</v>
      </c>
      <c r="P53" s="71" t="s">
        <v>162</v>
      </c>
      <c r="Q53" s="71" t="s">
        <v>163</v>
      </c>
      <c r="R53" s="71" t="s">
        <v>164</v>
      </c>
      <c r="S53" s="71" t="s">
        <v>165</v>
      </c>
      <c r="T53" s="71" t="s">
        <v>166</v>
      </c>
      <c r="U53" s="71" t="s">
        <v>88</v>
      </c>
      <c r="V53" s="71" t="s">
        <v>164</v>
      </c>
      <c r="W53" s="71" t="s">
        <v>165</v>
      </c>
      <c r="X53" s="71" t="s">
        <v>166</v>
      </c>
      <c r="Y53" s="71" t="s">
        <v>88</v>
      </c>
      <c r="Z53" s="71" t="s">
        <v>164</v>
      </c>
      <c r="AA53" s="71" t="s">
        <v>165</v>
      </c>
      <c r="AB53" s="71" t="s">
        <v>166</v>
      </c>
      <c r="AC53" s="71" t="s">
        <v>88</v>
      </c>
      <c r="AD53" s="71" t="s">
        <v>164</v>
      </c>
      <c r="AE53" s="71" t="s">
        <v>165</v>
      </c>
      <c r="AF53" s="71" t="s">
        <v>166</v>
      </c>
      <c r="AG53" s="71" t="s">
        <v>88</v>
      </c>
      <c r="AH53" s="71" t="s">
        <v>164</v>
      </c>
      <c r="AI53" s="71" t="s">
        <v>165</v>
      </c>
      <c r="AJ53" s="71" t="s">
        <v>166</v>
      </c>
      <c r="AK53" s="71" t="s">
        <v>88</v>
      </c>
      <c r="AL53" s="71" t="s">
        <v>167</v>
      </c>
      <c r="AM53" s="71" t="s">
        <v>168</v>
      </c>
      <c r="AN53" s="71" t="s">
        <v>169</v>
      </c>
      <c r="AO53" s="71" t="s">
        <v>170</v>
      </c>
      <c r="AP53" s="71" t="s">
        <v>171</v>
      </c>
      <c r="AQ53" s="71" t="s">
        <v>172</v>
      </c>
      <c r="AR53" s="71" t="s">
        <v>173</v>
      </c>
      <c r="AS53" s="71" t="s">
        <v>174</v>
      </c>
      <c r="AT53" s="71" t="s">
        <v>175</v>
      </c>
      <c r="AU53" s="71" t="s">
        <v>176</v>
      </c>
      <c r="AV53" s="71" t="s">
        <v>177</v>
      </c>
      <c r="AW53" s="71" t="s">
        <v>178</v>
      </c>
      <c r="AX53" s="71" t="s">
        <v>179</v>
      </c>
      <c r="AY53" s="71" t="s">
        <v>180</v>
      </c>
      <c r="AZ53" s="71" t="s">
        <v>181</v>
      </c>
      <c r="BA53" s="71" t="s">
        <v>182</v>
      </c>
      <c r="BB53" s="71" t="s">
        <v>183</v>
      </c>
      <c r="BC53" s="71" t="s">
        <v>184</v>
      </c>
      <c r="BD53" s="71" t="s">
        <v>185</v>
      </c>
      <c r="BE53" s="71" t="s">
        <v>186</v>
      </c>
      <c r="BF53" s="71" t="s">
        <v>187</v>
      </c>
      <c r="BG53" s="71" t="s">
        <v>188</v>
      </c>
      <c r="BH53" s="71" t="s">
        <v>189</v>
      </c>
      <c r="BI53" s="71" t="s">
        <v>190</v>
      </c>
      <c r="BJ53" s="71" t="s">
        <v>191</v>
      </c>
      <c r="BK53" s="71" t="s">
        <v>192</v>
      </c>
      <c r="BL53" s="71" t="s">
        <v>193</v>
      </c>
      <c r="BM53" s="71" t="s">
        <v>194</v>
      </c>
      <c r="BN53" s="71" t="s">
        <v>195</v>
      </c>
      <c r="BO53" s="71" t="s">
        <v>196</v>
      </c>
      <c r="BP53" s="71" t="s">
        <v>197</v>
      </c>
      <c r="BQ53" s="71" t="s">
        <v>198</v>
      </c>
      <c r="BR53" s="71" t="s">
        <v>199</v>
      </c>
      <c r="BS53" s="71" t="s">
        <v>200</v>
      </c>
      <c r="BT53" s="71" t="s">
        <v>201</v>
      </c>
      <c r="BU53" s="71" t="s">
        <v>202</v>
      </c>
      <c r="BV53" s="71" t="s">
        <v>203</v>
      </c>
      <c r="BW53" s="71" t="s">
        <v>204</v>
      </c>
      <c r="BX53" s="71" t="s">
        <v>205</v>
      </c>
      <c r="BY53" s="71" t="s">
        <v>206</v>
      </c>
      <c r="BZ53" s="71" t="s">
        <v>207</v>
      </c>
      <c r="CA53" s="71" t="s">
        <v>208</v>
      </c>
      <c r="CB53" s="71" t="s">
        <v>209</v>
      </c>
      <c r="CC53" s="71" t="s">
        <v>210</v>
      </c>
      <c r="CD53" s="71" t="s">
        <v>211</v>
      </c>
      <c r="CE53" s="71" t="s">
        <v>49</v>
      </c>
      <c r="CF53" s="71" t="s">
        <v>212</v>
      </c>
      <c r="CG53" s="71" t="s">
        <v>213</v>
      </c>
      <c r="CH53" s="71" t="s">
        <v>214</v>
      </c>
      <c r="CI53" s="71" t="s">
        <v>329</v>
      </c>
      <c r="CJ53" s="71" t="s">
        <v>330</v>
      </c>
      <c r="CK53" s="71" t="s">
        <v>331</v>
      </c>
      <c r="CL53" s="71"/>
      <c r="CM53" s="71" t="s">
        <v>215</v>
      </c>
      <c r="CN53" s="71" t="s">
        <v>216</v>
      </c>
      <c r="CO53" s="71" t="s">
        <v>217</v>
      </c>
      <c r="CP53" s="71" t="s">
        <v>218</v>
      </c>
      <c r="CQ53" s="71" t="s">
        <v>219</v>
      </c>
      <c r="CR53" s="71" t="s">
        <v>220</v>
      </c>
      <c r="CS53" s="71" t="s">
        <v>221</v>
      </c>
      <c r="CT53" s="71" t="s">
        <v>222</v>
      </c>
      <c r="CU53" s="71" t="s">
        <v>223</v>
      </c>
      <c r="CV53" s="71" t="s">
        <v>224</v>
      </c>
      <c r="CW53" s="72" t="s">
        <v>225</v>
      </c>
    </row>
    <row r="54" spans="1:131" s="20" customFormat="1">
      <c r="A54" s="20" t="s">
        <v>1266</v>
      </c>
      <c r="B54" s="20" t="s">
        <v>1266</v>
      </c>
      <c r="C54" s="40">
        <v>10</v>
      </c>
      <c r="D54" s="40">
        <v>81.293930844393842</v>
      </c>
      <c r="E54" s="40">
        <v>6.7604349038811193</v>
      </c>
      <c r="F54" s="40">
        <v>11.336666666666666</v>
      </c>
      <c r="G54" s="40">
        <v>0</v>
      </c>
      <c r="H54" s="40">
        <v>0</v>
      </c>
      <c r="I54" s="40" t="s">
        <v>1242</v>
      </c>
      <c r="J54" s="40"/>
      <c r="K54" s="40"/>
      <c r="L54" s="40">
        <v>87.367093971108304</v>
      </c>
      <c r="M54" s="40">
        <v>1.5056246253698094E-2</v>
      </c>
      <c r="N54" s="40">
        <v>1.4947577020115843E-2</v>
      </c>
      <c r="O54" s="40">
        <v>6.8280392529199307</v>
      </c>
      <c r="P54" s="40">
        <v>0</v>
      </c>
      <c r="Q54" s="40">
        <v>0</v>
      </c>
      <c r="R54" s="40">
        <v>2.2606827742196258</v>
      </c>
      <c r="S54" s="40">
        <v>5.2240940433126122</v>
      </c>
      <c r="T54" s="40">
        <v>0</v>
      </c>
      <c r="U54" s="40">
        <v>13.592717441511798</v>
      </c>
      <c r="V54" s="40" t="s">
        <v>226</v>
      </c>
      <c r="W54" s="40" t="s">
        <v>226</v>
      </c>
      <c r="X54" s="40" t="s">
        <v>226</v>
      </c>
      <c r="Y54" s="40" t="s">
        <v>226</v>
      </c>
      <c r="Z54" s="40">
        <v>0</v>
      </c>
      <c r="AA54" s="40">
        <v>0</v>
      </c>
      <c r="AB54" s="40">
        <v>0</v>
      </c>
      <c r="AC54" s="40">
        <v>0</v>
      </c>
      <c r="AD54" s="40">
        <v>0</v>
      </c>
      <c r="AE54" s="40">
        <v>0</v>
      </c>
      <c r="AF54" s="40">
        <v>0</v>
      </c>
      <c r="AG54" s="40">
        <v>0</v>
      </c>
      <c r="AH54" s="40">
        <v>2.2606827742196258</v>
      </c>
      <c r="AI54" s="40">
        <v>5.2240940433126122</v>
      </c>
      <c r="AJ54" s="40">
        <v>0</v>
      </c>
      <c r="AK54" s="40">
        <v>13.592717441511798</v>
      </c>
      <c r="AL54" s="40">
        <v>21.077494259044038</v>
      </c>
      <c r="AM54" s="40">
        <v>45.05330504568397</v>
      </c>
      <c r="AN54" s="40">
        <v>5.3201018030668079</v>
      </c>
      <c r="AO54" s="40">
        <v>0</v>
      </c>
      <c r="AP54" s="40">
        <v>0</v>
      </c>
      <c r="AQ54" s="40">
        <v>50.373406848750776</v>
      </c>
      <c r="AR54" s="40">
        <v>2.2606827742196258</v>
      </c>
      <c r="AS54" s="73">
        <v>22.282386287540664</v>
      </c>
      <c r="AT54" s="40">
        <v>45.05330504568397</v>
      </c>
      <c r="AU54" s="40">
        <v>6.2974159428673318</v>
      </c>
      <c r="AV54" s="40">
        <v>0</v>
      </c>
      <c r="AW54" s="40">
        <v>0</v>
      </c>
      <c r="AX54" s="40">
        <v>51.350720988551302</v>
      </c>
      <c r="AY54" s="40">
        <v>5.2240940433126122</v>
      </c>
      <c r="AZ54" s="73">
        <v>9.8295935262278835</v>
      </c>
      <c r="BA54" s="40">
        <v>45.05330504568397</v>
      </c>
      <c r="BB54" s="40">
        <v>11.617517745934141</v>
      </c>
      <c r="BC54" s="40">
        <v>0</v>
      </c>
      <c r="BD54" s="40">
        <v>0</v>
      </c>
      <c r="BE54" s="40">
        <v>56.670822791618107</v>
      </c>
      <c r="BF54" s="40">
        <v>7.4847768175322376</v>
      </c>
      <c r="BG54" s="40">
        <v>-3.4806504067439437</v>
      </c>
      <c r="BH54" s="73">
        <v>7.5714779709761224</v>
      </c>
      <c r="BI54" s="40">
        <v>1.9039776637170702</v>
      </c>
      <c r="BJ54" s="40">
        <v>4.3998027874822476</v>
      </c>
      <c r="BK54" s="40">
        <v>0</v>
      </c>
      <c r="BL54" s="40">
        <v>11.447970804656396</v>
      </c>
      <c r="BM54" s="40">
        <v>17.751751255855716</v>
      </c>
      <c r="BN54" s="40">
        <v>45.05330504568397</v>
      </c>
      <c r="BO54" s="40">
        <v>49.53074466804128</v>
      </c>
      <c r="BP54" s="40">
        <v>11.617517745934141</v>
      </c>
      <c r="BQ54" s="40">
        <v>0</v>
      </c>
      <c r="BR54" s="40">
        <v>0</v>
      </c>
      <c r="BS54" s="40">
        <v>0</v>
      </c>
      <c r="BT54" s="40">
        <v>0</v>
      </c>
      <c r="BU54" s="40">
        <v>0</v>
      </c>
      <c r="BV54" s="40">
        <v>237.17171514801549</v>
      </c>
      <c r="BW54" s="40">
        <v>0</v>
      </c>
      <c r="BX54" s="40">
        <v>21.077494259044038</v>
      </c>
      <c r="BY54" s="40"/>
      <c r="BZ54" s="40">
        <v>0</v>
      </c>
      <c r="CA54" s="40">
        <v>0</v>
      </c>
      <c r="CB54" s="40">
        <v>343.37328260767487</v>
      </c>
      <c r="CC54" s="40">
        <v>21.077494259044038</v>
      </c>
      <c r="CD54" s="73">
        <v>16.290991632477304</v>
      </c>
      <c r="CE54" s="40">
        <v>-233.49737595292598</v>
      </c>
      <c r="CF54" s="40">
        <v>0.82999400223232722</v>
      </c>
      <c r="CG54" s="40">
        <v>0.79888059259163191</v>
      </c>
      <c r="CH54" s="40">
        <v>1.6288745948239591</v>
      </c>
      <c r="CI54" s="40">
        <v>4.1499369636276456E-2</v>
      </c>
      <c r="CJ54" s="40">
        <v>3.9944029629581594E-2</v>
      </c>
      <c r="CK54" s="40">
        <v>8.1443399265858057E-2</v>
      </c>
      <c r="CL54" s="40"/>
      <c r="CM54" s="40">
        <v>6.7604349038811193</v>
      </c>
      <c r="CN54" s="40" t="s">
        <v>1242</v>
      </c>
      <c r="CO54" s="40">
        <v>0</v>
      </c>
      <c r="CP54" s="40">
        <v>0</v>
      </c>
      <c r="CQ54" s="40">
        <v>49.53074466804128</v>
      </c>
      <c r="CR54" s="40">
        <v>0</v>
      </c>
      <c r="CS54" s="40">
        <v>0</v>
      </c>
      <c r="CT54" s="40">
        <v>49.53074466804128</v>
      </c>
      <c r="CU54" s="40">
        <v>0</v>
      </c>
      <c r="CV54" s="40">
        <v>0</v>
      </c>
      <c r="CW54" s="73">
        <v>9999</v>
      </c>
    </row>
    <row r="55" spans="1:131" s="20" customFormat="1">
      <c r="A55" s="20" t="s">
        <v>1267</v>
      </c>
      <c r="B55" s="20" t="s">
        <v>1267</v>
      </c>
      <c r="C55" s="40">
        <v>10</v>
      </c>
      <c r="D55" s="40">
        <v>81.293930844393842</v>
      </c>
      <c r="E55" s="40">
        <v>6.7604349038811193</v>
      </c>
      <c r="F55" s="40">
        <v>11.336666666666666</v>
      </c>
      <c r="G55" s="40">
        <v>0</v>
      </c>
      <c r="H55" s="40">
        <v>0</v>
      </c>
      <c r="I55" s="40" t="s">
        <v>1242</v>
      </c>
      <c r="J55" s="40"/>
      <c r="K55" s="40"/>
      <c r="L55" s="40">
        <v>87.367093971108304</v>
      </c>
      <c r="M55" s="40">
        <v>1.5056246253698094E-2</v>
      </c>
      <c r="N55" s="40">
        <v>1.4947577020115843E-2</v>
      </c>
      <c r="O55" s="40">
        <v>6.8280392529199307</v>
      </c>
      <c r="P55" s="40">
        <v>0</v>
      </c>
      <c r="Q55" s="40">
        <v>0</v>
      </c>
      <c r="R55" s="40">
        <v>2.2606827742196258</v>
      </c>
      <c r="S55" s="40">
        <v>5.2240940433126122</v>
      </c>
      <c r="T55" s="40">
        <v>0</v>
      </c>
      <c r="U55" s="40">
        <v>13.592717441511798</v>
      </c>
      <c r="V55" s="40" t="s">
        <v>226</v>
      </c>
      <c r="W55" s="40" t="s">
        <v>226</v>
      </c>
      <c r="X55" s="40" t="s">
        <v>226</v>
      </c>
      <c r="Y55" s="40" t="s">
        <v>226</v>
      </c>
      <c r="Z55" s="40">
        <v>0</v>
      </c>
      <c r="AA55" s="40">
        <v>0</v>
      </c>
      <c r="AB55" s="40">
        <v>0</v>
      </c>
      <c r="AC55" s="40">
        <v>0</v>
      </c>
      <c r="AD55" s="40">
        <v>0</v>
      </c>
      <c r="AE55" s="40">
        <v>0</v>
      </c>
      <c r="AF55" s="40">
        <v>0</v>
      </c>
      <c r="AG55" s="40">
        <v>0</v>
      </c>
      <c r="AH55" s="40">
        <v>2.2606827742196258</v>
      </c>
      <c r="AI55" s="40">
        <v>5.2240940433126122</v>
      </c>
      <c r="AJ55" s="40">
        <v>0</v>
      </c>
      <c r="AK55" s="40">
        <v>13.592717441511798</v>
      </c>
      <c r="AL55" s="40">
        <v>21.077494259044038</v>
      </c>
      <c r="AM55" s="40">
        <v>45.05330504568397</v>
      </c>
      <c r="AN55" s="40">
        <v>5.3201018030668079</v>
      </c>
      <c r="AO55" s="40">
        <v>0</v>
      </c>
      <c r="AP55" s="40">
        <v>0</v>
      </c>
      <c r="AQ55" s="40">
        <v>50.373406848750776</v>
      </c>
      <c r="AR55" s="40">
        <v>2.2606827742196258</v>
      </c>
      <c r="AS55" s="73">
        <v>22.282386287540664</v>
      </c>
      <c r="AT55" s="40">
        <v>45.05330504568397</v>
      </c>
      <c r="AU55" s="40">
        <v>6.2974159428673318</v>
      </c>
      <c r="AV55" s="40">
        <v>0</v>
      </c>
      <c r="AW55" s="40">
        <v>0</v>
      </c>
      <c r="AX55" s="40">
        <v>51.350720988551302</v>
      </c>
      <c r="AY55" s="40">
        <v>5.2240940433126122</v>
      </c>
      <c r="AZ55" s="73">
        <v>9.8295935262278835</v>
      </c>
      <c r="BA55" s="40">
        <v>45.05330504568397</v>
      </c>
      <c r="BB55" s="40">
        <v>11.617517745934141</v>
      </c>
      <c r="BC55" s="40">
        <v>0</v>
      </c>
      <c r="BD55" s="40">
        <v>0</v>
      </c>
      <c r="BE55" s="40">
        <v>56.670822791618107</v>
      </c>
      <c r="BF55" s="40">
        <v>7.4847768175322376</v>
      </c>
      <c r="BG55" s="40">
        <v>-3.4806504067439437</v>
      </c>
      <c r="BH55" s="73">
        <v>7.5714779709761224</v>
      </c>
      <c r="BI55" s="40">
        <v>1.9039776637170702</v>
      </c>
      <c r="BJ55" s="40">
        <v>4.3998027874822476</v>
      </c>
      <c r="BK55" s="40">
        <v>0</v>
      </c>
      <c r="BL55" s="40">
        <v>11.447970804656396</v>
      </c>
      <c r="BM55" s="40">
        <v>17.751751255855716</v>
      </c>
      <c r="BN55" s="40">
        <v>45.05330504568397</v>
      </c>
      <c r="BO55" s="40">
        <v>49.53074466804128</v>
      </c>
      <c r="BP55" s="40">
        <v>11.617517745934141</v>
      </c>
      <c r="BQ55" s="40">
        <v>0</v>
      </c>
      <c r="BR55" s="40">
        <v>0</v>
      </c>
      <c r="BS55" s="40">
        <v>0</v>
      </c>
      <c r="BT55" s="40">
        <v>0</v>
      </c>
      <c r="BU55" s="40">
        <v>0</v>
      </c>
      <c r="BV55" s="40">
        <v>237.17171514801549</v>
      </c>
      <c r="BW55" s="40">
        <v>0</v>
      </c>
      <c r="BX55" s="40">
        <v>21.077494259044038</v>
      </c>
      <c r="BY55" s="40"/>
      <c r="BZ55" s="40">
        <v>0</v>
      </c>
      <c r="CA55" s="40">
        <v>0</v>
      </c>
      <c r="CB55" s="40">
        <v>343.37328260767487</v>
      </c>
      <c r="CC55" s="40">
        <v>21.077494259044038</v>
      </c>
      <c r="CD55" s="73">
        <v>16.290991632477304</v>
      </c>
      <c r="CE55" s="40">
        <v>-233.49737595292598</v>
      </c>
      <c r="CF55" s="40">
        <v>0.82999400223232722</v>
      </c>
      <c r="CG55" s="40">
        <v>0.79888059259163191</v>
      </c>
      <c r="CH55" s="40">
        <v>1.6288745948239591</v>
      </c>
      <c r="CI55" s="40">
        <v>4.1499369636276456E-2</v>
      </c>
      <c r="CJ55" s="40">
        <v>3.9944029629581594E-2</v>
      </c>
      <c r="CK55" s="40">
        <v>8.1443399265858057E-2</v>
      </c>
      <c r="CL55" s="40"/>
      <c r="CM55" s="40">
        <v>6.7604349038811193</v>
      </c>
      <c r="CN55" s="40" t="s">
        <v>1242</v>
      </c>
      <c r="CO55" s="40">
        <v>0</v>
      </c>
      <c r="CP55" s="40">
        <v>0</v>
      </c>
      <c r="CQ55" s="40">
        <v>49.53074466804128</v>
      </c>
      <c r="CR55" s="40">
        <v>0</v>
      </c>
      <c r="CS55" s="40">
        <v>0</v>
      </c>
      <c r="CT55" s="40">
        <v>49.53074466804128</v>
      </c>
      <c r="CU55" s="40">
        <v>0</v>
      </c>
      <c r="CV55" s="40">
        <v>0</v>
      </c>
      <c r="CW55" s="73">
        <v>9999</v>
      </c>
    </row>
    <row r="56" spans="1:131" s="20" customFormat="1">
      <c r="A56" s="20" t="s">
        <v>1268</v>
      </c>
      <c r="B56" s="20" t="s">
        <v>1268</v>
      </c>
      <c r="C56" s="40">
        <v>10</v>
      </c>
      <c r="D56" s="40">
        <v>81.293930844393842</v>
      </c>
      <c r="E56" s="40">
        <v>6.7604349038811193</v>
      </c>
      <c r="F56" s="40">
        <v>11.336666666666666</v>
      </c>
      <c r="G56" s="40">
        <v>0</v>
      </c>
      <c r="H56" s="40">
        <v>0</v>
      </c>
      <c r="I56" s="40" t="s">
        <v>1242</v>
      </c>
      <c r="J56" s="40"/>
      <c r="K56" s="40"/>
      <c r="L56" s="40">
        <v>87.367093971108304</v>
      </c>
      <c r="M56" s="40">
        <v>1.5056246253698094E-2</v>
      </c>
      <c r="N56" s="40">
        <v>1.4947577020115843E-2</v>
      </c>
      <c r="O56" s="40">
        <v>6.8280392529199307</v>
      </c>
      <c r="P56" s="40">
        <v>0</v>
      </c>
      <c r="Q56" s="40">
        <v>0</v>
      </c>
      <c r="R56" s="40">
        <v>2.2606827742196258</v>
      </c>
      <c r="S56" s="40">
        <v>5.2240940433126122</v>
      </c>
      <c r="T56" s="40">
        <v>0</v>
      </c>
      <c r="U56" s="40">
        <v>13.592717441511798</v>
      </c>
      <c r="V56" s="40" t="s">
        <v>226</v>
      </c>
      <c r="W56" s="40" t="s">
        <v>226</v>
      </c>
      <c r="X56" s="40" t="s">
        <v>226</v>
      </c>
      <c r="Y56" s="40" t="s">
        <v>226</v>
      </c>
      <c r="Z56" s="40">
        <v>0</v>
      </c>
      <c r="AA56" s="40">
        <v>0</v>
      </c>
      <c r="AB56" s="40">
        <v>0</v>
      </c>
      <c r="AC56" s="40">
        <v>0</v>
      </c>
      <c r="AD56" s="40">
        <v>0</v>
      </c>
      <c r="AE56" s="40">
        <v>0</v>
      </c>
      <c r="AF56" s="40">
        <v>0</v>
      </c>
      <c r="AG56" s="40">
        <v>0</v>
      </c>
      <c r="AH56" s="40">
        <v>2.2606827742196258</v>
      </c>
      <c r="AI56" s="40">
        <v>5.2240940433126122</v>
      </c>
      <c r="AJ56" s="40">
        <v>0</v>
      </c>
      <c r="AK56" s="40">
        <v>13.592717441511798</v>
      </c>
      <c r="AL56" s="40">
        <v>21.077494259044038</v>
      </c>
      <c r="AM56" s="40">
        <v>45.05330504568397</v>
      </c>
      <c r="AN56" s="40">
        <v>5.3201018030668079</v>
      </c>
      <c r="AO56" s="40">
        <v>0</v>
      </c>
      <c r="AP56" s="40">
        <v>0</v>
      </c>
      <c r="AQ56" s="40">
        <v>50.373406848750776</v>
      </c>
      <c r="AR56" s="40">
        <v>2.2606827742196258</v>
      </c>
      <c r="AS56" s="73">
        <v>22.282386287540664</v>
      </c>
      <c r="AT56" s="40">
        <v>45.05330504568397</v>
      </c>
      <c r="AU56" s="40">
        <v>6.2974159428673318</v>
      </c>
      <c r="AV56" s="40">
        <v>0</v>
      </c>
      <c r="AW56" s="40">
        <v>0</v>
      </c>
      <c r="AX56" s="40">
        <v>51.350720988551302</v>
      </c>
      <c r="AY56" s="40">
        <v>5.2240940433126122</v>
      </c>
      <c r="AZ56" s="73">
        <v>9.8295935262278835</v>
      </c>
      <c r="BA56" s="40">
        <v>45.05330504568397</v>
      </c>
      <c r="BB56" s="40">
        <v>11.617517745934141</v>
      </c>
      <c r="BC56" s="40">
        <v>0</v>
      </c>
      <c r="BD56" s="40">
        <v>0</v>
      </c>
      <c r="BE56" s="40">
        <v>56.670822791618107</v>
      </c>
      <c r="BF56" s="40">
        <v>7.4847768175322376</v>
      </c>
      <c r="BG56" s="40">
        <v>-3.4806504067439437</v>
      </c>
      <c r="BH56" s="73">
        <v>7.5714779709761224</v>
      </c>
      <c r="BI56" s="40">
        <v>1.9039776637170702</v>
      </c>
      <c r="BJ56" s="40">
        <v>4.3998027874822476</v>
      </c>
      <c r="BK56" s="40">
        <v>0</v>
      </c>
      <c r="BL56" s="40">
        <v>11.447970804656396</v>
      </c>
      <c r="BM56" s="40">
        <v>17.751751255855716</v>
      </c>
      <c r="BN56" s="40">
        <v>45.05330504568397</v>
      </c>
      <c r="BO56" s="40">
        <v>49.53074466804128</v>
      </c>
      <c r="BP56" s="40">
        <v>11.617517745934141</v>
      </c>
      <c r="BQ56" s="40">
        <v>0</v>
      </c>
      <c r="BR56" s="40">
        <v>0</v>
      </c>
      <c r="BS56" s="40">
        <v>0</v>
      </c>
      <c r="BT56" s="40">
        <v>0</v>
      </c>
      <c r="BU56" s="40">
        <v>0</v>
      </c>
      <c r="BV56" s="40">
        <v>237.17171514801549</v>
      </c>
      <c r="BW56" s="40">
        <v>0</v>
      </c>
      <c r="BX56" s="40">
        <v>21.077494259044038</v>
      </c>
      <c r="BY56" s="40"/>
      <c r="BZ56" s="40">
        <v>0</v>
      </c>
      <c r="CA56" s="40">
        <v>0</v>
      </c>
      <c r="CB56" s="40">
        <v>343.37328260767487</v>
      </c>
      <c r="CC56" s="40">
        <v>21.077494259044038</v>
      </c>
      <c r="CD56" s="73">
        <v>16.290991632477304</v>
      </c>
      <c r="CE56" s="40">
        <v>-233.49737595292598</v>
      </c>
      <c r="CF56" s="40">
        <v>0.82999400223232722</v>
      </c>
      <c r="CG56" s="40">
        <v>0.79888059259163191</v>
      </c>
      <c r="CH56" s="40">
        <v>1.6288745948239591</v>
      </c>
      <c r="CI56" s="40">
        <v>4.1499369636276456E-2</v>
      </c>
      <c r="CJ56" s="40">
        <v>3.9944029629581594E-2</v>
      </c>
      <c r="CK56" s="40">
        <v>8.1443399265858057E-2</v>
      </c>
      <c r="CL56" s="40"/>
      <c r="CM56" s="40">
        <v>6.7604349038811193</v>
      </c>
      <c r="CN56" s="40" t="s">
        <v>1242</v>
      </c>
      <c r="CO56" s="40">
        <v>0</v>
      </c>
      <c r="CP56" s="40">
        <v>0</v>
      </c>
      <c r="CQ56" s="40">
        <v>49.53074466804128</v>
      </c>
      <c r="CR56" s="40">
        <v>0</v>
      </c>
      <c r="CS56" s="40">
        <v>0</v>
      </c>
      <c r="CT56" s="40">
        <v>49.53074466804128</v>
      </c>
      <c r="CU56" s="40">
        <v>0</v>
      </c>
      <c r="CV56" s="40">
        <v>0</v>
      </c>
      <c r="CW56" s="73">
        <v>9999</v>
      </c>
    </row>
    <row r="57" spans="1:131" s="20" customFormat="1">
      <c r="A57" s="20" t="s">
        <v>1270</v>
      </c>
      <c r="B57" s="20" t="s">
        <v>1270</v>
      </c>
      <c r="C57" s="40">
        <v>10</v>
      </c>
      <c r="D57" s="40">
        <v>0</v>
      </c>
      <c r="E57" s="40">
        <v>0</v>
      </c>
      <c r="F57" s="40">
        <v>11.336666666666666</v>
      </c>
      <c r="G57" s="40">
        <v>0</v>
      </c>
      <c r="H57" s="40">
        <v>0</v>
      </c>
      <c r="I57" s="40" t="s">
        <v>1242</v>
      </c>
      <c r="J57" s="40"/>
      <c r="K57" s="40"/>
      <c r="L57" s="40">
        <v>0</v>
      </c>
      <c r="M57" s="40">
        <v>0</v>
      </c>
      <c r="N57" s="40">
        <v>0</v>
      </c>
      <c r="O57" s="40">
        <v>0</v>
      </c>
      <c r="P57" s="40">
        <v>0</v>
      </c>
      <c r="Q57" s="40">
        <v>0</v>
      </c>
      <c r="R57" s="40">
        <v>2.2606827742196258</v>
      </c>
      <c r="S57" s="40">
        <v>5.2240940433126122</v>
      </c>
      <c r="T57" s="40">
        <v>0</v>
      </c>
      <c r="U57" s="40">
        <v>13.592717441511798</v>
      </c>
      <c r="V57" s="40" t="s">
        <v>226</v>
      </c>
      <c r="W57" s="40" t="s">
        <v>226</v>
      </c>
      <c r="X57" s="40" t="s">
        <v>226</v>
      </c>
      <c r="Y57" s="40" t="s">
        <v>226</v>
      </c>
      <c r="Z57" s="40">
        <v>0</v>
      </c>
      <c r="AA57" s="40">
        <v>0</v>
      </c>
      <c r="AB57" s="40">
        <v>0</v>
      </c>
      <c r="AC57" s="40">
        <v>0</v>
      </c>
      <c r="AD57" s="40">
        <v>0</v>
      </c>
      <c r="AE57" s="40">
        <v>0</v>
      </c>
      <c r="AF57" s="40">
        <v>0</v>
      </c>
      <c r="AG57" s="40">
        <v>0</v>
      </c>
      <c r="AH57" s="40">
        <v>2.2606827742196258</v>
      </c>
      <c r="AI57" s="40">
        <v>5.2240940433126122</v>
      </c>
      <c r="AJ57" s="40">
        <v>0</v>
      </c>
      <c r="AK57" s="40">
        <v>13.592717441511798</v>
      </c>
      <c r="AL57" s="40">
        <v>21.077494259044038</v>
      </c>
      <c r="AM57" s="40">
        <v>0</v>
      </c>
      <c r="AN57" s="40">
        <v>0</v>
      </c>
      <c r="AO57" s="40">
        <v>0</v>
      </c>
      <c r="AP57" s="40">
        <v>0</v>
      </c>
      <c r="AQ57" s="40">
        <v>0</v>
      </c>
      <c r="AR57" s="40">
        <v>2.2606827742196258</v>
      </c>
      <c r="AS57" s="81">
        <v>0</v>
      </c>
      <c r="AT57" s="40">
        <v>0</v>
      </c>
      <c r="AU57" s="40">
        <v>0</v>
      </c>
      <c r="AV57" s="40">
        <v>0</v>
      </c>
      <c r="AW57" s="40">
        <v>0</v>
      </c>
      <c r="AX57" s="40">
        <v>0</v>
      </c>
      <c r="AY57" s="40">
        <v>5.2240940433126122</v>
      </c>
      <c r="AZ57" s="81">
        <v>0</v>
      </c>
      <c r="BA57" s="40">
        <v>0</v>
      </c>
      <c r="BB57" s="40">
        <v>0</v>
      </c>
      <c r="BC57" s="40">
        <v>0</v>
      </c>
      <c r="BD57" s="40">
        <v>0</v>
      </c>
      <c r="BE57" s="40">
        <v>0</v>
      </c>
      <c r="BF57" s="40">
        <v>7.4847768175322376</v>
      </c>
      <c r="BG57" s="40">
        <v>9999</v>
      </c>
      <c r="BH57" s="81">
        <v>0</v>
      </c>
      <c r="BI57" s="40">
        <v>9999</v>
      </c>
      <c r="BJ57" s="40">
        <v>9999</v>
      </c>
      <c r="BK57" s="40">
        <v>9999</v>
      </c>
      <c r="BL57" s="40">
        <v>9999</v>
      </c>
      <c r="BM57" s="40">
        <v>9999</v>
      </c>
      <c r="BN57" s="40">
        <v>0</v>
      </c>
      <c r="BO57" s="40">
        <v>0</v>
      </c>
      <c r="BP57" s="40">
        <v>0</v>
      </c>
      <c r="BQ57" s="40">
        <v>0</v>
      </c>
      <c r="BR57" s="40">
        <v>0</v>
      </c>
      <c r="BS57" s="40">
        <v>0</v>
      </c>
      <c r="BT57" s="40">
        <v>0</v>
      </c>
      <c r="BU57" s="40">
        <v>0</v>
      </c>
      <c r="BV57" s="40">
        <v>0</v>
      </c>
      <c r="BW57" s="40">
        <v>0</v>
      </c>
      <c r="BX57" s="40">
        <v>21.077494259044038</v>
      </c>
      <c r="BY57" s="40"/>
      <c r="BZ57" s="40">
        <v>0</v>
      </c>
      <c r="CA57" s="40">
        <v>0</v>
      </c>
      <c r="CB57" s="40">
        <v>0</v>
      </c>
      <c r="CC57" s="40">
        <v>21.077494259044038</v>
      </c>
      <c r="CD57" s="81">
        <v>0</v>
      </c>
      <c r="CE57" s="40">
        <v>9999</v>
      </c>
      <c r="CF57" s="40">
        <v>0</v>
      </c>
      <c r="CG57" s="40">
        <v>0</v>
      </c>
      <c r="CH57" s="40">
        <v>0</v>
      </c>
      <c r="CI57" s="40">
        <v>0</v>
      </c>
      <c r="CJ57" s="40">
        <v>0</v>
      </c>
      <c r="CK57" s="40">
        <v>0</v>
      </c>
      <c r="CL57" s="40"/>
      <c r="CM57" s="40">
        <v>0</v>
      </c>
      <c r="CN57" s="40" t="s">
        <v>1242</v>
      </c>
      <c r="CO57" s="40">
        <v>0</v>
      </c>
      <c r="CP57" s="40">
        <v>0</v>
      </c>
      <c r="CQ57" s="40">
        <v>0</v>
      </c>
      <c r="CR57" s="40">
        <v>0</v>
      </c>
      <c r="CS57" s="40">
        <v>0</v>
      </c>
      <c r="CT57" s="40">
        <v>0</v>
      </c>
      <c r="CU57" s="40">
        <v>0</v>
      </c>
      <c r="CV57" s="40">
        <v>9999</v>
      </c>
      <c r="CW57" s="73">
        <v>9999</v>
      </c>
    </row>
    <row r="58" spans="1:131" s="20" customFormat="1">
      <c r="A58" s="20" t="s">
        <v>1271</v>
      </c>
      <c r="B58" s="20" t="s">
        <v>1271</v>
      </c>
      <c r="C58" s="40">
        <v>10</v>
      </c>
      <c r="D58" s="40">
        <v>0</v>
      </c>
      <c r="E58" s="40">
        <v>0</v>
      </c>
      <c r="F58" s="40">
        <v>11.336666666666666</v>
      </c>
      <c r="G58" s="40">
        <v>0</v>
      </c>
      <c r="H58" s="40">
        <v>0</v>
      </c>
      <c r="I58" s="40" t="s">
        <v>1242</v>
      </c>
      <c r="J58" s="40"/>
      <c r="K58" s="40"/>
      <c r="L58" s="40">
        <v>0</v>
      </c>
      <c r="M58" s="40">
        <v>0</v>
      </c>
      <c r="N58" s="40">
        <v>0</v>
      </c>
      <c r="O58" s="40">
        <v>0</v>
      </c>
      <c r="P58" s="40">
        <v>0</v>
      </c>
      <c r="Q58" s="40">
        <v>0</v>
      </c>
      <c r="R58" s="40">
        <v>2.2606827742196258</v>
      </c>
      <c r="S58" s="40">
        <v>5.2240940433126122</v>
      </c>
      <c r="T58" s="40">
        <v>0</v>
      </c>
      <c r="U58" s="40">
        <v>13.592717441511798</v>
      </c>
      <c r="V58" s="40" t="s">
        <v>226</v>
      </c>
      <c r="W58" s="40" t="s">
        <v>226</v>
      </c>
      <c r="X58" s="40" t="s">
        <v>226</v>
      </c>
      <c r="Y58" s="40" t="s">
        <v>226</v>
      </c>
      <c r="Z58" s="40">
        <v>0</v>
      </c>
      <c r="AA58" s="40">
        <v>0</v>
      </c>
      <c r="AB58" s="40">
        <v>0</v>
      </c>
      <c r="AC58" s="40">
        <v>0</v>
      </c>
      <c r="AD58" s="40">
        <v>0</v>
      </c>
      <c r="AE58" s="40">
        <v>0</v>
      </c>
      <c r="AF58" s="40">
        <v>0</v>
      </c>
      <c r="AG58" s="40">
        <v>0</v>
      </c>
      <c r="AH58" s="40">
        <v>2.2606827742196258</v>
      </c>
      <c r="AI58" s="40">
        <v>5.2240940433126122</v>
      </c>
      <c r="AJ58" s="40">
        <v>0</v>
      </c>
      <c r="AK58" s="40">
        <v>13.592717441511798</v>
      </c>
      <c r="AL58" s="40">
        <v>21.077494259044038</v>
      </c>
      <c r="AM58" s="40">
        <v>0</v>
      </c>
      <c r="AN58" s="40">
        <v>0</v>
      </c>
      <c r="AO58" s="40">
        <v>0</v>
      </c>
      <c r="AP58" s="40">
        <v>0</v>
      </c>
      <c r="AQ58" s="40">
        <v>0</v>
      </c>
      <c r="AR58" s="40">
        <v>2.2606827742196258</v>
      </c>
      <c r="AS58" s="81">
        <v>0</v>
      </c>
      <c r="AT58" s="40">
        <v>0</v>
      </c>
      <c r="AU58" s="40">
        <v>0</v>
      </c>
      <c r="AV58" s="40">
        <v>0</v>
      </c>
      <c r="AW58" s="40">
        <v>0</v>
      </c>
      <c r="AX58" s="40">
        <v>0</v>
      </c>
      <c r="AY58" s="40">
        <v>5.2240940433126122</v>
      </c>
      <c r="AZ58" s="81">
        <v>0</v>
      </c>
      <c r="BA58" s="40">
        <v>0</v>
      </c>
      <c r="BB58" s="40">
        <v>0</v>
      </c>
      <c r="BC58" s="40">
        <v>0</v>
      </c>
      <c r="BD58" s="40">
        <v>0</v>
      </c>
      <c r="BE58" s="40">
        <v>0</v>
      </c>
      <c r="BF58" s="40">
        <v>7.4847768175322376</v>
      </c>
      <c r="BG58" s="40">
        <v>9999</v>
      </c>
      <c r="BH58" s="81">
        <v>0</v>
      </c>
      <c r="BI58" s="40">
        <v>9999</v>
      </c>
      <c r="BJ58" s="40">
        <v>9999</v>
      </c>
      <c r="BK58" s="40">
        <v>9999</v>
      </c>
      <c r="BL58" s="40">
        <v>9999</v>
      </c>
      <c r="BM58" s="40">
        <v>9999</v>
      </c>
      <c r="BN58" s="40">
        <v>0</v>
      </c>
      <c r="BO58" s="40">
        <v>0</v>
      </c>
      <c r="BP58" s="40">
        <v>0</v>
      </c>
      <c r="BQ58" s="40">
        <v>0</v>
      </c>
      <c r="BR58" s="40">
        <v>0</v>
      </c>
      <c r="BS58" s="40">
        <v>0</v>
      </c>
      <c r="BT58" s="40">
        <v>0</v>
      </c>
      <c r="BU58" s="40">
        <v>0</v>
      </c>
      <c r="BV58" s="40">
        <v>0</v>
      </c>
      <c r="BW58" s="40">
        <v>0</v>
      </c>
      <c r="BX58" s="40">
        <v>21.077494259044038</v>
      </c>
      <c r="BY58" s="40"/>
      <c r="BZ58" s="40">
        <v>0</v>
      </c>
      <c r="CA58" s="40">
        <v>0</v>
      </c>
      <c r="CB58" s="40">
        <v>0</v>
      </c>
      <c r="CC58" s="40">
        <v>21.077494259044038</v>
      </c>
      <c r="CD58" s="81">
        <v>0</v>
      </c>
      <c r="CE58" s="40">
        <v>9999</v>
      </c>
      <c r="CF58" s="40">
        <v>0</v>
      </c>
      <c r="CG58" s="40">
        <v>0</v>
      </c>
      <c r="CH58" s="40">
        <v>0</v>
      </c>
      <c r="CI58" s="40">
        <v>0</v>
      </c>
      <c r="CJ58" s="40">
        <v>0</v>
      </c>
      <c r="CK58" s="40">
        <v>0</v>
      </c>
      <c r="CL58" s="40"/>
      <c r="CM58" s="40">
        <v>0</v>
      </c>
      <c r="CN58" s="40" t="s">
        <v>1242</v>
      </c>
      <c r="CO58" s="40">
        <v>0</v>
      </c>
      <c r="CP58" s="40">
        <v>0</v>
      </c>
      <c r="CQ58" s="40">
        <v>0</v>
      </c>
      <c r="CR58" s="40">
        <v>0</v>
      </c>
      <c r="CS58" s="40">
        <v>0</v>
      </c>
      <c r="CT58" s="40">
        <v>0</v>
      </c>
      <c r="CU58" s="40">
        <v>0</v>
      </c>
      <c r="CV58" s="40">
        <v>9999</v>
      </c>
      <c r="CW58" s="73">
        <v>9999</v>
      </c>
    </row>
    <row r="59" spans="1:131" s="20" customFormat="1">
      <c r="A59" s="20" t="s">
        <v>1272</v>
      </c>
      <c r="B59" s="20" t="s">
        <v>1272</v>
      </c>
      <c r="C59" s="40">
        <v>10</v>
      </c>
      <c r="D59" s="40">
        <v>0</v>
      </c>
      <c r="E59" s="40">
        <v>0</v>
      </c>
      <c r="F59" s="40">
        <v>11.336666666666666</v>
      </c>
      <c r="G59" s="40">
        <v>0</v>
      </c>
      <c r="H59" s="40">
        <v>0</v>
      </c>
      <c r="I59" s="40" t="s">
        <v>1242</v>
      </c>
      <c r="J59" s="40"/>
      <c r="K59" s="40"/>
      <c r="L59" s="40">
        <v>0</v>
      </c>
      <c r="M59" s="40">
        <v>0</v>
      </c>
      <c r="N59" s="40">
        <v>0</v>
      </c>
      <c r="O59" s="40">
        <v>0</v>
      </c>
      <c r="P59" s="40">
        <v>0</v>
      </c>
      <c r="Q59" s="40">
        <v>0</v>
      </c>
      <c r="R59" s="40">
        <v>2.2606827742196258</v>
      </c>
      <c r="S59" s="40">
        <v>5.2240940433126122</v>
      </c>
      <c r="T59" s="40">
        <v>0</v>
      </c>
      <c r="U59" s="40">
        <v>13.592717441511798</v>
      </c>
      <c r="V59" s="40" t="s">
        <v>226</v>
      </c>
      <c r="W59" s="40" t="s">
        <v>226</v>
      </c>
      <c r="X59" s="40" t="s">
        <v>226</v>
      </c>
      <c r="Y59" s="40" t="s">
        <v>226</v>
      </c>
      <c r="Z59" s="40">
        <v>0</v>
      </c>
      <c r="AA59" s="40">
        <v>0</v>
      </c>
      <c r="AB59" s="40">
        <v>0</v>
      </c>
      <c r="AC59" s="40">
        <v>0</v>
      </c>
      <c r="AD59" s="40">
        <v>0</v>
      </c>
      <c r="AE59" s="40">
        <v>0</v>
      </c>
      <c r="AF59" s="40">
        <v>0</v>
      </c>
      <c r="AG59" s="40">
        <v>0</v>
      </c>
      <c r="AH59" s="40">
        <v>2.2606827742196258</v>
      </c>
      <c r="AI59" s="40">
        <v>5.2240940433126122</v>
      </c>
      <c r="AJ59" s="40">
        <v>0</v>
      </c>
      <c r="AK59" s="40">
        <v>13.592717441511798</v>
      </c>
      <c r="AL59" s="40">
        <v>21.077494259044038</v>
      </c>
      <c r="AM59" s="40">
        <v>0</v>
      </c>
      <c r="AN59" s="40">
        <v>0</v>
      </c>
      <c r="AO59" s="40">
        <v>0</v>
      </c>
      <c r="AP59" s="40">
        <v>0</v>
      </c>
      <c r="AQ59" s="40">
        <v>0</v>
      </c>
      <c r="AR59" s="40">
        <v>2.2606827742196258</v>
      </c>
      <c r="AS59" s="81">
        <v>0</v>
      </c>
      <c r="AT59" s="40">
        <v>0</v>
      </c>
      <c r="AU59" s="40">
        <v>0</v>
      </c>
      <c r="AV59" s="40">
        <v>0</v>
      </c>
      <c r="AW59" s="40">
        <v>0</v>
      </c>
      <c r="AX59" s="40">
        <v>0</v>
      </c>
      <c r="AY59" s="40">
        <v>5.2240940433126122</v>
      </c>
      <c r="AZ59" s="81">
        <v>0</v>
      </c>
      <c r="BA59" s="40">
        <v>0</v>
      </c>
      <c r="BB59" s="40">
        <v>0</v>
      </c>
      <c r="BC59" s="40">
        <v>0</v>
      </c>
      <c r="BD59" s="40">
        <v>0</v>
      </c>
      <c r="BE59" s="40">
        <v>0</v>
      </c>
      <c r="BF59" s="40">
        <v>7.4847768175322376</v>
      </c>
      <c r="BG59" s="40">
        <v>9999</v>
      </c>
      <c r="BH59" s="81">
        <v>0</v>
      </c>
      <c r="BI59" s="40">
        <v>9999</v>
      </c>
      <c r="BJ59" s="40">
        <v>9999</v>
      </c>
      <c r="BK59" s="40">
        <v>9999</v>
      </c>
      <c r="BL59" s="40">
        <v>9999</v>
      </c>
      <c r="BM59" s="40">
        <v>9999</v>
      </c>
      <c r="BN59" s="40">
        <v>0</v>
      </c>
      <c r="BO59" s="40">
        <v>0</v>
      </c>
      <c r="BP59" s="40">
        <v>0</v>
      </c>
      <c r="BQ59" s="40">
        <v>0</v>
      </c>
      <c r="BR59" s="40">
        <v>0</v>
      </c>
      <c r="BS59" s="40">
        <v>0</v>
      </c>
      <c r="BT59" s="40">
        <v>0</v>
      </c>
      <c r="BU59" s="40">
        <v>0</v>
      </c>
      <c r="BV59" s="40">
        <v>0</v>
      </c>
      <c r="BW59" s="40">
        <v>0</v>
      </c>
      <c r="BX59" s="40">
        <v>21.077494259044038</v>
      </c>
      <c r="BY59" s="40"/>
      <c r="BZ59" s="40">
        <v>0</v>
      </c>
      <c r="CA59" s="40">
        <v>0</v>
      </c>
      <c r="CB59" s="40">
        <v>0</v>
      </c>
      <c r="CC59" s="40">
        <v>21.077494259044038</v>
      </c>
      <c r="CD59" s="81">
        <v>0</v>
      </c>
      <c r="CE59" s="40">
        <v>9999</v>
      </c>
      <c r="CF59" s="40">
        <v>0</v>
      </c>
      <c r="CG59" s="40">
        <v>0</v>
      </c>
      <c r="CH59" s="40">
        <v>0</v>
      </c>
      <c r="CI59" s="40">
        <v>0</v>
      </c>
      <c r="CJ59" s="40">
        <v>0</v>
      </c>
      <c r="CK59" s="40">
        <v>0</v>
      </c>
      <c r="CL59" s="40"/>
      <c r="CM59" s="40">
        <v>0</v>
      </c>
      <c r="CN59" s="40" t="s">
        <v>1242</v>
      </c>
      <c r="CO59" s="40">
        <v>0</v>
      </c>
      <c r="CP59" s="40">
        <v>0</v>
      </c>
      <c r="CQ59" s="40">
        <v>0</v>
      </c>
      <c r="CR59" s="40">
        <v>0</v>
      </c>
      <c r="CS59" s="40">
        <v>0</v>
      </c>
      <c r="CT59" s="40">
        <v>0</v>
      </c>
      <c r="CU59" s="40">
        <v>0</v>
      </c>
      <c r="CV59" s="40">
        <v>9999</v>
      </c>
      <c r="CW59" s="73">
        <v>9999</v>
      </c>
    </row>
    <row r="60" spans="1:131" s="20" customFormat="1">
      <c r="A60" s="20" t="s">
        <v>1273</v>
      </c>
      <c r="B60" s="20" t="s">
        <v>1273</v>
      </c>
      <c r="C60" s="40">
        <v>10</v>
      </c>
      <c r="D60" s="40">
        <v>0</v>
      </c>
      <c r="E60" s="40">
        <v>0</v>
      </c>
      <c r="F60" s="40">
        <v>11.336666666666666</v>
      </c>
      <c r="G60" s="40">
        <v>0</v>
      </c>
      <c r="H60" s="40">
        <v>0</v>
      </c>
      <c r="I60" s="40" t="s">
        <v>1242</v>
      </c>
      <c r="J60" s="40"/>
      <c r="K60" s="40"/>
      <c r="L60" s="40">
        <v>0</v>
      </c>
      <c r="M60" s="40">
        <v>0</v>
      </c>
      <c r="N60" s="40">
        <v>0</v>
      </c>
      <c r="O60" s="40">
        <v>0</v>
      </c>
      <c r="P60" s="40">
        <v>0</v>
      </c>
      <c r="Q60" s="40">
        <v>0</v>
      </c>
      <c r="R60" s="40">
        <v>2.2606827742196258</v>
      </c>
      <c r="S60" s="40">
        <v>5.2240940433126122</v>
      </c>
      <c r="T60" s="40">
        <v>0</v>
      </c>
      <c r="U60" s="40">
        <v>13.592717441511798</v>
      </c>
      <c r="V60" s="40" t="s">
        <v>226</v>
      </c>
      <c r="W60" s="40" t="s">
        <v>226</v>
      </c>
      <c r="X60" s="40" t="s">
        <v>226</v>
      </c>
      <c r="Y60" s="40" t="s">
        <v>226</v>
      </c>
      <c r="Z60" s="40">
        <v>0</v>
      </c>
      <c r="AA60" s="40">
        <v>0</v>
      </c>
      <c r="AB60" s="40">
        <v>0</v>
      </c>
      <c r="AC60" s="40">
        <v>0</v>
      </c>
      <c r="AD60" s="40">
        <v>0</v>
      </c>
      <c r="AE60" s="40">
        <v>0</v>
      </c>
      <c r="AF60" s="40">
        <v>0</v>
      </c>
      <c r="AG60" s="40">
        <v>0</v>
      </c>
      <c r="AH60" s="40">
        <v>2.2606827742196258</v>
      </c>
      <c r="AI60" s="40">
        <v>5.2240940433126122</v>
      </c>
      <c r="AJ60" s="40">
        <v>0</v>
      </c>
      <c r="AK60" s="40">
        <v>13.592717441511798</v>
      </c>
      <c r="AL60" s="40">
        <v>21.077494259044038</v>
      </c>
      <c r="AM60" s="40">
        <v>0</v>
      </c>
      <c r="AN60" s="40">
        <v>0</v>
      </c>
      <c r="AO60" s="40">
        <v>0</v>
      </c>
      <c r="AP60" s="40">
        <v>0</v>
      </c>
      <c r="AQ60" s="40">
        <v>0</v>
      </c>
      <c r="AR60" s="40">
        <v>2.2606827742196258</v>
      </c>
      <c r="AS60" s="81">
        <v>0</v>
      </c>
      <c r="AT60" s="40">
        <v>0</v>
      </c>
      <c r="AU60" s="40">
        <v>0</v>
      </c>
      <c r="AV60" s="40">
        <v>0</v>
      </c>
      <c r="AW60" s="40">
        <v>0</v>
      </c>
      <c r="AX60" s="40">
        <v>0</v>
      </c>
      <c r="AY60" s="40">
        <v>5.2240940433126122</v>
      </c>
      <c r="AZ60" s="81">
        <v>0</v>
      </c>
      <c r="BA60" s="40">
        <v>0</v>
      </c>
      <c r="BB60" s="40">
        <v>0</v>
      </c>
      <c r="BC60" s="40">
        <v>0</v>
      </c>
      <c r="BD60" s="40">
        <v>0</v>
      </c>
      <c r="BE60" s="40">
        <v>0</v>
      </c>
      <c r="BF60" s="40">
        <v>7.4847768175322376</v>
      </c>
      <c r="BG60" s="40">
        <v>9999</v>
      </c>
      <c r="BH60" s="81">
        <v>0</v>
      </c>
      <c r="BI60" s="40">
        <v>9999</v>
      </c>
      <c r="BJ60" s="40">
        <v>9999</v>
      </c>
      <c r="BK60" s="40">
        <v>9999</v>
      </c>
      <c r="BL60" s="40">
        <v>9999</v>
      </c>
      <c r="BM60" s="40">
        <v>9999</v>
      </c>
      <c r="BN60" s="40">
        <v>0</v>
      </c>
      <c r="BO60" s="40">
        <v>0</v>
      </c>
      <c r="BP60" s="40">
        <v>0</v>
      </c>
      <c r="BQ60" s="40">
        <v>0</v>
      </c>
      <c r="BR60" s="40">
        <v>0</v>
      </c>
      <c r="BS60" s="40">
        <v>0</v>
      </c>
      <c r="BT60" s="40">
        <v>0</v>
      </c>
      <c r="BU60" s="40">
        <v>0</v>
      </c>
      <c r="BV60" s="40">
        <v>0</v>
      </c>
      <c r="BW60" s="40">
        <v>0</v>
      </c>
      <c r="BX60" s="40">
        <v>21.077494259044038</v>
      </c>
      <c r="BY60" s="40"/>
      <c r="BZ60" s="40">
        <v>0</v>
      </c>
      <c r="CA60" s="40">
        <v>0</v>
      </c>
      <c r="CB60" s="40">
        <v>0</v>
      </c>
      <c r="CC60" s="40">
        <v>21.077494259044038</v>
      </c>
      <c r="CD60" s="81">
        <v>0</v>
      </c>
      <c r="CE60" s="40">
        <v>9999</v>
      </c>
      <c r="CF60" s="40">
        <v>0</v>
      </c>
      <c r="CG60" s="40">
        <v>0</v>
      </c>
      <c r="CH60" s="40">
        <v>0</v>
      </c>
      <c r="CI60" s="40">
        <v>0</v>
      </c>
      <c r="CJ60" s="40">
        <v>0</v>
      </c>
      <c r="CK60" s="40">
        <v>0</v>
      </c>
      <c r="CL60" s="40"/>
      <c r="CM60" s="40">
        <v>0</v>
      </c>
      <c r="CN60" s="40" t="s">
        <v>1242</v>
      </c>
      <c r="CO60" s="40">
        <v>0</v>
      </c>
      <c r="CP60" s="40">
        <v>0</v>
      </c>
      <c r="CQ60" s="40">
        <v>0</v>
      </c>
      <c r="CR60" s="40">
        <v>0</v>
      </c>
      <c r="CS60" s="40">
        <v>0</v>
      </c>
      <c r="CT60" s="40">
        <v>0</v>
      </c>
      <c r="CU60" s="40">
        <v>0</v>
      </c>
      <c r="CV60" s="40">
        <v>9999</v>
      </c>
      <c r="CW60" s="73">
        <v>9999</v>
      </c>
    </row>
    <row r="61" spans="1:131" s="20" customFormat="1">
      <c r="A61" s="20" t="s">
        <v>1269</v>
      </c>
      <c r="B61" s="20" t="s">
        <v>1269</v>
      </c>
      <c r="C61" s="40">
        <v>10</v>
      </c>
      <c r="D61" s="40">
        <v>29.02544651362075</v>
      </c>
      <c r="E61" s="40">
        <v>7.3435538258373221</v>
      </c>
      <c r="F61" s="40">
        <v>11.336666666666666</v>
      </c>
      <c r="G61" s="40">
        <v>0</v>
      </c>
      <c r="H61" s="40">
        <v>0</v>
      </c>
      <c r="I61" s="40" t="s">
        <v>1242</v>
      </c>
      <c r="J61" s="40"/>
      <c r="K61" s="40"/>
      <c r="L61" s="40">
        <v>31.19382820794868</v>
      </c>
      <c r="M61" s="40">
        <v>5.3757305839855826E-3</v>
      </c>
      <c r="N61" s="40">
        <v>5.3369309713422316E-3</v>
      </c>
      <c r="O61" s="40">
        <v>7.416989364095695</v>
      </c>
      <c r="P61" s="40">
        <v>0</v>
      </c>
      <c r="Q61" s="40">
        <v>0</v>
      </c>
      <c r="R61" s="40">
        <v>2.2606827742196258</v>
      </c>
      <c r="S61" s="40">
        <v>5.2240940433126122</v>
      </c>
      <c r="T61" s="40">
        <v>0</v>
      </c>
      <c r="U61" s="40">
        <v>13.592717441511798</v>
      </c>
      <c r="V61" s="40" t="s">
        <v>226</v>
      </c>
      <c r="W61" s="40" t="s">
        <v>226</v>
      </c>
      <c r="X61" s="40" t="s">
        <v>226</v>
      </c>
      <c r="Y61" s="40" t="s">
        <v>226</v>
      </c>
      <c r="Z61" s="40">
        <v>0</v>
      </c>
      <c r="AA61" s="40">
        <v>0</v>
      </c>
      <c r="AB61" s="40">
        <v>0</v>
      </c>
      <c r="AC61" s="40">
        <v>0</v>
      </c>
      <c r="AD61" s="40">
        <v>0</v>
      </c>
      <c r="AE61" s="40">
        <v>0</v>
      </c>
      <c r="AF61" s="40">
        <v>0</v>
      </c>
      <c r="AG61" s="40">
        <v>0</v>
      </c>
      <c r="AH61" s="40">
        <v>2.2606827742196258</v>
      </c>
      <c r="AI61" s="40">
        <v>5.2240940433126122</v>
      </c>
      <c r="AJ61" s="40">
        <v>0</v>
      </c>
      <c r="AK61" s="40">
        <v>13.592717441511798</v>
      </c>
      <c r="AL61" s="40">
        <v>21.077494259044038</v>
      </c>
      <c r="AM61" s="40">
        <v>16.08597692696662</v>
      </c>
      <c r="AN61" s="40">
        <v>1.8995062574536821</v>
      </c>
      <c r="AO61" s="40">
        <v>0</v>
      </c>
      <c r="AP61" s="40">
        <v>0</v>
      </c>
      <c r="AQ61" s="40">
        <v>17.985483184420303</v>
      </c>
      <c r="AR61" s="40">
        <v>2.2606827742196258</v>
      </c>
      <c r="AS61" s="73">
        <v>7.9557748612601271</v>
      </c>
      <c r="AT61" s="40">
        <v>16.08597692696662</v>
      </c>
      <c r="AU61" s="40">
        <v>2.2484496410142953</v>
      </c>
      <c r="AV61" s="40">
        <v>0</v>
      </c>
      <c r="AW61" s="40">
        <v>0</v>
      </c>
      <c r="AX61" s="40">
        <v>18.334426567980916</v>
      </c>
      <c r="AY61" s="40">
        <v>5.2240940433126122</v>
      </c>
      <c r="AZ61" s="73">
        <v>3.5095896850193391</v>
      </c>
      <c r="BA61" s="40">
        <v>16.08597692696662</v>
      </c>
      <c r="BB61" s="40">
        <v>4.147955898467977</v>
      </c>
      <c r="BC61" s="40">
        <v>0</v>
      </c>
      <c r="BD61" s="40">
        <v>0</v>
      </c>
      <c r="BE61" s="40">
        <v>20.2339328254346</v>
      </c>
      <c r="BF61" s="40">
        <v>7.4847768175322376</v>
      </c>
      <c r="BG61" s="40">
        <v>7.8710802060315022</v>
      </c>
      <c r="BH61" s="73">
        <v>2.7033448449710504</v>
      </c>
      <c r="BI61" s="40">
        <v>5.3326252345799992</v>
      </c>
      <c r="BJ61" s="40">
        <v>12.322885829394775</v>
      </c>
      <c r="BK61" s="40">
        <v>0</v>
      </c>
      <c r="BL61" s="40">
        <v>32.063263745680921</v>
      </c>
      <c r="BM61" s="40">
        <v>49.718774809655692</v>
      </c>
      <c r="BN61" s="40">
        <v>16.08597692696662</v>
      </c>
      <c r="BO61" s="40">
        <v>53.803001533932331</v>
      </c>
      <c r="BP61" s="40">
        <v>4.147955898467977</v>
      </c>
      <c r="BQ61" s="40">
        <v>0</v>
      </c>
      <c r="BR61" s="40">
        <v>0</v>
      </c>
      <c r="BS61" s="40">
        <v>0</v>
      </c>
      <c r="BT61" s="40">
        <v>0</v>
      </c>
      <c r="BU61" s="40">
        <v>0</v>
      </c>
      <c r="BV61" s="40">
        <v>257.62887756758369</v>
      </c>
      <c r="BW61" s="40">
        <v>0</v>
      </c>
      <c r="BX61" s="40">
        <v>21.077494259044038</v>
      </c>
      <c r="BY61" s="40"/>
      <c r="BZ61" s="40">
        <v>0</v>
      </c>
      <c r="CA61" s="40">
        <v>0</v>
      </c>
      <c r="CB61" s="40">
        <v>331.6658119269506</v>
      </c>
      <c r="CC61" s="40">
        <v>21.077494259044038</v>
      </c>
      <c r="CD61" s="73">
        <v>15.735542747669722</v>
      </c>
      <c r="CE61" s="40">
        <v>-694.68862760726381</v>
      </c>
      <c r="CF61" s="40">
        <v>0.29634372785507662</v>
      </c>
      <c r="CG61" s="40">
        <v>0.86778775559919663</v>
      </c>
      <c r="CH61" s="40">
        <v>1.1641314834542733</v>
      </c>
      <c r="CI61" s="40">
        <v>1.4817068398775626E-2</v>
      </c>
      <c r="CJ61" s="40">
        <v>4.3389387779959813E-2</v>
      </c>
      <c r="CK61" s="40">
        <v>5.820645617873544E-2</v>
      </c>
      <c r="CL61" s="40"/>
      <c r="CM61" s="40">
        <v>7.3435538258373221</v>
      </c>
      <c r="CN61" s="40" t="s">
        <v>1242</v>
      </c>
      <c r="CO61" s="40">
        <v>0</v>
      </c>
      <c r="CP61" s="40">
        <v>0</v>
      </c>
      <c r="CQ61" s="40">
        <v>53.803001533932331</v>
      </c>
      <c r="CR61" s="40">
        <v>0</v>
      </c>
      <c r="CS61" s="40">
        <v>0</v>
      </c>
      <c r="CT61" s="40">
        <v>53.803001533932331</v>
      </c>
      <c r="CU61" s="40">
        <v>0</v>
      </c>
      <c r="CV61" s="40">
        <v>0</v>
      </c>
      <c r="CW61" s="73">
        <v>9999</v>
      </c>
    </row>
    <row r="62" spans="1:131" s="20" customFormat="1">
      <c r="A62" s="20" t="s">
        <v>1261</v>
      </c>
      <c r="B62" s="20" t="s">
        <v>1261</v>
      </c>
      <c r="C62" s="40">
        <v>10</v>
      </c>
      <c r="D62" s="40">
        <v>49.502977270716336</v>
      </c>
      <c r="E62" s="40">
        <v>12.524450845437102</v>
      </c>
      <c r="F62" s="40">
        <v>11.336666666666666</v>
      </c>
      <c r="G62" s="40">
        <v>0</v>
      </c>
      <c r="H62" s="40">
        <v>0</v>
      </c>
      <c r="I62" s="40" t="s">
        <v>1242</v>
      </c>
      <c r="J62" s="40"/>
      <c r="K62" s="40"/>
      <c r="L62" s="40">
        <v>53.201158095537785</v>
      </c>
      <c r="M62" s="40">
        <v>9.1683230019442945E-3</v>
      </c>
      <c r="N62" s="40">
        <v>9.1021501579918312E-3</v>
      </c>
      <c r="O62" s="40">
        <v>12.649695353891472</v>
      </c>
      <c r="P62" s="40">
        <v>0</v>
      </c>
      <c r="Q62" s="40">
        <v>0</v>
      </c>
      <c r="R62" s="40">
        <v>2.2606827742196258</v>
      </c>
      <c r="S62" s="40">
        <v>5.2240940433126122</v>
      </c>
      <c r="T62" s="40">
        <v>0</v>
      </c>
      <c r="U62" s="40">
        <v>13.592717441511798</v>
      </c>
      <c r="V62" s="40" t="s">
        <v>226</v>
      </c>
      <c r="W62" s="40" t="s">
        <v>226</v>
      </c>
      <c r="X62" s="40" t="s">
        <v>226</v>
      </c>
      <c r="Y62" s="40" t="s">
        <v>226</v>
      </c>
      <c r="Z62" s="40">
        <v>0</v>
      </c>
      <c r="AA62" s="40">
        <v>0</v>
      </c>
      <c r="AB62" s="40">
        <v>0</v>
      </c>
      <c r="AC62" s="40">
        <v>0</v>
      </c>
      <c r="AD62" s="40">
        <v>0</v>
      </c>
      <c r="AE62" s="40">
        <v>0</v>
      </c>
      <c r="AF62" s="40">
        <v>0</v>
      </c>
      <c r="AG62" s="40">
        <v>0</v>
      </c>
      <c r="AH62" s="40">
        <v>2.2606827742196258</v>
      </c>
      <c r="AI62" s="40">
        <v>5.2240940433126122</v>
      </c>
      <c r="AJ62" s="40">
        <v>0</v>
      </c>
      <c r="AK62" s="40">
        <v>13.592717441511798</v>
      </c>
      <c r="AL62" s="40">
        <v>21.077494259044038</v>
      </c>
      <c r="AM62" s="40">
        <v>27.434677010712491</v>
      </c>
      <c r="AN62" s="40">
        <v>3.2396130424449159</v>
      </c>
      <c r="AO62" s="40">
        <v>0</v>
      </c>
      <c r="AP62" s="40">
        <v>0</v>
      </c>
      <c r="AQ62" s="40">
        <v>30.674290053157407</v>
      </c>
      <c r="AR62" s="40">
        <v>2.2606827742196258</v>
      </c>
      <c r="AS62" s="73">
        <v>13.568595471669388</v>
      </c>
      <c r="AT62" s="40">
        <v>27.434677010712491</v>
      </c>
      <c r="AU62" s="40">
        <v>3.8347369237282534</v>
      </c>
      <c r="AV62" s="40">
        <v>0</v>
      </c>
      <c r="AW62" s="40">
        <v>0</v>
      </c>
      <c r="AX62" s="40">
        <v>31.269413934440745</v>
      </c>
      <c r="AY62" s="40">
        <v>5.2240940433126122</v>
      </c>
      <c r="AZ62" s="73">
        <v>5.9856146683402214</v>
      </c>
      <c r="BA62" s="40">
        <v>27.434677010712491</v>
      </c>
      <c r="BB62" s="40">
        <v>7.0743499661731697</v>
      </c>
      <c r="BC62" s="40">
        <v>0</v>
      </c>
      <c r="BD62" s="40">
        <v>0</v>
      </c>
      <c r="BE62" s="40">
        <v>34.509026976885664</v>
      </c>
      <c r="BF62" s="40">
        <v>7.4847768175322376</v>
      </c>
      <c r="BG62" s="40">
        <v>0.56765542679795156</v>
      </c>
      <c r="BH62" s="73">
        <v>4.6105619203036481</v>
      </c>
      <c r="BI62" s="40">
        <v>3.1267175644210763</v>
      </c>
      <c r="BJ62" s="40">
        <v>7.2253687203201489</v>
      </c>
      <c r="BK62" s="40">
        <v>0</v>
      </c>
      <c r="BL62" s="40">
        <v>18.799890394732007</v>
      </c>
      <c r="BM62" s="40">
        <v>29.151976679473233</v>
      </c>
      <c r="BN62" s="40">
        <v>27.434677010712491</v>
      </c>
      <c r="BO62" s="40">
        <v>91.761164148868787</v>
      </c>
      <c r="BP62" s="40">
        <v>7.0743499661731697</v>
      </c>
      <c r="BQ62" s="40">
        <v>0</v>
      </c>
      <c r="BR62" s="40">
        <v>0</v>
      </c>
      <c r="BS62" s="40">
        <v>0</v>
      </c>
      <c r="BT62" s="40">
        <v>0</v>
      </c>
      <c r="BU62" s="40">
        <v>0</v>
      </c>
      <c r="BV62" s="40">
        <v>439.38674516250705</v>
      </c>
      <c r="BW62" s="40">
        <v>0</v>
      </c>
      <c r="BX62" s="40">
        <v>21.077494259044038</v>
      </c>
      <c r="BY62" s="40"/>
      <c r="BZ62" s="40">
        <v>0</v>
      </c>
      <c r="CA62" s="40">
        <v>0</v>
      </c>
      <c r="CB62" s="40">
        <v>565.65693628826148</v>
      </c>
      <c r="CC62" s="40">
        <v>21.077494259044038</v>
      </c>
      <c r="CD62" s="73">
        <v>26.837010573282285</v>
      </c>
      <c r="CE62" s="40">
        <v>-715.25542573744633</v>
      </c>
      <c r="CF62" s="40">
        <v>0.50541502668856675</v>
      </c>
      <c r="CG62" s="40">
        <v>1.4800143564053037</v>
      </c>
      <c r="CH62" s="40">
        <v>1.9854293830938703</v>
      </c>
      <c r="CI62" s="40">
        <v>2.5270550095380453E-2</v>
      </c>
      <c r="CJ62" s="40">
        <v>7.4000717820265127E-2</v>
      </c>
      <c r="CK62" s="40">
        <v>9.9271267915645584E-2</v>
      </c>
      <c r="CL62" s="40"/>
      <c r="CM62" s="40">
        <v>12.524450845437102</v>
      </c>
      <c r="CN62" s="40" t="s">
        <v>1242</v>
      </c>
      <c r="CO62" s="40">
        <v>0</v>
      </c>
      <c r="CP62" s="40">
        <v>0</v>
      </c>
      <c r="CQ62" s="40">
        <v>91.761164148868787</v>
      </c>
      <c r="CR62" s="40">
        <v>0</v>
      </c>
      <c r="CS62" s="40">
        <v>0</v>
      </c>
      <c r="CT62" s="40">
        <v>91.761164148868787</v>
      </c>
      <c r="CU62" s="40">
        <v>0</v>
      </c>
      <c r="CV62" s="40">
        <v>0</v>
      </c>
      <c r="CW62" s="73">
        <v>9999</v>
      </c>
    </row>
    <row r="63" spans="1:131" s="20" customFormat="1">
      <c r="A63" s="20" t="s">
        <v>1274</v>
      </c>
      <c r="B63" s="20" t="s">
        <v>1274</v>
      </c>
      <c r="C63" s="40">
        <v>10</v>
      </c>
      <c r="D63" s="40">
        <v>0</v>
      </c>
      <c r="E63" s="40">
        <v>0</v>
      </c>
      <c r="F63" s="40">
        <v>11.336666666666666</v>
      </c>
      <c r="G63" s="40">
        <v>0</v>
      </c>
      <c r="H63" s="40">
        <v>0</v>
      </c>
      <c r="I63" s="40" t="s">
        <v>1242</v>
      </c>
      <c r="J63" s="40"/>
      <c r="K63" s="40"/>
      <c r="L63" s="40">
        <v>0</v>
      </c>
      <c r="M63" s="40">
        <v>0</v>
      </c>
      <c r="N63" s="40">
        <v>0</v>
      </c>
      <c r="O63" s="40">
        <v>0</v>
      </c>
      <c r="P63" s="40">
        <v>0</v>
      </c>
      <c r="Q63" s="40">
        <v>0</v>
      </c>
      <c r="R63" s="40">
        <v>2.2606827742196258</v>
      </c>
      <c r="S63" s="40">
        <v>5.2240940433126122</v>
      </c>
      <c r="T63" s="40">
        <v>0</v>
      </c>
      <c r="U63" s="40">
        <v>13.592717441511798</v>
      </c>
      <c r="V63" s="40" t="s">
        <v>226</v>
      </c>
      <c r="W63" s="40" t="s">
        <v>226</v>
      </c>
      <c r="X63" s="40" t="s">
        <v>226</v>
      </c>
      <c r="Y63" s="40" t="s">
        <v>226</v>
      </c>
      <c r="Z63" s="40">
        <v>0</v>
      </c>
      <c r="AA63" s="40">
        <v>0</v>
      </c>
      <c r="AB63" s="40">
        <v>0</v>
      </c>
      <c r="AC63" s="40">
        <v>0</v>
      </c>
      <c r="AD63" s="40">
        <v>0</v>
      </c>
      <c r="AE63" s="40">
        <v>0</v>
      </c>
      <c r="AF63" s="40">
        <v>0</v>
      </c>
      <c r="AG63" s="40">
        <v>0</v>
      </c>
      <c r="AH63" s="40">
        <v>2.2606827742196258</v>
      </c>
      <c r="AI63" s="40">
        <v>5.2240940433126122</v>
      </c>
      <c r="AJ63" s="40">
        <v>0</v>
      </c>
      <c r="AK63" s="40">
        <v>13.592717441511798</v>
      </c>
      <c r="AL63" s="40">
        <v>21.077494259044038</v>
      </c>
      <c r="AM63" s="40">
        <v>0</v>
      </c>
      <c r="AN63" s="40">
        <v>0</v>
      </c>
      <c r="AO63" s="40">
        <v>0</v>
      </c>
      <c r="AP63" s="40">
        <v>0</v>
      </c>
      <c r="AQ63" s="40">
        <v>0</v>
      </c>
      <c r="AR63" s="40">
        <v>2.2606827742196258</v>
      </c>
      <c r="AS63" s="81">
        <v>0</v>
      </c>
      <c r="AT63" s="40">
        <v>0</v>
      </c>
      <c r="AU63" s="40">
        <v>0</v>
      </c>
      <c r="AV63" s="40">
        <v>0</v>
      </c>
      <c r="AW63" s="40">
        <v>0</v>
      </c>
      <c r="AX63" s="40">
        <v>0</v>
      </c>
      <c r="AY63" s="40">
        <v>5.2240940433126122</v>
      </c>
      <c r="AZ63" s="81">
        <v>0</v>
      </c>
      <c r="BA63" s="40">
        <v>0</v>
      </c>
      <c r="BB63" s="40">
        <v>0</v>
      </c>
      <c r="BC63" s="40">
        <v>0</v>
      </c>
      <c r="BD63" s="40">
        <v>0</v>
      </c>
      <c r="BE63" s="40">
        <v>0</v>
      </c>
      <c r="BF63" s="40">
        <v>7.4847768175322376</v>
      </c>
      <c r="BG63" s="40">
        <v>9999</v>
      </c>
      <c r="BH63" s="81">
        <v>0</v>
      </c>
      <c r="BI63" s="40">
        <v>9999</v>
      </c>
      <c r="BJ63" s="40">
        <v>9999</v>
      </c>
      <c r="BK63" s="40">
        <v>9999</v>
      </c>
      <c r="BL63" s="40">
        <v>9999</v>
      </c>
      <c r="BM63" s="40">
        <v>9999</v>
      </c>
      <c r="BN63" s="40">
        <v>0</v>
      </c>
      <c r="BO63" s="40">
        <v>0</v>
      </c>
      <c r="BP63" s="40">
        <v>0</v>
      </c>
      <c r="BQ63" s="40">
        <v>0</v>
      </c>
      <c r="BR63" s="40">
        <v>0</v>
      </c>
      <c r="BS63" s="40">
        <v>0</v>
      </c>
      <c r="BT63" s="40">
        <v>0</v>
      </c>
      <c r="BU63" s="40">
        <v>0</v>
      </c>
      <c r="BV63" s="40">
        <v>0</v>
      </c>
      <c r="BW63" s="40">
        <v>0</v>
      </c>
      <c r="BX63" s="40">
        <v>21.077494259044038</v>
      </c>
      <c r="BY63" s="40"/>
      <c r="BZ63" s="40">
        <v>0</v>
      </c>
      <c r="CA63" s="40">
        <v>0</v>
      </c>
      <c r="CB63" s="40">
        <v>0</v>
      </c>
      <c r="CC63" s="40">
        <v>21.077494259044038</v>
      </c>
      <c r="CD63" s="81">
        <v>0</v>
      </c>
      <c r="CE63" s="40">
        <v>9999</v>
      </c>
      <c r="CF63" s="40">
        <v>0</v>
      </c>
      <c r="CG63" s="40">
        <v>0</v>
      </c>
      <c r="CH63" s="40">
        <v>0</v>
      </c>
      <c r="CI63" s="40">
        <v>0</v>
      </c>
      <c r="CJ63" s="40">
        <v>0</v>
      </c>
      <c r="CK63" s="40">
        <v>0</v>
      </c>
      <c r="CL63" s="40"/>
      <c r="CM63" s="40">
        <v>0</v>
      </c>
      <c r="CN63" s="40" t="s">
        <v>1242</v>
      </c>
      <c r="CO63" s="40">
        <v>0</v>
      </c>
      <c r="CP63" s="40">
        <v>0</v>
      </c>
      <c r="CQ63" s="40">
        <v>0</v>
      </c>
      <c r="CR63" s="40">
        <v>0</v>
      </c>
      <c r="CS63" s="40">
        <v>0</v>
      </c>
      <c r="CT63" s="40">
        <v>0</v>
      </c>
      <c r="CU63" s="40">
        <v>0</v>
      </c>
      <c r="CV63" s="40">
        <v>9999</v>
      </c>
      <c r="CW63" s="73">
        <v>9999</v>
      </c>
    </row>
    <row r="64" spans="1:131" s="20" customFormat="1">
      <c r="A64" s="20" t="s">
        <v>1275</v>
      </c>
      <c r="B64" s="20" t="s">
        <v>1275</v>
      </c>
      <c r="C64" s="40">
        <v>10</v>
      </c>
      <c r="D64" s="40">
        <v>0</v>
      </c>
      <c r="E64" s="40">
        <v>0</v>
      </c>
      <c r="F64" s="40">
        <v>11.336666666666666</v>
      </c>
      <c r="G64" s="40">
        <v>0</v>
      </c>
      <c r="H64" s="40">
        <v>0</v>
      </c>
      <c r="I64" s="40" t="s">
        <v>1242</v>
      </c>
      <c r="J64" s="40"/>
      <c r="K64" s="40"/>
      <c r="L64" s="40">
        <v>0</v>
      </c>
      <c r="M64" s="40">
        <v>0</v>
      </c>
      <c r="N64" s="40">
        <v>0</v>
      </c>
      <c r="O64" s="40">
        <v>0</v>
      </c>
      <c r="P64" s="40">
        <v>0</v>
      </c>
      <c r="Q64" s="40">
        <v>0</v>
      </c>
      <c r="R64" s="40">
        <v>2.2606827742196258</v>
      </c>
      <c r="S64" s="40">
        <v>5.2240940433126122</v>
      </c>
      <c r="T64" s="40">
        <v>0</v>
      </c>
      <c r="U64" s="40">
        <v>13.592717441511798</v>
      </c>
      <c r="V64" s="40" t="s">
        <v>226</v>
      </c>
      <c r="W64" s="40" t="s">
        <v>226</v>
      </c>
      <c r="X64" s="40" t="s">
        <v>226</v>
      </c>
      <c r="Y64" s="40" t="s">
        <v>226</v>
      </c>
      <c r="Z64" s="40">
        <v>0</v>
      </c>
      <c r="AA64" s="40">
        <v>0</v>
      </c>
      <c r="AB64" s="40">
        <v>0</v>
      </c>
      <c r="AC64" s="40">
        <v>0</v>
      </c>
      <c r="AD64" s="40">
        <v>0</v>
      </c>
      <c r="AE64" s="40">
        <v>0</v>
      </c>
      <c r="AF64" s="40">
        <v>0</v>
      </c>
      <c r="AG64" s="40">
        <v>0</v>
      </c>
      <c r="AH64" s="40">
        <v>2.2606827742196258</v>
      </c>
      <c r="AI64" s="40">
        <v>5.2240940433126122</v>
      </c>
      <c r="AJ64" s="40">
        <v>0</v>
      </c>
      <c r="AK64" s="40">
        <v>13.592717441511798</v>
      </c>
      <c r="AL64" s="40">
        <v>21.077494259044038</v>
      </c>
      <c r="AM64" s="40">
        <v>0</v>
      </c>
      <c r="AN64" s="40">
        <v>0</v>
      </c>
      <c r="AO64" s="40">
        <v>0</v>
      </c>
      <c r="AP64" s="40">
        <v>0</v>
      </c>
      <c r="AQ64" s="40">
        <v>0</v>
      </c>
      <c r="AR64" s="40">
        <v>2.2606827742196258</v>
      </c>
      <c r="AS64" s="81">
        <v>0</v>
      </c>
      <c r="AT64" s="40">
        <v>0</v>
      </c>
      <c r="AU64" s="40">
        <v>0</v>
      </c>
      <c r="AV64" s="40">
        <v>0</v>
      </c>
      <c r="AW64" s="40">
        <v>0</v>
      </c>
      <c r="AX64" s="40">
        <v>0</v>
      </c>
      <c r="AY64" s="40">
        <v>5.2240940433126122</v>
      </c>
      <c r="AZ64" s="81">
        <v>0</v>
      </c>
      <c r="BA64" s="40">
        <v>0</v>
      </c>
      <c r="BB64" s="40">
        <v>0</v>
      </c>
      <c r="BC64" s="40">
        <v>0</v>
      </c>
      <c r="BD64" s="40">
        <v>0</v>
      </c>
      <c r="BE64" s="40">
        <v>0</v>
      </c>
      <c r="BF64" s="40">
        <v>7.4847768175322376</v>
      </c>
      <c r="BG64" s="40">
        <v>9999</v>
      </c>
      <c r="BH64" s="81">
        <v>0</v>
      </c>
      <c r="BI64" s="40">
        <v>9999</v>
      </c>
      <c r="BJ64" s="40">
        <v>9999</v>
      </c>
      <c r="BK64" s="40">
        <v>9999</v>
      </c>
      <c r="BL64" s="40">
        <v>9999</v>
      </c>
      <c r="BM64" s="40">
        <v>9999</v>
      </c>
      <c r="BN64" s="40">
        <v>0</v>
      </c>
      <c r="BO64" s="40">
        <v>0</v>
      </c>
      <c r="BP64" s="40">
        <v>0</v>
      </c>
      <c r="BQ64" s="40">
        <v>0</v>
      </c>
      <c r="BR64" s="40">
        <v>0</v>
      </c>
      <c r="BS64" s="40">
        <v>0</v>
      </c>
      <c r="BT64" s="40">
        <v>0</v>
      </c>
      <c r="BU64" s="40">
        <v>0</v>
      </c>
      <c r="BV64" s="40">
        <v>0</v>
      </c>
      <c r="BW64" s="40">
        <v>0</v>
      </c>
      <c r="BX64" s="40">
        <v>21.077494259044038</v>
      </c>
      <c r="BY64" s="40"/>
      <c r="BZ64" s="40">
        <v>0</v>
      </c>
      <c r="CA64" s="40">
        <v>0</v>
      </c>
      <c r="CB64" s="40">
        <v>0</v>
      </c>
      <c r="CC64" s="40">
        <v>21.077494259044038</v>
      </c>
      <c r="CD64" s="81">
        <v>0</v>
      </c>
      <c r="CE64" s="40">
        <v>9999</v>
      </c>
      <c r="CF64" s="40">
        <v>0</v>
      </c>
      <c r="CG64" s="40">
        <v>0</v>
      </c>
      <c r="CH64" s="40">
        <v>0</v>
      </c>
      <c r="CI64" s="40">
        <v>0</v>
      </c>
      <c r="CJ64" s="40">
        <v>0</v>
      </c>
      <c r="CK64" s="40">
        <v>0</v>
      </c>
      <c r="CL64" s="40"/>
      <c r="CM64" s="40">
        <v>0</v>
      </c>
      <c r="CN64" s="40" t="s">
        <v>1242</v>
      </c>
      <c r="CO64" s="40">
        <v>0</v>
      </c>
      <c r="CP64" s="40">
        <v>0</v>
      </c>
      <c r="CQ64" s="40">
        <v>0</v>
      </c>
      <c r="CR64" s="40">
        <v>0</v>
      </c>
      <c r="CS64" s="40">
        <v>0</v>
      </c>
      <c r="CT64" s="40">
        <v>0</v>
      </c>
      <c r="CU64" s="40">
        <v>0</v>
      </c>
      <c r="CV64" s="40">
        <v>9999</v>
      </c>
      <c r="CW64" s="73">
        <v>9999</v>
      </c>
    </row>
    <row r="65" spans="1:101" s="20" customFormat="1">
      <c r="A65" s="20" t="s">
        <v>1276</v>
      </c>
      <c r="B65" s="20" t="s">
        <v>1276</v>
      </c>
      <c r="C65" s="40">
        <v>10</v>
      </c>
      <c r="D65" s="40">
        <v>0</v>
      </c>
      <c r="E65" s="40">
        <v>0</v>
      </c>
      <c r="F65" s="40">
        <v>11.336666666666666</v>
      </c>
      <c r="G65" s="40">
        <v>0</v>
      </c>
      <c r="H65" s="40">
        <v>0</v>
      </c>
      <c r="I65" s="40" t="s">
        <v>1242</v>
      </c>
      <c r="J65" s="40"/>
      <c r="K65" s="40"/>
      <c r="L65" s="40">
        <v>0</v>
      </c>
      <c r="M65" s="40">
        <v>0</v>
      </c>
      <c r="N65" s="40">
        <v>0</v>
      </c>
      <c r="O65" s="40">
        <v>0</v>
      </c>
      <c r="P65" s="40">
        <v>0</v>
      </c>
      <c r="Q65" s="40">
        <v>0</v>
      </c>
      <c r="R65" s="40">
        <v>2.2606827742196258</v>
      </c>
      <c r="S65" s="40">
        <v>5.2240940433126122</v>
      </c>
      <c r="T65" s="40">
        <v>0</v>
      </c>
      <c r="U65" s="40">
        <v>13.592717441511798</v>
      </c>
      <c r="V65" s="40" t="s">
        <v>226</v>
      </c>
      <c r="W65" s="40" t="s">
        <v>226</v>
      </c>
      <c r="X65" s="40" t="s">
        <v>226</v>
      </c>
      <c r="Y65" s="40" t="s">
        <v>226</v>
      </c>
      <c r="Z65" s="40">
        <v>0</v>
      </c>
      <c r="AA65" s="40">
        <v>0</v>
      </c>
      <c r="AB65" s="40">
        <v>0</v>
      </c>
      <c r="AC65" s="40">
        <v>0</v>
      </c>
      <c r="AD65" s="40">
        <v>0</v>
      </c>
      <c r="AE65" s="40">
        <v>0</v>
      </c>
      <c r="AF65" s="40">
        <v>0</v>
      </c>
      <c r="AG65" s="40">
        <v>0</v>
      </c>
      <c r="AH65" s="40">
        <v>2.2606827742196258</v>
      </c>
      <c r="AI65" s="40">
        <v>5.2240940433126122</v>
      </c>
      <c r="AJ65" s="40">
        <v>0</v>
      </c>
      <c r="AK65" s="40">
        <v>13.592717441511798</v>
      </c>
      <c r="AL65" s="40">
        <v>21.077494259044038</v>
      </c>
      <c r="AM65" s="40">
        <v>0</v>
      </c>
      <c r="AN65" s="40">
        <v>0</v>
      </c>
      <c r="AO65" s="40">
        <v>0</v>
      </c>
      <c r="AP65" s="40">
        <v>0</v>
      </c>
      <c r="AQ65" s="40">
        <v>0</v>
      </c>
      <c r="AR65" s="40">
        <v>2.2606827742196258</v>
      </c>
      <c r="AS65" s="81">
        <v>0</v>
      </c>
      <c r="AT65" s="40">
        <v>0</v>
      </c>
      <c r="AU65" s="40">
        <v>0</v>
      </c>
      <c r="AV65" s="40">
        <v>0</v>
      </c>
      <c r="AW65" s="40">
        <v>0</v>
      </c>
      <c r="AX65" s="40">
        <v>0</v>
      </c>
      <c r="AY65" s="40">
        <v>5.2240940433126122</v>
      </c>
      <c r="AZ65" s="81">
        <v>0</v>
      </c>
      <c r="BA65" s="40">
        <v>0</v>
      </c>
      <c r="BB65" s="40">
        <v>0</v>
      </c>
      <c r="BC65" s="40">
        <v>0</v>
      </c>
      <c r="BD65" s="40">
        <v>0</v>
      </c>
      <c r="BE65" s="40">
        <v>0</v>
      </c>
      <c r="BF65" s="40">
        <v>7.4847768175322376</v>
      </c>
      <c r="BG65" s="40">
        <v>9999</v>
      </c>
      <c r="BH65" s="81">
        <v>0</v>
      </c>
      <c r="BI65" s="40">
        <v>9999</v>
      </c>
      <c r="BJ65" s="40">
        <v>9999</v>
      </c>
      <c r="BK65" s="40">
        <v>9999</v>
      </c>
      <c r="BL65" s="40">
        <v>9999</v>
      </c>
      <c r="BM65" s="40">
        <v>9999</v>
      </c>
      <c r="BN65" s="40">
        <v>0</v>
      </c>
      <c r="BO65" s="40">
        <v>0</v>
      </c>
      <c r="BP65" s="40">
        <v>0</v>
      </c>
      <c r="BQ65" s="40">
        <v>0</v>
      </c>
      <c r="BR65" s="40">
        <v>0</v>
      </c>
      <c r="BS65" s="40">
        <v>0</v>
      </c>
      <c r="BT65" s="40">
        <v>0</v>
      </c>
      <c r="BU65" s="40">
        <v>0</v>
      </c>
      <c r="BV65" s="40">
        <v>0</v>
      </c>
      <c r="BW65" s="40">
        <v>0</v>
      </c>
      <c r="BX65" s="40">
        <v>21.077494259044038</v>
      </c>
      <c r="BY65" s="40"/>
      <c r="BZ65" s="40">
        <v>0</v>
      </c>
      <c r="CA65" s="40">
        <v>0</v>
      </c>
      <c r="CB65" s="40">
        <v>0</v>
      </c>
      <c r="CC65" s="40">
        <v>21.077494259044038</v>
      </c>
      <c r="CD65" s="81">
        <v>0</v>
      </c>
      <c r="CE65" s="40">
        <v>9999</v>
      </c>
      <c r="CF65" s="40">
        <v>0</v>
      </c>
      <c r="CG65" s="40">
        <v>0</v>
      </c>
      <c r="CH65" s="40">
        <v>0</v>
      </c>
      <c r="CI65" s="40">
        <v>0</v>
      </c>
      <c r="CJ65" s="40">
        <v>0</v>
      </c>
      <c r="CK65" s="40">
        <v>0</v>
      </c>
      <c r="CL65" s="40"/>
      <c r="CM65" s="40">
        <v>0</v>
      </c>
      <c r="CN65" s="40" t="s">
        <v>1242</v>
      </c>
      <c r="CO65" s="40">
        <v>0</v>
      </c>
      <c r="CP65" s="40">
        <v>0</v>
      </c>
      <c r="CQ65" s="40">
        <v>0</v>
      </c>
      <c r="CR65" s="40">
        <v>0</v>
      </c>
      <c r="CS65" s="40">
        <v>0</v>
      </c>
      <c r="CT65" s="40">
        <v>0</v>
      </c>
      <c r="CU65" s="40">
        <v>0</v>
      </c>
      <c r="CV65" s="40">
        <v>9999</v>
      </c>
      <c r="CW65" s="73">
        <v>9999</v>
      </c>
    </row>
    <row r="66" spans="1:101" s="20" customFormat="1">
      <c r="A66" s="20" t="s">
        <v>1277</v>
      </c>
      <c r="B66" s="20" t="s">
        <v>1277</v>
      </c>
      <c r="C66" s="40">
        <v>10</v>
      </c>
      <c r="D66" s="40">
        <v>0</v>
      </c>
      <c r="E66" s="40">
        <v>0</v>
      </c>
      <c r="F66" s="40">
        <v>11.336666666666666</v>
      </c>
      <c r="G66" s="40">
        <v>0</v>
      </c>
      <c r="H66" s="40">
        <v>0</v>
      </c>
      <c r="I66" s="40" t="s">
        <v>1242</v>
      </c>
      <c r="J66" s="40"/>
      <c r="K66" s="40"/>
      <c r="L66" s="40">
        <v>0</v>
      </c>
      <c r="M66" s="40">
        <v>0</v>
      </c>
      <c r="N66" s="40">
        <v>0</v>
      </c>
      <c r="O66" s="40">
        <v>0</v>
      </c>
      <c r="P66" s="40">
        <v>0</v>
      </c>
      <c r="Q66" s="40">
        <v>0</v>
      </c>
      <c r="R66" s="40">
        <v>2.2606827742196258</v>
      </c>
      <c r="S66" s="40">
        <v>5.2240940433126122</v>
      </c>
      <c r="T66" s="40">
        <v>0</v>
      </c>
      <c r="U66" s="40">
        <v>13.592717441511798</v>
      </c>
      <c r="V66" s="40" t="s">
        <v>226</v>
      </c>
      <c r="W66" s="40" t="s">
        <v>226</v>
      </c>
      <c r="X66" s="40" t="s">
        <v>226</v>
      </c>
      <c r="Y66" s="40" t="s">
        <v>226</v>
      </c>
      <c r="Z66" s="40">
        <v>0</v>
      </c>
      <c r="AA66" s="40">
        <v>0</v>
      </c>
      <c r="AB66" s="40">
        <v>0</v>
      </c>
      <c r="AC66" s="40">
        <v>0</v>
      </c>
      <c r="AD66" s="40">
        <v>0</v>
      </c>
      <c r="AE66" s="40">
        <v>0</v>
      </c>
      <c r="AF66" s="40">
        <v>0</v>
      </c>
      <c r="AG66" s="40">
        <v>0</v>
      </c>
      <c r="AH66" s="40">
        <v>2.2606827742196258</v>
      </c>
      <c r="AI66" s="40">
        <v>5.2240940433126122</v>
      </c>
      <c r="AJ66" s="40">
        <v>0</v>
      </c>
      <c r="AK66" s="40">
        <v>13.592717441511798</v>
      </c>
      <c r="AL66" s="40">
        <v>21.077494259044038</v>
      </c>
      <c r="AM66" s="40">
        <v>0</v>
      </c>
      <c r="AN66" s="40">
        <v>0</v>
      </c>
      <c r="AO66" s="40">
        <v>0</v>
      </c>
      <c r="AP66" s="40">
        <v>0</v>
      </c>
      <c r="AQ66" s="40">
        <v>0</v>
      </c>
      <c r="AR66" s="40">
        <v>2.2606827742196258</v>
      </c>
      <c r="AS66" s="81">
        <v>0</v>
      </c>
      <c r="AT66" s="40">
        <v>0</v>
      </c>
      <c r="AU66" s="40">
        <v>0</v>
      </c>
      <c r="AV66" s="40">
        <v>0</v>
      </c>
      <c r="AW66" s="40">
        <v>0</v>
      </c>
      <c r="AX66" s="40">
        <v>0</v>
      </c>
      <c r="AY66" s="40">
        <v>5.2240940433126122</v>
      </c>
      <c r="AZ66" s="81">
        <v>0</v>
      </c>
      <c r="BA66" s="40">
        <v>0</v>
      </c>
      <c r="BB66" s="40">
        <v>0</v>
      </c>
      <c r="BC66" s="40">
        <v>0</v>
      </c>
      <c r="BD66" s="40">
        <v>0</v>
      </c>
      <c r="BE66" s="40">
        <v>0</v>
      </c>
      <c r="BF66" s="40">
        <v>7.4847768175322376</v>
      </c>
      <c r="BG66" s="40">
        <v>9999</v>
      </c>
      <c r="BH66" s="81">
        <v>0</v>
      </c>
      <c r="BI66" s="40">
        <v>9999</v>
      </c>
      <c r="BJ66" s="40">
        <v>9999</v>
      </c>
      <c r="BK66" s="40">
        <v>9999</v>
      </c>
      <c r="BL66" s="40">
        <v>9999</v>
      </c>
      <c r="BM66" s="40">
        <v>9999</v>
      </c>
      <c r="BN66" s="40">
        <v>0</v>
      </c>
      <c r="BO66" s="40">
        <v>0</v>
      </c>
      <c r="BP66" s="40">
        <v>0</v>
      </c>
      <c r="BQ66" s="40">
        <v>0</v>
      </c>
      <c r="BR66" s="40">
        <v>0</v>
      </c>
      <c r="BS66" s="40">
        <v>0</v>
      </c>
      <c r="BT66" s="40">
        <v>0</v>
      </c>
      <c r="BU66" s="40">
        <v>0</v>
      </c>
      <c r="BV66" s="40">
        <v>0</v>
      </c>
      <c r="BW66" s="40">
        <v>0</v>
      </c>
      <c r="BX66" s="40">
        <v>21.077494259044038</v>
      </c>
      <c r="BY66" s="40"/>
      <c r="BZ66" s="40">
        <v>0</v>
      </c>
      <c r="CA66" s="40">
        <v>0</v>
      </c>
      <c r="CB66" s="40">
        <v>0</v>
      </c>
      <c r="CC66" s="40">
        <v>21.077494259044038</v>
      </c>
      <c r="CD66" s="81">
        <v>0</v>
      </c>
      <c r="CE66" s="40">
        <v>9999</v>
      </c>
      <c r="CF66" s="40">
        <v>0</v>
      </c>
      <c r="CG66" s="40">
        <v>0</v>
      </c>
      <c r="CH66" s="40">
        <v>0</v>
      </c>
      <c r="CI66" s="40">
        <v>0</v>
      </c>
      <c r="CJ66" s="40">
        <v>0</v>
      </c>
      <c r="CK66" s="40">
        <v>0</v>
      </c>
      <c r="CL66" s="40"/>
      <c r="CM66" s="40">
        <v>0</v>
      </c>
      <c r="CN66" s="40" t="s">
        <v>1242</v>
      </c>
      <c r="CO66" s="40">
        <v>0</v>
      </c>
      <c r="CP66" s="40">
        <v>0</v>
      </c>
      <c r="CQ66" s="40">
        <v>0</v>
      </c>
      <c r="CR66" s="40">
        <v>0</v>
      </c>
      <c r="CS66" s="40">
        <v>0</v>
      </c>
      <c r="CT66" s="40">
        <v>0</v>
      </c>
      <c r="CU66" s="40">
        <v>0</v>
      </c>
      <c r="CV66" s="40">
        <v>9999</v>
      </c>
      <c r="CW66" s="73">
        <v>9999</v>
      </c>
    </row>
    <row r="67" spans="1:101" s="20" customFormat="1">
      <c r="A67" s="20" t="s">
        <v>1262</v>
      </c>
      <c r="B67" s="20" t="s">
        <v>1262</v>
      </c>
      <c r="C67" s="40">
        <v>10</v>
      </c>
      <c r="D67" s="40">
        <v>49.502977270716336</v>
      </c>
      <c r="E67" s="40">
        <v>12.524450845437102</v>
      </c>
      <c r="F67" s="40">
        <v>11.336666666666666</v>
      </c>
      <c r="G67" s="40">
        <v>0</v>
      </c>
      <c r="H67" s="40">
        <v>0</v>
      </c>
      <c r="I67" s="40" t="s">
        <v>1242</v>
      </c>
      <c r="J67" s="40"/>
      <c r="K67" s="40"/>
      <c r="L67" s="40">
        <v>53.201158095537785</v>
      </c>
      <c r="M67" s="40">
        <v>9.1683230019442945E-3</v>
      </c>
      <c r="N67" s="40">
        <v>9.1021501579918312E-3</v>
      </c>
      <c r="O67" s="40">
        <v>12.649695353891472</v>
      </c>
      <c r="P67" s="40">
        <v>0</v>
      </c>
      <c r="Q67" s="40">
        <v>0</v>
      </c>
      <c r="R67" s="40">
        <v>2.2606827742196258</v>
      </c>
      <c r="S67" s="40">
        <v>5.2240940433126122</v>
      </c>
      <c r="T67" s="40">
        <v>0</v>
      </c>
      <c r="U67" s="40">
        <v>13.592717441511798</v>
      </c>
      <c r="V67" s="40" t="s">
        <v>226</v>
      </c>
      <c r="W67" s="40" t="s">
        <v>226</v>
      </c>
      <c r="X67" s="40" t="s">
        <v>226</v>
      </c>
      <c r="Y67" s="40" t="s">
        <v>226</v>
      </c>
      <c r="Z67" s="40">
        <v>0</v>
      </c>
      <c r="AA67" s="40">
        <v>0</v>
      </c>
      <c r="AB67" s="40">
        <v>0</v>
      </c>
      <c r="AC67" s="40">
        <v>0</v>
      </c>
      <c r="AD67" s="40">
        <v>0</v>
      </c>
      <c r="AE67" s="40">
        <v>0</v>
      </c>
      <c r="AF67" s="40">
        <v>0</v>
      </c>
      <c r="AG67" s="40">
        <v>0</v>
      </c>
      <c r="AH67" s="40">
        <v>2.2606827742196258</v>
      </c>
      <c r="AI67" s="40">
        <v>5.2240940433126122</v>
      </c>
      <c r="AJ67" s="40">
        <v>0</v>
      </c>
      <c r="AK67" s="40">
        <v>13.592717441511798</v>
      </c>
      <c r="AL67" s="40">
        <v>21.077494259044038</v>
      </c>
      <c r="AM67" s="40">
        <v>27.434677010712491</v>
      </c>
      <c r="AN67" s="40">
        <v>3.2396130424449159</v>
      </c>
      <c r="AO67" s="40">
        <v>0</v>
      </c>
      <c r="AP67" s="40">
        <v>0</v>
      </c>
      <c r="AQ67" s="40">
        <v>30.674290053157407</v>
      </c>
      <c r="AR67" s="40">
        <v>2.2606827742196258</v>
      </c>
      <c r="AS67" s="73">
        <v>13.568595471669388</v>
      </c>
      <c r="AT67" s="40">
        <v>27.434677010712491</v>
      </c>
      <c r="AU67" s="40">
        <v>3.8347369237282534</v>
      </c>
      <c r="AV67" s="40">
        <v>0</v>
      </c>
      <c r="AW67" s="40">
        <v>0</v>
      </c>
      <c r="AX67" s="40">
        <v>31.269413934440745</v>
      </c>
      <c r="AY67" s="40">
        <v>5.2240940433126122</v>
      </c>
      <c r="AZ67" s="73">
        <v>5.9856146683402214</v>
      </c>
      <c r="BA67" s="40">
        <v>27.434677010712491</v>
      </c>
      <c r="BB67" s="40">
        <v>7.0743499661731697</v>
      </c>
      <c r="BC67" s="40">
        <v>0</v>
      </c>
      <c r="BD67" s="40">
        <v>0</v>
      </c>
      <c r="BE67" s="40">
        <v>34.509026976885664</v>
      </c>
      <c r="BF67" s="40">
        <v>7.4847768175322376</v>
      </c>
      <c r="BG67" s="40">
        <v>0.56765542679795156</v>
      </c>
      <c r="BH67" s="73">
        <v>4.6105619203036481</v>
      </c>
      <c r="BI67" s="40">
        <v>3.1267175644210763</v>
      </c>
      <c r="BJ67" s="40">
        <v>7.2253687203201489</v>
      </c>
      <c r="BK67" s="40">
        <v>0</v>
      </c>
      <c r="BL67" s="40">
        <v>18.799890394732007</v>
      </c>
      <c r="BM67" s="40">
        <v>29.151976679473233</v>
      </c>
      <c r="BN67" s="40">
        <v>27.434677010712491</v>
      </c>
      <c r="BO67" s="40">
        <v>91.761164148868787</v>
      </c>
      <c r="BP67" s="40">
        <v>7.0743499661731697</v>
      </c>
      <c r="BQ67" s="40">
        <v>0</v>
      </c>
      <c r="BR67" s="40">
        <v>0</v>
      </c>
      <c r="BS67" s="40">
        <v>0</v>
      </c>
      <c r="BT67" s="40">
        <v>0</v>
      </c>
      <c r="BU67" s="40">
        <v>0</v>
      </c>
      <c r="BV67" s="40">
        <v>439.38674516250705</v>
      </c>
      <c r="BW67" s="40">
        <v>0</v>
      </c>
      <c r="BX67" s="40">
        <v>21.077494259044038</v>
      </c>
      <c r="BY67" s="40"/>
      <c r="BZ67" s="40">
        <v>0</v>
      </c>
      <c r="CA67" s="40">
        <v>0</v>
      </c>
      <c r="CB67" s="40">
        <v>565.65693628826148</v>
      </c>
      <c r="CC67" s="40">
        <v>21.077494259044038</v>
      </c>
      <c r="CD67" s="73">
        <v>26.837010573282285</v>
      </c>
      <c r="CE67" s="40">
        <v>-715.25542573744633</v>
      </c>
      <c r="CF67" s="40">
        <v>0.50541502668856675</v>
      </c>
      <c r="CG67" s="40">
        <v>1.4800143564053037</v>
      </c>
      <c r="CH67" s="40">
        <v>1.9854293830938703</v>
      </c>
      <c r="CI67" s="40">
        <v>2.5270550095380453E-2</v>
      </c>
      <c r="CJ67" s="40">
        <v>7.4000717820265127E-2</v>
      </c>
      <c r="CK67" s="40">
        <v>9.9271267915645584E-2</v>
      </c>
      <c r="CL67" s="40"/>
      <c r="CM67" s="40">
        <v>12.524450845437102</v>
      </c>
      <c r="CN67" s="40" t="s">
        <v>1242</v>
      </c>
      <c r="CO67" s="40">
        <v>0</v>
      </c>
      <c r="CP67" s="40">
        <v>0</v>
      </c>
      <c r="CQ67" s="40">
        <v>91.761164148868787</v>
      </c>
      <c r="CR67" s="40">
        <v>0</v>
      </c>
      <c r="CS67" s="40">
        <v>0</v>
      </c>
      <c r="CT67" s="40">
        <v>91.761164148868787</v>
      </c>
      <c r="CU67" s="40">
        <v>0</v>
      </c>
      <c r="CV67" s="40">
        <v>0</v>
      </c>
      <c r="CW67" s="73">
        <v>9999</v>
      </c>
    </row>
    <row r="68" spans="1:101" s="20" customFormat="1">
      <c r="A68" s="20" t="s">
        <v>1265</v>
      </c>
      <c r="B68" s="20" t="s">
        <v>1265</v>
      </c>
      <c r="C68" s="40">
        <v>10</v>
      </c>
      <c r="D68" s="40">
        <v>68.950455893647046</v>
      </c>
      <c r="E68" s="40">
        <v>9.0235498260461213</v>
      </c>
      <c r="F68" s="40">
        <v>11.336666666666666</v>
      </c>
      <c r="G68" s="40">
        <v>0</v>
      </c>
      <c r="H68" s="40">
        <v>0</v>
      </c>
      <c r="I68" s="40" t="s">
        <v>1242</v>
      </c>
      <c r="J68" s="40"/>
      <c r="K68" s="40"/>
      <c r="L68" s="40">
        <v>74.10148453691663</v>
      </c>
      <c r="M68" s="40">
        <v>1.2770142032209168E-2</v>
      </c>
      <c r="N68" s="40">
        <v>1.2677972873708867E-2</v>
      </c>
      <c r="O68" s="40">
        <v>9.1137853243065834</v>
      </c>
      <c r="P68" s="40">
        <v>0</v>
      </c>
      <c r="Q68" s="40">
        <v>0</v>
      </c>
      <c r="R68" s="40">
        <v>2.2606827742196258</v>
      </c>
      <c r="S68" s="40">
        <v>5.2240940433126122</v>
      </c>
      <c r="T68" s="40">
        <v>0</v>
      </c>
      <c r="U68" s="40">
        <v>13.592717441511798</v>
      </c>
      <c r="V68" s="40" t="s">
        <v>226</v>
      </c>
      <c r="W68" s="40" t="s">
        <v>226</v>
      </c>
      <c r="X68" s="40" t="s">
        <v>226</v>
      </c>
      <c r="Y68" s="40" t="s">
        <v>226</v>
      </c>
      <c r="Z68" s="40">
        <v>0</v>
      </c>
      <c r="AA68" s="40">
        <v>0</v>
      </c>
      <c r="AB68" s="40">
        <v>0</v>
      </c>
      <c r="AC68" s="40">
        <v>0</v>
      </c>
      <c r="AD68" s="40">
        <v>0</v>
      </c>
      <c r="AE68" s="40">
        <v>0</v>
      </c>
      <c r="AF68" s="40">
        <v>0</v>
      </c>
      <c r="AG68" s="40">
        <v>0</v>
      </c>
      <c r="AH68" s="40">
        <v>2.2606827742196258</v>
      </c>
      <c r="AI68" s="40">
        <v>5.2240940433126122</v>
      </c>
      <c r="AJ68" s="40">
        <v>0</v>
      </c>
      <c r="AK68" s="40">
        <v>13.592717441511798</v>
      </c>
      <c r="AL68" s="40">
        <v>21.077494259044038</v>
      </c>
      <c r="AM68" s="40">
        <v>38.212519558951634</v>
      </c>
      <c r="AN68" s="40">
        <v>4.5123103399220978</v>
      </c>
      <c r="AO68" s="40">
        <v>0</v>
      </c>
      <c r="AP68" s="40">
        <v>0</v>
      </c>
      <c r="AQ68" s="40">
        <v>42.724829898873729</v>
      </c>
      <c r="AR68" s="40">
        <v>2.2606827742196258</v>
      </c>
      <c r="AS68" s="73">
        <v>18.899082341892079</v>
      </c>
      <c r="AT68" s="40">
        <v>38.212519558951634</v>
      </c>
      <c r="AU68" s="40">
        <v>5.3412314511368901</v>
      </c>
      <c r="AV68" s="40">
        <v>0</v>
      </c>
      <c r="AW68" s="40">
        <v>0</v>
      </c>
      <c r="AX68" s="40">
        <v>43.553751010088526</v>
      </c>
      <c r="AY68" s="40">
        <v>5.2240940433126122</v>
      </c>
      <c r="AZ68" s="73">
        <v>8.3370916849863939</v>
      </c>
      <c r="BA68" s="40">
        <v>38.212519558951634</v>
      </c>
      <c r="BB68" s="40">
        <v>9.8535417910589871</v>
      </c>
      <c r="BC68" s="40">
        <v>0</v>
      </c>
      <c r="BD68" s="40">
        <v>0</v>
      </c>
      <c r="BE68" s="40">
        <v>48.066061350010621</v>
      </c>
      <c r="BF68" s="40">
        <v>7.4847768175322376</v>
      </c>
      <c r="BG68" s="40">
        <v>-2.3521508908828008</v>
      </c>
      <c r="BH68" s="73">
        <v>6.421842964966082</v>
      </c>
      <c r="BI68" s="40">
        <v>2.2448267602788592</v>
      </c>
      <c r="BJ68" s="40">
        <v>5.1874532067816066</v>
      </c>
      <c r="BK68" s="40">
        <v>0</v>
      </c>
      <c r="BL68" s="40">
        <v>13.497380616857169</v>
      </c>
      <c r="BM68" s="40">
        <v>20.929660583917634</v>
      </c>
      <c r="BN68" s="40">
        <v>38.212519558951634</v>
      </c>
      <c r="BO68" s="40">
        <v>66.111596189862169</v>
      </c>
      <c r="BP68" s="40">
        <v>9.8535417910589871</v>
      </c>
      <c r="BQ68" s="40">
        <v>0</v>
      </c>
      <c r="BR68" s="40">
        <v>0</v>
      </c>
      <c r="BS68" s="40">
        <v>0</v>
      </c>
      <c r="BT68" s="40">
        <v>0</v>
      </c>
      <c r="BU68" s="40">
        <v>0</v>
      </c>
      <c r="BV68" s="40">
        <v>316.56702851147935</v>
      </c>
      <c r="BW68" s="40">
        <v>0</v>
      </c>
      <c r="BX68" s="40">
        <v>21.077494259044038</v>
      </c>
      <c r="BY68" s="40"/>
      <c r="BZ68" s="40">
        <v>0</v>
      </c>
      <c r="CA68" s="40">
        <v>0</v>
      </c>
      <c r="CB68" s="40">
        <v>430.74468605135212</v>
      </c>
      <c r="CC68" s="40">
        <v>21.077494259044038</v>
      </c>
      <c r="CD68" s="73">
        <v>20.436237854342007</v>
      </c>
      <c r="CE68" s="40">
        <v>-368.84935735748746</v>
      </c>
      <c r="CF68" s="40">
        <v>0.70396970903588962</v>
      </c>
      <c r="CG68" s="40">
        <v>1.0663128829438704</v>
      </c>
      <c r="CH68" s="40">
        <v>1.77028259197976</v>
      </c>
      <c r="CI68" s="40">
        <v>3.5198205155035397E-2</v>
      </c>
      <c r="CJ68" s="40">
        <v>5.3315644147193496E-2</v>
      </c>
      <c r="CK68" s="40">
        <v>8.8513849302228886E-2</v>
      </c>
      <c r="CL68" s="40"/>
      <c r="CM68" s="40">
        <v>9.0235498260461213</v>
      </c>
      <c r="CN68" s="40" t="s">
        <v>1242</v>
      </c>
      <c r="CO68" s="40">
        <v>0</v>
      </c>
      <c r="CP68" s="40">
        <v>0</v>
      </c>
      <c r="CQ68" s="40">
        <v>66.111596189862169</v>
      </c>
      <c r="CR68" s="40">
        <v>0</v>
      </c>
      <c r="CS68" s="40">
        <v>0</v>
      </c>
      <c r="CT68" s="40">
        <v>66.111596189862169</v>
      </c>
      <c r="CU68" s="40">
        <v>0</v>
      </c>
      <c r="CV68" s="40">
        <v>0</v>
      </c>
      <c r="CW68" s="73">
        <v>9999</v>
      </c>
    </row>
    <row r="69" spans="1:101" s="20" customFormat="1">
      <c r="A69" s="20" t="s">
        <v>1263</v>
      </c>
      <c r="B69" s="20" t="s">
        <v>1263</v>
      </c>
      <c r="C69" s="40">
        <v>10</v>
      </c>
      <c r="D69" s="40">
        <v>49.502977270716336</v>
      </c>
      <c r="E69" s="40">
        <v>12.524450845437102</v>
      </c>
      <c r="F69" s="40">
        <v>11.336666666666666</v>
      </c>
      <c r="G69" s="40">
        <v>0</v>
      </c>
      <c r="H69" s="40">
        <v>0</v>
      </c>
      <c r="I69" s="40" t="s">
        <v>1242</v>
      </c>
      <c r="J69" s="40"/>
      <c r="K69" s="40"/>
      <c r="L69" s="40">
        <v>53.201158095537785</v>
      </c>
      <c r="M69" s="40">
        <v>9.1683230019442945E-3</v>
      </c>
      <c r="N69" s="40">
        <v>9.1021501579918312E-3</v>
      </c>
      <c r="O69" s="40">
        <v>12.649695353891472</v>
      </c>
      <c r="P69" s="40">
        <v>0</v>
      </c>
      <c r="Q69" s="40">
        <v>0</v>
      </c>
      <c r="R69" s="40">
        <v>2.2606827742196258</v>
      </c>
      <c r="S69" s="40">
        <v>5.2240940433126122</v>
      </c>
      <c r="T69" s="40">
        <v>0</v>
      </c>
      <c r="U69" s="40">
        <v>13.592717441511798</v>
      </c>
      <c r="V69" s="40" t="s">
        <v>226</v>
      </c>
      <c r="W69" s="40" t="s">
        <v>226</v>
      </c>
      <c r="X69" s="40" t="s">
        <v>226</v>
      </c>
      <c r="Y69" s="40" t="s">
        <v>226</v>
      </c>
      <c r="Z69" s="40">
        <v>0</v>
      </c>
      <c r="AA69" s="40">
        <v>0</v>
      </c>
      <c r="AB69" s="40">
        <v>0</v>
      </c>
      <c r="AC69" s="40">
        <v>0</v>
      </c>
      <c r="AD69" s="40">
        <v>0</v>
      </c>
      <c r="AE69" s="40">
        <v>0</v>
      </c>
      <c r="AF69" s="40">
        <v>0</v>
      </c>
      <c r="AG69" s="40">
        <v>0</v>
      </c>
      <c r="AH69" s="40">
        <v>2.2606827742196258</v>
      </c>
      <c r="AI69" s="40">
        <v>5.2240940433126122</v>
      </c>
      <c r="AJ69" s="40">
        <v>0</v>
      </c>
      <c r="AK69" s="40">
        <v>13.592717441511798</v>
      </c>
      <c r="AL69" s="40">
        <v>21.077494259044038</v>
      </c>
      <c r="AM69" s="40">
        <v>27.434677010712491</v>
      </c>
      <c r="AN69" s="40">
        <v>3.2396130424449159</v>
      </c>
      <c r="AO69" s="40">
        <v>0</v>
      </c>
      <c r="AP69" s="40">
        <v>0</v>
      </c>
      <c r="AQ69" s="40">
        <v>30.674290053157407</v>
      </c>
      <c r="AR69" s="40">
        <v>2.2606827742196258</v>
      </c>
      <c r="AS69" s="73">
        <v>13.568595471669388</v>
      </c>
      <c r="AT69" s="40">
        <v>27.434677010712491</v>
      </c>
      <c r="AU69" s="40">
        <v>3.8347369237282534</v>
      </c>
      <c r="AV69" s="40">
        <v>0</v>
      </c>
      <c r="AW69" s="40">
        <v>0</v>
      </c>
      <c r="AX69" s="40">
        <v>31.269413934440745</v>
      </c>
      <c r="AY69" s="40">
        <v>5.2240940433126122</v>
      </c>
      <c r="AZ69" s="73">
        <v>5.9856146683402214</v>
      </c>
      <c r="BA69" s="40">
        <v>27.434677010712491</v>
      </c>
      <c r="BB69" s="40">
        <v>7.0743499661731697</v>
      </c>
      <c r="BC69" s="40">
        <v>0</v>
      </c>
      <c r="BD69" s="40">
        <v>0</v>
      </c>
      <c r="BE69" s="40">
        <v>34.509026976885664</v>
      </c>
      <c r="BF69" s="40">
        <v>7.4847768175322376</v>
      </c>
      <c r="BG69" s="40">
        <v>0.56765542679795156</v>
      </c>
      <c r="BH69" s="73">
        <v>4.6105619203036481</v>
      </c>
      <c r="BI69" s="40">
        <v>3.1267175644210763</v>
      </c>
      <c r="BJ69" s="40">
        <v>7.2253687203201489</v>
      </c>
      <c r="BK69" s="40">
        <v>0</v>
      </c>
      <c r="BL69" s="40">
        <v>18.799890394732007</v>
      </c>
      <c r="BM69" s="40">
        <v>29.151976679473233</v>
      </c>
      <c r="BN69" s="40">
        <v>27.434677010712491</v>
      </c>
      <c r="BO69" s="40">
        <v>91.761164148868787</v>
      </c>
      <c r="BP69" s="40">
        <v>7.0743499661731697</v>
      </c>
      <c r="BQ69" s="40">
        <v>0</v>
      </c>
      <c r="BR69" s="40">
        <v>0</v>
      </c>
      <c r="BS69" s="40">
        <v>0</v>
      </c>
      <c r="BT69" s="40">
        <v>0</v>
      </c>
      <c r="BU69" s="40">
        <v>0</v>
      </c>
      <c r="BV69" s="40">
        <v>439.38674516250705</v>
      </c>
      <c r="BW69" s="40">
        <v>0</v>
      </c>
      <c r="BX69" s="40">
        <v>21.077494259044038</v>
      </c>
      <c r="BY69" s="40"/>
      <c r="BZ69" s="40">
        <v>0</v>
      </c>
      <c r="CA69" s="40">
        <v>0</v>
      </c>
      <c r="CB69" s="40">
        <v>565.65693628826148</v>
      </c>
      <c r="CC69" s="40">
        <v>21.077494259044038</v>
      </c>
      <c r="CD69" s="73">
        <v>26.837010573282285</v>
      </c>
      <c r="CE69" s="40">
        <v>-715.25542573744633</v>
      </c>
      <c r="CF69" s="40">
        <v>0.50541502668856675</v>
      </c>
      <c r="CG69" s="40">
        <v>1.4800143564053037</v>
      </c>
      <c r="CH69" s="40">
        <v>1.9854293830938703</v>
      </c>
      <c r="CI69" s="40">
        <v>2.5270550095380453E-2</v>
      </c>
      <c r="CJ69" s="40">
        <v>7.4000717820265127E-2</v>
      </c>
      <c r="CK69" s="40">
        <v>9.9271267915645584E-2</v>
      </c>
      <c r="CL69" s="40"/>
      <c r="CM69" s="40">
        <v>12.524450845437102</v>
      </c>
      <c r="CN69" s="40" t="s">
        <v>1242</v>
      </c>
      <c r="CO69" s="40">
        <v>0</v>
      </c>
      <c r="CP69" s="40">
        <v>0</v>
      </c>
      <c r="CQ69" s="40">
        <v>91.761164148868787</v>
      </c>
      <c r="CR69" s="40">
        <v>0</v>
      </c>
      <c r="CS69" s="40">
        <v>0</v>
      </c>
      <c r="CT69" s="40">
        <v>91.761164148868787</v>
      </c>
      <c r="CU69" s="40">
        <v>0</v>
      </c>
      <c r="CV69" s="40">
        <v>0</v>
      </c>
      <c r="CW69" s="73">
        <v>9999</v>
      </c>
    </row>
    <row r="70" spans="1:101" s="20" customFormat="1">
      <c r="A70" s="20" t="s">
        <v>1264</v>
      </c>
      <c r="B70" s="20" t="s">
        <v>1264</v>
      </c>
      <c r="C70" s="40">
        <v>10</v>
      </c>
      <c r="D70" s="40">
        <v>49.502977270716336</v>
      </c>
      <c r="E70" s="40">
        <v>12.524450845437102</v>
      </c>
      <c r="F70" s="40">
        <v>11.336666666666666</v>
      </c>
      <c r="G70" s="40">
        <v>0</v>
      </c>
      <c r="H70" s="40">
        <v>0</v>
      </c>
      <c r="I70" s="40" t="s">
        <v>1242</v>
      </c>
      <c r="J70" s="40"/>
      <c r="K70" s="40"/>
      <c r="L70" s="40">
        <v>53.201158095537785</v>
      </c>
      <c r="M70" s="40">
        <v>9.1683230019442945E-3</v>
      </c>
      <c r="N70" s="40">
        <v>9.1021501579918312E-3</v>
      </c>
      <c r="O70" s="40">
        <v>12.649695353891472</v>
      </c>
      <c r="P70" s="40">
        <v>0</v>
      </c>
      <c r="Q70" s="40">
        <v>0</v>
      </c>
      <c r="R70" s="40">
        <v>2.2606827742196258</v>
      </c>
      <c r="S70" s="40">
        <v>5.2240940433126122</v>
      </c>
      <c r="T70" s="40">
        <v>0</v>
      </c>
      <c r="U70" s="40">
        <v>13.592717441511798</v>
      </c>
      <c r="V70" s="40" t="s">
        <v>226</v>
      </c>
      <c r="W70" s="40" t="s">
        <v>226</v>
      </c>
      <c r="X70" s="40" t="s">
        <v>226</v>
      </c>
      <c r="Y70" s="40" t="s">
        <v>226</v>
      </c>
      <c r="Z70" s="40">
        <v>0</v>
      </c>
      <c r="AA70" s="40">
        <v>0</v>
      </c>
      <c r="AB70" s="40">
        <v>0</v>
      </c>
      <c r="AC70" s="40">
        <v>0</v>
      </c>
      <c r="AD70" s="40">
        <v>0</v>
      </c>
      <c r="AE70" s="40">
        <v>0</v>
      </c>
      <c r="AF70" s="40">
        <v>0</v>
      </c>
      <c r="AG70" s="40">
        <v>0</v>
      </c>
      <c r="AH70" s="40">
        <v>2.2606827742196258</v>
      </c>
      <c r="AI70" s="40">
        <v>5.2240940433126122</v>
      </c>
      <c r="AJ70" s="40">
        <v>0</v>
      </c>
      <c r="AK70" s="40">
        <v>13.592717441511798</v>
      </c>
      <c r="AL70" s="40">
        <v>21.077494259044038</v>
      </c>
      <c r="AM70" s="40">
        <v>27.434677010712491</v>
      </c>
      <c r="AN70" s="40">
        <v>3.2396130424449159</v>
      </c>
      <c r="AO70" s="40">
        <v>0</v>
      </c>
      <c r="AP70" s="40">
        <v>0</v>
      </c>
      <c r="AQ70" s="40">
        <v>30.674290053157407</v>
      </c>
      <c r="AR70" s="40">
        <v>2.2606827742196258</v>
      </c>
      <c r="AS70" s="73">
        <v>13.568595471669388</v>
      </c>
      <c r="AT70" s="40">
        <v>27.434677010712491</v>
      </c>
      <c r="AU70" s="40">
        <v>3.8347369237282534</v>
      </c>
      <c r="AV70" s="40">
        <v>0</v>
      </c>
      <c r="AW70" s="40">
        <v>0</v>
      </c>
      <c r="AX70" s="40">
        <v>31.269413934440745</v>
      </c>
      <c r="AY70" s="40">
        <v>5.2240940433126122</v>
      </c>
      <c r="AZ70" s="73">
        <v>5.9856146683402214</v>
      </c>
      <c r="BA70" s="40">
        <v>27.434677010712491</v>
      </c>
      <c r="BB70" s="40">
        <v>7.0743499661731697</v>
      </c>
      <c r="BC70" s="40">
        <v>0</v>
      </c>
      <c r="BD70" s="40">
        <v>0</v>
      </c>
      <c r="BE70" s="40">
        <v>34.509026976885664</v>
      </c>
      <c r="BF70" s="40">
        <v>7.4847768175322376</v>
      </c>
      <c r="BG70" s="40">
        <v>0.56765542679795156</v>
      </c>
      <c r="BH70" s="73">
        <v>4.6105619203036481</v>
      </c>
      <c r="BI70" s="40">
        <v>3.1267175644210763</v>
      </c>
      <c r="BJ70" s="40">
        <v>7.2253687203201489</v>
      </c>
      <c r="BK70" s="40">
        <v>0</v>
      </c>
      <c r="BL70" s="40">
        <v>18.799890394732007</v>
      </c>
      <c r="BM70" s="40">
        <v>29.151976679473233</v>
      </c>
      <c r="BN70" s="40">
        <v>27.434677010712491</v>
      </c>
      <c r="BO70" s="40">
        <v>91.761164148868787</v>
      </c>
      <c r="BP70" s="40">
        <v>7.0743499661731697</v>
      </c>
      <c r="BQ70" s="40">
        <v>0</v>
      </c>
      <c r="BR70" s="40">
        <v>0</v>
      </c>
      <c r="BS70" s="40">
        <v>0</v>
      </c>
      <c r="BT70" s="40">
        <v>0</v>
      </c>
      <c r="BU70" s="40">
        <v>0</v>
      </c>
      <c r="BV70" s="40">
        <v>439.38674516250705</v>
      </c>
      <c r="BW70" s="40">
        <v>0</v>
      </c>
      <c r="BX70" s="40">
        <v>21.077494259044038</v>
      </c>
      <c r="BY70" s="40"/>
      <c r="BZ70" s="40">
        <v>0</v>
      </c>
      <c r="CA70" s="40">
        <v>0</v>
      </c>
      <c r="CB70" s="40">
        <v>565.65693628826148</v>
      </c>
      <c r="CC70" s="40">
        <v>21.077494259044038</v>
      </c>
      <c r="CD70" s="73">
        <v>26.837010573282285</v>
      </c>
      <c r="CE70" s="40">
        <v>-715.25542573744633</v>
      </c>
      <c r="CF70" s="40">
        <v>0.50541502668856675</v>
      </c>
      <c r="CG70" s="40">
        <v>1.4800143564053037</v>
      </c>
      <c r="CH70" s="40">
        <v>1.9854293830938703</v>
      </c>
      <c r="CI70" s="40">
        <v>2.5270550095380453E-2</v>
      </c>
      <c r="CJ70" s="40">
        <v>7.4000717820265127E-2</v>
      </c>
      <c r="CK70" s="40">
        <v>9.9271267915645584E-2</v>
      </c>
      <c r="CL70" s="40"/>
      <c r="CM70" s="40">
        <v>12.524450845437102</v>
      </c>
      <c r="CN70" s="40" t="s">
        <v>1242</v>
      </c>
      <c r="CO70" s="40">
        <v>0</v>
      </c>
      <c r="CP70" s="40">
        <v>0</v>
      </c>
      <c r="CQ70" s="40">
        <v>91.761164148868787</v>
      </c>
      <c r="CR70" s="40">
        <v>0</v>
      </c>
      <c r="CS70" s="40">
        <v>0</v>
      </c>
      <c r="CT70" s="40">
        <v>91.761164148868787</v>
      </c>
      <c r="CU70" s="40">
        <v>0</v>
      </c>
      <c r="CV70" s="40">
        <v>0</v>
      </c>
      <c r="CW70" s="73">
        <v>9999</v>
      </c>
    </row>
    <row r="71" spans="1:101" s="20" customFormat="1">
      <c r="A71" s="20" t="s">
        <v>1260</v>
      </c>
      <c r="B71" s="20" t="s">
        <v>1260</v>
      </c>
      <c r="C71" s="40">
        <v>10</v>
      </c>
      <c r="D71" s="40">
        <v>1551.6735954735207</v>
      </c>
      <c r="E71" s="40">
        <v>203.06760587794054</v>
      </c>
      <c r="F71" s="40">
        <v>11.336666666666666</v>
      </c>
      <c r="G71" s="40">
        <v>0</v>
      </c>
      <c r="H71" s="40">
        <v>0</v>
      </c>
      <c r="I71" s="40" t="s">
        <v>1242</v>
      </c>
      <c r="J71" s="40"/>
      <c r="K71" s="40"/>
      <c r="L71" s="40">
        <v>1667.5932805821674</v>
      </c>
      <c r="M71" s="40">
        <v>0.28738159806208408</v>
      </c>
      <c r="N71" s="40">
        <v>0.28530740656170406</v>
      </c>
      <c r="O71" s="40">
        <v>205.09828193671996</v>
      </c>
      <c r="P71" s="40">
        <v>0</v>
      </c>
      <c r="Q71" s="40">
        <v>0</v>
      </c>
      <c r="R71" s="40">
        <v>2.2606827742196258</v>
      </c>
      <c r="S71" s="40">
        <v>5.2240940433126122</v>
      </c>
      <c r="T71" s="40">
        <v>0</v>
      </c>
      <c r="U71" s="40">
        <v>13.592717441511798</v>
      </c>
      <c r="V71" s="40" t="s">
        <v>226</v>
      </c>
      <c r="W71" s="40" t="s">
        <v>226</v>
      </c>
      <c r="X71" s="40" t="s">
        <v>226</v>
      </c>
      <c r="Y71" s="40" t="s">
        <v>226</v>
      </c>
      <c r="Z71" s="40">
        <v>0</v>
      </c>
      <c r="AA71" s="40">
        <v>0</v>
      </c>
      <c r="AB71" s="40">
        <v>0</v>
      </c>
      <c r="AC71" s="40">
        <v>0</v>
      </c>
      <c r="AD71" s="40">
        <v>0</v>
      </c>
      <c r="AE71" s="40">
        <v>0</v>
      </c>
      <c r="AF71" s="40">
        <v>0</v>
      </c>
      <c r="AG71" s="40">
        <v>0</v>
      </c>
      <c r="AH71" s="40">
        <v>2.2606827742196258</v>
      </c>
      <c r="AI71" s="40">
        <v>5.2240940433126122</v>
      </c>
      <c r="AJ71" s="40">
        <v>0</v>
      </c>
      <c r="AK71" s="40">
        <v>13.592717441511798</v>
      </c>
      <c r="AL71" s="40">
        <v>21.077494259044038</v>
      </c>
      <c r="AM71" s="40">
        <v>859.94148766177807</v>
      </c>
      <c r="AN71" s="40">
        <v>101.54585228325342</v>
      </c>
      <c r="AO71" s="40">
        <v>0</v>
      </c>
      <c r="AP71" s="40">
        <v>0</v>
      </c>
      <c r="AQ71" s="40">
        <v>961.48733994503152</v>
      </c>
      <c r="AR71" s="40">
        <v>2.2606827742196258</v>
      </c>
      <c r="AS71" s="73">
        <v>425.30838510809247</v>
      </c>
      <c r="AT71" s="40">
        <v>859.94148766177807</v>
      </c>
      <c r="AU71" s="40">
        <v>120.20004367810789</v>
      </c>
      <c r="AV71" s="40">
        <v>0</v>
      </c>
      <c r="AW71" s="40">
        <v>0</v>
      </c>
      <c r="AX71" s="40">
        <v>980.141531339886</v>
      </c>
      <c r="AY71" s="40">
        <v>5.2240940433126122</v>
      </c>
      <c r="AZ71" s="73">
        <v>187.61942706497979</v>
      </c>
      <c r="BA71" s="40">
        <v>859.94148766177807</v>
      </c>
      <c r="BB71" s="40">
        <v>221.74589596136133</v>
      </c>
      <c r="BC71" s="40">
        <v>0</v>
      </c>
      <c r="BD71" s="40">
        <v>0</v>
      </c>
      <c r="BE71" s="40">
        <v>1081.6873836231393</v>
      </c>
      <c r="BF71" s="40">
        <v>7.4847768175322376</v>
      </c>
      <c r="BG71" s="40">
        <v>-9.4541686858260263</v>
      </c>
      <c r="BH71" s="73">
        <v>144.5183216538147</v>
      </c>
      <c r="BI71" s="40">
        <v>9.9751538580671442E-2</v>
      </c>
      <c r="BJ71" s="40">
        <v>0.23051063353655996</v>
      </c>
      <c r="BK71" s="40">
        <v>0</v>
      </c>
      <c r="BL71" s="40">
        <v>0.59977211033121458</v>
      </c>
      <c r="BM71" s="40">
        <v>0.93003428244844599</v>
      </c>
      <c r="BN71" s="40">
        <v>859.94148766177807</v>
      </c>
      <c r="BO71" s="40">
        <v>1487.7873805598535</v>
      </c>
      <c r="BP71" s="40">
        <v>221.74589596136133</v>
      </c>
      <c r="BQ71" s="40">
        <v>0</v>
      </c>
      <c r="BR71" s="40">
        <v>0</v>
      </c>
      <c r="BS71" s="40">
        <v>0</v>
      </c>
      <c r="BT71" s="40">
        <v>0</v>
      </c>
      <c r="BU71" s="40">
        <v>0</v>
      </c>
      <c r="BV71" s="40">
        <v>7124.0819654106808</v>
      </c>
      <c r="BW71" s="40">
        <v>0</v>
      </c>
      <c r="BX71" s="40">
        <v>21.077494259044038</v>
      </c>
      <c r="BY71" s="40"/>
      <c r="BZ71" s="40">
        <v>0</v>
      </c>
      <c r="CA71" s="40">
        <v>0</v>
      </c>
      <c r="CB71" s="40">
        <v>9693.5567295936744</v>
      </c>
      <c r="CC71" s="40">
        <v>21.077494259044038</v>
      </c>
      <c r="CD71" s="73">
        <v>459.90081223408777</v>
      </c>
      <c r="CE71" s="40">
        <v>-388.84898365895663</v>
      </c>
      <c r="CF71" s="40">
        <v>15.842262322515149</v>
      </c>
      <c r="CG71" s="40">
        <v>23.996498986596237</v>
      </c>
      <c r="CH71" s="40">
        <v>39.838761309111383</v>
      </c>
      <c r="CI71" s="40">
        <v>0.79210680827652957</v>
      </c>
      <c r="CJ71" s="40">
        <v>1.1998249493298117</v>
      </c>
      <c r="CK71" s="40">
        <v>1.9919317576063413</v>
      </c>
      <c r="CL71" s="40"/>
      <c r="CM71" s="40">
        <v>203.06760587794054</v>
      </c>
      <c r="CN71" s="40" t="s">
        <v>1242</v>
      </c>
      <c r="CO71" s="40">
        <v>0</v>
      </c>
      <c r="CP71" s="40">
        <v>0</v>
      </c>
      <c r="CQ71" s="40">
        <v>1487.7873805598535</v>
      </c>
      <c r="CR71" s="40">
        <v>0</v>
      </c>
      <c r="CS71" s="40">
        <v>0</v>
      </c>
      <c r="CT71" s="40">
        <v>1487.7873805598535</v>
      </c>
      <c r="CU71" s="40">
        <v>0</v>
      </c>
      <c r="CV71" s="40">
        <v>0</v>
      </c>
      <c r="CW71" s="73">
        <v>9999</v>
      </c>
    </row>
    <row r="72" spans="1:101" s="20" customFormat="1">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row>
    <row r="73" spans="1:101" s="20" customFormat="1">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row>
    <row r="74" spans="1:101" s="20" customFormat="1" ht="13.5" thickBot="1">
      <c r="A74" s="51" t="s">
        <v>227</v>
      </c>
      <c r="B74" s="53"/>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row>
    <row r="75" spans="1:101" s="20" customFormat="1" ht="26.25" thickBot="1">
      <c r="A75" s="63" t="s">
        <v>130</v>
      </c>
      <c r="B75" s="64"/>
      <c r="C75" s="65" t="s">
        <v>131</v>
      </c>
      <c r="D75" s="66"/>
      <c r="E75" s="66"/>
      <c r="F75" s="66"/>
      <c r="G75" s="66"/>
      <c r="H75" s="66"/>
      <c r="I75" s="66"/>
      <c r="J75" s="66"/>
      <c r="K75" s="67"/>
      <c r="L75" s="65" t="s">
        <v>132</v>
      </c>
      <c r="M75" s="66"/>
      <c r="N75" s="66"/>
      <c r="O75" s="66"/>
      <c r="P75" s="66"/>
      <c r="Q75" s="67"/>
      <c r="R75" s="65" t="s">
        <v>133</v>
      </c>
      <c r="S75" s="66"/>
      <c r="T75" s="66"/>
      <c r="U75" s="67"/>
      <c r="V75" s="65" t="s">
        <v>134</v>
      </c>
      <c r="W75" s="66"/>
      <c r="X75" s="66"/>
      <c r="Y75" s="67"/>
      <c r="Z75" s="65" t="s">
        <v>135</v>
      </c>
      <c r="AA75" s="66"/>
      <c r="AB75" s="66"/>
      <c r="AC75" s="67"/>
      <c r="AD75" s="65" t="s">
        <v>136</v>
      </c>
      <c r="AE75" s="66"/>
      <c r="AF75" s="66"/>
      <c r="AG75" s="67"/>
      <c r="AH75" s="65" t="s">
        <v>137</v>
      </c>
      <c r="AI75" s="66"/>
      <c r="AJ75" s="66"/>
      <c r="AK75" s="66"/>
      <c r="AL75" s="67"/>
      <c r="AM75" s="65" t="s">
        <v>138</v>
      </c>
      <c r="AN75" s="66"/>
      <c r="AO75" s="66"/>
      <c r="AP75" s="66"/>
      <c r="AQ75" s="66"/>
      <c r="AR75" s="66"/>
      <c r="AS75" s="67"/>
      <c r="AT75" s="65" t="s">
        <v>139</v>
      </c>
      <c r="AU75" s="66"/>
      <c r="AV75" s="66"/>
      <c r="AW75" s="66"/>
      <c r="AX75" s="66"/>
      <c r="AY75" s="66"/>
      <c r="AZ75" s="67"/>
      <c r="BA75" s="65" t="s">
        <v>140</v>
      </c>
      <c r="BB75" s="66"/>
      <c r="BC75" s="66"/>
      <c r="BD75" s="66"/>
      <c r="BE75" s="66"/>
      <c r="BF75" s="67"/>
      <c r="BG75" s="65" t="s">
        <v>141</v>
      </c>
      <c r="BH75" s="67"/>
      <c r="BI75" s="65" t="s">
        <v>142</v>
      </c>
      <c r="BJ75" s="66"/>
      <c r="BK75" s="66"/>
      <c r="BL75" s="66"/>
      <c r="BM75" s="67"/>
      <c r="BN75" s="65" t="s">
        <v>143</v>
      </c>
      <c r="BO75" s="66"/>
      <c r="BP75" s="66"/>
      <c r="BQ75" s="66"/>
      <c r="BR75" s="66"/>
      <c r="BS75" s="66"/>
      <c r="BT75" s="66"/>
      <c r="BU75" s="66"/>
      <c r="BV75" s="66"/>
      <c r="BW75" s="66"/>
      <c r="BX75" s="66"/>
      <c r="BY75" s="66"/>
      <c r="BZ75" s="66"/>
      <c r="CA75" s="66"/>
      <c r="CB75" s="66"/>
      <c r="CC75" s="67"/>
      <c r="CD75" s="65" t="s">
        <v>144</v>
      </c>
      <c r="CE75" s="67"/>
      <c r="CF75" s="65" t="s">
        <v>145</v>
      </c>
      <c r="CG75" s="66"/>
      <c r="CH75" s="66"/>
      <c r="CI75" s="66"/>
      <c r="CJ75" s="66"/>
      <c r="CK75" s="67"/>
      <c r="CL75" s="68"/>
      <c r="CM75" s="65" t="s">
        <v>18</v>
      </c>
      <c r="CN75" s="66"/>
      <c r="CO75" s="66"/>
      <c r="CP75" s="67"/>
      <c r="CQ75" s="65" t="s">
        <v>146</v>
      </c>
      <c r="CR75" s="66"/>
      <c r="CS75" s="66"/>
      <c r="CT75" s="66"/>
      <c r="CU75" s="67"/>
      <c r="CV75" s="65" t="s">
        <v>147</v>
      </c>
      <c r="CW75" s="67"/>
    </row>
    <row r="76" spans="1:101" s="20" customFormat="1" ht="127.5">
      <c r="A76" s="69" t="s">
        <v>148</v>
      </c>
      <c r="B76" s="70" t="s">
        <v>149</v>
      </c>
      <c r="C76" s="71" t="s">
        <v>9</v>
      </c>
      <c r="D76" s="71" t="s">
        <v>150</v>
      </c>
      <c r="E76" s="71" t="s">
        <v>151</v>
      </c>
      <c r="F76" s="71" t="s">
        <v>152</v>
      </c>
      <c r="G76" s="71" t="s">
        <v>153</v>
      </c>
      <c r="H76" s="71" t="s">
        <v>154</v>
      </c>
      <c r="I76" s="71" t="s">
        <v>155</v>
      </c>
      <c r="J76" s="71" t="s">
        <v>156</v>
      </c>
      <c r="K76" s="71" t="s">
        <v>157</v>
      </c>
      <c r="L76" s="71" t="s">
        <v>158</v>
      </c>
      <c r="M76" s="71" t="s">
        <v>159</v>
      </c>
      <c r="N76" s="71" t="s">
        <v>160</v>
      </c>
      <c r="O76" s="71" t="s">
        <v>161</v>
      </c>
      <c r="P76" s="71" t="s">
        <v>162</v>
      </c>
      <c r="Q76" s="71" t="s">
        <v>163</v>
      </c>
      <c r="R76" s="71" t="s">
        <v>164</v>
      </c>
      <c r="S76" s="71" t="s">
        <v>165</v>
      </c>
      <c r="T76" s="71" t="s">
        <v>166</v>
      </c>
      <c r="U76" s="71" t="s">
        <v>88</v>
      </c>
      <c r="V76" s="71" t="s">
        <v>164</v>
      </c>
      <c r="W76" s="71" t="s">
        <v>165</v>
      </c>
      <c r="X76" s="71" t="s">
        <v>166</v>
      </c>
      <c r="Y76" s="71" t="s">
        <v>88</v>
      </c>
      <c r="Z76" s="71" t="s">
        <v>164</v>
      </c>
      <c r="AA76" s="71" t="s">
        <v>165</v>
      </c>
      <c r="AB76" s="71" t="s">
        <v>166</v>
      </c>
      <c r="AC76" s="71" t="s">
        <v>88</v>
      </c>
      <c r="AD76" s="71" t="s">
        <v>164</v>
      </c>
      <c r="AE76" s="71" t="s">
        <v>165</v>
      </c>
      <c r="AF76" s="71" t="s">
        <v>166</v>
      </c>
      <c r="AG76" s="71" t="s">
        <v>88</v>
      </c>
      <c r="AH76" s="71" t="s">
        <v>164</v>
      </c>
      <c r="AI76" s="71" t="s">
        <v>165</v>
      </c>
      <c r="AJ76" s="71" t="s">
        <v>166</v>
      </c>
      <c r="AK76" s="71" t="s">
        <v>88</v>
      </c>
      <c r="AL76" s="71" t="s">
        <v>167</v>
      </c>
      <c r="AM76" s="71" t="s">
        <v>168</v>
      </c>
      <c r="AN76" s="71" t="s">
        <v>169</v>
      </c>
      <c r="AO76" s="71" t="s">
        <v>170</v>
      </c>
      <c r="AP76" s="71" t="s">
        <v>171</v>
      </c>
      <c r="AQ76" s="71" t="s">
        <v>172</v>
      </c>
      <c r="AR76" s="71" t="s">
        <v>173</v>
      </c>
      <c r="AS76" s="71" t="s">
        <v>174</v>
      </c>
      <c r="AT76" s="71" t="s">
        <v>175</v>
      </c>
      <c r="AU76" s="71" t="s">
        <v>176</v>
      </c>
      <c r="AV76" s="71" t="s">
        <v>177</v>
      </c>
      <c r="AW76" s="71" t="s">
        <v>178</v>
      </c>
      <c r="AX76" s="71" t="s">
        <v>179</v>
      </c>
      <c r="AY76" s="71" t="s">
        <v>180</v>
      </c>
      <c r="AZ76" s="71" t="s">
        <v>181</v>
      </c>
      <c r="BA76" s="71" t="s">
        <v>182</v>
      </c>
      <c r="BB76" s="71" t="s">
        <v>183</v>
      </c>
      <c r="BC76" s="71" t="s">
        <v>184</v>
      </c>
      <c r="BD76" s="71" t="s">
        <v>185</v>
      </c>
      <c r="BE76" s="71" t="s">
        <v>186</v>
      </c>
      <c r="BF76" s="71" t="s">
        <v>187</v>
      </c>
      <c r="BG76" s="71" t="s">
        <v>188</v>
      </c>
      <c r="BH76" s="71" t="s">
        <v>189</v>
      </c>
      <c r="BI76" s="71" t="s">
        <v>190</v>
      </c>
      <c r="BJ76" s="71" t="s">
        <v>191</v>
      </c>
      <c r="BK76" s="71" t="s">
        <v>192</v>
      </c>
      <c r="BL76" s="71" t="s">
        <v>193</v>
      </c>
      <c r="BM76" s="71" t="s">
        <v>194</v>
      </c>
      <c r="BN76" s="71" t="s">
        <v>195</v>
      </c>
      <c r="BO76" s="71" t="s">
        <v>196</v>
      </c>
      <c r="BP76" s="71" t="s">
        <v>197</v>
      </c>
      <c r="BQ76" s="71" t="s">
        <v>198</v>
      </c>
      <c r="BR76" s="71" t="s">
        <v>199</v>
      </c>
      <c r="BS76" s="71" t="s">
        <v>200</v>
      </c>
      <c r="BT76" s="71" t="s">
        <v>201</v>
      </c>
      <c r="BU76" s="71" t="s">
        <v>202</v>
      </c>
      <c r="BV76" s="71" t="s">
        <v>203</v>
      </c>
      <c r="BW76" s="71" t="s">
        <v>204</v>
      </c>
      <c r="BX76" s="71" t="s">
        <v>205</v>
      </c>
      <c r="BY76" s="71" t="s">
        <v>206</v>
      </c>
      <c r="BZ76" s="71" t="s">
        <v>207</v>
      </c>
      <c r="CA76" s="71" t="s">
        <v>208</v>
      </c>
      <c r="CB76" s="71" t="s">
        <v>209</v>
      </c>
      <c r="CC76" s="71" t="s">
        <v>210</v>
      </c>
      <c r="CD76" s="71" t="s">
        <v>211</v>
      </c>
      <c r="CE76" s="71" t="s">
        <v>49</v>
      </c>
      <c r="CF76" s="71" t="s">
        <v>212</v>
      </c>
      <c r="CG76" s="71" t="s">
        <v>213</v>
      </c>
      <c r="CH76" s="71" t="s">
        <v>214</v>
      </c>
      <c r="CI76" s="71" t="s">
        <v>329</v>
      </c>
      <c r="CJ76" s="71" t="s">
        <v>330</v>
      </c>
      <c r="CK76" s="71" t="s">
        <v>331</v>
      </c>
      <c r="CL76" s="71"/>
      <c r="CM76" s="71" t="s">
        <v>215</v>
      </c>
      <c r="CN76" s="71" t="s">
        <v>216</v>
      </c>
      <c r="CO76" s="71" t="s">
        <v>217</v>
      </c>
      <c r="CP76" s="71" t="s">
        <v>218</v>
      </c>
      <c r="CQ76" s="71" t="s">
        <v>219</v>
      </c>
      <c r="CR76" s="71" t="s">
        <v>220</v>
      </c>
      <c r="CS76" s="71" t="s">
        <v>221</v>
      </c>
      <c r="CT76" s="71" t="s">
        <v>222</v>
      </c>
      <c r="CU76" s="71" t="s">
        <v>223</v>
      </c>
      <c r="CV76" s="71" t="s">
        <v>224</v>
      </c>
      <c r="CW76" s="71" t="s">
        <v>225</v>
      </c>
    </row>
    <row r="77" spans="1:101" s="20" customFormat="1">
      <c r="A77" s="20" t="s">
        <v>1260</v>
      </c>
      <c r="C77" s="40">
        <v>10</v>
      </c>
      <c r="D77" s="40">
        <v>1551.6735954735207</v>
      </c>
      <c r="E77" s="40">
        <v>203.06760587794054</v>
      </c>
      <c r="F77" s="40">
        <v>11.336666666666666</v>
      </c>
      <c r="G77" s="40">
        <v>0</v>
      </c>
      <c r="H77" s="40">
        <v>0</v>
      </c>
      <c r="I77" s="40"/>
      <c r="J77" s="40"/>
      <c r="K77" s="40"/>
      <c r="L77" s="40">
        <v>1667.5932805821674</v>
      </c>
      <c r="M77" s="40">
        <v>0.28738159806208408</v>
      </c>
      <c r="N77" s="40">
        <v>0.28530740656170406</v>
      </c>
      <c r="O77" s="40">
        <v>205.09828193671996</v>
      </c>
      <c r="P77" s="40">
        <v>0</v>
      </c>
      <c r="Q77" s="40">
        <v>0</v>
      </c>
      <c r="R77" s="40">
        <v>2.2606827742196258</v>
      </c>
      <c r="S77" s="40">
        <v>5.2240940433126122</v>
      </c>
      <c r="T77" s="40">
        <v>0</v>
      </c>
      <c r="U77" s="40">
        <v>13.592717441511798</v>
      </c>
      <c r="V77" s="40">
        <v>0.68020000000000003</v>
      </c>
      <c r="W77" s="40">
        <v>1.5871333333333333</v>
      </c>
      <c r="X77" s="40">
        <v>0</v>
      </c>
      <c r="Y77" s="40">
        <v>0</v>
      </c>
      <c r="Z77" s="40">
        <v>0</v>
      </c>
      <c r="AA77" s="40">
        <v>0</v>
      </c>
      <c r="AB77" s="40">
        <v>0</v>
      </c>
      <c r="AC77" s="40">
        <v>0</v>
      </c>
      <c r="AD77" s="40">
        <v>0</v>
      </c>
      <c r="AE77" s="40">
        <v>0</v>
      </c>
      <c r="AF77" s="40">
        <v>0</v>
      </c>
      <c r="AG77" s="40">
        <v>0</v>
      </c>
      <c r="AH77" s="40">
        <v>2.940882774219626</v>
      </c>
      <c r="AI77" s="40">
        <v>6.8112273766459452</v>
      </c>
      <c r="AJ77" s="40">
        <v>0</v>
      </c>
      <c r="AK77" s="40">
        <v>13.592717441511798</v>
      </c>
      <c r="AL77" s="40">
        <v>23.344827592377371</v>
      </c>
      <c r="AM77" s="40">
        <v>859.94148766177807</v>
      </c>
      <c r="AN77" s="40">
        <v>101.54585228325342</v>
      </c>
      <c r="AO77" s="40">
        <v>0</v>
      </c>
      <c r="AP77" s="40">
        <v>0</v>
      </c>
      <c r="AQ77" s="40">
        <v>961.48733994503152</v>
      </c>
      <c r="AR77" s="40">
        <v>2.940882774219626</v>
      </c>
      <c r="AS77" s="73">
        <v>326.93834258666283</v>
      </c>
      <c r="AT77" s="40">
        <v>859.94148766177807</v>
      </c>
      <c r="AU77" s="40">
        <v>120.20004367810789</v>
      </c>
      <c r="AV77" s="40">
        <v>0</v>
      </c>
      <c r="AW77" s="40">
        <v>0</v>
      </c>
      <c r="AX77" s="40">
        <v>980.141531339886</v>
      </c>
      <c r="AY77" s="40">
        <v>6.8112273766459452</v>
      </c>
      <c r="AZ77" s="73">
        <v>143.90086795524618</v>
      </c>
      <c r="BA77" s="40">
        <v>859.94148766177807</v>
      </c>
      <c r="BB77" s="40">
        <v>221.74589596136133</v>
      </c>
      <c r="BC77" s="40">
        <v>0</v>
      </c>
      <c r="BD77" s="40">
        <v>0</v>
      </c>
      <c r="BE77" s="40">
        <v>1081.6873836231393</v>
      </c>
      <c r="BF77" s="40">
        <v>9.7521101508655708</v>
      </c>
      <c r="BG77" s="40">
        <v>-9.3541236945276331</v>
      </c>
      <c r="BH77" s="73">
        <v>110.91829018431787</v>
      </c>
      <c r="BI77" s="40">
        <v>0.12976503597019104</v>
      </c>
      <c r="BJ77" s="40">
        <v>0.30054212744543907</v>
      </c>
      <c r="BK77" s="40">
        <v>0</v>
      </c>
      <c r="BL77" s="40">
        <v>0.59977211033121458</v>
      </c>
      <c r="BM77" s="40">
        <v>1.0300792737468447</v>
      </c>
      <c r="BN77" s="40">
        <v>859.94148766177807</v>
      </c>
      <c r="BO77" s="40">
        <v>1487.7873805598535</v>
      </c>
      <c r="BP77" s="40">
        <v>221.74589596136133</v>
      </c>
      <c r="BQ77" s="40">
        <v>0</v>
      </c>
      <c r="BR77" s="40">
        <v>0</v>
      </c>
      <c r="BS77" s="40">
        <v>0</v>
      </c>
      <c r="BT77" s="40">
        <v>0</v>
      </c>
      <c r="BU77" s="40">
        <v>0</v>
      </c>
      <c r="BV77" s="40">
        <v>7124.0819654106808</v>
      </c>
      <c r="BW77" s="40">
        <v>0</v>
      </c>
      <c r="BX77" s="40">
        <v>21.077494259044038</v>
      </c>
      <c r="BY77" s="40">
        <v>2.2673333333333332</v>
      </c>
      <c r="BZ77" s="40">
        <v>0</v>
      </c>
      <c r="CA77" s="40">
        <v>0</v>
      </c>
      <c r="CB77" s="40">
        <v>9693.5567295936744</v>
      </c>
      <c r="CC77" s="40">
        <v>23.344827592377371</v>
      </c>
      <c r="CD77" s="73">
        <v>415.2335968743177</v>
      </c>
      <c r="CE77" s="40">
        <v>-388.74893866765819</v>
      </c>
      <c r="CF77" s="40">
        <v>15.842262322515149</v>
      </c>
      <c r="CG77" s="40">
        <v>23.996498986596237</v>
      </c>
      <c r="CH77" s="40">
        <v>39.838761309111383</v>
      </c>
      <c r="CI77" s="40">
        <v>0.79210680827652957</v>
      </c>
      <c r="CJ77" s="40">
        <v>1.1998249493298117</v>
      </c>
      <c r="CK77" s="40">
        <v>1.9919317576063413</v>
      </c>
      <c r="CL77" s="40"/>
      <c r="CM77" s="40">
        <v>205.09828193671996</v>
      </c>
      <c r="CN77" s="40"/>
      <c r="CO77" s="40">
        <v>0</v>
      </c>
      <c r="CP77" s="40">
        <v>0</v>
      </c>
      <c r="CQ77" s="40">
        <v>1487.7873805598535</v>
      </c>
      <c r="CR77" s="40">
        <v>0</v>
      </c>
      <c r="CS77" s="40">
        <v>0</v>
      </c>
      <c r="CT77" s="40">
        <v>1487.7873805598535</v>
      </c>
      <c r="CU77" s="40">
        <v>0</v>
      </c>
      <c r="CV77" s="40">
        <v>0</v>
      </c>
      <c r="CW77" s="73">
        <v>9999</v>
      </c>
    </row>
    <row r="78" spans="1:101" s="20" customFormat="1">
      <c r="A78" s="20" t="s">
        <v>1261</v>
      </c>
      <c r="C78" s="40">
        <v>10</v>
      </c>
      <c r="D78" s="40">
        <v>49.502977270716336</v>
      </c>
      <c r="E78" s="40">
        <v>12.524450845437102</v>
      </c>
      <c r="F78" s="40">
        <v>11.336666666666666</v>
      </c>
      <c r="G78" s="40">
        <v>0</v>
      </c>
      <c r="H78" s="40">
        <v>0</v>
      </c>
      <c r="I78" s="40"/>
      <c r="J78" s="40"/>
      <c r="K78" s="40"/>
      <c r="L78" s="40">
        <v>53.201158095537785</v>
      </c>
      <c r="M78" s="40">
        <v>9.1683230019442945E-3</v>
      </c>
      <c r="N78" s="40">
        <v>9.1021501579918312E-3</v>
      </c>
      <c r="O78" s="40">
        <v>12.649695353891472</v>
      </c>
      <c r="P78" s="40">
        <v>0</v>
      </c>
      <c r="Q78" s="40">
        <v>0</v>
      </c>
      <c r="R78" s="40">
        <v>2.2606827742196258</v>
      </c>
      <c r="S78" s="40">
        <v>5.2240940433126122</v>
      </c>
      <c r="T78" s="40">
        <v>0</v>
      </c>
      <c r="U78" s="40">
        <v>13.592717441511798</v>
      </c>
      <c r="V78" s="40">
        <v>0.68020000000000003</v>
      </c>
      <c r="W78" s="40">
        <v>1.5871333333333333</v>
      </c>
      <c r="X78" s="40">
        <v>0</v>
      </c>
      <c r="Y78" s="40">
        <v>0</v>
      </c>
      <c r="Z78" s="40">
        <v>0</v>
      </c>
      <c r="AA78" s="40">
        <v>0</v>
      </c>
      <c r="AB78" s="40">
        <v>0</v>
      </c>
      <c r="AC78" s="40">
        <v>0</v>
      </c>
      <c r="AD78" s="40">
        <v>0</v>
      </c>
      <c r="AE78" s="40">
        <v>0</v>
      </c>
      <c r="AF78" s="40">
        <v>0</v>
      </c>
      <c r="AG78" s="40">
        <v>0</v>
      </c>
      <c r="AH78" s="40">
        <v>2.940882774219626</v>
      </c>
      <c r="AI78" s="40">
        <v>6.8112273766459452</v>
      </c>
      <c r="AJ78" s="40">
        <v>0</v>
      </c>
      <c r="AK78" s="40">
        <v>13.592717441511798</v>
      </c>
      <c r="AL78" s="40">
        <v>23.344827592377371</v>
      </c>
      <c r="AM78" s="40">
        <v>27.434677010712491</v>
      </c>
      <c r="AN78" s="40">
        <v>3.2396130424449159</v>
      </c>
      <c r="AO78" s="40">
        <v>0</v>
      </c>
      <c r="AP78" s="40">
        <v>0</v>
      </c>
      <c r="AQ78" s="40">
        <v>30.674290053157407</v>
      </c>
      <c r="AR78" s="40">
        <v>2.940882774219626</v>
      </c>
      <c r="AS78" s="73">
        <v>10.430300154108298</v>
      </c>
      <c r="AT78" s="40">
        <v>27.434677010712491</v>
      </c>
      <c r="AU78" s="40">
        <v>3.8347369237282534</v>
      </c>
      <c r="AV78" s="40">
        <v>0</v>
      </c>
      <c r="AW78" s="40">
        <v>0</v>
      </c>
      <c r="AX78" s="40">
        <v>31.269413934440745</v>
      </c>
      <c r="AY78" s="40">
        <v>6.8112273766459452</v>
      </c>
      <c r="AZ78" s="73">
        <v>4.5908633210008549</v>
      </c>
      <c r="BA78" s="40">
        <v>27.434677010712491</v>
      </c>
      <c r="BB78" s="40">
        <v>7.0743499661731697</v>
      </c>
      <c r="BC78" s="40">
        <v>0</v>
      </c>
      <c r="BD78" s="40">
        <v>0</v>
      </c>
      <c r="BE78" s="40">
        <v>34.509026976885664</v>
      </c>
      <c r="BF78" s="40">
        <v>9.7521101508655708</v>
      </c>
      <c r="BG78" s="40">
        <v>3.7035712830940244</v>
      </c>
      <c r="BH78" s="73">
        <v>3.5386215334968028</v>
      </c>
      <c r="BI78" s="40">
        <v>4.0674923213098975</v>
      </c>
      <c r="BJ78" s="40">
        <v>9.4205098197273998</v>
      </c>
      <c r="BK78" s="40">
        <v>0</v>
      </c>
      <c r="BL78" s="40">
        <v>18.799890394732007</v>
      </c>
      <c r="BM78" s="40">
        <v>32.287892535769302</v>
      </c>
      <c r="BN78" s="40">
        <v>27.434677010712491</v>
      </c>
      <c r="BO78" s="40">
        <v>91.761164148868787</v>
      </c>
      <c r="BP78" s="40">
        <v>7.0743499661731697</v>
      </c>
      <c r="BQ78" s="40">
        <v>0</v>
      </c>
      <c r="BR78" s="40">
        <v>0</v>
      </c>
      <c r="BS78" s="40">
        <v>0</v>
      </c>
      <c r="BT78" s="40">
        <v>0</v>
      </c>
      <c r="BU78" s="40">
        <v>0</v>
      </c>
      <c r="BV78" s="40">
        <v>439.38674516250705</v>
      </c>
      <c r="BW78" s="40">
        <v>0</v>
      </c>
      <c r="BX78" s="40">
        <v>21.077494259044038</v>
      </c>
      <c r="BY78" s="40">
        <v>2.2673333333333332</v>
      </c>
      <c r="BZ78" s="40">
        <v>0</v>
      </c>
      <c r="CA78" s="40">
        <v>0</v>
      </c>
      <c r="CB78" s="40">
        <v>565.65693628826148</v>
      </c>
      <c r="CC78" s="40">
        <v>23.344827592377371</v>
      </c>
      <c r="CD78" s="73">
        <v>24.230503911408693</v>
      </c>
      <c r="CE78" s="40">
        <v>-712.11950988115018</v>
      </c>
      <c r="CF78" s="40">
        <v>0.50541502668856675</v>
      </c>
      <c r="CG78" s="40">
        <v>1.4800143564053037</v>
      </c>
      <c r="CH78" s="40">
        <v>1.9854293830938703</v>
      </c>
      <c r="CI78" s="40">
        <v>2.5270550095380453E-2</v>
      </c>
      <c r="CJ78" s="40">
        <v>7.4000717820265127E-2</v>
      </c>
      <c r="CK78" s="40">
        <v>9.9271267915645584E-2</v>
      </c>
      <c r="CL78" s="40"/>
      <c r="CM78" s="40">
        <v>12.649695353891472</v>
      </c>
      <c r="CN78" s="40"/>
      <c r="CO78" s="40">
        <v>0</v>
      </c>
      <c r="CP78" s="40">
        <v>0</v>
      </c>
      <c r="CQ78" s="40">
        <v>91.761164148868787</v>
      </c>
      <c r="CR78" s="40">
        <v>0</v>
      </c>
      <c r="CS78" s="40">
        <v>0</v>
      </c>
      <c r="CT78" s="40">
        <v>91.761164148868787</v>
      </c>
      <c r="CU78" s="40">
        <v>0</v>
      </c>
      <c r="CV78" s="40">
        <v>0</v>
      </c>
      <c r="CW78" s="73">
        <v>9999</v>
      </c>
    </row>
    <row r="79" spans="1:101" s="20" customFormat="1">
      <c r="A79" s="20" t="s">
        <v>1262</v>
      </c>
      <c r="C79" s="40">
        <v>10</v>
      </c>
      <c r="D79" s="40">
        <v>49.502977270716336</v>
      </c>
      <c r="E79" s="40">
        <v>12.524450845437102</v>
      </c>
      <c r="F79" s="40">
        <v>11.336666666666666</v>
      </c>
      <c r="G79" s="40">
        <v>0</v>
      </c>
      <c r="H79" s="40">
        <v>0</v>
      </c>
      <c r="I79" s="40"/>
      <c r="J79" s="40"/>
      <c r="K79" s="40"/>
      <c r="L79" s="40">
        <v>53.201158095537785</v>
      </c>
      <c r="M79" s="40">
        <v>9.1683230019442945E-3</v>
      </c>
      <c r="N79" s="40">
        <v>9.1021501579918312E-3</v>
      </c>
      <c r="O79" s="40">
        <v>12.649695353891472</v>
      </c>
      <c r="P79" s="40">
        <v>0</v>
      </c>
      <c r="Q79" s="40">
        <v>0</v>
      </c>
      <c r="R79" s="40">
        <v>2.2606827742196258</v>
      </c>
      <c r="S79" s="40">
        <v>5.2240940433126122</v>
      </c>
      <c r="T79" s="40">
        <v>0</v>
      </c>
      <c r="U79" s="40">
        <v>13.592717441511798</v>
      </c>
      <c r="V79" s="40">
        <v>0.68020000000000003</v>
      </c>
      <c r="W79" s="40">
        <v>1.5871333333333333</v>
      </c>
      <c r="X79" s="40">
        <v>0</v>
      </c>
      <c r="Y79" s="40">
        <v>0</v>
      </c>
      <c r="Z79" s="40">
        <v>0</v>
      </c>
      <c r="AA79" s="40">
        <v>0</v>
      </c>
      <c r="AB79" s="40">
        <v>0</v>
      </c>
      <c r="AC79" s="40">
        <v>0</v>
      </c>
      <c r="AD79" s="40">
        <v>0</v>
      </c>
      <c r="AE79" s="40">
        <v>0</v>
      </c>
      <c r="AF79" s="40">
        <v>0</v>
      </c>
      <c r="AG79" s="40">
        <v>0</v>
      </c>
      <c r="AH79" s="40">
        <v>2.940882774219626</v>
      </c>
      <c r="AI79" s="40">
        <v>6.8112273766459452</v>
      </c>
      <c r="AJ79" s="40">
        <v>0</v>
      </c>
      <c r="AK79" s="40">
        <v>13.592717441511798</v>
      </c>
      <c r="AL79" s="40">
        <v>23.344827592377371</v>
      </c>
      <c r="AM79" s="40">
        <v>27.434677010712491</v>
      </c>
      <c r="AN79" s="40">
        <v>3.2396130424449159</v>
      </c>
      <c r="AO79" s="40">
        <v>0</v>
      </c>
      <c r="AP79" s="40">
        <v>0</v>
      </c>
      <c r="AQ79" s="40">
        <v>30.674290053157407</v>
      </c>
      <c r="AR79" s="40">
        <v>2.940882774219626</v>
      </c>
      <c r="AS79" s="73">
        <v>10.430300154108298</v>
      </c>
      <c r="AT79" s="40">
        <v>27.434677010712491</v>
      </c>
      <c r="AU79" s="40">
        <v>3.8347369237282534</v>
      </c>
      <c r="AV79" s="40">
        <v>0</v>
      </c>
      <c r="AW79" s="40">
        <v>0</v>
      </c>
      <c r="AX79" s="40">
        <v>31.269413934440745</v>
      </c>
      <c r="AY79" s="40">
        <v>6.8112273766459452</v>
      </c>
      <c r="AZ79" s="73">
        <v>4.5908633210008549</v>
      </c>
      <c r="BA79" s="40">
        <v>27.434677010712491</v>
      </c>
      <c r="BB79" s="40">
        <v>7.0743499661731697</v>
      </c>
      <c r="BC79" s="40">
        <v>0</v>
      </c>
      <c r="BD79" s="40">
        <v>0</v>
      </c>
      <c r="BE79" s="40">
        <v>34.509026976885664</v>
      </c>
      <c r="BF79" s="40">
        <v>9.7521101508655708</v>
      </c>
      <c r="BG79" s="40">
        <v>3.7035712830940244</v>
      </c>
      <c r="BH79" s="73">
        <v>3.5386215334968028</v>
      </c>
      <c r="BI79" s="40">
        <v>4.0674923213098975</v>
      </c>
      <c r="BJ79" s="40">
        <v>9.4205098197273998</v>
      </c>
      <c r="BK79" s="40">
        <v>0</v>
      </c>
      <c r="BL79" s="40">
        <v>18.799890394732007</v>
      </c>
      <c r="BM79" s="40">
        <v>32.287892535769302</v>
      </c>
      <c r="BN79" s="40">
        <v>27.434677010712491</v>
      </c>
      <c r="BO79" s="40">
        <v>91.761164148868787</v>
      </c>
      <c r="BP79" s="40">
        <v>7.0743499661731697</v>
      </c>
      <c r="BQ79" s="40">
        <v>0</v>
      </c>
      <c r="BR79" s="40">
        <v>0</v>
      </c>
      <c r="BS79" s="40">
        <v>0</v>
      </c>
      <c r="BT79" s="40">
        <v>0</v>
      </c>
      <c r="BU79" s="40">
        <v>0</v>
      </c>
      <c r="BV79" s="40">
        <v>439.38674516250705</v>
      </c>
      <c r="BW79" s="40">
        <v>0</v>
      </c>
      <c r="BX79" s="40">
        <v>21.077494259044038</v>
      </c>
      <c r="BY79" s="40">
        <v>2.2673333333333332</v>
      </c>
      <c r="BZ79" s="40">
        <v>0</v>
      </c>
      <c r="CA79" s="40">
        <v>0</v>
      </c>
      <c r="CB79" s="40">
        <v>565.65693628826148</v>
      </c>
      <c r="CC79" s="40">
        <v>23.344827592377371</v>
      </c>
      <c r="CD79" s="73">
        <v>24.230503911408693</v>
      </c>
      <c r="CE79" s="40">
        <v>-712.11950988115018</v>
      </c>
      <c r="CF79" s="40">
        <v>0.50541502668856675</v>
      </c>
      <c r="CG79" s="40">
        <v>1.4800143564053037</v>
      </c>
      <c r="CH79" s="40">
        <v>1.9854293830938703</v>
      </c>
      <c r="CI79" s="40">
        <v>2.5270550095380453E-2</v>
      </c>
      <c r="CJ79" s="40">
        <v>7.4000717820265127E-2</v>
      </c>
      <c r="CK79" s="40">
        <v>9.9271267915645584E-2</v>
      </c>
      <c r="CL79" s="40"/>
      <c r="CM79" s="40">
        <v>12.649695353891472</v>
      </c>
      <c r="CN79" s="40"/>
      <c r="CO79" s="40">
        <v>0</v>
      </c>
      <c r="CP79" s="40">
        <v>0</v>
      </c>
      <c r="CQ79" s="40">
        <v>91.761164148868787</v>
      </c>
      <c r="CR79" s="40">
        <v>0</v>
      </c>
      <c r="CS79" s="40">
        <v>0</v>
      </c>
      <c r="CT79" s="40">
        <v>91.761164148868787</v>
      </c>
      <c r="CU79" s="40">
        <v>0</v>
      </c>
      <c r="CV79" s="40">
        <v>0</v>
      </c>
      <c r="CW79" s="73">
        <v>9999</v>
      </c>
    </row>
    <row r="80" spans="1:101" s="20" customFormat="1">
      <c r="A80" s="20" t="s">
        <v>1263</v>
      </c>
      <c r="C80" s="40">
        <v>10</v>
      </c>
      <c r="D80" s="40">
        <v>49.502977270716336</v>
      </c>
      <c r="E80" s="40">
        <v>12.524450845437102</v>
      </c>
      <c r="F80" s="40">
        <v>11.336666666666666</v>
      </c>
      <c r="G80" s="40">
        <v>0</v>
      </c>
      <c r="H80" s="40">
        <v>0</v>
      </c>
      <c r="I80" s="40"/>
      <c r="J80" s="40"/>
      <c r="K80" s="40"/>
      <c r="L80" s="40">
        <v>53.201158095537785</v>
      </c>
      <c r="M80" s="40">
        <v>9.1683230019442945E-3</v>
      </c>
      <c r="N80" s="40">
        <v>9.1021501579918312E-3</v>
      </c>
      <c r="O80" s="40">
        <v>12.649695353891472</v>
      </c>
      <c r="P80" s="40">
        <v>0</v>
      </c>
      <c r="Q80" s="40">
        <v>0</v>
      </c>
      <c r="R80" s="40">
        <v>2.2606827742196258</v>
      </c>
      <c r="S80" s="40">
        <v>5.2240940433126122</v>
      </c>
      <c r="T80" s="40">
        <v>0</v>
      </c>
      <c r="U80" s="40">
        <v>13.592717441511798</v>
      </c>
      <c r="V80" s="40">
        <v>0.68020000000000003</v>
      </c>
      <c r="W80" s="40">
        <v>1.5871333333333333</v>
      </c>
      <c r="X80" s="40">
        <v>0</v>
      </c>
      <c r="Y80" s="40">
        <v>0</v>
      </c>
      <c r="Z80" s="40">
        <v>0</v>
      </c>
      <c r="AA80" s="40">
        <v>0</v>
      </c>
      <c r="AB80" s="40">
        <v>0</v>
      </c>
      <c r="AC80" s="40">
        <v>0</v>
      </c>
      <c r="AD80" s="40">
        <v>0</v>
      </c>
      <c r="AE80" s="40">
        <v>0</v>
      </c>
      <c r="AF80" s="40">
        <v>0</v>
      </c>
      <c r="AG80" s="40">
        <v>0</v>
      </c>
      <c r="AH80" s="40">
        <v>2.940882774219626</v>
      </c>
      <c r="AI80" s="40">
        <v>6.8112273766459452</v>
      </c>
      <c r="AJ80" s="40">
        <v>0</v>
      </c>
      <c r="AK80" s="40">
        <v>13.592717441511798</v>
      </c>
      <c r="AL80" s="40">
        <v>23.344827592377371</v>
      </c>
      <c r="AM80" s="40">
        <v>27.434677010712491</v>
      </c>
      <c r="AN80" s="40">
        <v>3.2396130424449159</v>
      </c>
      <c r="AO80" s="40">
        <v>0</v>
      </c>
      <c r="AP80" s="40">
        <v>0</v>
      </c>
      <c r="AQ80" s="40">
        <v>30.674290053157407</v>
      </c>
      <c r="AR80" s="40">
        <v>2.940882774219626</v>
      </c>
      <c r="AS80" s="73">
        <v>10.430300154108298</v>
      </c>
      <c r="AT80" s="40">
        <v>27.434677010712491</v>
      </c>
      <c r="AU80" s="40">
        <v>3.8347369237282534</v>
      </c>
      <c r="AV80" s="40">
        <v>0</v>
      </c>
      <c r="AW80" s="40">
        <v>0</v>
      </c>
      <c r="AX80" s="40">
        <v>31.269413934440745</v>
      </c>
      <c r="AY80" s="40">
        <v>6.8112273766459452</v>
      </c>
      <c r="AZ80" s="73">
        <v>4.5908633210008549</v>
      </c>
      <c r="BA80" s="40">
        <v>27.434677010712491</v>
      </c>
      <c r="BB80" s="40">
        <v>7.0743499661731697</v>
      </c>
      <c r="BC80" s="40">
        <v>0</v>
      </c>
      <c r="BD80" s="40">
        <v>0</v>
      </c>
      <c r="BE80" s="40">
        <v>34.509026976885664</v>
      </c>
      <c r="BF80" s="40">
        <v>9.7521101508655708</v>
      </c>
      <c r="BG80" s="40">
        <v>3.7035712830940244</v>
      </c>
      <c r="BH80" s="73">
        <v>3.5386215334968028</v>
      </c>
      <c r="BI80" s="40">
        <v>4.0674923213098975</v>
      </c>
      <c r="BJ80" s="40">
        <v>9.4205098197273998</v>
      </c>
      <c r="BK80" s="40">
        <v>0</v>
      </c>
      <c r="BL80" s="40">
        <v>18.799890394732007</v>
      </c>
      <c r="BM80" s="40">
        <v>32.287892535769302</v>
      </c>
      <c r="BN80" s="40">
        <v>27.434677010712491</v>
      </c>
      <c r="BO80" s="40">
        <v>91.761164148868787</v>
      </c>
      <c r="BP80" s="40">
        <v>7.0743499661731697</v>
      </c>
      <c r="BQ80" s="40">
        <v>0</v>
      </c>
      <c r="BR80" s="40">
        <v>0</v>
      </c>
      <c r="BS80" s="40">
        <v>0</v>
      </c>
      <c r="BT80" s="40">
        <v>0</v>
      </c>
      <c r="BU80" s="40">
        <v>0</v>
      </c>
      <c r="BV80" s="40">
        <v>439.38674516250705</v>
      </c>
      <c r="BW80" s="40">
        <v>0</v>
      </c>
      <c r="BX80" s="40">
        <v>21.077494259044038</v>
      </c>
      <c r="BY80" s="40">
        <v>2.2673333333333332</v>
      </c>
      <c r="BZ80" s="40">
        <v>0</v>
      </c>
      <c r="CA80" s="40">
        <v>0</v>
      </c>
      <c r="CB80" s="40">
        <v>565.65693628826148</v>
      </c>
      <c r="CC80" s="40">
        <v>23.344827592377371</v>
      </c>
      <c r="CD80" s="73">
        <v>24.230503911408693</v>
      </c>
      <c r="CE80" s="40">
        <v>-712.11950988115018</v>
      </c>
      <c r="CF80" s="40">
        <v>0.50541502668856675</v>
      </c>
      <c r="CG80" s="40">
        <v>1.4800143564053037</v>
      </c>
      <c r="CH80" s="40">
        <v>1.9854293830938703</v>
      </c>
      <c r="CI80" s="40">
        <v>2.5270550095380453E-2</v>
      </c>
      <c r="CJ80" s="40">
        <v>7.4000717820265127E-2</v>
      </c>
      <c r="CK80" s="40">
        <v>9.9271267915645584E-2</v>
      </c>
      <c r="CL80" s="40"/>
      <c r="CM80" s="40">
        <v>12.649695353891472</v>
      </c>
      <c r="CN80" s="40"/>
      <c r="CO80" s="40">
        <v>0</v>
      </c>
      <c r="CP80" s="40">
        <v>0</v>
      </c>
      <c r="CQ80" s="40">
        <v>91.761164148868787</v>
      </c>
      <c r="CR80" s="40">
        <v>0</v>
      </c>
      <c r="CS80" s="40">
        <v>0</v>
      </c>
      <c r="CT80" s="40">
        <v>91.761164148868787</v>
      </c>
      <c r="CU80" s="40">
        <v>0</v>
      </c>
      <c r="CV80" s="40">
        <v>0</v>
      </c>
      <c r="CW80" s="73">
        <v>9999</v>
      </c>
    </row>
    <row r="81" spans="1:101" s="20" customFormat="1">
      <c r="A81" s="20" t="s">
        <v>1264</v>
      </c>
      <c r="C81" s="40">
        <v>10</v>
      </c>
      <c r="D81" s="40">
        <v>49.502977270716336</v>
      </c>
      <c r="E81" s="40">
        <v>12.524450845437102</v>
      </c>
      <c r="F81" s="40">
        <v>11.336666666666666</v>
      </c>
      <c r="G81" s="40">
        <v>0</v>
      </c>
      <c r="H81" s="40">
        <v>0</v>
      </c>
      <c r="I81" s="40"/>
      <c r="J81" s="40"/>
      <c r="K81" s="40"/>
      <c r="L81" s="40">
        <v>53.201158095537785</v>
      </c>
      <c r="M81" s="40">
        <v>9.1683230019442945E-3</v>
      </c>
      <c r="N81" s="40">
        <v>9.1021501579918312E-3</v>
      </c>
      <c r="O81" s="40">
        <v>12.649695353891472</v>
      </c>
      <c r="P81" s="40">
        <v>0</v>
      </c>
      <c r="Q81" s="40">
        <v>0</v>
      </c>
      <c r="R81" s="40">
        <v>2.2606827742196258</v>
      </c>
      <c r="S81" s="40">
        <v>5.2240940433126122</v>
      </c>
      <c r="T81" s="40">
        <v>0</v>
      </c>
      <c r="U81" s="40">
        <v>13.592717441511798</v>
      </c>
      <c r="V81" s="40">
        <v>0.68020000000000003</v>
      </c>
      <c r="W81" s="40">
        <v>1.5871333333333333</v>
      </c>
      <c r="X81" s="40">
        <v>0</v>
      </c>
      <c r="Y81" s="40">
        <v>0</v>
      </c>
      <c r="Z81" s="40">
        <v>0</v>
      </c>
      <c r="AA81" s="40">
        <v>0</v>
      </c>
      <c r="AB81" s="40">
        <v>0</v>
      </c>
      <c r="AC81" s="40">
        <v>0</v>
      </c>
      <c r="AD81" s="40">
        <v>0</v>
      </c>
      <c r="AE81" s="40">
        <v>0</v>
      </c>
      <c r="AF81" s="40">
        <v>0</v>
      </c>
      <c r="AG81" s="40">
        <v>0</v>
      </c>
      <c r="AH81" s="40">
        <v>2.940882774219626</v>
      </c>
      <c r="AI81" s="40">
        <v>6.8112273766459452</v>
      </c>
      <c r="AJ81" s="40">
        <v>0</v>
      </c>
      <c r="AK81" s="40">
        <v>13.592717441511798</v>
      </c>
      <c r="AL81" s="40">
        <v>23.344827592377371</v>
      </c>
      <c r="AM81" s="40">
        <v>27.434677010712491</v>
      </c>
      <c r="AN81" s="40">
        <v>3.2396130424449159</v>
      </c>
      <c r="AO81" s="40">
        <v>0</v>
      </c>
      <c r="AP81" s="40">
        <v>0</v>
      </c>
      <c r="AQ81" s="40">
        <v>30.674290053157407</v>
      </c>
      <c r="AR81" s="40">
        <v>2.940882774219626</v>
      </c>
      <c r="AS81" s="73">
        <v>10.430300154108298</v>
      </c>
      <c r="AT81" s="40">
        <v>27.434677010712491</v>
      </c>
      <c r="AU81" s="40">
        <v>3.8347369237282534</v>
      </c>
      <c r="AV81" s="40">
        <v>0</v>
      </c>
      <c r="AW81" s="40">
        <v>0</v>
      </c>
      <c r="AX81" s="40">
        <v>31.269413934440745</v>
      </c>
      <c r="AY81" s="40">
        <v>6.8112273766459452</v>
      </c>
      <c r="AZ81" s="73">
        <v>4.5908633210008549</v>
      </c>
      <c r="BA81" s="40">
        <v>27.434677010712491</v>
      </c>
      <c r="BB81" s="40">
        <v>7.0743499661731697</v>
      </c>
      <c r="BC81" s="40">
        <v>0</v>
      </c>
      <c r="BD81" s="40">
        <v>0</v>
      </c>
      <c r="BE81" s="40">
        <v>34.509026976885664</v>
      </c>
      <c r="BF81" s="40">
        <v>9.7521101508655708</v>
      </c>
      <c r="BG81" s="40">
        <v>3.7035712830940244</v>
      </c>
      <c r="BH81" s="73">
        <v>3.5386215334968028</v>
      </c>
      <c r="BI81" s="40">
        <v>4.0674923213098975</v>
      </c>
      <c r="BJ81" s="40">
        <v>9.4205098197273998</v>
      </c>
      <c r="BK81" s="40">
        <v>0</v>
      </c>
      <c r="BL81" s="40">
        <v>18.799890394732007</v>
      </c>
      <c r="BM81" s="40">
        <v>32.287892535769302</v>
      </c>
      <c r="BN81" s="40">
        <v>27.434677010712491</v>
      </c>
      <c r="BO81" s="40">
        <v>91.761164148868787</v>
      </c>
      <c r="BP81" s="40">
        <v>7.0743499661731697</v>
      </c>
      <c r="BQ81" s="40">
        <v>0</v>
      </c>
      <c r="BR81" s="40">
        <v>0</v>
      </c>
      <c r="BS81" s="40">
        <v>0</v>
      </c>
      <c r="BT81" s="40">
        <v>0</v>
      </c>
      <c r="BU81" s="40">
        <v>0</v>
      </c>
      <c r="BV81" s="40">
        <v>439.38674516250705</v>
      </c>
      <c r="BW81" s="40">
        <v>0</v>
      </c>
      <c r="BX81" s="40">
        <v>21.077494259044038</v>
      </c>
      <c r="BY81" s="40">
        <v>2.2673333333333332</v>
      </c>
      <c r="BZ81" s="40">
        <v>0</v>
      </c>
      <c r="CA81" s="40">
        <v>0</v>
      </c>
      <c r="CB81" s="40">
        <v>565.65693628826148</v>
      </c>
      <c r="CC81" s="40">
        <v>23.344827592377371</v>
      </c>
      <c r="CD81" s="73">
        <v>24.230503911408693</v>
      </c>
      <c r="CE81" s="40">
        <v>-712.11950988115018</v>
      </c>
      <c r="CF81" s="40">
        <v>0.50541502668856675</v>
      </c>
      <c r="CG81" s="40">
        <v>1.4800143564053037</v>
      </c>
      <c r="CH81" s="40">
        <v>1.9854293830938703</v>
      </c>
      <c r="CI81" s="40">
        <v>2.5270550095380453E-2</v>
      </c>
      <c r="CJ81" s="40">
        <v>7.4000717820265127E-2</v>
      </c>
      <c r="CK81" s="40">
        <v>9.9271267915645584E-2</v>
      </c>
      <c r="CL81" s="40"/>
      <c r="CM81" s="40">
        <v>12.649695353891472</v>
      </c>
      <c r="CN81" s="40"/>
      <c r="CO81" s="40">
        <v>0</v>
      </c>
      <c r="CP81" s="40">
        <v>0</v>
      </c>
      <c r="CQ81" s="40">
        <v>91.761164148868787</v>
      </c>
      <c r="CR81" s="40">
        <v>0</v>
      </c>
      <c r="CS81" s="40">
        <v>0</v>
      </c>
      <c r="CT81" s="40">
        <v>91.761164148868787</v>
      </c>
      <c r="CU81" s="40">
        <v>0</v>
      </c>
      <c r="CV81" s="40">
        <v>0</v>
      </c>
      <c r="CW81" s="73">
        <v>9999</v>
      </c>
    </row>
    <row r="82" spans="1:101" s="20" customFormat="1">
      <c r="A82" s="20" t="s">
        <v>1265</v>
      </c>
      <c r="C82" s="40">
        <v>10</v>
      </c>
      <c r="D82" s="40">
        <v>68.950455893647046</v>
      </c>
      <c r="E82" s="40">
        <v>9.0235498260461213</v>
      </c>
      <c r="F82" s="40">
        <v>11.336666666666666</v>
      </c>
      <c r="G82" s="40">
        <v>0</v>
      </c>
      <c r="H82" s="40">
        <v>0</v>
      </c>
      <c r="I82" s="40"/>
      <c r="J82" s="40"/>
      <c r="K82" s="40"/>
      <c r="L82" s="40">
        <v>74.10148453691663</v>
      </c>
      <c r="M82" s="40">
        <v>1.2770142032209168E-2</v>
      </c>
      <c r="N82" s="40">
        <v>1.2677972873708867E-2</v>
      </c>
      <c r="O82" s="40">
        <v>9.1137853243065834</v>
      </c>
      <c r="P82" s="40">
        <v>0</v>
      </c>
      <c r="Q82" s="40">
        <v>0</v>
      </c>
      <c r="R82" s="40">
        <v>2.2606827742196258</v>
      </c>
      <c r="S82" s="40">
        <v>5.2240940433126122</v>
      </c>
      <c r="T82" s="40">
        <v>0</v>
      </c>
      <c r="U82" s="40">
        <v>13.592717441511798</v>
      </c>
      <c r="V82" s="40">
        <v>0.68020000000000003</v>
      </c>
      <c r="W82" s="40">
        <v>1.5871333333333333</v>
      </c>
      <c r="X82" s="40">
        <v>0</v>
      </c>
      <c r="Y82" s="40">
        <v>0</v>
      </c>
      <c r="Z82" s="40">
        <v>0</v>
      </c>
      <c r="AA82" s="40">
        <v>0</v>
      </c>
      <c r="AB82" s="40">
        <v>0</v>
      </c>
      <c r="AC82" s="40">
        <v>0</v>
      </c>
      <c r="AD82" s="40">
        <v>0</v>
      </c>
      <c r="AE82" s="40">
        <v>0</v>
      </c>
      <c r="AF82" s="40">
        <v>0</v>
      </c>
      <c r="AG82" s="40">
        <v>0</v>
      </c>
      <c r="AH82" s="40">
        <v>2.940882774219626</v>
      </c>
      <c r="AI82" s="40">
        <v>6.8112273766459452</v>
      </c>
      <c r="AJ82" s="40">
        <v>0</v>
      </c>
      <c r="AK82" s="40">
        <v>13.592717441511798</v>
      </c>
      <c r="AL82" s="40">
        <v>23.344827592377371</v>
      </c>
      <c r="AM82" s="40">
        <v>38.212519558951634</v>
      </c>
      <c r="AN82" s="40">
        <v>4.5123103399220978</v>
      </c>
      <c r="AO82" s="40">
        <v>0</v>
      </c>
      <c r="AP82" s="40">
        <v>0</v>
      </c>
      <c r="AQ82" s="40">
        <v>42.724829898873729</v>
      </c>
      <c r="AR82" s="40">
        <v>2.940882774219626</v>
      </c>
      <c r="AS82" s="73">
        <v>14.527892874006486</v>
      </c>
      <c r="AT82" s="40">
        <v>38.212519558951634</v>
      </c>
      <c r="AU82" s="40">
        <v>5.3412314511368901</v>
      </c>
      <c r="AV82" s="40">
        <v>0</v>
      </c>
      <c r="AW82" s="40">
        <v>0</v>
      </c>
      <c r="AX82" s="40">
        <v>43.553751010088526</v>
      </c>
      <c r="AY82" s="40">
        <v>6.8112273766459452</v>
      </c>
      <c r="AZ82" s="73">
        <v>6.3944056778112897</v>
      </c>
      <c r="BA82" s="40">
        <v>38.212519558951634</v>
      </c>
      <c r="BB82" s="40">
        <v>9.8535417910589871</v>
      </c>
      <c r="BC82" s="40">
        <v>0</v>
      </c>
      <c r="BD82" s="40">
        <v>0</v>
      </c>
      <c r="BE82" s="40">
        <v>48.066061350010621</v>
      </c>
      <c r="BF82" s="40">
        <v>9.7521101508655708</v>
      </c>
      <c r="BG82" s="40">
        <v>-0.10072021729088509</v>
      </c>
      <c r="BH82" s="73">
        <v>4.9287857301062585</v>
      </c>
      <c r="BI82" s="40">
        <v>2.9202559623564337</v>
      </c>
      <c r="BJ82" s="40">
        <v>6.7634546782959477</v>
      </c>
      <c r="BK82" s="40">
        <v>0</v>
      </c>
      <c r="BL82" s="40">
        <v>13.497380616857169</v>
      </c>
      <c r="BM82" s="40">
        <v>23.18109125750955</v>
      </c>
      <c r="BN82" s="40">
        <v>38.212519558951634</v>
      </c>
      <c r="BO82" s="40">
        <v>66.111596189862169</v>
      </c>
      <c r="BP82" s="40">
        <v>9.8535417910589871</v>
      </c>
      <c r="BQ82" s="40">
        <v>0</v>
      </c>
      <c r="BR82" s="40">
        <v>0</v>
      </c>
      <c r="BS82" s="40">
        <v>0</v>
      </c>
      <c r="BT82" s="40">
        <v>0</v>
      </c>
      <c r="BU82" s="40">
        <v>0</v>
      </c>
      <c r="BV82" s="40">
        <v>316.56702851147935</v>
      </c>
      <c r="BW82" s="40">
        <v>0</v>
      </c>
      <c r="BX82" s="40">
        <v>21.077494259044038</v>
      </c>
      <c r="BY82" s="40">
        <v>2.2673333333333332</v>
      </c>
      <c r="BZ82" s="40">
        <v>0</v>
      </c>
      <c r="CA82" s="40">
        <v>0</v>
      </c>
      <c r="CB82" s="40">
        <v>430.74468605135212</v>
      </c>
      <c r="CC82" s="40">
        <v>23.344827592377371</v>
      </c>
      <c r="CD82" s="73">
        <v>18.451397181960782</v>
      </c>
      <c r="CE82" s="40">
        <v>-366.59792668389559</v>
      </c>
      <c r="CF82" s="40">
        <v>0.70396970903588962</v>
      </c>
      <c r="CG82" s="40">
        <v>1.0663128829438704</v>
      </c>
      <c r="CH82" s="40">
        <v>1.77028259197976</v>
      </c>
      <c r="CI82" s="40">
        <v>3.5198205155035397E-2</v>
      </c>
      <c r="CJ82" s="40">
        <v>5.3315644147193496E-2</v>
      </c>
      <c r="CK82" s="40">
        <v>8.8513849302228886E-2</v>
      </c>
      <c r="CL82" s="40"/>
      <c r="CM82" s="40">
        <v>9.1137853243065834</v>
      </c>
      <c r="CN82" s="40"/>
      <c r="CO82" s="40">
        <v>0</v>
      </c>
      <c r="CP82" s="40">
        <v>0</v>
      </c>
      <c r="CQ82" s="40">
        <v>66.111596189862169</v>
      </c>
      <c r="CR82" s="40">
        <v>0</v>
      </c>
      <c r="CS82" s="40">
        <v>0</v>
      </c>
      <c r="CT82" s="40">
        <v>66.111596189862169</v>
      </c>
      <c r="CU82" s="40">
        <v>0</v>
      </c>
      <c r="CV82" s="40">
        <v>0</v>
      </c>
      <c r="CW82" s="73">
        <v>9999</v>
      </c>
    </row>
    <row r="83" spans="1:101" s="20" customFormat="1">
      <c r="A83" s="20" t="s">
        <v>1266</v>
      </c>
      <c r="C83" s="40">
        <v>10</v>
      </c>
      <c r="D83" s="40">
        <v>81.293930844393842</v>
      </c>
      <c r="E83" s="40">
        <v>6.7604349038811193</v>
      </c>
      <c r="F83" s="40">
        <v>11.336666666666666</v>
      </c>
      <c r="G83" s="40">
        <v>0</v>
      </c>
      <c r="H83" s="40">
        <v>0</v>
      </c>
      <c r="I83" s="40"/>
      <c r="J83" s="40"/>
      <c r="K83" s="40"/>
      <c r="L83" s="40">
        <v>87.367093971108304</v>
      </c>
      <c r="M83" s="40">
        <v>1.5056246253698094E-2</v>
      </c>
      <c r="N83" s="40">
        <v>1.4947577020115843E-2</v>
      </c>
      <c r="O83" s="40">
        <v>6.8280392529199307</v>
      </c>
      <c r="P83" s="40">
        <v>0</v>
      </c>
      <c r="Q83" s="40">
        <v>0</v>
      </c>
      <c r="R83" s="40">
        <v>2.2606827742196258</v>
      </c>
      <c r="S83" s="40">
        <v>5.2240940433126122</v>
      </c>
      <c r="T83" s="40">
        <v>0</v>
      </c>
      <c r="U83" s="40">
        <v>13.592717441511798</v>
      </c>
      <c r="V83" s="40">
        <v>0.68020000000000003</v>
      </c>
      <c r="W83" s="40">
        <v>1.5871333333333333</v>
      </c>
      <c r="X83" s="40">
        <v>0</v>
      </c>
      <c r="Y83" s="40">
        <v>0</v>
      </c>
      <c r="Z83" s="40">
        <v>0</v>
      </c>
      <c r="AA83" s="40">
        <v>0</v>
      </c>
      <c r="AB83" s="40">
        <v>0</v>
      </c>
      <c r="AC83" s="40">
        <v>0</v>
      </c>
      <c r="AD83" s="40">
        <v>0</v>
      </c>
      <c r="AE83" s="40">
        <v>0</v>
      </c>
      <c r="AF83" s="40">
        <v>0</v>
      </c>
      <c r="AG83" s="40">
        <v>0</v>
      </c>
      <c r="AH83" s="40">
        <v>2.940882774219626</v>
      </c>
      <c r="AI83" s="40">
        <v>6.8112273766459452</v>
      </c>
      <c r="AJ83" s="40">
        <v>0</v>
      </c>
      <c r="AK83" s="40">
        <v>13.592717441511798</v>
      </c>
      <c r="AL83" s="40">
        <v>23.344827592377371</v>
      </c>
      <c r="AM83" s="40">
        <v>45.05330504568397</v>
      </c>
      <c r="AN83" s="40">
        <v>5.3201018030668079</v>
      </c>
      <c r="AO83" s="40">
        <v>0</v>
      </c>
      <c r="AP83" s="40">
        <v>0</v>
      </c>
      <c r="AQ83" s="40">
        <v>50.373406848750776</v>
      </c>
      <c r="AR83" s="40">
        <v>2.940882774219626</v>
      </c>
      <c r="AS83" s="73">
        <v>17.128668742030204</v>
      </c>
      <c r="AT83" s="40">
        <v>45.05330504568397</v>
      </c>
      <c r="AU83" s="40">
        <v>6.2974159428673318</v>
      </c>
      <c r="AV83" s="40">
        <v>0</v>
      </c>
      <c r="AW83" s="40">
        <v>0</v>
      </c>
      <c r="AX83" s="40">
        <v>51.350720988551302</v>
      </c>
      <c r="AY83" s="40">
        <v>6.8112273766459452</v>
      </c>
      <c r="AZ83" s="73">
        <v>7.5391288748663028</v>
      </c>
      <c r="BA83" s="40">
        <v>45.05330504568397</v>
      </c>
      <c r="BB83" s="40">
        <v>11.617517745934141</v>
      </c>
      <c r="BC83" s="40">
        <v>0</v>
      </c>
      <c r="BD83" s="40">
        <v>0</v>
      </c>
      <c r="BE83" s="40">
        <v>56.670822791618107</v>
      </c>
      <c r="BF83" s="40">
        <v>9.7521101508655708</v>
      </c>
      <c r="BG83" s="40">
        <v>-1.5710715520291227</v>
      </c>
      <c r="BH83" s="73">
        <v>5.811134402187629</v>
      </c>
      <c r="BI83" s="40">
        <v>2.4768513201315163</v>
      </c>
      <c r="BJ83" s="40">
        <v>5.7365079857826222</v>
      </c>
      <c r="BK83" s="40">
        <v>0</v>
      </c>
      <c r="BL83" s="40">
        <v>11.447970804656396</v>
      </c>
      <c r="BM83" s="40">
        <v>19.661330110570535</v>
      </c>
      <c r="BN83" s="40">
        <v>45.05330504568397</v>
      </c>
      <c r="BO83" s="40">
        <v>49.53074466804128</v>
      </c>
      <c r="BP83" s="40">
        <v>11.617517745934141</v>
      </c>
      <c r="BQ83" s="40">
        <v>0</v>
      </c>
      <c r="BR83" s="40">
        <v>0</v>
      </c>
      <c r="BS83" s="40">
        <v>0</v>
      </c>
      <c r="BT83" s="40">
        <v>0</v>
      </c>
      <c r="BU83" s="40">
        <v>0</v>
      </c>
      <c r="BV83" s="40">
        <v>237.17171514801549</v>
      </c>
      <c r="BW83" s="40">
        <v>0</v>
      </c>
      <c r="BX83" s="40">
        <v>21.077494259044038</v>
      </c>
      <c r="BY83" s="40">
        <v>2.2673333333333332</v>
      </c>
      <c r="BZ83" s="40">
        <v>0</v>
      </c>
      <c r="CA83" s="40">
        <v>0</v>
      </c>
      <c r="CB83" s="40">
        <v>343.37328260767487</v>
      </c>
      <c r="CC83" s="40">
        <v>23.344827592377371</v>
      </c>
      <c r="CD83" s="73">
        <v>14.708752131448348</v>
      </c>
      <c r="CE83" s="40">
        <v>-231.58779709821113</v>
      </c>
      <c r="CF83" s="40">
        <v>0.82999400223232722</v>
      </c>
      <c r="CG83" s="40">
        <v>0.79888059259163191</v>
      </c>
      <c r="CH83" s="40">
        <v>1.6288745948239591</v>
      </c>
      <c r="CI83" s="40">
        <v>4.1499369636276456E-2</v>
      </c>
      <c r="CJ83" s="40">
        <v>3.9944029629581594E-2</v>
      </c>
      <c r="CK83" s="40">
        <v>8.1443399265858057E-2</v>
      </c>
      <c r="CL83" s="40"/>
      <c r="CM83" s="40">
        <v>6.8280392529199307</v>
      </c>
      <c r="CN83" s="40"/>
      <c r="CO83" s="40">
        <v>0</v>
      </c>
      <c r="CP83" s="40">
        <v>0</v>
      </c>
      <c r="CQ83" s="40">
        <v>49.53074466804128</v>
      </c>
      <c r="CR83" s="40">
        <v>0</v>
      </c>
      <c r="CS83" s="40">
        <v>0</v>
      </c>
      <c r="CT83" s="40">
        <v>49.53074466804128</v>
      </c>
      <c r="CU83" s="40">
        <v>0</v>
      </c>
      <c r="CV83" s="40">
        <v>0</v>
      </c>
      <c r="CW83" s="73">
        <v>9999</v>
      </c>
    </row>
    <row r="84" spans="1:101" s="20" customFormat="1">
      <c r="A84" s="20" t="s">
        <v>1267</v>
      </c>
      <c r="C84" s="40">
        <v>10</v>
      </c>
      <c r="D84" s="40">
        <v>81.293930844393842</v>
      </c>
      <c r="E84" s="40">
        <v>6.7604349038811193</v>
      </c>
      <c r="F84" s="40">
        <v>11.336666666666666</v>
      </c>
      <c r="G84" s="40">
        <v>0</v>
      </c>
      <c r="H84" s="40">
        <v>0</v>
      </c>
      <c r="I84" s="40"/>
      <c r="J84" s="40"/>
      <c r="K84" s="40"/>
      <c r="L84" s="40">
        <v>87.367093971108304</v>
      </c>
      <c r="M84" s="40">
        <v>1.5056246253698094E-2</v>
      </c>
      <c r="N84" s="40">
        <v>1.4947577020115843E-2</v>
      </c>
      <c r="O84" s="40">
        <v>6.8280392529199307</v>
      </c>
      <c r="P84" s="40">
        <v>0</v>
      </c>
      <c r="Q84" s="40">
        <v>0</v>
      </c>
      <c r="R84" s="40">
        <v>2.2606827742196258</v>
      </c>
      <c r="S84" s="40">
        <v>5.2240940433126122</v>
      </c>
      <c r="T84" s="40">
        <v>0</v>
      </c>
      <c r="U84" s="40">
        <v>13.592717441511798</v>
      </c>
      <c r="V84" s="40">
        <v>0.68020000000000003</v>
      </c>
      <c r="W84" s="40">
        <v>1.5871333333333333</v>
      </c>
      <c r="X84" s="40">
        <v>0</v>
      </c>
      <c r="Y84" s="40">
        <v>0</v>
      </c>
      <c r="Z84" s="40">
        <v>0</v>
      </c>
      <c r="AA84" s="40">
        <v>0</v>
      </c>
      <c r="AB84" s="40">
        <v>0</v>
      </c>
      <c r="AC84" s="40">
        <v>0</v>
      </c>
      <c r="AD84" s="40">
        <v>0</v>
      </c>
      <c r="AE84" s="40">
        <v>0</v>
      </c>
      <c r="AF84" s="40">
        <v>0</v>
      </c>
      <c r="AG84" s="40">
        <v>0</v>
      </c>
      <c r="AH84" s="40">
        <v>2.940882774219626</v>
      </c>
      <c r="AI84" s="40">
        <v>6.8112273766459452</v>
      </c>
      <c r="AJ84" s="40">
        <v>0</v>
      </c>
      <c r="AK84" s="40">
        <v>13.592717441511798</v>
      </c>
      <c r="AL84" s="40">
        <v>23.344827592377371</v>
      </c>
      <c r="AM84" s="40">
        <v>45.05330504568397</v>
      </c>
      <c r="AN84" s="40">
        <v>5.3201018030668079</v>
      </c>
      <c r="AO84" s="40">
        <v>0</v>
      </c>
      <c r="AP84" s="40">
        <v>0</v>
      </c>
      <c r="AQ84" s="40">
        <v>50.373406848750776</v>
      </c>
      <c r="AR84" s="40">
        <v>2.940882774219626</v>
      </c>
      <c r="AS84" s="73">
        <v>17.128668742030204</v>
      </c>
      <c r="AT84" s="40">
        <v>45.05330504568397</v>
      </c>
      <c r="AU84" s="40">
        <v>6.2974159428673318</v>
      </c>
      <c r="AV84" s="40">
        <v>0</v>
      </c>
      <c r="AW84" s="40">
        <v>0</v>
      </c>
      <c r="AX84" s="40">
        <v>51.350720988551302</v>
      </c>
      <c r="AY84" s="40">
        <v>6.8112273766459452</v>
      </c>
      <c r="AZ84" s="73">
        <v>7.5391288748663028</v>
      </c>
      <c r="BA84" s="40">
        <v>45.05330504568397</v>
      </c>
      <c r="BB84" s="40">
        <v>11.617517745934141</v>
      </c>
      <c r="BC84" s="40">
        <v>0</v>
      </c>
      <c r="BD84" s="40">
        <v>0</v>
      </c>
      <c r="BE84" s="40">
        <v>56.670822791618107</v>
      </c>
      <c r="BF84" s="40">
        <v>9.7521101508655708</v>
      </c>
      <c r="BG84" s="40">
        <v>-1.5710715520291227</v>
      </c>
      <c r="BH84" s="73">
        <v>5.811134402187629</v>
      </c>
      <c r="BI84" s="40">
        <v>2.4768513201315163</v>
      </c>
      <c r="BJ84" s="40">
        <v>5.7365079857826222</v>
      </c>
      <c r="BK84" s="40">
        <v>0</v>
      </c>
      <c r="BL84" s="40">
        <v>11.447970804656396</v>
      </c>
      <c r="BM84" s="40">
        <v>19.661330110570535</v>
      </c>
      <c r="BN84" s="40">
        <v>45.05330504568397</v>
      </c>
      <c r="BO84" s="40">
        <v>49.53074466804128</v>
      </c>
      <c r="BP84" s="40">
        <v>11.617517745934141</v>
      </c>
      <c r="BQ84" s="40">
        <v>0</v>
      </c>
      <c r="BR84" s="40">
        <v>0</v>
      </c>
      <c r="BS84" s="40">
        <v>0</v>
      </c>
      <c r="BT84" s="40">
        <v>0</v>
      </c>
      <c r="BU84" s="40">
        <v>0</v>
      </c>
      <c r="BV84" s="40">
        <v>237.17171514801549</v>
      </c>
      <c r="BW84" s="40">
        <v>0</v>
      </c>
      <c r="BX84" s="40">
        <v>21.077494259044038</v>
      </c>
      <c r="BY84" s="40">
        <v>2.2673333333333332</v>
      </c>
      <c r="BZ84" s="40">
        <v>0</v>
      </c>
      <c r="CA84" s="40">
        <v>0</v>
      </c>
      <c r="CB84" s="40">
        <v>343.37328260767487</v>
      </c>
      <c r="CC84" s="40">
        <v>23.344827592377371</v>
      </c>
      <c r="CD84" s="73">
        <v>14.708752131448348</v>
      </c>
      <c r="CE84" s="40">
        <v>-231.58779709821113</v>
      </c>
      <c r="CF84" s="40">
        <v>0.82999400223232722</v>
      </c>
      <c r="CG84" s="40">
        <v>0.79888059259163191</v>
      </c>
      <c r="CH84" s="40">
        <v>1.6288745948239591</v>
      </c>
      <c r="CI84" s="40">
        <v>4.1499369636276456E-2</v>
      </c>
      <c r="CJ84" s="40">
        <v>3.9944029629581594E-2</v>
      </c>
      <c r="CK84" s="40">
        <v>8.1443399265858057E-2</v>
      </c>
      <c r="CL84" s="40"/>
      <c r="CM84" s="40">
        <v>6.8280392529199307</v>
      </c>
      <c r="CN84" s="40"/>
      <c r="CO84" s="40">
        <v>0</v>
      </c>
      <c r="CP84" s="40">
        <v>0</v>
      </c>
      <c r="CQ84" s="40">
        <v>49.53074466804128</v>
      </c>
      <c r="CR84" s="40">
        <v>0</v>
      </c>
      <c r="CS84" s="40">
        <v>0</v>
      </c>
      <c r="CT84" s="40">
        <v>49.53074466804128</v>
      </c>
      <c r="CU84" s="40">
        <v>0</v>
      </c>
      <c r="CV84" s="40">
        <v>0</v>
      </c>
      <c r="CW84" s="73">
        <v>9999</v>
      </c>
    </row>
    <row r="85" spans="1:101" s="20" customFormat="1">
      <c r="A85" s="20" t="s">
        <v>1268</v>
      </c>
      <c r="C85" s="40">
        <v>10</v>
      </c>
      <c r="D85" s="40">
        <v>81.293930844393842</v>
      </c>
      <c r="E85" s="40">
        <v>6.7604349038811193</v>
      </c>
      <c r="F85" s="40">
        <v>11.336666666666666</v>
      </c>
      <c r="G85" s="40">
        <v>0</v>
      </c>
      <c r="H85" s="40">
        <v>0</v>
      </c>
      <c r="I85" s="40"/>
      <c r="J85" s="40"/>
      <c r="K85" s="40"/>
      <c r="L85" s="40">
        <v>87.367093971108304</v>
      </c>
      <c r="M85" s="40">
        <v>1.5056246253698094E-2</v>
      </c>
      <c r="N85" s="40">
        <v>1.4947577020115843E-2</v>
      </c>
      <c r="O85" s="40">
        <v>6.8280392529199307</v>
      </c>
      <c r="P85" s="40">
        <v>0</v>
      </c>
      <c r="Q85" s="40">
        <v>0</v>
      </c>
      <c r="R85" s="40">
        <v>2.2606827742196258</v>
      </c>
      <c r="S85" s="40">
        <v>5.2240940433126122</v>
      </c>
      <c r="T85" s="40">
        <v>0</v>
      </c>
      <c r="U85" s="40">
        <v>13.592717441511798</v>
      </c>
      <c r="V85" s="40">
        <v>0.68020000000000003</v>
      </c>
      <c r="W85" s="40">
        <v>1.5871333333333333</v>
      </c>
      <c r="X85" s="40">
        <v>0</v>
      </c>
      <c r="Y85" s="40">
        <v>0</v>
      </c>
      <c r="Z85" s="40">
        <v>0</v>
      </c>
      <c r="AA85" s="40">
        <v>0</v>
      </c>
      <c r="AB85" s="40">
        <v>0</v>
      </c>
      <c r="AC85" s="40">
        <v>0</v>
      </c>
      <c r="AD85" s="40">
        <v>0</v>
      </c>
      <c r="AE85" s="40">
        <v>0</v>
      </c>
      <c r="AF85" s="40">
        <v>0</v>
      </c>
      <c r="AG85" s="40">
        <v>0</v>
      </c>
      <c r="AH85" s="40">
        <v>2.940882774219626</v>
      </c>
      <c r="AI85" s="40">
        <v>6.8112273766459452</v>
      </c>
      <c r="AJ85" s="40">
        <v>0</v>
      </c>
      <c r="AK85" s="40">
        <v>13.592717441511798</v>
      </c>
      <c r="AL85" s="40">
        <v>23.344827592377371</v>
      </c>
      <c r="AM85" s="40">
        <v>45.05330504568397</v>
      </c>
      <c r="AN85" s="40">
        <v>5.3201018030668079</v>
      </c>
      <c r="AO85" s="40">
        <v>0</v>
      </c>
      <c r="AP85" s="40">
        <v>0</v>
      </c>
      <c r="AQ85" s="40">
        <v>50.373406848750776</v>
      </c>
      <c r="AR85" s="40">
        <v>2.940882774219626</v>
      </c>
      <c r="AS85" s="73">
        <v>17.128668742030204</v>
      </c>
      <c r="AT85" s="40">
        <v>45.05330504568397</v>
      </c>
      <c r="AU85" s="40">
        <v>6.2974159428673318</v>
      </c>
      <c r="AV85" s="40">
        <v>0</v>
      </c>
      <c r="AW85" s="40">
        <v>0</v>
      </c>
      <c r="AX85" s="40">
        <v>51.350720988551302</v>
      </c>
      <c r="AY85" s="40">
        <v>6.8112273766459452</v>
      </c>
      <c r="AZ85" s="73">
        <v>7.5391288748663028</v>
      </c>
      <c r="BA85" s="40">
        <v>45.05330504568397</v>
      </c>
      <c r="BB85" s="40">
        <v>11.617517745934141</v>
      </c>
      <c r="BC85" s="40">
        <v>0</v>
      </c>
      <c r="BD85" s="40">
        <v>0</v>
      </c>
      <c r="BE85" s="40">
        <v>56.670822791618107</v>
      </c>
      <c r="BF85" s="40">
        <v>9.7521101508655708</v>
      </c>
      <c r="BG85" s="40">
        <v>-1.5710715520291227</v>
      </c>
      <c r="BH85" s="73">
        <v>5.811134402187629</v>
      </c>
      <c r="BI85" s="40">
        <v>2.4768513201315163</v>
      </c>
      <c r="BJ85" s="40">
        <v>5.7365079857826222</v>
      </c>
      <c r="BK85" s="40">
        <v>0</v>
      </c>
      <c r="BL85" s="40">
        <v>11.447970804656396</v>
      </c>
      <c r="BM85" s="40">
        <v>19.661330110570535</v>
      </c>
      <c r="BN85" s="40">
        <v>45.05330504568397</v>
      </c>
      <c r="BO85" s="40">
        <v>49.53074466804128</v>
      </c>
      <c r="BP85" s="40">
        <v>11.617517745934141</v>
      </c>
      <c r="BQ85" s="40">
        <v>0</v>
      </c>
      <c r="BR85" s="40">
        <v>0</v>
      </c>
      <c r="BS85" s="40">
        <v>0</v>
      </c>
      <c r="BT85" s="40">
        <v>0</v>
      </c>
      <c r="BU85" s="40">
        <v>0</v>
      </c>
      <c r="BV85" s="40">
        <v>237.17171514801549</v>
      </c>
      <c r="BW85" s="40">
        <v>0</v>
      </c>
      <c r="BX85" s="40">
        <v>21.077494259044038</v>
      </c>
      <c r="BY85" s="40">
        <v>2.2673333333333332</v>
      </c>
      <c r="BZ85" s="40">
        <v>0</v>
      </c>
      <c r="CA85" s="40">
        <v>0</v>
      </c>
      <c r="CB85" s="40">
        <v>343.37328260767487</v>
      </c>
      <c r="CC85" s="40">
        <v>23.344827592377371</v>
      </c>
      <c r="CD85" s="73">
        <v>14.708752131448348</v>
      </c>
      <c r="CE85" s="40">
        <v>-231.58779709821113</v>
      </c>
      <c r="CF85" s="40">
        <v>0.82999400223232722</v>
      </c>
      <c r="CG85" s="40">
        <v>0.79888059259163191</v>
      </c>
      <c r="CH85" s="40">
        <v>1.6288745948239591</v>
      </c>
      <c r="CI85" s="40">
        <v>4.1499369636276456E-2</v>
      </c>
      <c r="CJ85" s="40">
        <v>3.9944029629581594E-2</v>
      </c>
      <c r="CK85" s="40">
        <v>8.1443399265858057E-2</v>
      </c>
      <c r="CL85" s="40"/>
      <c r="CM85" s="40">
        <v>6.8280392529199307</v>
      </c>
      <c r="CN85" s="40"/>
      <c r="CO85" s="40">
        <v>0</v>
      </c>
      <c r="CP85" s="40">
        <v>0</v>
      </c>
      <c r="CQ85" s="40">
        <v>49.53074466804128</v>
      </c>
      <c r="CR85" s="40">
        <v>0</v>
      </c>
      <c r="CS85" s="40">
        <v>0</v>
      </c>
      <c r="CT85" s="40">
        <v>49.53074466804128</v>
      </c>
      <c r="CU85" s="40">
        <v>0</v>
      </c>
      <c r="CV85" s="40">
        <v>0</v>
      </c>
      <c r="CW85" s="73">
        <v>9999</v>
      </c>
    </row>
    <row r="86" spans="1:101" s="20" customFormat="1">
      <c r="A86" s="20" t="s">
        <v>1269</v>
      </c>
      <c r="C86" s="40">
        <v>10</v>
      </c>
      <c r="D86" s="40">
        <v>29.02544651362075</v>
      </c>
      <c r="E86" s="40">
        <v>7.3435538258373221</v>
      </c>
      <c r="F86" s="40">
        <v>11.336666666666666</v>
      </c>
      <c r="G86" s="40">
        <v>0</v>
      </c>
      <c r="H86" s="40">
        <v>0</v>
      </c>
      <c r="I86" s="40"/>
      <c r="J86" s="40"/>
      <c r="K86" s="40"/>
      <c r="L86" s="40">
        <v>31.19382820794868</v>
      </c>
      <c r="M86" s="40">
        <v>5.3757305839855826E-3</v>
      </c>
      <c r="N86" s="40">
        <v>5.3369309713422316E-3</v>
      </c>
      <c r="O86" s="40">
        <v>7.416989364095695</v>
      </c>
      <c r="P86" s="40">
        <v>0</v>
      </c>
      <c r="Q86" s="40">
        <v>0</v>
      </c>
      <c r="R86" s="40">
        <v>2.2606827742196258</v>
      </c>
      <c r="S86" s="40">
        <v>5.2240940433126122</v>
      </c>
      <c r="T86" s="40">
        <v>0</v>
      </c>
      <c r="U86" s="40">
        <v>13.592717441511798</v>
      </c>
      <c r="V86" s="40">
        <v>0.68020000000000003</v>
      </c>
      <c r="W86" s="40">
        <v>1.5871333333333333</v>
      </c>
      <c r="X86" s="40">
        <v>0</v>
      </c>
      <c r="Y86" s="40">
        <v>0</v>
      </c>
      <c r="Z86" s="40">
        <v>0</v>
      </c>
      <c r="AA86" s="40">
        <v>0</v>
      </c>
      <c r="AB86" s="40">
        <v>0</v>
      </c>
      <c r="AC86" s="40">
        <v>0</v>
      </c>
      <c r="AD86" s="40">
        <v>0</v>
      </c>
      <c r="AE86" s="40">
        <v>0</v>
      </c>
      <c r="AF86" s="40">
        <v>0</v>
      </c>
      <c r="AG86" s="40">
        <v>0</v>
      </c>
      <c r="AH86" s="40">
        <v>2.940882774219626</v>
      </c>
      <c r="AI86" s="40">
        <v>6.8112273766459452</v>
      </c>
      <c r="AJ86" s="40">
        <v>0</v>
      </c>
      <c r="AK86" s="40">
        <v>13.592717441511798</v>
      </c>
      <c r="AL86" s="40">
        <v>23.344827592377371</v>
      </c>
      <c r="AM86" s="40">
        <v>16.08597692696662</v>
      </c>
      <c r="AN86" s="40">
        <v>1.8995062574536821</v>
      </c>
      <c r="AO86" s="40">
        <v>0</v>
      </c>
      <c r="AP86" s="40">
        <v>0</v>
      </c>
      <c r="AQ86" s="40">
        <v>17.985483184420303</v>
      </c>
      <c r="AR86" s="40">
        <v>2.940882774219626</v>
      </c>
      <c r="AS86" s="73">
        <v>6.1156749742236212</v>
      </c>
      <c r="AT86" s="40">
        <v>16.08597692696662</v>
      </c>
      <c r="AU86" s="40">
        <v>2.2484496410142953</v>
      </c>
      <c r="AV86" s="40">
        <v>0</v>
      </c>
      <c r="AW86" s="40">
        <v>0</v>
      </c>
      <c r="AX86" s="40">
        <v>18.334426567980916</v>
      </c>
      <c r="AY86" s="40">
        <v>6.8112273766459452</v>
      </c>
      <c r="AZ86" s="73">
        <v>2.6917948196598518</v>
      </c>
      <c r="BA86" s="40">
        <v>16.08597692696662</v>
      </c>
      <c r="BB86" s="40">
        <v>4.147955898467977</v>
      </c>
      <c r="BC86" s="40">
        <v>0</v>
      </c>
      <c r="BD86" s="40">
        <v>0</v>
      </c>
      <c r="BE86" s="40">
        <v>20.2339328254346</v>
      </c>
      <c r="BF86" s="40">
        <v>9.7521101508655708</v>
      </c>
      <c r="BG86" s="40">
        <v>13.219393152199459</v>
      </c>
      <c r="BH86" s="73">
        <v>2.0748261158267054</v>
      </c>
      <c r="BI86" s="40">
        <v>6.9371191184303855</v>
      </c>
      <c r="BJ86" s="40">
        <v>16.066704891712345</v>
      </c>
      <c r="BK86" s="40">
        <v>0</v>
      </c>
      <c r="BL86" s="40">
        <v>32.063263745680921</v>
      </c>
      <c r="BM86" s="40">
        <v>55.06708775582365</v>
      </c>
      <c r="BN86" s="40">
        <v>16.08597692696662</v>
      </c>
      <c r="BO86" s="40">
        <v>53.803001533932331</v>
      </c>
      <c r="BP86" s="40">
        <v>4.147955898467977</v>
      </c>
      <c r="BQ86" s="40">
        <v>0</v>
      </c>
      <c r="BR86" s="40">
        <v>0</v>
      </c>
      <c r="BS86" s="40">
        <v>0</v>
      </c>
      <c r="BT86" s="40">
        <v>0</v>
      </c>
      <c r="BU86" s="40">
        <v>0</v>
      </c>
      <c r="BV86" s="40">
        <v>257.62887756758369</v>
      </c>
      <c r="BW86" s="40">
        <v>0</v>
      </c>
      <c r="BX86" s="40">
        <v>21.077494259044038</v>
      </c>
      <c r="BY86" s="40">
        <v>2.2673333333333332</v>
      </c>
      <c r="BZ86" s="40">
        <v>0</v>
      </c>
      <c r="CA86" s="40">
        <v>0</v>
      </c>
      <c r="CB86" s="40">
        <v>331.6658119269506</v>
      </c>
      <c r="CC86" s="40">
        <v>23.344827592377371</v>
      </c>
      <c r="CD86" s="73">
        <v>14.207250433292863</v>
      </c>
      <c r="CE86" s="40">
        <v>-689.3403146610957</v>
      </c>
      <c r="CF86" s="40">
        <v>0.29634372785507662</v>
      </c>
      <c r="CG86" s="40">
        <v>0.86778775559919663</v>
      </c>
      <c r="CH86" s="40">
        <v>1.1641314834542733</v>
      </c>
      <c r="CI86" s="40">
        <v>1.4817068398775626E-2</v>
      </c>
      <c r="CJ86" s="40">
        <v>4.3389387779959813E-2</v>
      </c>
      <c r="CK86" s="40">
        <v>5.820645617873544E-2</v>
      </c>
      <c r="CL86" s="40"/>
      <c r="CM86" s="40">
        <v>7.416989364095695</v>
      </c>
      <c r="CN86" s="40"/>
      <c r="CO86" s="40">
        <v>0</v>
      </c>
      <c r="CP86" s="40">
        <v>0</v>
      </c>
      <c r="CQ86" s="40">
        <v>53.803001533932331</v>
      </c>
      <c r="CR86" s="40">
        <v>0</v>
      </c>
      <c r="CS86" s="40">
        <v>0</v>
      </c>
      <c r="CT86" s="40">
        <v>53.803001533932331</v>
      </c>
      <c r="CU86" s="40">
        <v>0</v>
      </c>
      <c r="CV86" s="40">
        <v>0</v>
      </c>
      <c r="CW86" s="73">
        <v>9999</v>
      </c>
    </row>
    <row r="87" spans="1:101" s="20" customFormat="1">
      <c r="A87" s="20" t="s">
        <v>1270</v>
      </c>
      <c r="C87" s="40">
        <v>0</v>
      </c>
      <c r="D87" s="40">
        <v>0</v>
      </c>
      <c r="E87" s="40">
        <v>0</v>
      </c>
      <c r="F87" s="40">
        <v>11.336666666666666</v>
      </c>
      <c r="G87" s="40">
        <v>0</v>
      </c>
      <c r="H87" s="40">
        <v>0</v>
      </c>
      <c r="I87" s="40"/>
      <c r="J87" s="40"/>
      <c r="K87" s="40"/>
      <c r="L87" s="40">
        <v>0</v>
      </c>
      <c r="M87" s="40">
        <v>0</v>
      </c>
      <c r="N87" s="40">
        <v>0</v>
      </c>
      <c r="O87" s="40">
        <v>0</v>
      </c>
      <c r="P87" s="40">
        <v>0</v>
      </c>
      <c r="Q87" s="40">
        <v>0</v>
      </c>
      <c r="R87" s="40">
        <v>2.2606827742196258</v>
      </c>
      <c r="S87" s="40">
        <v>5.2240940433126122</v>
      </c>
      <c r="T87" s="40">
        <v>0</v>
      </c>
      <c r="U87" s="40">
        <v>13.592717441511798</v>
      </c>
      <c r="V87" s="40">
        <v>0.68020000000000003</v>
      </c>
      <c r="W87" s="40">
        <v>1.5871333333333333</v>
      </c>
      <c r="X87" s="40">
        <v>0</v>
      </c>
      <c r="Y87" s="40">
        <v>0</v>
      </c>
      <c r="Z87" s="40">
        <v>0</v>
      </c>
      <c r="AA87" s="40">
        <v>0</v>
      </c>
      <c r="AB87" s="40">
        <v>0</v>
      </c>
      <c r="AC87" s="40">
        <v>0</v>
      </c>
      <c r="AD87" s="40">
        <v>0</v>
      </c>
      <c r="AE87" s="40">
        <v>0</v>
      </c>
      <c r="AF87" s="40">
        <v>0</v>
      </c>
      <c r="AG87" s="40">
        <v>0</v>
      </c>
      <c r="AH87" s="40">
        <v>2.940882774219626</v>
      </c>
      <c r="AI87" s="40">
        <v>6.8112273766459452</v>
      </c>
      <c r="AJ87" s="40">
        <v>0</v>
      </c>
      <c r="AK87" s="40">
        <v>13.592717441511798</v>
      </c>
      <c r="AL87" s="40">
        <v>23.344827592377371</v>
      </c>
      <c r="AM87" s="40">
        <v>0</v>
      </c>
      <c r="AN87" s="40">
        <v>0</v>
      </c>
      <c r="AO87" s="40">
        <v>0</v>
      </c>
      <c r="AP87" s="40">
        <v>0</v>
      </c>
      <c r="AQ87" s="40">
        <v>0</v>
      </c>
      <c r="AR87" s="40">
        <v>2.940882774219626</v>
      </c>
      <c r="AS87" s="81">
        <v>0</v>
      </c>
      <c r="AT87" s="40">
        <v>0</v>
      </c>
      <c r="AU87" s="40">
        <v>0</v>
      </c>
      <c r="AV87" s="40">
        <v>0</v>
      </c>
      <c r="AW87" s="40">
        <v>0</v>
      </c>
      <c r="AX87" s="40">
        <v>0</v>
      </c>
      <c r="AY87" s="40">
        <v>6.8112273766459452</v>
      </c>
      <c r="AZ87" s="81">
        <v>0</v>
      </c>
      <c r="BA87" s="40">
        <v>0</v>
      </c>
      <c r="BB87" s="40">
        <v>0</v>
      </c>
      <c r="BC87" s="40">
        <v>0</v>
      </c>
      <c r="BD87" s="40">
        <v>0</v>
      </c>
      <c r="BE87" s="40">
        <v>0</v>
      </c>
      <c r="BF87" s="40">
        <v>9.7521101508655708</v>
      </c>
      <c r="BG87" s="40">
        <v>9999</v>
      </c>
      <c r="BH87" s="81">
        <v>0</v>
      </c>
      <c r="BI87" s="40">
        <v>9999</v>
      </c>
      <c r="BJ87" s="40">
        <v>9999</v>
      </c>
      <c r="BK87" s="40">
        <v>9999</v>
      </c>
      <c r="BL87" s="40">
        <v>9999</v>
      </c>
      <c r="BM87" s="40">
        <v>9999</v>
      </c>
      <c r="BN87" s="40">
        <v>0</v>
      </c>
      <c r="BO87" s="40">
        <v>0</v>
      </c>
      <c r="BP87" s="40">
        <v>0</v>
      </c>
      <c r="BQ87" s="40">
        <v>0</v>
      </c>
      <c r="BR87" s="40">
        <v>0</v>
      </c>
      <c r="BS87" s="40">
        <v>0</v>
      </c>
      <c r="BT87" s="40">
        <v>0</v>
      </c>
      <c r="BU87" s="40">
        <v>0</v>
      </c>
      <c r="BV87" s="40">
        <v>0</v>
      </c>
      <c r="BW87" s="40">
        <v>0</v>
      </c>
      <c r="BX87" s="40">
        <v>21.077494259044038</v>
      </c>
      <c r="BY87" s="40">
        <v>2.2673333333333332</v>
      </c>
      <c r="BZ87" s="40">
        <v>0</v>
      </c>
      <c r="CA87" s="40">
        <v>0</v>
      </c>
      <c r="CB87" s="40">
        <v>0</v>
      </c>
      <c r="CC87" s="40">
        <v>23.344827592377371</v>
      </c>
      <c r="CD87" s="81">
        <v>0</v>
      </c>
      <c r="CE87" s="40">
        <v>9999</v>
      </c>
      <c r="CF87" s="40">
        <v>0</v>
      </c>
      <c r="CG87" s="40">
        <v>0</v>
      </c>
      <c r="CH87" s="40">
        <v>0</v>
      </c>
      <c r="CI87" s="40">
        <v>0</v>
      </c>
      <c r="CJ87" s="40">
        <v>0</v>
      </c>
      <c r="CK87" s="40">
        <v>0</v>
      </c>
      <c r="CL87" s="40"/>
      <c r="CM87" s="40">
        <v>0</v>
      </c>
      <c r="CN87" s="40"/>
      <c r="CO87" s="40">
        <v>0</v>
      </c>
      <c r="CP87" s="40">
        <v>0</v>
      </c>
      <c r="CQ87" s="40">
        <v>0</v>
      </c>
      <c r="CR87" s="40">
        <v>0</v>
      </c>
      <c r="CS87" s="40">
        <v>0</v>
      </c>
      <c r="CT87" s="40">
        <v>0</v>
      </c>
      <c r="CU87" s="40">
        <v>0</v>
      </c>
      <c r="CV87" s="40">
        <v>9999</v>
      </c>
      <c r="CW87" s="73">
        <v>9999</v>
      </c>
    </row>
    <row r="88" spans="1:101" s="20" customFormat="1">
      <c r="A88" s="20" t="s">
        <v>1271</v>
      </c>
      <c r="C88" s="40">
        <v>0</v>
      </c>
      <c r="D88" s="40">
        <v>0</v>
      </c>
      <c r="E88" s="40">
        <v>0</v>
      </c>
      <c r="F88" s="40">
        <v>11.336666666666666</v>
      </c>
      <c r="G88" s="40">
        <v>0</v>
      </c>
      <c r="H88" s="40">
        <v>0</v>
      </c>
      <c r="I88" s="40"/>
      <c r="J88" s="40"/>
      <c r="K88" s="40"/>
      <c r="L88" s="40">
        <v>0</v>
      </c>
      <c r="M88" s="40">
        <v>0</v>
      </c>
      <c r="N88" s="40">
        <v>0</v>
      </c>
      <c r="O88" s="40">
        <v>0</v>
      </c>
      <c r="P88" s="40">
        <v>0</v>
      </c>
      <c r="Q88" s="40">
        <v>0</v>
      </c>
      <c r="R88" s="40">
        <v>2.2606827742196258</v>
      </c>
      <c r="S88" s="40">
        <v>5.2240940433126122</v>
      </c>
      <c r="T88" s="40">
        <v>0</v>
      </c>
      <c r="U88" s="40">
        <v>13.592717441511798</v>
      </c>
      <c r="V88" s="40">
        <v>0.68020000000000003</v>
      </c>
      <c r="W88" s="40">
        <v>1.5871333333333333</v>
      </c>
      <c r="X88" s="40">
        <v>0</v>
      </c>
      <c r="Y88" s="40">
        <v>0</v>
      </c>
      <c r="Z88" s="40">
        <v>0</v>
      </c>
      <c r="AA88" s="40">
        <v>0</v>
      </c>
      <c r="AB88" s="40">
        <v>0</v>
      </c>
      <c r="AC88" s="40">
        <v>0</v>
      </c>
      <c r="AD88" s="40">
        <v>0</v>
      </c>
      <c r="AE88" s="40">
        <v>0</v>
      </c>
      <c r="AF88" s="40">
        <v>0</v>
      </c>
      <c r="AG88" s="40">
        <v>0</v>
      </c>
      <c r="AH88" s="40">
        <v>2.940882774219626</v>
      </c>
      <c r="AI88" s="40">
        <v>6.8112273766459452</v>
      </c>
      <c r="AJ88" s="40">
        <v>0</v>
      </c>
      <c r="AK88" s="40">
        <v>13.592717441511798</v>
      </c>
      <c r="AL88" s="40">
        <v>23.344827592377371</v>
      </c>
      <c r="AM88" s="40">
        <v>0</v>
      </c>
      <c r="AN88" s="40">
        <v>0</v>
      </c>
      <c r="AO88" s="40">
        <v>0</v>
      </c>
      <c r="AP88" s="40">
        <v>0</v>
      </c>
      <c r="AQ88" s="40">
        <v>0</v>
      </c>
      <c r="AR88" s="40">
        <v>2.940882774219626</v>
      </c>
      <c r="AS88" s="81">
        <v>0</v>
      </c>
      <c r="AT88" s="40">
        <v>0</v>
      </c>
      <c r="AU88" s="40">
        <v>0</v>
      </c>
      <c r="AV88" s="40">
        <v>0</v>
      </c>
      <c r="AW88" s="40">
        <v>0</v>
      </c>
      <c r="AX88" s="40">
        <v>0</v>
      </c>
      <c r="AY88" s="40">
        <v>6.8112273766459452</v>
      </c>
      <c r="AZ88" s="81">
        <v>0</v>
      </c>
      <c r="BA88" s="40">
        <v>0</v>
      </c>
      <c r="BB88" s="40">
        <v>0</v>
      </c>
      <c r="BC88" s="40">
        <v>0</v>
      </c>
      <c r="BD88" s="40">
        <v>0</v>
      </c>
      <c r="BE88" s="40">
        <v>0</v>
      </c>
      <c r="BF88" s="40">
        <v>9.7521101508655708</v>
      </c>
      <c r="BG88" s="40">
        <v>9999</v>
      </c>
      <c r="BH88" s="81">
        <v>0</v>
      </c>
      <c r="BI88" s="40">
        <v>9999</v>
      </c>
      <c r="BJ88" s="40">
        <v>9999</v>
      </c>
      <c r="BK88" s="40">
        <v>9999</v>
      </c>
      <c r="BL88" s="40">
        <v>9999</v>
      </c>
      <c r="BM88" s="40">
        <v>9999</v>
      </c>
      <c r="BN88" s="40">
        <v>0</v>
      </c>
      <c r="BO88" s="40">
        <v>0</v>
      </c>
      <c r="BP88" s="40">
        <v>0</v>
      </c>
      <c r="BQ88" s="40">
        <v>0</v>
      </c>
      <c r="BR88" s="40">
        <v>0</v>
      </c>
      <c r="BS88" s="40">
        <v>0</v>
      </c>
      <c r="BT88" s="40">
        <v>0</v>
      </c>
      <c r="BU88" s="40">
        <v>0</v>
      </c>
      <c r="BV88" s="40">
        <v>0</v>
      </c>
      <c r="BW88" s="40">
        <v>0</v>
      </c>
      <c r="BX88" s="40">
        <v>21.077494259044038</v>
      </c>
      <c r="BY88" s="40">
        <v>2.2673333333333332</v>
      </c>
      <c r="BZ88" s="40">
        <v>0</v>
      </c>
      <c r="CA88" s="40">
        <v>0</v>
      </c>
      <c r="CB88" s="40">
        <v>0</v>
      </c>
      <c r="CC88" s="40">
        <v>23.344827592377371</v>
      </c>
      <c r="CD88" s="81">
        <v>0</v>
      </c>
      <c r="CE88" s="40">
        <v>9999</v>
      </c>
      <c r="CF88" s="40">
        <v>0</v>
      </c>
      <c r="CG88" s="40">
        <v>0</v>
      </c>
      <c r="CH88" s="40">
        <v>0</v>
      </c>
      <c r="CI88" s="40">
        <v>0</v>
      </c>
      <c r="CJ88" s="40">
        <v>0</v>
      </c>
      <c r="CK88" s="40">
        <v>0</v>
      </c>
      <c r="CL88" s="40"/>
      <c r="CM88" s="40">
        <v>0</v>
      </c>
      <c r="CN88" s="40"/>
      <c r="CO88" s="40">
        <v>0</v>
      </c>
      <c r="CP88" s="40">
        <v>0</v>
      </c>
      <c r="CQ88" s="40">
        <v>0</v>
      </c>
      <c r="CR88" s="40">
        <v>0</v>
      </c>
      <c r="CS88" s="40">
        <v>0</v>
      </c>
      <c r="CT88" s="40">
        <v>0</v>
      </c>
      <c r="CU88" s="40">
        <v>0</v>
      </c>
      <c r="CV88" s="40">
        <v>9999</v>
      </c>
      <c r="CW88" s="73">
        <v>9999</v>
      </c>
    </row>
    <row r="89" spans="1:101" s="20" customFormat="1">
      <c r="A89" s="20" t="s">
        <v>1272</v>
      </c>
      <c r="C89" s="40">
        <v>0</v>
      </c>
      <c r="D89" s="40">
        <v>0</v>
      </c>
      <c r="E89" s="40">
        <v>0</v>
      </c>
      <c r="F89" s="40">
        <v>11.336666666666666</v>
      </c>
      <c r="G89" s="40">
        <v>0</v>
      </c>
      <c r="H89" s="40">
        <v>0</v>
      </c>
      <c r="I89" s="40"/>
      <c r="J89" s="40"/>
      <c r="K89" s="40"/>
      <c r="L89" s="40">
        <v>0</v>
      </c>
      <c r="M89" s="40">
        <v>0</v>
      </c>
      <c r="N89" s="40">
        <v>0</v>
      </c>
      <c r="O89" s="40">
        <v>0</v>
      </c>
      <c r="P89" s="40">
        <v>0</v>
      </c>
      <c r="Q89" s="40">
        <v>0</v>
      </c>
      <c r="R89" s="40">
        <v>2.2606827742196258</v>
      </c>
      <c r="S89" s="40">
        <v>5.2240940433126122</v>
      </c>
      <c r="T89" s="40">
        <v>0</v>
      </c>
      <c r="U89" s="40">
        <v>13.592717441511798</v>
      </c>
      <c r="V89" s="40">
        <v>0.68020000000000003</v>
      </c>
      <c r="W89" s="40">
        <v>1.5871333333333333</v>
      </c>
      <c r="X89" s="40">
        <v>0</v>
      </c>
      <c r="Y89" s="40">
        <v>0</v>
      </c>
      <c r="Z89" s="40">
        <v>0</v>
      </c>
      <c r="AA89" s="40">
        <v>0</v>
      </c>
      <c r="AB89" s="40">
        <v>0</v>
      </c>
      <c r="AC89" s="40">
        <v>0</v>
      </c>
      <c r="AD89" s="40">
        <v>0</v>
      </c>
      <c r="AE89" s="40">
        <v>0</v>
      </c>
      <c r="AF89" s="40">
        <v>0</v>
      </c>
      <c r="AG89" s="40">
        <v>0</v>
      </c>
      <c r="AH89" s="40">
        <v>2.940882774219626</v>
      </c>
      <c r="AI89" s="40">
        <v>6.8112273766459452</v>
      </c>
      <c r="AJ89" s="40">
        <v>0</v>
      </c>
      <c r="AK89" s="40">
        <v>13.592717441511798</v>
      </c>
      <c r="AL89" s="40">
        <v>23.344827592377371</v>
      </c>
      <c r="AM89" s="40">
        <v>0</v>
      </c>
      <c r="AN89" s="40">
        <v>0</v>
      </c>
      <c r="AO89" s="40">
        <v>0</v>
      </c>
      <c r="AP89" s="40">
        <v>0</v>
      </c>
      <c r="AQ89" s="40">
        <v>0</v>
      </c>
      <c r="AR89" s="40">
        <v>2.940882774219626</v>
      </c>
      <c r="AS89" s="81">
        <v>0</v>
      </c>
      <c r="AT89" s="40">
        <v>0</v>
      </c>
      <c r="AU89" s="40">
        <v>0</v>
      </c>
      <c r="AV89" s="40">
        <v>0</v>
      </c>
      <c r="AW89" s="40">
        <v>0</v>
      </c>
      <c r="AX89" s="40">
        <v>0</v>
      </c>
      <c r="AY89" s="40">
        <v>6.8112273766459452</v>
      </c>
      <c r="AZ89" s="81">
        <v>0</v>
      </c>
      <c r="BA89" s="40">
        <v>0</v>
      </c>
      <c r="BB89" s="40">
        <v>0</v>
      </c>
      <c r="BC89" s="40">
        <v>0</v>
      </c>
      <c r="BD89" s="40">
        <v>0</v>
      </c>
      <c r="BE89" s="40">
        <v>0</v>
      </c>
      <c r="BF89" s="40">
        <v>9.7521101508655708</v>
      </c>
      <c r="BG89" s="40">
        <v>9999</v>
      </c>
      <c r="BH89" s="81">
        <v>0</v>
      </c>
      <c r="BI89" s="40">
        <v>9999</v>
      </c>
      <c r="BJ89" s="40">
        <v>9999</v>
      </c>
      <c r="BK89" s="40">
        <v>9999</v>
      </c>
      <c r="BL89" s="40">
        <v>9999</v>
      </c>
      <c r="BM89" s="40">
        <v>9999</v>
      </c>
      <c r="BN89" s="40">
        <v>0</v>
      </c>
      <c r="BO89" s="40">
        <v>0</v>
      </c>
      <c r="BP89" s="40">
        <v>0</v>
      </c>
      <c r="BQ89" s="40">
        <v>0</v>
      </c>
      <c r="BR89" s="40">
        <v>0</v>
      </c>
      <c r="BS89" s="40">
        <v>0</v>
      </c>
      <c r="BT89" s="40">
        <v>0</v>
      </c>
      <c r="BU89" s="40">
        <v>0</v>
      </c>
      <c r="BV89" s="40">
        <v>0</v>
      </c>
      <c r="BW89" s="40">
        <v>0</v>
      </c>
      <c r="BX89" s="40">
        <v>21.077494259044038</v>
      </c>
      <c r="BY89" s="40">
        <v>2.2673333333333332</v>
      </c>
      <c r="BZ89" s="40">
        <v>0</v>
      </c>
      <c r="CA89" s="40">
        <v>0</v>
      </c>
      <c r="CB89" s="40">
        <v>0</v>
      </c>
      <c r="CC89" s="40">
        <v>23.344827592377371</v>
      </c>
      <c r="CD89" s="81">
        <v>0</v>
      </c>
      <c r="CE89" s="40">
        <v>9999</v>
      </c>
      <c r="CF89" s="40">
        <v>0</v>
      </c>
      <c r="CG89" s="40">
        <v>0</v>
      </c>
      <c r="CH89" s="40">
        <v>0</v>
      </c>
      <c r="CI89" s="40">
        <v>0</v>
      </c>
      <c r="CJ89" s="40">
        <v>0</v>
      </c>
      <c r="CK89" s="40">
        <v>0</v>
      </c>
      <c r="CL89" s="40"/>
      <c r="CM89" s="40">
        <v>0</v>
      </c>
      <c r="CN89" s="40"/>
      <c r="CO89" s="40">
        <v>0</v>
      </c>
      <c r="CP89" s="40">
        <v>0</v>
      </c>
      <c r="CQ89" s="40">
        <v>0</v>
      </c>
      <c r="CR89" s="40">
        <v>0</v>
      </c>
      <c r="CS89" s="40">
        <v>0</v>
      </c>
      <c r="CT89" s="40">
        <v>0</v>
      </c>
      <c r="CU89" s="40">
        <v>0</v>
      </c>
      <c r="CV89" s="40">
        <v>9999</v>
      </c>
      <c r="CW89" s="73">
        <v>9999</v>
      </c>
    </row>
    <row r="90" spans="1:101" s="20" customFormat="1">
      <c r="A90" s="20" t="s">
        <v>1273</v>
      </c>
      <c r="C90" s="40">
        <v>0</v>
      </c>
      <c r="D90" s="40">
        <v>0</v>
      </c>
      <c r="E90" s="40">
        <v>0</v>
      </c>
      <c r="F90" s="40">
        <v>11.336666666666666</v>
      </c>
      <c r="G90" s="40">
        <v>0</v>
      </c>
      <c r="H90" s="40">
        <v>0</v>
      </c>
      <c r="I90" s="40"/>
      <c r="J90" s="40"/>
      <c r="K90" s="40"/>
      <c r="L90" s="40">
        <v>0</v>
      </c>
      <c r="M90" s="40">
        <v>0</v>
      </c>
      <c r="N90" s="40">
        <v>0</v>
      </c>
      <c r="O90" s="40">
        <v>0</v>
      </c>
      <c r="P90" s="40">
        <v>0</v>
      </c>
      <c r="Q90" s="40">
        <v>0</v>
      </c>
      <c r="R90" s="40">
        <v>2.2606827742196258</v>
      </c>
      <c r="S90" s="40">
        <v>5.2240940433126122</v>
      </c>
      <c r="T90" s="40">
        <v>0</v>
      </c>
      <c r="U90" s="40">
        <v>13.592717441511798</v>
      </c>
      <c r="V90" s="40">
        <v>0.68020000000000003</v>
      </c>
      <c r="W90" s="40">
        <v>1.5871333333333333</v>
      </c>
      <c r="X90" s="40">
        <v>0</v>
      </c>
      <c r="Y90" s="40">
        <v>0</v>
      </c>
      <c r="Z90" s="40">
        <v>0</v>
      </c>
      <c r="AA90" s="40">
        <v>0</v>
      </c>
      <c r="AB90" s="40">
        <v>0</v>
      </c>
      <c r="AC90" s="40">
        <v>0</v>
      </c>
      <c r="AD90" s="40">
        <v>0</v>
      </c>
      <c r="AE90" s="40">
        <v>0</v>
      </c>
      <c r="AF90" s="40">
        <v>0</v>
      </c>
      <c r="AG90" s="40">
        <v>0</v>
      </c>
      <c r="AH90" s="40">
        <v>2.940882774219626</v>
      </c>
      <c r="AI90" s="40">
        <v>6.8112273766459452</v>
      </c>
      <c r="AJ90" s="40">
        <v>0</v>
      </c>
      <c r="AK90" s="40">
        <v>13.592717441511798</v>
      </c>
      <c r="AL90" s="40">
        <v>23.344827592377371</v>
      </c>
      <c r="AM90" s="40">
        <v>0</v>
      </c>
      <c r="AN90" s="40">
        <v>0</v>
      </c>
      <c r="AO90" s="40">
        <v>0</v>
      </c>
      <c r="AP90" s="40">
        <v>0</v>
      </c>
      <c r="AQ90" s="40">
        <v>0</v>
      </c>
      <c r="AR90" s="40">
        <v>2.940882774219626</v>
      </c>
      <c r="AS90" s="81">
        <v>0</v>
      </c>
      <c r="AT90" s="40">
        <v>0</v>
      </c>
      <c r="AU90" s="40">
        <v>0</v>
      </c>
      <c r="AV90" s="40">
        <v>0</v>
      </c>
      <c r="AW90" s="40">
        <v>0</v>
      </c>
      <c r="AX90" s="40">
        <v>0</v>
      </c>
      <c r="AY90" s="40">
        <v>6.8112273766459452</v>
      </c>
      <c r="AZ90" s="81">
        <v>0</v>
      </c>
      <c r="BA90" s="40">
        <v>0</v>
      </c>
      <c r="BB90" s="40">
        <v>0</v>
      </c>
      <c r="BC90" s="40">
        <v>0</v>
      </c>
      <c r="BD90" s="40">
        <v>0</v>
      </c>
      <c r="BE90" s="40">
        <v>0</v>
      </c>
      <c r="BF90" s="40">
        <v>9.7521101508655708</v>
      </c>
      <c r="BG90" s="40">
        <v>9999</v>
      </c>
      <c r="BH90" s="81">
        <v>0</v>
      </c>
      <c r="BI90" s="40">
        <v>9999</v>
      </c>
      <c r="BJ90" s="40">
        <v>9999</v>
      </c>
      <c r="BK90" s="40">
        <v>9999</v>
      </c>
      <c r="BL90" s="40">
        <v>9999</v>
      </c>
      <c r="BM90" s="40">
        <v>9999</v>
      </c>
      <c r="BN90" s="40">
        <v>0</v>
      </c>
      <c r="BO90" s="40">
        <v>0</v>
      </c>
      <c r="BP90" s="40">
        <v>0</v>
      </c>
      <c r="BQ90" s="40">
        <v>0</v>
      </c>
      <c r="BR90" s="40">
        <v>0</v>
      </c>
      <c r="BS90" s="40">
        <v>0</v>
      </c>
      <c r="BT90" s="40">
        <v>0</v>
      </c>
      <c r="BU90" s="40">
        <v>0</v>
      </c>
      <c r="BV90" s="40">
        <v>0</v>
      </c>
      <c r="BW90" s="40">
        <v>0</v>
      </c>
      <c r="BX90" s="40">
        <v>21.077494259044038</v>
      </c>
      <c r="BY90" s="40">
        <v>2.2673333333333332</v>
      </c>
      <c r="BZ90" s="40">
        <v>0</v>
      </c>
      <c r="CA90" s="40">
        <v>0</v>
      </c>
      <c r="CB90" s="40">
        <v>0</v>
      </c>
      <c r="CC90" s="40">
        <v>23.344827592377371</v>
      </c>
      <c r="CD90" s="81">
        <v>0</v>
      </c>
      <c r="CE90" s="40">
        <v>9999</v>
      </c>
      <c r="CF90" s="40">
        <v>0</v>
      </c>
      <c r="CG90" s="40">
        <v>0</v>
      </c>
      <c r="CH90" s="40">
        <v>0</v>
      </c>
      <c r="CI90" s="40">
        <v>0</v>
      </c>
      <c r="CJ90" s="40">
        <v>0</v>
      </c>
      <c r="CK90" s="40">
        <v>0</v>
      </c>
      <c r="CL90" s="40"/>
      <c r="CM90" s="40">
        <v>0</v>
      </c>
      <c r="CN90" s="40"/>
      <c r="CO90" s="40">
        <v>0</v>
      </c>
      <c r="CP90" s="40">
        <v>0</v>
      </c>
      <c r="CQ90" s="40">
        <v>0</v>
      </c>
      <c r="CR90" s="40">
        <v>0</v>
      </c>
      <c r="CS90" s="40">
        <v>0</v>
      </c>
      <c r="CT90" s="40">
        <v>0</v>
      </c>
      <c r="CU90" s="40">
        <v>0</v>
      </c>
      <c r="CV90" s="40">
        <v>9999</v>
      </c>
      <c r="CW90" s="73">
        <v>9999</v>
      </c>
    </row>
    <row r="91" spans="1:101" s="20" customFormat="1">
      <c r="A91" s="20" t="s">
        <v>1274</v>
      </c>
      <c r="C91" s="40">
        <v>0</v>
      </c>
      <c r="D91" s="40">
        <v>0</v>
      </c>
      <c r="E91" s="40">
        <v>0</v>
      </c>
      <c r="F91" s="40">
        <v>11.336666666666666</v>
      </c>
      <c r="G91" s="40">
        <v>0</v>
      </c>
      <c r="H91" s="40">
        <v>0</v>
      </c>
      <c r="I91" s="40"/>
      <c r="J91" s="40"/>
      <c r="K91" s="40"/>
      <c r="L91" s="40">
        <v>0</v>
      </c>
      <c r="M91" s="40">
        <v>0</v>
      </c>
      <c r="N91" s="40">
        <v>0</v>
      </c>
      <c r="O91" s="40">
        <v>0</v>
      </c>
      <c r="P91" s="40">
        <v>0</v>
      </c>
      <c r="Q91" s="40">
        <v>0</v>
      </c>
      <c r="R91" s="40">
        <v>2.2606827742196258</v>
      </c>
      <c r="S91" s="40">
        <v>5.2240940433126122</v>
      </c>
      <c r="T91" s="40">
        <v>0</v>
      </c>
      <c r="U91" s="40">
        <v>13.592717441511798</v>
      </c>
      <c r="V91" s="40">
        <v>0.68020000000000003</v>
      </c>
      <c r="W91" s="40">
        <v>1.5871333333333333</v>
      </c>
      <c r="X91" s="40">
        <v>0</v>
      </c>
      <c r="Y91" s="40">
        <v>0</v>
      </c>
      <c r="Z91" s="40">
        <v>0</v>
      </c>
      <c r="AA91" s="40">
        <v>0</v>
      </c>
      <c r="AB91" s="40">
        <v>0</v>
      </c>
      <c r="AC91" s="40">
        <v>0</v>
      </c>
      <c r="AD91" s="40">
        <v>0</v>
      </c>
      <c r="AE91" s="40">
        <v>0</v>
      </c>
      <c r="AF91" s="40">
        <v>0</v>
      </c>
      <c r="AG91" s="40">
        <v>0</v>
      </c>
      <c r="AH91" s="40">
        <v>2.940882774219626</v>
      </c>
      <c r="AI91" s="40">
        <v>6.8112273766459452</v>
      </c>
      <c r="AJ91" s="40">
        <v>0</v>
      </c>
      <c r="AK91" s="40">
        <v>13.592717441511798</v>
      </c>
      <c r="AL91" s="40">
        <v>23.344827592377371</v>
      </c>
      <c r="AM91" s="40">
        <v>0</v>
      </c>
      <c r="AN91" s="40">
        <v>0</v>
      </c>
      <c r="AO91" s="40">
        <v>0</v>
      </c>
      <c r="AP91" s="40">
        <v>0</v>
      </c>
      <c r="AQ91" s="40">
        <v>0</v>
      </c>
      <c r="AR91" s="40">
        <v>2.940882774219626</v>
      </c>
      <c r="AS91" s="81">
        <v>0</v>
      </c>
      <c r="AT91" s="40">
        <v>0</v>
      </c>
      <c r="AU91" s="40">
        <v>0</v>
      </c>
      <c r="AV91" s="40">
        <v>0</v>
      </c>
      <c r="AW91" s="40">
        <v>0</v>
      </c>
      <c r="AX91" s="40">
        <v>0</v>
      </c>
      <c r="AY91" s="40">
        <v>6.8112273766459452</v>
      </c>
      <c r="AZ91" s="81">
        <v>0</v>
      </c>
      <c r="BA91" s="40">
        <v>0</v>
      </c>
      <c r="BB91" s="40">
        <v>0</v>
      </c>
      <c r="BC91" s="40">
        <v>0</v>
      </c>
      <c r="BD91" s="40">
        <v>0</v>
      </c>
      <c r="BE91" s="40">
        <v>0</v>
      </c>
      <c r="BF91" s="40">
        <v>9.7521101508655708</v>
      </c>
      <c r="BG91" s="40">
        <v>9999</v>
      </c>
      <c r="BH91" s="81">
        <v>0</v>
      </c>
      <c r="BI91" s="40">
        <v>9999</v>
      </c>
      <c r="BJ91" s="40">
        <v>9999</v>
      </c>
      <c r="BK91" s="40">
        <v>9999</v>
      </c>
      <c r="BL91" s="40">
        <v>9999</v>
      </c>
      <c r="BM91" s="40">
        <v>9999</v>
      </c>
      <c r="BN91" s="40">
        <v>0</v>
      </c>
      <c r="BO91" s="40">
        <v>0</v>
      </c>
      <c r="BP91" s="40">
        <v>0</v>
      </c>
      <c r="BQ91" s="40">
        <v>0</v>
      </c>
      <c r="BR91" s="40">
        <v>0</v>
      </c>
      <c r="BS91" s="40">
        <v>0</v>
      </c>
      <c r="BT91" s="40">
        <v>0</v>
      </c>
      <c r="BU91" s="40">
        <v>0</v>
      </c>
      <c r="BV91" s="40">
        <v>0</v>
      </c>
      <c r="BW91" s="40">
        <v>0</v>
      </c>
      <c r="BX91" s="40">
        <v>21.077494259044038</v>
      </c>
      <c r="BY91" s="40">
        <v>2.2673333333333332</v>
      </c>
      <c r="BZ91" s="40">
        <v>0</v>
      </c>
      <c r="CA91" s="40">
        <v>0</v>
      </c>
      <c r="CB91" s="40">
        <v>0</v>
      </c>
      <c r="CC91" s="40">
        <v>23.344827592377371</v>
      </c>
      <c r="CD91" s="81">
        <v>0</v>
      </c>
      <c r="CE91" s="40">
        <v>9999</v>
      </c>
      <c r="CF91" s="40">
        <v>0</v>
      </c>
      <c r="CG91" s="40">
        <v>0</v>
      </c>
      <c r="CH91" s="40">
        <v>0</v>
      </c>
      <c r="CI91" s="40">
        <v>0</v>
      </c>
      <c r="CJ91" s="40">
        <v>0</v>
      </c>
      <c r="CK91" s="40">
        <v>0</v>
      </c>
      <c r="CL91" s="40"/>
      <c r="CM91" s="40">
        <v>0</v>
      </c>
      <c r="CN91" s="40"/>
      <c r="CO91" s="40">
        <v>0</v>
      </c>
      <c r="CP91" s="40">
        <v>0</v>
      </c>
      <c r="CQ91" s="40">
        <v>0</v>
      </c>
      <c r="CR91" s="40">
        <v>0</v>
      </c>
      <c r="CS91" s="40">
        <v>0</v>
      </c>
      <c r="CT91" s="40">
        <v>0</v>
      </c>
      <c r="CU91" s="40">
        <v>0</v>
      </c>
      <c r="CV91" s="40">
        <v>9999</v>
      </c>
      <c r="CW91" s="73">
        <v>9999</v>
      </c>
    </row>
    <row r="92" spans="1:101" s="20" customFormat="1">
      <c r="A92" s="20" t="s">
        <v>1275</v>
      </c>
      <c r="C92" s="40">
        <v>0</v>
      </c>
      <c r="D92" s="40">
        <v>0</v>
      </c>
      <c r="E92" s="40">
        <v>0</v>
      </c>
      <c r="F92" s="40">
        <v>11.336666666666666</v>
      </c>
      <c r="G92" s="40">
        <v>0</v>
      </c>
      <c r="H92" s="40">
        <v>0</v>
      </c>
      <c r="I92" s="40"/>
      <c r="J92" s="40"/>
      <c r="K92" s="40"/>
      <c r="L92" s="40">
        <v>0</v>
      </c>
      <c r="M92" s="40">
        <v>0</v>
      </c>
      <c r="N92" s="40">
        <v>0</v>
      </c>
      <c r="O92" s="40">
        <v>0</v>
      </c>
      <c r="P92" s="40">
        <v>0</v>
      </c>
      <c r="Q92" s="40">
        <v>0</v>
      </c>
      <c r="R92" s="40">
        <v>2.2606827742196258</v>
      </c>
      <c r="S92" s="40">
        <v>5.2240940433126122</v>
      </c>
      <c r="T92" s="40">
        <v>0</v>
      </c>
      <c r="U92" s="40">
        <v>13.592717441511798</v>
      </c>
      <c r="V92" s="40">
        <v>0.68020000000000003</v>
      </c>
      <c r="W92" s="40">
        <v>1.5871333333333333</v>
      </c>
      <c r="X92" s="40">
        <v>0</v>
      </c>
      <c r="Y92" s="40">
        <v>0</v>
      </c>
      <c r="Z92" s="40">
        <v>0</v>
      </c>
      <c r="AA92" s="40">
        <v>0</v>
      </c>
      <c r="AB92" s="40">
        <v>0</v>
      </c>
      <c r="AC92" s="40">
        <v>0</v>
      </c>
      <c r="AD92" s="40">
        <v>0</v>
      </c>
      <c r="AE92" s="40">
        <v>0</v>
      </c>
      <c r="AF92" s="40">
        <v>0</v>
      </c>
      <c r="AG92" s="40">
        <v>0</v>
      </c>
      <c r="AH92" s="40">
        <v>2.940882774219626</v>
      </c>
      <c r="AI92" s="40">
        <v>6.8112273766459452</v>
      </c>
      <c r="AJ92" s="40">
        <v>0</v>
      </c>
      <c r="AK92" s="40">
        <v>13.592717441511798</v>
      </c>
      <c r="AL92" s="40">
        <v>23.344827592377371</v>
      </c>
      <c r="AM92" s="40">
        <v>0</v>
      </c>
      <c r="AN92" s="40">
        <v>0</v>
      </c>
      <c r="AO92" s="40">
        <v>0</v>
      </c>
      <c r="AP92" s="40">
        <v>0</v>
      </c>
      <c r="AQ92" s="40">
        <v>0</v>
      </c>
      <c r="AR92" s="40">
        <v>2.940882774219626</v>
      </c>
      <c r="AS92" s="81">
        <v>0</v>
      </c>
      <c r="AT92" s="40">
        <v>0</v>
      </c>
      <c r="AU92" s="40">
        <v>0</v>
      </c>
      <c r="AV92" s="40">
        <v>0</v>
      </c>
      <c r="AW92" s="40">
        <v>0</v>
      </c>
      <c r="AX92" s="40">
        <v>0</v>
      </c>
      <c r="AY92" s="40">
        <v>6.8112273766459452</v>
      </c>
      <c r="AZ92" s="81">
        <v>0</v>
      </c>
      <c r="BA92" s="40">
        <v>0</v>
      </c>
      <c r="BB92" s="40">
        <v>0</v>
      </c>
      <c r="BC92" s="40">
        <v>0</v>
      </c>
      <c r="BD92" s="40">
        <v>0</v>
      </c>
      <c r="BE92" s="40">
        <v>0</v>
      </c>
      <c r="BF92" s="40">
        <v>9.7521101508655708</v>
      </c>
      <c r="BG92" s="40">
        <v>9999</v>
      </c>
      <c r="BH92" s="81">
        <v>0</v>
      </c>
      <c r="BI92" s="40">
        <v>9999</v>
      </c>
      <c r="BJ92" s="40">
        <v>9999</v>
      </c>
      <c r="BK92" s="40">
        <v>9999</v>
      </c>
      <c r="BL92" s="40">
        <v>9999</v>
      </c>
      <c r="BM92" s="40">
        <v>9999</v>
      </c>
      <c r="BN92" s="40">
        <v>0</v>
      </c>
      <c r="BO92" s="40">
        <v>0</v>
      </c>
      <c r="BP92" s="40">
        <v>0</v>
      </c>
      <c r="BQ92" s="40">
        <v>0</v>
      </c>
      <c r="BR92" s="40">
        <v>0</v>
      </c>
      <c r="BS92" s="40">
        <v>0</v>
      </c>
      <c r="BT92" s="40">
        <v>0</v>
      </c>
      <c r="BU92" s="40">
        <v>0</v>
      </c>
      <c r="BV92" s="40">
        <v>0</v>
      </c>
      <c r="BW92" s="40">
        <v>0</v>
      </c>
      <c r="BX92" s="40">
        <v>21.077494259044038</v>
      </c>
      <c r="BY92" s="40">
        <v>2.2673333333333332</v>
      </c>
      <c r="BZ92" s="40">
        <v>0</v>
      </c>
      <c r="CA92" s="40">
        <v>0</v>
      </c>
      <c r="CB92" s="40">
        <v>0</v>
      </c>
      <c r="CC92" s="40">
        <v>23.344827592377371</v>
      </c>
      <c r="CD92" s="81">
        <v>0</v>
      </c>
      <c r="CE92" s="40">
        <v>9999</v>
      </c>
      <c r="CF92" s="40">
        <v>0</v>
      </c>
      <c r="CG92" s="40">
        <v>0</v>
      </c>
      <c r="CH92" s="40">
        <v>0</v>
      </c>
      <c r="CI92" s="40">
        <v>0</v>
      </c>
      <c r="CJ92" s="40">
        <v>0</v>
      </c>
      <c r="CK92" s="40">
        <v>0</v>
      </c>
      <c r="CL92" s="40"/>
      <c r="CM92" s="40">
        <v>0</v>
      </c>
      <c r="CN92" s="40"/>
      <c r="CO92" s="40">
        <v>0</v>
      </c>
      <c r="CP92" s="40">
        <v>0</v>
      </c>
      <c r="CQ92" s="40">
        <v>0</v>
      </c>
      <c r="CR92" s="40">
        <v>0</v>
      </c>
      <c r="CS92" s="40">
        <v>0</v>
      </c>
      <c r="CT92" s="40">
        <v>0</v>
      </c>
      <c r="CU92" s="40">
        <v>0</v>
      </c>
      <c r="CV92" s="40">
        <v>9999</v>
      </c>
      <c r="CW92" s="73">
        <v>9999</v>
      </c>
    </row>
    <row r="93" spans="1:101" s="20" customFormat="1">
      <c r="A93" s="20" t="s">
        <v>1276</v>
      </c>
      <c r="C93" s="40">
        <v>0</v>
      </c>
      <c r="D93" s="40">
        <v>0</v>
      </c>
      <c r="E93" s="40">
        <v>0</v>
      </c>
      <c r="F93" s="40">
        <v>11.336666666666666</v>
      </c>
      <c r="G93" s="40">
        <v>0</v>
      </c>
      <c r="H93" s="40">
        <v>0</v>
      </c>
      <c r="I93" s="40"/>
      <c r="J93" s="40"/>
      <c r="K93" s="40"/>
      <c r="L93" s="40">
        <v>0</v>
      </c>
      <c r="M93" s="40">
        <v>0</v>
      </c>
      <c r="N93" s="40">
        <v>0</v>
      </c>
      <c r="O93" s="40">
        <v>0</v>
      </c>
      <c r="P93" s="40">
        <v>0</v>
      </c>
      <c r="Q93" s="40">
        <v>0</v>
      </c>
      <c r="R93" s="40">
        <v>2.2606827742196258</v>
      </c>
      <c r="S93" s="40">
        <v>5.2240940433126122</v>
      </c>
      <c r="T93" s="40">
        <v>0</v>
      </c>
      <c r="U93" s="40">
        <v>13.592717441511798</v>
      </c>
      <c r="V93" s="40">
        <v>0.68020000000000003</v>
      </c>
      <c r="W93" s="40">
        <v>1.5871333333333333</v>
      </c>
      <c r="X93" s="40">
        <v>0</v>
      </c>
      <c r="Y93" s="40">
        <v>0</v>
      </c>
      <c r="Z93" s="40">
        <v>0</v>
      </c>
      <c r="AA93" s="40">
        <v>0</v>
      </c>
      <c r="AB93" s="40">
        <v>0</v>
      </c>
      <c r="AC93" s="40">
        <v>0</v>
      </c>
      <c r="AD93" s="40">
        <v>0</v>
      </c>
      <c r="AE93" s="40">
        <v>0</v>
      </c>
      <c r="AF93" s="40">
        <v>0</v>
      </c>
      <c r="AG93" s="40">
        <v>0</v>
      </c>
      <c r="AH93" s="40">
        <v>2.940882774219626</v>
      </c>
      <c r="AI93" s="40">
        <v>6.8112273766459452</v>
      </c>
      <c r="AJ93" s="40">
        <v>0</v>
      </c>
      <c r="AK93" s="40">
        <v>13.592717441511798</v>
      </c>
      <c r="AL93" s="40">
        <v>23.344827592377371</v>
      </c>
      <c r="AM93" s="40">
        <v>0</v>
      </c>
      <c r="AN93" s="40">
        <v>0</v>
      </c>
      <c r="AO93" s="40">
        <v>0</v>
      </c>
      <c r="AP93" s="40">
        <v>0</v>
      </c>
      <c r="AQ93" s="40">
        <v>0</v>
      </c>
      <c r="AR93" s="40">
        <v>2.940882774219626</v>
      </c>
      <c r="AS93" s="81">
        <v>0</v>
      </c>
      <c r="AT93" s="40">
        <v>0</v>
      </c>
      <c r="AU93" s="40">
        <v>0</v>
      </c>
      <c r="AV93" s="40">
        <v>0</v>
      </c>
      <c r="AW93" s="40">
        <v>0</v>
      </c>
      <c r="AX93" s="40">
        <v>0</v>
      </c>
      <c r="AY93" s="40">
        <v>6.8112273766459452</v>
      </c>
      <c r="AZ93" s="81">
        <v>0</v>
      </c>
      <c r="BA93" s="40">
        <v>0</v>
      </c>
      <c r="BB93" s="40">
        <v>0</v>
      </c>
      <c r="BC93" s="40">
        <v>0</v>
      </c>
      <c r="BD93" s="40">
        <v>0</v>
      </c>
      <c r="BE93" s="40">
        <v>0</v>
      </c>
      <c r="BF93" s="40">
        <v>9.7521101508655708</v>
      </c>
      <c r="BG93" s="40">
        <v>9999</v>
      </c>
      <c r="BH93" s="81">
        <v>0</v>
      </c>
      <c r="BI93" s="40">
        <v>9999</v>
      </c>
      <c r="BJ93" s="40">
        <v>9999</v>
      </c>
      <c r="BK93" s="40">
        <v>9999</v>
      </c>
      <c r="BL93" s="40">
        <v>9999</v>
      </c>
      <c r="BM93" s="40">
        <v>9999</v>
      </c>
      <c r="BN93" s="40">
        <v>0</v>
      </c>
      <c r="BO93" s="40">
        <v>0</v>
      </c>
      <c r="BP93" s="40">
        <v>0</v>
      </c>
      <c r="BQ93" s="40">
        <v>0</v>
      </c>
      <c r="BR93" s="40">
        <v>0</v>
      </c>
      <c r="BS93" s="40">
        <v>0</v>
      </c>
      <c r="BT93" s="40">
        <v>0</v>
      </c>
      <c r="BU93" s="40">
        <v>0</v>
      </c>
      <c r="BV93" s="40">
        <v>0</v>
      </c>
      <c r="BW93" s="40">
        <v>0</v>
      </c>
      <c r="BX93" s="40">
        <v>21.077494259044038</v>
      </c>
      <c r="BY93" s="40">
        <v>2.2673333333333332</v>
      </c>
      <c r="BZ93" s="40">
        <v>0</v>
      </c>
      <c r="CA93" s="40">
        <v>0</v>
      </c>
      <c r="CB93" s="40">
        <v>0</v>
      </c>
      <c r="CC93" s="40">
        <v>23.344827592377371</v>
      </c>
      <c r="CD93" s="81">
        <v>0</v>
      </c>
      <c r="CE93" s="40">
        <v>9999</v>
      </c>
      <c r="CF93" s="40">
        <v>0</v>
      </c>
      <c r="CG93" s="40">
        <v>0</v>
      </c>
      <c r="CH93" s="40">
        <v>0</v>
      </c>
      <c r="CI93" s="40">
        <v>0</v>
      </c>
      <c r="CJ93" s="40">
        <v>0</v>
      </c>
      <c r="CK93" s="40">
        <v>0</v>
      </c>
      <c r="CL93" s="40"/>
      <c r="CM93" s="40">
        <v>0</v>
      </c>
      <c r="CN93" s="40"/>
      <c r="CO93" s="40">
        <v>0</v>
      </c>
      <c r="CP93" s="40">
        <v>0</v>
      </c>
      <c r="CQ93" s="40">
        <v>0</v>
      </c>
      <c r="CR93" s="40">
        <v>0</v>
      </c>
      <c r="CS93" s="40">
        <v>0</v>
      </c>
      <c r="CT93" s="40">
        <v>0</v>
      </c>
      <c r="CU93" s="40">
        <v>0</v>
      </c>
      <c r="CV93" s="40">
        <v>9999</v>
      </c>
      <c r="CW93" s="73">
        <v>9999</v>
      </c>
    </row>
    <row r="94" spans="1:101" s="20" customFormat="1">
      <c r="A94" s="20" t="s">
        <v>1277</v>
      </c>
      <c r="C94" s="40">
        <v>0</v>
      </c>
      <c r="D94" s="40">
        <v>0</v>
      </c>
      <c r="E94" s="40">
        <v>0</v>
      </c>
      <c r="F94" s="40">
        <v>11.336666666666666</v>
      </c>
      <c r="G94" s="40">
        <v>0</v>
      </c>
      <c r="H94" s="40">
        <v>0</v>
      </c>
      <c r="I94" s="40"/>
      <c r="J94" s="40"/>
      <c r="K94" s="40"/>
      <c r="L94" s="40">
        <v>0</v>
      </c>
      <c r="M94" s="40">
        <v>0</v>
      </c>
      <c r="N94" s="40">
        <v>0</v>
      </c>
      <c r="O94" s="40">
        <v>0</v>
      </c>
      <c r="P94" s="40">
        <v>0</v>
      </c>
      <c r="Q94" s="40">
        <v>0</v>
      </c>
      <c r="R94" s="40">
        <v>2.2606827742196258</v>
      </c>
      <c r="S94" s="40">
        <v>5.2240940433126122</v>
      </c>
      <c r="T94" s="40">
        <v>0</v>
      </c>
      <c r="U94" s="40">
        <v>13.592717441511798</v>
      </c>
      <c r="V94" s="40">
        <v>0.68020000000000003</v>
      </c>
      <c r="W94" s="40">
        <v>1.5871333333333333</v>
      </c>
      <c r="X94" s="40">
        <v>0</v>
      </c>
      <c r="Y94" s="40">
        <v>0</v>
      </c>
      <c r="Z94" s="40">
        <v>0</v>
      </c>
      <c r="AA94" s="40">
        <v>0</v>
      </c>
      <c r="AB94" s="40">
        <v>0</v>
      </c>
      <c r="AC94" s="40">
        <v>0</v>
      </c>
      <c r="AD94" s="40">
        <v>0</v>
      </c>
      <c r="AE94" s="40">
        <v>0</v>
      </c>
      <c r="AF94" s="40">
        <v>0</v>
      </c>
      <c r="AG94" s="40">
        <v>0</v>
      </c>
      <c r="AH94" s="40">
        <v>2.940882774219626</v>
      </c>
      <c r="AI94" s="40">
        <v>6.8112273766459452</v>
      </c>
      <c r="AJ94" s="40">
        <v>0</v>
      </c>
      <c r="AK94" s="40">
        <v>13.592717441511798</v>
      </c>
      <c r="AL94" s="40">
        <v>23.344827592377371</v>
      </c>
      <c r="AM94" s="40">
        <v>0</v>
      </c>
      <c r="AN94" s="40">
        <v>0</v>
      </c>
      <c r="AO94" s="40">
        <v>0</v>
      </c>
      <c r="AP94" s="40">
        <v>0</v>
      </c>
      <c r="AQ94" s="40">
        <v>0</v>
      </c>
      <c r="AR94" s="40">
        <v>2.940882774219626</v>
      </c>
      <c r="AS94" s="81">
        <v>0</v>
      </c>
      <c r="AT94" s="40">
        <v>0</v>
      </c>
      <c r="AU94" s="40">
        <v>0</v>
      </c>
      <c r="AV94" s="40">
        <v>0</v>
      </c>
      <c r="AW94" s="40">
        <v>0</v>
      </c>
      <c r="AX94" s="40">
        <v>0</v>
      </c>
      <c r="AY94" s="40">
        <v>6.8112273766459452</v>
      </c>
      <c r="AZ94" s="81">
        <v>0</v>
      </c>
      <c r="BA94" s="40">
        <v>0</v>
      </c>
      <c r="BB94" s="40">
        <v>0</v>
      </c>
      <c r="BC94" s="40">
        <v>0</v>
      </c>
      <c r="BD94" s="40">
        <v>0</v>
      </c>
      <c r="BE94" s="40">
        <v>0</v>
      </c>
      <c r="BF94" s="40">
        <v>9.7521101508655708</v>
      </c>
      <c r="BG94" s="40">
        <v>9999</v>
      </c>
      <c r="BH94" s="81">
        <v>0</v>
      </c>
      <c r="BI94" s="40">
        <v>9999</v>
      </c>
      <c r="BJ94" s="40">
        <v>9999</v>
      </c>
      <c r="BK94" s="40">
        <v>9999</v>
      </c>
      <c r="BL94" s="40">
        <v>9999</v>
      </c>
      <c r="BM94" s="40">
        <v>9999</v>
      </c>
      <c r="BN94" s="40">
        <v>0</v>
      </c>
      <c r="BO94" s="40">
        <v>0</v>
      </c>
      <c r="BP94" s="40">
        <v>0</v>
      </c>
      <c r="BQ94" s="40">
        <v>0</v>
      </c>
      <c r="BR94" s="40">
        <v>0</v>
      </c>
      <c r="BS94" s="40">
        <v>0</v>
      </c>
      <c r="BT94" s="40">
        <v>0</v>
      </c>
      <c r="BU94" s="40">
        <v>0</v>
      </c>
      <c r="BV94" s="40">
        <v>0</v>
      </c>
      <c r="BW94" s="40">
        <v>0</v>
      </c>
      <c r="BX94" s="40">
        <v>21.077494259044038</v>
      </c>
      <c r="BY94" s="40">
        <v>2.2673333333333332</v>
      </c>
      <c r="BZ94" s="40">
        <v>0</v>
      </c>
      <c r="CA94" s="40">
        <v>0</v>
      </c>
      <c r="CB94" s="40">
        <v>0</v>
      </c>
      <c r="CC94" s="40">
        <v>23.344827592377371</v>
      </c>
      <c r="CD94" s="81">
        <v>0</v>
      </c>
      <c r="CE94" s="40">
        <v>9999</v>
      </c>
      <c r="CF94" s="40">
        <v>0</v>
      </c>
      <c r="CG94" s="40">
        <v>0</v>
      </c>
      <c r="CH94" s="40">
        <v>0</v>
      </c>
      <c r="CI94" s="40">
        <v>0</v>
      </c>
      <c r="CJ94" s="40">
        <v>0</v>
      </c>
      <c r="CK94" s="40">
        <v>0</v>
      </c>
      <c r="CL94" s="40"/>
      <c r="CM94" s="40">
        <v>0</v>
      </c>
      <c r="CN94" s="40"/>
      <c r="CO94" s="40">
        <v>0</v>
      </c>
      <c r="CP94" s="40">
        <v>0</v>
      </c>
      <c r="CQ94" s="40">
        <v>0</v>
      </c>
      <c r="CR94" s="40">
        <v>0</v>
      </c>
      <c r="CS94" s="40">
        <v>0</v>
      </c>
      <c r="CT94" s="40">
        <v>0</v>
      </c>
      <c r="CU94" s="40">
        <v>0</v>
      </c>
      <c r="CV94" s="40">
        <v>9999</v>
      </c>
      <c r="CW94" s="73">
        <v>9999</v>
      </c>
    </row>
    <row r="95" spans="1:101" s="20" customFormat="1">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row>
    <row r="96" spans="1:101" s="20" customFormat="1">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0"/>
      <c r="CN96" s="40"/>
      <c r="CO96" s="40"/>
      <c r="CP96" s="40"/>
      <c r="CQ96" s="40"/>
      <c r="CR96" s="40"/>
      <c r="CS96" s="40"/>
      <c r="CT96" s="40"/>
      <c r="CU96" s="40"/>
      <c r="CV96" s="40"/>
      <c r="CW96" s="40"/>
    </row>
    <row r="97" spans="1:101" s="20" customFormat="1" ht="13.5" thickBot="1">
      <c r="A97" s="51" t="s">
        <v>228</v>
      </c>
      <c r="B97" s="53"/>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0"/>
      <c r="CN97" s="40"/>
      <c r="CO97" s="40"/>
      <c r="CP97" s="40"/>
      <c r="CQ97" s="40"/>
      <c r="CR97" s="40"/>
      <c r="CS97" s="40"/>
      <c r="CT97" s="40"/>
      <c r="CU97" s="40"/>
      <c r="CV97" s="40"/>
      <c r="CW97" s="40"/>
    </row>
    <row r="98" spans="1:101" s="20" customFormat="1" ht="13.5" thickBot="1">
      <c r="A98" s="74" t="s">
        <v>229</v>
      </c>
      <c r="B98" s="75"/>
      <c r="C98" s="76"/>
      <c r="D98" s="76"/>
      <c r="E98" s="76"/>
      <c r="F98" s="76"/>
      <c r="G98" s="76"/>
      <c r="H98" s="76"/>
      <c r="I98" s="76"/>
      <c r="J98" s="76"/>
      <c r="K98" s="76"/>
      <c r="L98" s="77"/>
      <c r="M98" s="78"/>
      <c r="N98" s="79" t="s">
        <v>368</v>
      </c>
      <c r="O98" s="76"/>
      <c r="P98" s="76"/>
      <c r="Q98" s="76"/>
      <c r="R98" s="76"/>
      <c r="S98" s="76"/>
      <c r="T98" s="76"/>
      <c r="U98" s="76"/>
      <c r="V98" s="76"/>
      <c r="W98" s="76"/>
      <c r="X98" s="76"/>
      <c r="Y98" s="77"/>
      <c r="Z98" s="78"/>
      <c r="AA98" s="79" t="s">
        <v>369</v>
      </c>
      <c r="AB98" s="76"/>
      <c r="AC98" s="76"/>
      <c r="AD98" s="76"/>
      <c r="AE98" s="76"/>
      <c r="AF98" s="76"/>
      <c r="AG98" s="76"/>
      <c r="AH98" s="76"/>
      <c r="AI98" s="76"/>
      <c r="AJ98" s="76"/>
      <c r="AK98" s="76"/>
      <c r="AL98" s="77"/>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0"/>
      <c r="CN98" s="40"/>
      <c r="CO98" s="40"/>
      <c r="CP98" s="40"/>
      <c r="CQ98" s="40"/>
      <c r="CR98" s="40"/>
      <c r="CS98" s="40"/>
      <c r="CT98" s="40"/>
      <c r="CU98" s="40"/>
      <c r="CV98" s="40"/>
      <c r="CW98" s="40"/>
    </row>
    <row r="99" spans="1:101" s="20" customFormat="1" ht="102">
      <c r="A99" s="69"/>
      <c r="B99" s="70" t="s">
        <v>230</v>
      </c>
      <c r="C99" s="71" t="s">
        <v>231</v>
      </c>
      <c r="D99" s="71" t="s">
        <v>232</v>
      </c>
      <c r="E99" s="71" t="s">
        <v>233</v>
      </c>
      <c r="F99" s="71" t="s">
        <v>234</v>
      </c>
      <c r="G99" s="71" t="s">
        <v>235</v>
      </c>
      <c r="H99" s="71" t="s">
        <v>236</v>
      </c>
      <c r="I99" s="71" t="s">
        <v>237</v>
      </c>
      <c r="J99" s="71" t="s">
        <v>238</v>
      </c>
      <c r="K99" s="71" t="s">
        <v>49</v>
      </c>
      <c r="L99" s="71" t="s">
        <v>211</v>
      </c>
      <c r="M99" s="71" t="s">
        <v>239</v>
      </c>
      <c r="N99" s="71" t="s">
        <v>240</v>
      </c>
      <c r="O99" s="71" t="s">
        <v>241</v>
      </c>
      <c r="P99" s="71" t="s">
        <v>242</v>
      </c>
      <c r="Q99" s="71" t="s">
        <v>243</v>
      </c>
      <c r="R99" s="71" t="s">
        <v>244</v>
      </c>
      <c r="S99" s="71" t="s">
        <v>245</v>
      </c>
      <c r="T99" s="71" t="s">
        <v>246</v>
      </c>
      <c r="U99" s="71" t="s">
        <v>247</v>
      </c>
      <c r="V99" s="71" t="s">
        <v>248</v>
      </c>
      <c r="W99" s="71" t="s">
        <v>249</v>
      </c>
      <c r="X99" s="71" t="s">
        <v>250</v>
      </c>
      <c r="Y99" s="71" t="s">
        <v>251</v>
      </c>
      <c r="Z99" s="71"/>
      <c r="AA99" s="71" t="s">
        <v>240</v>
      </c>
      <c r="AB99" s="71" t="s">
        <v>241</v>
      </c>
      <c r="AC99" s="71" t="s">
        <v>242</v>
      </c>
      <c r="AD99" s="71" t="s">
        <v>243</v>
      </c>
      <c r="AE99" s="71" t="s">
        <v>244</v>
      </c>
      <c r="AF99" s="71" t="s">
        <v>245</v>
      </c>
      <c r="AG99" s="71" t="s">
        <v>246</v>
      </c>
      <c r="AH99" s="71" t="s">
        <v>247</v>
      </c>
      <c r="AI99" s="71" t="s">
        <v>248</v>
      </c>
      <c r="AJ99" s="71" t="s">
        <v>249</v>
      </c>
      <c r="AK99" s="71" t="s">
        <v>250</v>
      </c>
      <c r="AL99" s="71" t="s">
        <v>251</v>
      </c>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0"/>
      <c r="CN99" s="40"/>
      <c r="CO99" s="40"/>
      <c r="CP99" s="40"/>
      <c r="CQ99" s="40"/>
      <c r="CR99" s="40"/>
      <c r="CS99" s="40"/>
      <c r="CT99" s="40"/>
      <c r="CU99" s="40"/>
      <c r="CV99" s="40"/>
      <c r="CW99" s="40"/>
    </row>
    <row r="100" spans="1:101" s="20" customFormat="1">
      <c r="B100" s="41" t="s">
        <v>252</v>
      </c>
      <c r="C100" s="121">
        <v>2247.7945076225087</v>
      </c>
      <c r="D100" s="121">
        <v>113.36666666666667</v>
      </c>
      <c r="E100" s="121">
        <v>0</v>
      </c>
      <c r="F100" s="121">
        <v>113.36666666666667</v>
      </c>
      <c r="G100" s="121">
        <v>210.77494259044042</v>
      </c>
      <c r="H100" s="121">
        <v>13748.714820548048</v>
      </c>
      <c r="I100" s="121">
        <v>441.80729004912155</v>
      </c>
      <c r="J100" s="121">
        <v>-7.3342826029068737</v>
      </c>
      <c r="K100" s="121">
        <v>-405.22114516002654</v>
      </c>
      <c r="L100" s="73">
        <v>346.52350956230566</v>
      </c>
      <c r="M100" s="40">
        <v>55.601516701392782</v>
      </c>
      <c r="N100" s="45">
        <v>143.31466292488864</v>
      </c>
      <c r="O100" s="45">
        <v>134.07296001964622</v>
      </c>
      <c r="P100" s="45">
        <v>155.09931534910928</v>
      </c>
      <c r="Q100" s="45">
        <v>134.93501986222185</v>
      </c>
      <c r="R100" s="45">
        <v>137.51589107852729</v>
      </c>
      <c r="S100" s="45">
        <v>123.9750195847765</v>
      </c>
      <c r="T100" s="45">
        <v>114.46389286659713</v>
      </c>
      <c r="U100" s="45">
        <v>120.19313454243181</v>
      </c>
      <c r="V100" s="45">
        <v>105.93654678622119</v>
      </c>
      <c r="W100" s="45">
        <v>121.57987047744321</v>
      </c>
      <c r="X100" s="45">
        <v>117.63265810431899</v>
      </c>
      <c r="Y100" s="45">
        <v>133.80976988908964</v>
      </c>
      <c r="Z100" s="45"/>
      <c r="AA100" s="45">
        <v>70.323131320843828</v>
      </c>
      <c r="AB100" s="45">
        <v>62.578988917835765</v>
      </c>
      <c r="AC100" s="45">
        <v>61.217052314918064</v>
      </c>
      <c r="AD100" s="45">
        <v>62.00367077675179</v>
      </c>
      <c r="AE100" s="45">
        <v>62.329227078557587</v>
      </c>
      <c r="AF100" s="45">
        <v>51.068192646669253</v>
      </c>
      <c r="AG100" s="45">
        <v>57.585959454441067</v>
      </c>
      <c r="AH100" s="45">
        <v>48.436115739826235</v>
      </c>
      <c r="AI100" s="45">
        <v>54.607428080705091</v>
      </c>
      <c r="AJ100" s="45">
        <v>49.001102801432182</v>
      </c>
      <c r="AK100" s="45">
        <v>59.718383470638386</v>
      </c>
      <c r="AL100" s="45">
        <v>66.396513534617867</v>
      </c>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0"/>
      <c r="CN100" s="40"/>
      <c r="CO100" s="40"/>
      <c r="CP100" s="40"/>
      <c r="CQ100" s="40"/>
      <c r="CR100" s="40"/>
      <c r="CS100" s="40"/>
      <c r="CT100" s="40"/>
      <c r="CU100" s="40"/>
      <c r="CV100" s="40"/>
      <c r="CW100" s="40"/>
    </row>
    <row r="101" spans="1:101" s="20" customFormat="1">
      <c r="B101" s="41" t="s">
        <v>253</v>
      </c>
      <c r="C101" s="121">
        <v>2247.7945076225087</v>
      </c>
      <c r="D101" s="121">
        <v>113.36666666666667</v>
      </c>
      <c r="E101" s="121">
        <v>22.673333333333332</v>
      </c>
      <c r="F101" s="121">
        <v>136.04000000000002</v>
      </c>
      <c r="G101" s="121">
        <v>233.44827592377374</v>
      </c>
      <c r="H101" s="121">
        <v>13748.714820548048</v>
      </c>
      <c r="I101" s="121">
        <v>530.16874805894588</v>
      </c>
      <c r="J101" s="121">
        <v>-6.5920690478894679</v>
      </c>
      <c r="K101" s="121">
        <v>-404.47893160500905</v>
      </c>
      <c r="L101" s="73">
        <v>312.86790422937901</v>
      </c>
      <c r="M101" s="40">
        <v>55.601516701392782</v>
      </c>
      <c r="N101" s="45">
        <v>111.89259234896106</v>
      </c>
      <c r="O101" s="45">
        <v>104.67715413292547</v>
      </c>
      <c r="P101" s="45">
        <v>121.09343253353171</v>
      </c>
      <c r="Q101" s="45">
        <v>105.35020536562648</v>
      </c>
      <c r="R101" s="45">
        <v>107.36521461183726</v>
      </c>
      <c r="S101" s="45">
        <v>96.793210441587064</v>
      </c>
      <c r="T101" s="45">
        <v>89.367420205354804</v>
      </c>
      <c r="U101" s="45">
        <v>93.840512422295831</v>
      </c>
      <c r="V101" s="45">
        <v>82.709714431800521</v>
      </c>
      <c r="W101" s="45">
        <v>94.923203303362271</v>
      </c>
      <c r="X101" s="45">
        <v>91.841426352093578</v>
      </c>
      <c r="Y101" s="45">
        <v>104.4716690458617</v>
      </c>
      <c r="Z101" s="45"/>
      <c r="AA101" s="45">
        <v>54.904622492881941</v>
      </c>
      <c r="AB101" s="45">
        <v>48.858401183020405</v>
      </c>
      <c r="AC101" s="45">
        <v>47.795072323256299</v>
      </c>
      <c r="AD101" s="45">
        <v>48.409222872040388</v>
      </c>
      <c r="AE101" s="45">
        <v>48.663400203383546</v>
      </c>
      <c r="AF101" s="45">
        <v>39.871373557964311</v>
      </c>
      <c r="AG101" s="45">
        <v>44.960104951972632</v>
      </c>
      <c r="AH101" s="45">
        <v>37.816385587034546</v>
      </c>
      <c r="AI101" s="45">
        <v>42.634623455534964</v>
      </c>
      <c r="AJ101" s="45">
        <v>38.257497931553303</v>
      </c>
      <c r="AK101" s="45">
        <v>46.624990081588102</v>
      </c>
      <c r="AL101" s="45">
        <v>51.8389247178076</v>
      </c>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0"/>
      <c r="CN101" s="40"/>
      <c r="CO101" s="40"/>
      <c r="CP101" s="40"/>
      <c r="CQ101" s="40"/>
      <c r="CR101" s="40"/>
      <c r="CS101" s="40"/>
      <c r="CT101" s="40"/>
      <c r="CU101" s="40"/>
      <c r="CV101" s="40"/>
      <c r="CW101" s="40"/>
    </row>
    <row r="102" spans="1:101" s="20" customFormat="1">
      <c r="B102" s="41" t="s">
        <v>254</v>
      </c>
      <c r="C102" s="80"/>
      <c r="D102" s="80"/>
      <c r="E102" s="80"/>
      <c r="F102" s="80"/>
      <c r="G102" s="80"/>
      <c r="H102" s="80"/>
      <c r="I102" s="80"/>
      <c r="J102" s="80"/>
      <c r="K102" s="80"/>
      <c r="L102" s="81"/>
      <c r="M102" s="82"/>
      <c r="N102" s="82"/>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0"/>
      <c r="CN102" s="40"/>
      <c r="CO102" s="40"/>
      <c r="CP102" s="40"/>
      <c r="CQ102" s="40"/>
      <c r="CR102" s="40"/>
      <c r="CS102" s="40"/>
      <c r="CT102" s="40"/>
      <c r="CU102" s="40"/>
      <c r="CV102" s="40"/>
      <c r="CW102" s="40"/>
    </row>
    <row r="103" spans="1:101" s="20" customFormat="1">
      <c r="B103" s="20" t="s">
        <v>51</v>
      </c>
      <c r="C103" s="40">
        <v>2247.7945076225087</v>
      </c>
      <c r="D103" s="40">
        <v>113.36666666666667</v>
      </c>
      <c r="E103" s="40">
        <v>22.673333333333332</v>
      </c>
      <c r="F103" s="40">
        <v>136.04000000000002</v>
      </c>
      <c r="G103" s="40">
        <v>233.44827592377374</v>
      </c>
      <c r="H103" s="40">
        <v>13748.714820548048</v>
      </c>
      <c r="I103" s="40">
        <v>530.16874805894588</v>
      </c>
      <c r="J103" s="40">
        <v>-6.5920690478894679</v>
      </c>
      <c r="K103" s="40">
        <v>-404.47893160500905</v>
      </c>
      <c r="L103" s="73">
        <v>312.86790422937901</v>
      </c>
      <c r="M103" s="40">
        <v>55.601516701392782</v>
      </c>
      <c r="N103" s="45">
        <v>143.31466292488864</v>
      </c>
      <c r="O103" s="45">
        <v>134.07296001964622</v>
      </c>
      <c r="P103" s="45">
        <v>155.09931534910925</v>
      </c>
      <c r="Q103" s="45">
        <v>134.93501986222185</v>
      </c>
      <c r="R103" s="45">
        <v>137.51589107852729</v>
      </c>
      <c r="S103" s="45">
        <v>123.9750195847765</v>
      </c>
      <c r="T103" s="45">
        <v>114.46389286659713</v>
      </c>
      <c r="U103" s="45">
        <v>120.19313454243181</v>
      </c>
      <c r="V103" s="45">
        <v>105.93654678622119</v>
      </c>
      <c r="W103" s="45">
        <v>121.57987047744322</v>
      </c>
      <c r="X103" s="45">
        <v>117.63265810431899</v>
      </c>
      <c r="Y103" s="45">
        <v>133.80976988908964</v>
      </c>
      <c r="Z103" s="45"/>
      <c r="AA103" s="45">
        <v>70.323131320843828</v>
      </c>
      <c r="AB103" s="45">
        <v>62.578988917835773</v>
      </c>
      <c r="AC103" s="45">
        <v>61.217052314918064</v>
      </c>
      <c r="AD103" s="45">
        <v>62.00367077675179</v>
      </c>
      <c r="AE103" s="45">
        <v>62.329227078557594</v>
      </c>
      <c r="AF103" s="45">
        <v>51.068192646669253</v>
      </c>
      <c r="AG103" s="45">
        <v>57.585959454441067</v>
      </c>
      <c r="AH103" s="45">
        <v>48.436115739826235</v>
      </c>
      <c r="AI103" s="45">
        <v>54.607428080705091</v>
      </c>
      <c r="AJ103" s="45">
        <v>49.001102801432189</v>
      </c>
      <c r="AK103" s="45">
        <v>59.718383470638386</v>
      </c>
      <c r="AL103" s="45">
        <v>66.396513534617867</v>
      </c>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0"/>
      <c r="CN103" s="40"/>
      <c r="CO103" s="40"/>
      <c r="CP103" s="40"/>
      <c r="CQ103" s="40"/>
      <c r="CR103" s="40"/>
      <c r="CS103" s="40"/>
      <c r="CT103" s="40"/>
      <c r="CU103" s="40"/>
      <c r="CV103" s="40"/>
      <c r="CW103" s="40"/>
    </row>
    <row r="104" spans="1:101" s="20" customFormat="1">
      <c r="B104" s="20" t="s">
        <v>52</v>
      </c>
      <c r="C104" s="82">
        <v>0</v>
      </c>
      <c r="D104" s="82">
        <v>0</v>
      </c>
      <c r="E104" s="82">
        <v>0</v>
      </c>
      <c r="F104" s="82">
        <v>0</v>
      </c>
      <c r="G104" s="82">
        <v>0</v>
      </c>
      <c r="H104" s="82">
        <v>0</v>
      </c>
      <c r="I104" s="82">
        <v>0</v>
      </c>
      <c r="J104" s="82">
        <v>0</v>
      </c>
      <c r="K104" s="82">
        <v>0</v>
      </c>
      <c r="L104" s="83">
        <v>0</v>
      </c>
      <c r="M104" s="82">
        <v>0</v>
      </c>
      <c r="N104" s="82">
        <v>0</v>
      </c>
      <c r="O104" s="82">
        <v>0</v>
      </c>
      <c r="P104" s="82">
        <v>0</v>
      </c>
      <c r="Q104" s="82">
        <v>0</v>
      </c>
      <c r="R104" s="82">
        <v>0</v>
      </c>
      <c r="S104" s="82">
        <v>0</v>
      </c>
      <c r="T104" s="82">
        <v>0</v>
      </c>
      <c r="U104" s="82">
        <v>0</v>
      </c>
      <c r="V104" s="82">
        <v>0</v>
      </c>
      <c r="W104" s="82">
        <v>0</v>
      </c>
      <c r="X104" s="82">
        <v>0</v>
      </c>
      <c r="Y104" s="82">
        <v>0</v>
      </c>
      <c r="Z104" s="82"/>
      <c r="AA104" s="82">
        <v>0</v>
      </c>
      <c r="AB104" s="82">
        <v>0</v>
      </c>
      <c r="AC104" s="82">
        <v>0</v>
      </c>
      <c r="AD104" s="82">
        <v>0</v>
      </c>
      <c r="AE104" s="82">
        <v>0</v>
      </c>
      <c r="AF104" s="82">
        <v>0</v>
      </c>
      <c r="AG104" s="82">
        <v>0</v>
      </c>
      <c r="AH104" s="82">
        <v>0</v>
      </c>
      <c r="AI104" s="82">
        <v>0</v>
      </c>
      <c r="AJ104" s="82">
        <v>0</v>
      </c>
      <c r="AK104" s="82">
        <v>0</v>
      </c>
      <c r="AL104" s="82">
        <v>0</v>
      </c>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0"/>
      <c r="CN104" s="40"/>
      <c r="CO104" s="40"/>
      <c r="CP104" s="40"/>
      <c r="CQ104" s="40"/>
      <c r="CR104" s="40"/>
      <c r="CS104" s="40"/>
      <c r="CT104" s="40"/>
      <c r="CU104" s="40"/>
      <c r="CV104" s="40"/>
      <c r="CW104" s="40"/>
    </row>
    <row r="105" spans="1:101" s="20" customFormat="1">
      <c r="B105" s="20" t="s">
        <v>53</v>
      </c>
      <c r="C105" s="82">
        <v>0</v>
      </c>
      <c r="D105" s="82">
        <v>0</v>
      </c>
      <c r="E105" s="82">
        <v>0</v>
      </c>
      <c r="F105" s="82">
        <v>0</v>
      </c>
      <c r="G105" s="82">
        <v>0</v>
      </c>
      <c r="H105" s="82">
        <v>0</v>
      </c>
      <c r="I105" s="82">
        <v>0</v>
      </c>
      <c r="J105" s="82">
        <v>0</v>
      </c>
      <c r="K105" s="82">
        <v>0</v>
      </c>
      <c r="L105" s="83">
        <v>0</v>
      </c>
      <c r="M105" s="82">
        <v>0</v>
      </c>
      <c r="N105" s="82">
        <v>0</v>
      </c>
      <c r="O105" s="82">
        <v>0</v>
      </c>
      <c r="P105" s="82">
        <v>0</v>
      </c>
      <c r="Q105" s="82">
        <v>0</v>
      </c>
      <c r="R105" s="82">
        <v>0</v>
      </c>
      <c r="S105" s="82">
        <v>0</v>
      </c>
      <c r="T105" s="82">
        <v>0</v>
      </c>
      <c r="U105" s="82">
        <v>0</v>
      </c>
      <c r="V105" s="82">
        <v>0</v>
      </c>
      <c r="W105" s="82">
        <v>0</v>
      </c>
      <c r="X105" s="82">
        <v>0</v>
      </c>
      <c r="Y105" s="82">
        <v>0</v>
      </c>
      <c r="Z105" s="82"/>
      <c r="AA105" s="82">
        <v>0</v>
      </c>
      <c r="AB105" s="82">
        <v>0</v>
      </c>
      <c r="AC105" s="82">
        <v>0</v>
      </c>
      <c r="AD105" s="82">
        <v>0</v>
      </c>
      <c r="AE105" s="82">
        <v>0</v>
      </c>
      <c r="AF105" s="82">
        <v>0</v>
      </c>
      <c r="AG105" s="82">
        <v>0</v>
      </c>
      <c r="AH105" s="82">
        <v>0</v>
      </c>
      <c r="AI105" s="82">
        <v>0</v>
      </c>
      <c r="AJ105" s="82">
        <v>0</v>
      </c>
      <c r="AK105" s="82">
        <v>0</v>
      </c>
      <c r="AL105" s="82">
        <v>0</v>
      </c>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0"/>
      <c r="CN105" s="40"/>
      <c r="CO105" s="40"/>
      <c r="CP105" s="40"/>
      <c r="CQ105" s="40"/>
      <c r="CR105" s="40"/>
      <c r="CS105" s="40"/>
      <c r="CT105" s="40"/>
      <c r="CU105" s="40"/>
      <c r="CV105" s="40"/>
      <c r="CW105" s="40"/>
    </row>
    <row r="106" spans="1:101" s="20" customFormat="1">
      <c r="B106" s="20" t="s">
        <v>54</v>
      </c>
      <c r="C106" s="82">
        <v>0</v>
      </c>
      <c r="D106" s="82">
        <v>0</v>
      </c>
      <c r="E106" s="82">
        <v>0</v>
      </c>
      <c r="F106" s="82">
        <v>0</v>
      </c>
      <c r="G106" s="82">
        <v>0</v>
      </c>
      <c r="H106" s="82">
        <v>0</v>
      </c>
      <c r="I106" s="82">
        <v>0</v>
      </c>
      <c r="J106" s="82">
        <v>0</v>
      </c>
      <c r="K106" s="82">
        <v>0</v>
      </c>
      <c r="L106" s="83">
        <v>0</v>
      </c>
      <c r="M106" s="82">
        <v>0</v>
      </c>
      <c r="N106" s="82">
        <v>0</v>
      </c>
      <c r="O106" s="82">
        <v>0</v>
      </c>
      <c r="P106" s="82">
        <v>0</v>
      </c>
      <c r="Q106" s="82">
        <v>0</v>
      </c>
      <c r="R106" s="82">
        <v>0</v>
      </c>
      <c r="S106" s="82">
        <v>0</v>
      </c>
      <c r="T106" s="82">
        <v>0</v>
      </c>
      <c r="U106" s="82">
        <v>0</v>
      </c>
      <c r="V106" s="82">
        <v>0</v>
      </c>
      <c r="W106" s="82">
        <v>0</v>
      </c>
      <c r="X106" s="82">
        <v>0</v>
      </c>
      <c r="Y106" s="82">
        <v>0</v>
      </c>
      <c r="Z106" s="82"/>
      <c r="AA106" s="82">
        <v>0</v>
      </c>
      <c r="AB106" s="82">
        <v>0</v>
      </c>
      <c r="AC106" s="82">
        <v>0</v>
      </c>
      <c r="AD106" s="82">
        <v>0</v>
      </c>
      <c r="AE106" s="82">
        <v>0</v>
      </c>
      <c r="AF106" s="82">
        <v>0</v>
      </c>
      <c r="AG106" s="82">
        <v>0</v>
      </c>
      <c r="AH106" s="82">
        <v>0</v>
      </c>
      <c r="AI106" s="82">
        <v>0</v>
      </c>
      <c r="AJ106" s="82">
        <v>0</v>
      </c>
      <c r="AK106" s="82">
        <v>0</v>
      </c>
      <c r="AL106" s="82">
        <v>0</v>
      </c>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0"/>
      <c r="CN106" s="40"/>
      <c r="CO106" s="40"/>
      <c r="CP106" s="40"/>
      <c r="CQ106" s="40"/>
      <c r="CR106" s="40"/>
      <c r="CS106" s="40"/>
      <c r="CT106" s="40"/>
      <c r="CU106" s="40"/>
      <c r="CV106" s="40"/>
      <c r="CW106" s="40"/>
    </row>
    <row r="107" spans="1:101" s="20" customFormat="1">
      <c r="B107" s="20" t="s">
        <v>55</v>
      </c>
      <c r="C107" s="82">
        <v>0</v>
      </c>
      <c r="D107" s="82">
        <v>0</v>
      </c>
      <c r="E107" s="82">
        <v>0</v>
      </c>
      <c r="F107" s="82">
        <v>0</v>
      </c>
      <c r="G107" s="82">
        <v>0</v>
      </c>
      <c r="H107" s="82">
        <v>0</v>
      </c>
      <c r="I107" s="82">
        <v>0</v>
      </c>
      <c r="J107" s="82">
        <v>0</v>
      </c>
      <c r="K107" s="82">
        <v>0</v>
      </c>
      <c r="L107" s="83">
        <v>0</v>
      </c>
      <c r="M107" s="82">
        <v>0</v>
      </c>
      <c r="N107" s="82">
        <v>0</v>
      </c>
      <c r="O107" s="82">
        <v>0</v>
      </c>
      <c r="P107" s="82">
        <v>0</v>
      </c>
      <c r="Q107" s="82">
        <v>0</v>
      </c>
      <c r="R107" s="82">
        <v>0</v>
      </c>
      <c r="S107" s="82">
        <v>0</v>
      </c>
      <c r="T107" s="82">
        <v>0</v>
      </c>
      <c r="U107" s="82">
        <v>0</v>
      </c>
      <c r="V107" s="82">
        <v>0</v>
      </c>
      <c r="W107" s="82">
        <v>0</v>
      </c>
      <c r="X107" s="82">
        <v>0</v>
      </c>
      <c r="Y107" s="82">
        <v>0</v>
      </c>
      <c r="Z107" s="82"/>
      <c r="AA107" s="82">
        <v>0</v>
      </c>
      <c r="AB107" s="82">
        <v>0</v>
      </c>
      <c r="AC107" s="82">
        <v>0</v>
      </c>
      <c r="AD107" s="82">
        <v>0</v>
      </c>
      <c r="AE107" s="82">
        <v>0</v>
      </c>
      <c r="AF107" s="82">
        <v>0</v>
      </c>
      <c r="AG107" s="82">
        <v>0</v>
      </c>
      <c r="AH107" s="82">
        <v>0</v>
      </c>
      <c r="AI107" s="82">
        <v>0</v>
      </c>
      <c r="AJ107" s="82">
        <v>0</v>
      </c>
      <c r="AK107" s="82">
        <v>0</v>
      </c>
      <c r="AL107" s="82">
        <v>0</v>
      </c>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row>
    <row r="108" spans="1:101" s="20" customFormat="1">
      <c r="B108" s="20" t="s">
        <v>56</v>
      </c>
      <c r="C108" s="82">
        <v>0</v>
      </c>
      <c r="D108" s="82">
        <v>0</v>
      </c>
      <c r="E108" s="82">
        <v>0</v>
      </c>
      <c r="F108" s="82">
        <v>0</v>
      </c>
      <c r="G108" s="82">
        <v>0</v>
      </c>
      <c r="H108" s="82">
        <v>0</v>
      </c>
      <c r="I108" s="82">
        <v>0</v>
      </c>
      <c r="J108" s="82">
        <v>0</v>
      </c>
      <c r="K108" s="82">
        <v>0</v>
      </c>
      <c r="L108" s="83">
        <v>0</v>
      </c>
      <c r="M108" s="82">
        <v>0</v>
      </c>
      <c r="N108" s="82">
        <v>0</v>
      </c>
      <c r="O108" s="82">
        <v>0</v>
      </c>
      <c r="P108" s="82">
        <v>0</v>
      </c>
      <c r="Q108" s="82">
        <v>0</v>
      </c>
      <c r="R108" s="82">
        <v>0</v>
      </c>
      <c r="S108" s="82">
        <v>0</v>
      </c>
      <c r="T108" s="82">
        <v>0</v>
      </c>
      <c r="U108" s="82">
        <v>0</v>
      </c>
      <c r="V108" s="82">
        <v>0</v>
      </c>
      <c r="W108" s="82">
        <v>0</v>
      </c>
      <c r="X108" s="82">
        <v>0</v>
      </c>
      <c r="Y108" s="82">
        <v>0</v>
      </c>
      <c r="Z108" s="82"/>
      <c r="AA108" s="82">
        <v>0</v>
      </c>
      <c r="AB108" s="82">
        <v>0</v>
      </c>
      <c r="AC108" s="82">
        <v>0</v>
      </c>
      <c r="AD108" s="82">
        <v>0</v>
      </c>
      <c r="AE108" s="82">
        <v>0</v>
      </c>
      <c r="AF108" s="82">
        <v>0</v>
      </c>
      <c r="AG108" s="82">
        <v>0</v>
      </c>
      <c r="AH108" s="82">
        <v>0</v>
      </c>
      <c r="AI108" s="82">
        <v>0</v>
      </c>
      <c r="AJ108" s="82">
        <v>0</v>
      </c>
      <c r="AK108" s="82">
        <v>0</v>
      </c>
      <c r="AL108" s="82">
        <v>0</v>
      </c>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row>
    <row r="109" spans="1:101" s="20" customFormat="1">
      <c r="B109" s="20" t="s">
        <v>57</v>
      </c>
      <c r="C109" s="82">
        <v>0</v>
      </c>
      <c r="D109" s="82">
        <v>0</v>
      </c>
      <c r="E109" s="82">
        <v>0</v>
      </c>
      <c r="F109" s="82">
        <v>0</v>
      </c>
      <c r="G109" s="82">
        <v>0</v>
      </c>
      <c r="H109" s="82">
        <v>0</v>
      </c>
      <c r="I109" s="82">
        <v>0</v>
      </c>
      <c r="J109" s="82">
        <v>0</v>
      </c>
      <c r="K109" s="82">
        <v>0</v>
      </c>
      <c r="L109" s="83">
        <v>0</v>
      </c>
      <c r="M109" s="82">
        <v>0</v>
      </c>
      <c r="N109" s="82">
        <v>0</v>
      </c>
      <c r="O109" s="82">
        <v>0</v>
      </c>
      <c r="P109" s="82">
        <v>0</v>
      </c>
      <c r="Q109" s="82">
        <v>0</v>
      </c>
      <c r="R109" s="82">
        <v>0</v>
      </c>
      <c r="S109" s="82">
        <v>0</v>
      </c>
      <c r="T109" s="82">
        <v>0</v>
      </c>
      <c r="U109" s="82">
        <v>0</v>
      </c>
      <c r="V109" s="82">
        <v>0</v>
      </c>
      <c r="W109" s="82">
        <v>0</v>
      </c>
      <c r="X109" s="82">
        <v>0</v>
      </c>
      <c r="Y109" s="82">
        <v>0</v>
      </c>
      <c r="Z109" s="82"/>
      <c r="AA109" s="82">
        <v>0</v>
      </c>
      <c r="AB109" s="82">
        <v>0</v>
      </c>
      <c r="AC109" s="82">
        <v>0</v>
      </c>
      <c r="AD109" s="82">
        <v>0</v>
      </c>
      <c r="AE109" s="82">
        <v>0</v>
      </c>
      <c r="AF109" s="82">
        <v>0</v>
      </c>
      <c r="AG109" s="82">
        <v>0</v>
      </c>
      <c r="AH109" s="82">
        <v>0</v>
      </c>
      <c r="AI109" s="82">
        <v>0</v>
      </c>
      <c r="AJ109" s="82">
        <v>0</v>
      </c>
      <c r="AK109" s="82">
        <v>0</v>
      </c>
      <c r="AL109" s="82">
        <v>0</v>
      </c>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row>
    <row r="110" spans="1:101" s="20" customFormat="1">
      <c r="B110" s="20" t="s">
        <v>58</v>
      </c>
      <c r="C110" s="82">
        <v>0</v>
      </c>
      <c r="D110" s="82">
        <v>0</v>
      </c>
      <c r="E110" s="82">
        <v>0</v>
      </c>
      <c r="F110" s="82">
        <v>0</v>
      </c>
      <c r="G110" s="82">
        <v>0</v>
      </c>
      <c r="H110" s="82">
        <v>0</v>
      </c>
      <c r="I110" s="82">
        <v>0</v>
      </c>
      <c r="J110" s="82">
        <v>0</v>
      </c>
      <c r="K110" s="82">
        <v>0</v>
      </c>
      <c r="L110" s="83">
        <v>0</v>
      </c>
      <c r="M110" s="82">
        <v>0</v>
      </c>
      <c r="N110" s="82">
        <v>0</v>
      </c>
      <c r="O110" s="82">
        <v>0</v>
      </c>
      <c r="P110" s="82">
        <v>0</v>
      </c>
      <c r="Q110" s="82">
        <v>0</v>
      </c>
      <c r="R110" s="82">
        <v>0</v>
      </c>
      <c r="S110" s="82">
        <v>0</v>
      </c>
      <c r="T110" s="82">
        <v>0</v>
      </c>
      <c r="U110" s="82">
        <v>0</v>
      </c>
      <c r="V110" s="82">
        <v>0</v>
      </c>
      <c r="W110" s="82">
        <v>0</v>
      </c>
      <c r="X110" s="82">
        <v>0</v>
      </c>
      <c r="Y110" s="82">
        <v>0</v>
      </c>
      <c r="Z110" s="82"/>
      <c r="AA110" s="82">
        <v>0</v>
      </c>
      <c r="AB110" s="82">
        <v>0</v>
      </c>
      <c r="AC110" s="82">
        <v>0</v>
      </c>
      <c r="AD110" s="82">
        <v>0</v>
      </c>
      <c r="AE110" s="82">
        <v>0</v>
      </c>
      <c r="AF110" s="82">
        <v>0</v>
      </c>
      <c r="AG110" s="82">
        <v>0</v>
      </c>
      <c r="AH110" s="82">
        <v>0</v>
      </c>
      <c r="AI110" s="82">
        <v>0</v>
      </c>
      <c r="AJ110" s="82">
        <v>0</v>
      </c>
      <c r="AK110" s="82">
        <v>0</v>
      </c>
      <c r="AL110" s="82">
        <v>0</v>
      </c>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row>
    <row r="111" spans="1:101" s="20" customFormat="1">
      <c r="B111" s="20" t="s">
        <v>59</v>
      </c>
      <c r="C111" s="82">
        <v>0</v>
      </c>
      <c r="D111" s="82">
        <v>0</v>
      </c>
      <c r="E111" s="82">
        <v>0</v>
      </c>
      <c r="F111" s="82">
        <v>0</v>
      </c>
      <c r="G111" s="82">
        <v>0</v>
      </c>
      <c r="H111" s="82">
        <v>0</v>
      </c>
      <c r="I111" s="82">
        <v>0</v>
      </c>
      <c r="J111" s="82">
        <v>0</v>
      </c>
      <c r="K111" s="82">
        <v>0</v>
      </c>
      <c r="L111" s="83">
        <v>0</v>
      </c>
      <c r="M111" s="82">
        <v>0</v>
      </c>
      <c r="N111" s="82">
        <v>0</v>
      </c>
      <c r="O111" s="82">
        <v>0</v>
      </c>
      <c r="P111" s="82">
        <v>0</v>
      </c>
      <c r="Q111" s="82">
        <v>0</v>
      </c>
      <c r="R111" s="82">
        <v>0</v>
      </c>
      <c r="S111" s="82">
        <v>0</v>
      </c>
      <c r="T111" s="82">
        <v>0</v>
      </c>
      <c r="U111" s="82">
        <v>0</v>
      </c>
      <c r="V111" s="82">
        <v>0</v>
      </c>
      <c r="W111" s="82">
        <v>0</v>
      </c>
      <c r="X111" s="82">
        <v>0</v>
      </c>
      <c r="Y111" s="82">
        <v>0</v>
      </c>
      <c r="Z111" s="82"/>
      <c r="AA111" s="82">
        <v>0</v>
      </c>
      <c r="AB111" s="82">
        <v>0</v>
      </c>
      <c r="AC111" s="82">
        <v>0</v>
      </c>
      <c r="AD111" s="82">
        <v>0</v>
      </c>
      <c r="AE111" s="82">
        <v>0</v>
      </c>
      <c r="AF111" s="82">
        <v>0</v>
      </c>
      <c r="AG111" s="82">
        <v>0</v>
      </c>
      <c r="AH111" s="82">
        <v>0</v>
      </c>
      <c r="AI111" s="82">
        <v>0</v>
      </c>
      <c r="AJ111" s="82">
        <v>0</v>
      </c>
      <c r="AK111" s="82">
        <v>0</v>
      </c>
      <c r="AL111" s="82">
        <v>0</v>
      </c>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row>
    <row r="112" spans="1:101" s="20" customFormat="1">
      <c r="B112" s="20" t="s">
        <v>60</v>
      </c>
      <c r="C112" s="82">
        <v>0</v>
      </c>
      <c r="D112" s="82">
        <v>0</v>
      </c>
      <c r="E112" s="82">
        <v>0</v>
      </c>
      <c r="F112" s="82">
        <v>0</v>
      </c>
      <c r="G112" s="82">
        <v>0</v>
      </c>
      <c r="H112" s="82">
        <v>0</v>
      </c>
      <c r="I112" s="82">
        <v>0</v>
      </c>
      <c r="J112" s="82">
        <v>0</v>
      </c>
      <c r="K112" s="82">
        <v>0</v>
      </c>
      <c r="L112" s="83">
        <v>0</v>
      </c>
      <c r="M112" s="82">
        <v>0</v>
      </c>
      <c r="N112" s="82">
        <v>0</v>
      </c>
      <c r="O112" s="82">
        <v>0</v>
      </c>
      <c r="P112" s="82">
        <v>0</v>
      </c>
      <c r="Q112" s="82">
        <v>0</v>
      </c>
      <c r="R112" s="82">
        <v>0</v>
      </c>
      <c r="S112" s="82">
        <v>0</v>
      </c>
      <c r="T112" s="82">
        <v>0</v>
      </c>
      <c r="U112" s="82">
        <v>0</v>
      </c>
      <c r="V112" s="82">
        <v>0</v>
      </c>
      <c r="W112" s="82">
        <v>0</v>
      </c>
      <c r="X112" s="82">
        <v>0</v>
      </c>
      <c r="Y112" s="82">
        <v>0</v>
      </c>
      <c r="Z112" s="82"/>
      <c r="AA112" s="82">
        <v>0</v>
      </c>
      <c r="AB112" s="82">
        <v>0</v>
      </c>
      <c r="AC112" s="82">
        <v>0</v>
      </c>
      <c r="AD112" s="82">
        <v>0</v>
      </c>
      <c r="AE112" s="82">
        <v>0</v>
      </c>
      <c r="AF112" s="82">
        <v>0</v>
      </c>
      <c r="AG112" s="82">
        <v>0</v>
      </c>
      <c r="AH112" s="82">
        <v>0</v>
      </c>
      <c r="AI112" s="82">
        <v>0</v>
      </c>
      <c r="AJ112" s="82">
        <v>0</v>
      </c>
      <c r="AK112" s="82">
        <v>0</v>
      </c>
      <c r="AL112" s="82">
        <v>0</v>
      </c>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0"/>
      <c r="CN112" s="40"/>
      <c r="CO112" s="40"/>
      <c r="CP112" s="40"/>
      <c r="CQ112" s="40"/>
      <c r="CR112" s="40"/>
      <c r="CS112" s="40"/>
      <c r="CT112" s="40"/>
      <c r="CU112" s="40"/>
      <c r="CV112" s="40"/>
      <c r="CW112" s="40"/>
    </row>
    <row r="113" spans="1:101" s="20" customFormat="1">
      <c r="B113" s="20" t="s">
        <v>61</v>
      </c>
      <c r="C113" s="82">
        <v>0</v>
      </c>
      <c r="D113" s="82">
        <v>0</v>
      </c>
      <c r="E113" s="82">
        <v>0</v>
      </c>
      <c r="F113" s="82">
        <v>0</v>
      </c>
      <c r="G113" s="82">
        <v>0</v>
      </c>
      <c r="H113" s="82">
        <v>0</v>
      </c>
      <c r="I113" s="82">
        <v>0</v>
      </c>
      <c r="J113" s="82">
        <v>0</v>
      </c>
      <c r="K113" s="82">
        <v>0</v>
      </c>
      <c r="L113" s="83">
        <v>0</v>
      </c>
      <c r="M113" s="82">
        <v>0</v>
      </c>
      <c r="N113" s="82">
        <v>0</v>
      </c>
      <c r="O113" s="82">
        <v>0</v>
      </c>
      <c r="P113" s="82">
        <v>0</v>
      </c>
      <c r="Q113" s="82">
        <v>0</v>
      </c>
      <c r="R113" s="82">
        <v>0</v>
      </c>
      <c r="S113" s="82">
        <v>0</v>
      </c>
      <c r="T113" s="82">
        <v>0</v>
      </c>
      <c r="U113" s="82">
        <v>0</v>
      </c>
      <c r="V113" s="82">
        <v>0</v>
      </c>
      <c r="W113" s="82">
        <v>0</v>
      </c>
      <c r="X113" s="82">
        <v>0</v>
      </c>
      <c r="Y113" s="82">
        <v>0</v>
      </c>
      <c r="Z113" s="82"/>
      <c r="AA113" s="82">
        <v>0</v>
      </c>
      <c r="AB113" s="82">
        <v>0</v>
      </c>
      <c r="AC113" s="82">
        <v>0</v>
      </c>
      <c r="AD113" s="82">
        <v>0</v>
      </c>
      <c r="AE113" s="82">
        <v>0</v>
      </c>
      <c r="AF113" s="82">
        <v>0</v>
      </c>
      <c r="AG113" s="82">
        <v>0</v>
      </c>
      <c r="AH113" s="82">
        <v>0</v>
      </c>
      <c r="AI113" s="82">
        <v>0</v>
      </c>
      <c r="AJ113" s="82">
        <v>0</v>
      </c>
      <c r="AK113" s="82">
        <v>0</v>
      </c>
      <c r="AL113" s="82">
        <v>0</v>
      </c>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0"/>
      <c r="CN113" s="40"/>
      <c r="CO113" s="40"/>
      <c r="CP113" s="40"/>
      <c r="CQ113" s="40"/>
      <c r="CR113" s="40"/>
      <c r="CS113" s="40"/>
      <c r="CT113" s="40"/>
      <c r="CU113" s="40"/>
      <c r="CV113" s="40"/>
      <c r="CW113" s="40"/>
    </row>
    <row r="114" spans="1:101" s="20" customFormat="1">
      <c r="B114" s="20" t="s">
        <v>62</v>
      </c>
      <c r="C114" s="82">
        <v>0</v>
      </c>
      <c r="D114" s="82">
        <v>0</v>
      </c>
      <c r="E114" s="82">
        <v>0</v>
      </c>
      <c r="F114" s="82">
        <v>0</v>
      </c>
      <c r="G114" s="82">
        <v>0</v>
      </c>
      <c r="H114" s="82">
        <v>0</v>
      </c>
      <c r="I114" s="82">
        <v>0</v>
      </c>
      <c r="J114" s="82">
        <v>0</v>
      </c>
      <c r="K114" s="82">
        <v>0</v>
      </c>
      <c r="L114" s="83">
        <v>0</v>
      </c>
      <c r="M114" s="82">
        <v>0</v>
      </c>
      <c r="N114" s="82">
        <v>0</v>
      </c>
      <c r="O114" s="82">
        <v>0</v>
      </c>
      <c r="P114" s="82">
        <v>0</v>
      </c>
      <c r="Q114" s="82">
        <v>0</v>
      </c>
      <c r="R114" s="82">
        <v>0</v>
      </c>
      <c r="S114" s="82">
        <v>0</v>
      </c>
      <c r="T114" s="82">
        <v>0</v>
      </c>
      <c r="U114" s="82">
        <v>0</v>
      </c>
      <c r="V114" s="82">
        <v>0</v>
      </c>
      <c r="W114" s="82">
        <v>0</v>
      </c>
      <c r="X114" s="82">
        <v>0</v>
      </c>
      <c r="Y114" s="82">
        <v>0</v>
      </c>
      <c r="Z114" s="82"/>
      <c r="AA114" s="82">
        <v>0</v>
      </c>
      <c r="AB114" s="82">
        <v>0</v>
      </c>
      <c r="AC114" s="82">
        <v>0</v>
      </c>
      <c r="AD114" s="82">
        <v>0</v>
      </c>
      <c r="AE114" s="82">
        <v>0</v>
      </c>
      <c r="AF114" s="82">
        <v>0</v>
      </c>
      <c r="AG114" s="82">
        <v>0</v>
      </c>
      <c r="AH114" s="82">
        <v>0</v>
      </c>
      <c r="AI114" s="82">
        <v>0</v>
      </c>
      <c r="AJ114" s="82">
        <v>0</v>
      </c>
      <c r="AK114" s="82">
        <v>0</v>
      </c>
      <c r="AL114" s="82">
        <v>0</v>
      </c>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row>
    <row r="115" spans="1:101" s="20" customFormat="1">
      <c r="B115" s="20" t="s">
        <v>63</v>
      </c>
      <c r="C115" s="82">
        <v>0</v>
      </c>
      <c r="D115" s="82">
        <v>0</v>
      </c>
      <c r="E115" s="82">
        <v>0</v>
      </c>
      <c r="F115" s="82">
        <v>0</v>
      </c>
      <c r="G115" s="82">
        <v>0</v>
      </c>
      <c r="H115" s="82">
        <v>0</v>
      </c>
      <c r="I115" s="82">
        <v>0</v>
      </c>
      <c r="J115" s="82">
        <v>0</v>
      </c>
      <c r="K115" s="82">
        <v>0</v>
      </c>
      <c r="L115" s="83">
        <v>0</v>
      </c>
      <c r="M115" s="82">
        <v>0</v>
      </c>
      <c r="N115" s="82">
        <v>0</v>
      </c>
      <c r="O115" s="82">
        <v>0</v>
      </c>
      <c r="P115" s="82">
        <v>0</v>
      </c>
      <c r="Q115" s="82">
        <v>0</v>
      </c>
      <c r="R115" s="82">
        <v>0</v>
      </c>
      <c r="S115" s="82">
        <v>0</v>
      </c>
      <c r="T115" s="82">
        <v>0</v>
      </c>
      <c r="U115" s="82">
        <v>0</v>
      </c>
      <c r="V115" s="82">
        <v>0</v>
      </c>
      <c r="W115" s="82">
        <v>0</v>
      </c>
      <c r="X115" s="82">
        <v>0</v>
      </c>
      <c r="Y115" s="82">
        <v>0</v>
      </c>
      <c r="Z115" s="82"/>
      <c r="AA115" s="82">
        <v>0</v>
      </c>
      <c r="AB115" s="82">
        <v>0</v>
      </c>
      <c r="AC115" s="82">
        <v>0</v>
      </c>
      <c r="AD115" s="82">
        <v>0</v>
      </c>
      <c r="AE115" s="82">
        <v>0</v>
      </c>
      <c r="AF115" s="82">
        <v>0</v>
      </c>
      <c r="AG115" s="82">
        <v>0</v>
      </c>
      <c r="AH115" s="82">
        <v>0</v>
      </c>
      <c r="AI115" s="82">
        <v>0</v>
      </c>
      <c r="AJ115" s="82">
        <v>0</v>
      </c>
      <c r="AK115" s="82">
        <v>0</v>
      </c>
      <c r="AL115" s="82">
        <v>0</v>
      </c>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0"/>
      <c r="CN115" s="40"/>
      <c r="CO115" s="40"/>
      <c r="CP115" s="40"/>
      <c r="CQ115" s="40"/>
      <c r="CR115" s="40"/>
      <c r="CS115" s="40"/>
      <c r="CT115" s="40"/>
      <c r="CU115" s="40"/>
      <c r="CV115" s="40"/>
      <c r="CW115" s="40"/>
    </row>
    <row r="116" spans="1:101" s="20" customFormat="1">
      <c r="B116" s="20" t="s">
        <v>64</v>
      </c>
      <c r="C116" s="82">
        <v>0</v>
      </c>
      <c r="D116" s="82">
        <v>0</v>
      </c>
      <c r="E116" s="82">
        <v>0</v>
      </c>
      <c r="F116" s="82">
        <v>0</v>
      </c>
      <c r="G116" s="82">
        <v>0</v>
      </c>
      <c r="H116" s="82">
        <v>0</v>
      </c>
      <c r="I116" s="82">
        <v>0</v>
      </c>
      <c r="J116" s="82">
        <v>0</v>
      </c>
      <c r="K116" s="82">
        <v>0</v>
      </c>
      <c r="L116" s="83">
        <v>0</v>
      </c>
      <c r="M116" s="82">
        <v>0</v>
      </c>
      <c r="N116" s="82">
        <v>0</v>
      </c>
      <c r="O116" s="82">
        <v>0</v>
      </c>
      <c r="P116" s="82">
        <v>0</v>
      </c>
      <c r="Q116" s="82">
        <v>0</v>
      </c>
      <c r="R116" s="82">
        <v>0</v>
      </c>
      <c r="S116" s="82">
        <v>0</v>
      </c>
      <c r="T116" s="82">
        <v>0</v>
      </c>
      <c r="U116" s="82">
        <v>0</v>
      </c>
      <c r="V116" s="82">
        <v>0</v>
      </c>
      <c r="W116" s="82">
        <v>0</v>
      </c>
      <c r="X116" s="82">
        <v>0</v>
      </c>
      <c r="Y116" s="82">
        <v>0</v>
      </c>
      <c r="Z116" s="82"/>
      <c r="AA116" s="82">
        <v>0</v>
      </c>
      <c r="AB116" s="82">
        <v>0</v>
      </c>
      <c r="AC116" s="82">
        <v>0</v>
      </c>
      <c r="AD116" s="82">
        <v>0</v>
      </c>
      <c r="AE116" s="82">
        <v>0</v>
      </c>
      <c r="AF116" s="82">
        <v>0</v>
      </c>
      <c r="AG116" s="82">
        <v>0</v>
      </c>
      <c r="AH116" s="82">
        <v>0</v>
      </c>
      <c r="AI116" s="82">
        <v>0</v>
      </c>
      <c r="AJ116" s="82">
        <v>0</v>
      </c>
      <c r="AK116" s="82">
        <v>0</v>
      </c>
      <c r="AL116" s="82">
        <v>0</v>
      </c>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0"/>
      <c r="CN116" s="40"/>
      <c r="CO116" s="40"/>
      <c r="CP116" s="40"/>
      <c r="CQ116" s="40"/>
      <c r="CR116" s="40"/>
      <c r="CS116" s="40"/>
      <c r="CT116" s="40"/>
      <c r="CU116" s="40"/>
      <c r="CV116" s="40"/>
      <c r="CW116" s="40"/>
    </row>
    <row r="117" spans="1:101" s="20" customFormat="1">
      <c r="B117" s="20" t="s">
        <v>65</v>
      </c>
      <c r="C117" s="82">
        <v>0</v>
      </c>
      <c r="D117" s="82">
        <v>0</v>
      </c>
      <c r="E117" s="82">
        <v>0</v>
      </c>
      <c r="F117" s="82">
        <v>0</v>
      </c>
      <c r="G117" s="82">
        <v>0</v>
      </c>
      <c r="H117" s="82">
        <v>0</v>
      </c>
      <c r="I117" s="82">
        <v>0</v>
      </c>
      <c r="J117" s="82">
        <v>0</v>
      </c>
      <c r="K117" s="82">
        <v>0</v>
      </c>
      <c r="L117" s="83">
        <v>0</v>
      </c>
      <c r="M117" s="82">
        <v>0</v>
      </c>
      <c r="N117" s="82">
        <v>0</v>
      </c>
      <c r="O117" s="82">
        <v>0</v>
      </c>
      <c r="P117" s="82">
        <v>0</v>
      </c>
      <c r="Q117" s="82">
        <v>0</v>
      </c>
      <c r="R117" s="82">
        <v>0</v>
      </c>
      <c r="S117" s="82">
        <v>0</v>
      </c>
      <c r="T117" s="82">
        <v>0</v>
      </c>
      <c r="U117" s="82">
        <v>0</v>
      </c>
      <c r="V117" s="82">
        <v>0</v>
      </c>
      <c r="W117" s="82">
        <v>0</v>
      </c>
      <c r="X117" s="82">
        <v>0</v>
      </c>
      <c r="Y117" s="82">
        <v>0</v>
      </c>
      <c r="Z117" s="82"/>
      <c r="AA117" s="82">
        <v>0</v>
      </c>
      <c r="AB117" s="82">
        <v>0</v>
      </c>
      <c r="AC117" s="82">
        <v>0</v>
      </c>
      <c r="AD117" s="82">
        <v>0</v>
      </c>
      <c r="AE117" s="82">
        <v>0</v>
      </c>
      <c r="AF117" s="82">
        <v>0</v>
      </c>
      <c r="AG117" s="82">
        <v>0</v>
      </c>
      <c r="AH117" s="82">
        <v>0</v>
      </c>
      <c r="AI117" s="82">
        <v>0</v>
      </c>
      <c r="AJ117" s="82">
        <v>0</v>
      </c>
      <c r="AK117" s="82">
        <v>0</v>
      </c>
      <c r="AL117" s="82">
        <v>0</v>
      </c>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row>
    <row r="118" spans="1:101" s="20" customFormat="1">
      <c r="B118" s="20" t="s">
        <v>66</v>
      </c>
      <c r="C118" s="82">
        <v>0</v>
      </c>
      <c r="D118" s="82">
        <v>0</v>
      </c>
      <c r="E118" s="82">
        <v>0</v>
      </c>
      <c r="F118" s="82">
        <v>0</v>
      </c>
      <c r="G118" s="82">
        <v>0</v>
      </c>
      <c r="H118" s="82">
        <v>0</v>
      </c>
      <c r="I118" s="82">
        <v>0</v>
      </c>
      <c r="J118" s="82">
        <v>0</v>
      </c>
      <c r="K118" s="82">
        <v>0</v>
      </c>
      <c r="L118" s="83">
        <v>0</v>
      </c>
      <c r="M118" s="82">
        <v>0</v>
      </c>
      <c r="N118" s="82">
        <v>0</v>
      </c>
      <c r="O118" s="82">
        <v>0</v>
      </c>
      <c r="P118" s="82">
        <v>0</v>
      </c>
      <c r="Q118" s="82">
        <v>0</v>
      </c>
      <c r="R118" s="82">
        <v>0</v>
      </c>
      <c r="S118" s="82">
        <v>0</v>
      </c>
      <c r="T118" s="82">
        <v>0</v>
      </c>
      <c r="U118" s="82">
        <v>0</v>
      </c>
      <c r="V118" s="82">
        <v>0</v>
      </c>
      <c r="W118" s="82">
        <v>0</v>
      </c>
      <c r="X118" s="82">
        <v>0</v>
      </c>
      <c r="Y118" s="82">
        <v>0</v>
      </c>
      <c r="Z118" s="82"/>
      <c r="AA118" s="82">
        <v>0</v>
      </c>
      <c r="AB118" s="82">
        <v>0</v>
      </c>
      <c r="AC118" s="82">
        <v>0</v>
      </c>
      <c r="AD118" s="82">
        <v>0</v>
      </c>
      <c r="AE118" s="82">
        <v>0</v>
      </c>
      <c r="AF118" s="82">
        <v>0</v>
      </c>
      <c r="AG118" s="82">
        <v>0</v>
      </c>
      <c r="AH118" s="82">
        <v>0</v>
      </c>
      <c r="AI118" s="82">
        <v>0</v>
      </c>
      <c r="AJ118" s="82">
        <v>0</v>
      </c>
      <c r="AK118" s="82">
        <v>0</v>
      </c>
      <c r="AL118" s="82">
        <v>0</v>
      </c>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0"/>
      <c r="CN118" s="40"/>
      <c r="CO118" s="40"/>
      <c r="CP118" s="40"/>
      <c r="CQ118" s="40"/>
      <c r="CR118" s="40"/>
      <c r="CS118" s="40"/>
      <c r="CT118" s="40"/>
      <c r="CU118" s="40"/>
      <c r="CV118" s="40"/>
      <c r="CW118" s="40"/>
    </row>
    <row r="119" spans="1:101" s="20" customFormat="1">
      <c r="B119" s="20" t="s">
        <v>67</v>
      </c>
      <c r="C119" s="82">
        <v>0</v>
      </c>
      <c r="D119" s="82">
        <v>0</v>
      </c>
      <c r="E119" s="82">
        <v>0</v>
      </c>
      <c r="F119" s="82">
        <v>0</v>
      </c>
      <c r="G119" s="82">
        <v>0</v>
      </c>
      <c r="H119" s="82">
        <v>0</v>
      </c>
      <c r="I119" s="82">
        <v>0</v>
      </c>
      <c r="J119" s="82">
        <v>0</v>
      </c>
      <c r="K119" s="82">
        <v>0</v>
      </c>
      <c r="L119" s="83">
        <v>0</v>
      </c>
      <c r="M119" s="82">
        <v>0</v>
      </c>
      <c r="N119" s="82">
        <v>0</v>
      </c>
      <c r="O119" s="82">
        <v>0</v>
      </c>
      <c r="P119" s="82">
        <v>0</v>
      </c>
      <c r="Q119" s="82">
        <v>0</v>
      </c>
      <c r="R119" s="82">
        <v>0</v>
      </c>
      <c r="S119" s="82">
        <v>0</v>
      </c>
      <c r="T119" s="82">
        <v>0</v>
      </c>
      <c r="U119" s="82">
        <v>0</v>
      </c>
      <c r="V119" s="82">
        <v>0</v>
      </c>
      <c r="W119" s="82">
        <v>0</v>
      </c>
      <c r="X119" s="82">
        <v>0</v>
      </c>
      <c r="Y119" s="82">
        <v>0</v>
      </c>
      <c r="Z119" s="82"/>
      <c r="AA119" s="82">
        <v>0</v>
      </c>
      <c r="AB119" s="82">
        <v>0</v>
      </c>
      <c r="AC119" s="82">
        <v>0</v>
      </c>
      <c r="AD119" s="82">
        <v>0</v>
      </c>
      <c r="AE119" s="82">
        <v>0</v>
      </c>
      <c r="AF119" s="82">
        <v>0</v>
      </c>
      <c r="AG119" s="82">
        <v>0</v>
      </c>
      <c r="AH119" s="82">
        <v>0</v>
      </c>
      <c r="AI119" s="82">
        <v>0</v>
      </c>
      <c r="AJ119" s="82">
        <v>0</v>
      </c>
      <c r="AK119" s="82">
        <v>0</v>
      </c>
      <c r="AL119" s="82">
        <v>0</v>
      </c>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0"/>
      <c r="CN119" s="40"/>
      <c r="CO119" s="40"/>
      <c r="CP119" s="40"/>
      <c r="CQ119" s="40"/>
      <c r="CR119" s="40"/>
      <c r="CS119" s="40"/>
      <c r="CT119" s="40"/>
      <c r="CU119" s="40"/>
      <c r="CV119" s="40"/>
      <c r="CW119" s="40"/>
    </row>
    <row r="120" spans="1:101" s="20" customFormat="1">
      <c r="B120" s="20" t="s">
        <v>68</v>
      </c>
      <c r="C120" s="82">
        <v>0</v>
      </c>
      <c r="D120" s="82">
        <v>0</v>
      </c>
      <c r="E120" s="82">
        <v>0</v>
      </c>
      <c r="F120" s="82">
        <v>0</v>
      </c>
      <c r="G120" s="82">
        <v>0</v>
      </c>
      <c r="H120" s="82">
        <v>0</v>
      </c>
      <c r="I120" s="82">
        <v>0</v>
      </c>
      <c r="J120" s="82">
        <v>0</v>
      </c>
      <c r="K120" s="82">
        <v>0</v>
      </c>
      <c r="L120" s="83">
        <v>0</v>
      </c>
      <c r="M120" s="82">
        <v>0</v>
      </c>
      <c r="N120" s="82">
        <v>0</v>
      </c>
      <c r="O120" s="82">
        <v>0</v>
      </c>
      <c r="P120" s="82">
        <v>0</v>
      </c>
      <c r="Q120" s="82">
        <v>0</v>
      </c>
      <c r="R120" s="82">
        <v>0</v>
      </c>
      <c r="S120" s="82">
        <v>0</v>
      </c>
      <c r="T120" s="82">
        <v>0</v>
      </c>
      <c r="U120" s="82">
        <v>0</v>
      </c>
      <c r="V120" s="82">
        <v>0</v>
      </c>
      <c r="W120" s="82">
        <v>0</v>
      </c>
      <c r="X120" s="82">
        <v>0</v>
      </c>
      <c r="Y120" s="82">
        <v>0</v>
      </c>
      <c r="Z120" s="82"/>
      <c r="AA120" s="82">
        <v>0</v>
      </c>
      <c r="AB120" s="82">
        <v>0</v>
      </c>
      <c r="AC120" s="82">
        <v>0</v>
      </c>
      <c r="AD120" s="82">
        <v>0</v>
      </c>
      <c r="AE120" s="82">
        <v>0</v>
      </c>
      <c r="AF120" s="82">
        <v>0</v>
      </c>
      <c r="AG120" s="82">
        <v>0</v>
      </c>
      <c r="AH120" s="82">
        <v>0</v>
      </c>
      <c r="AI120" s="82">
        <v>0</v>
      </c>
      <c r="AJ120" s="82">
        <v>0</v>
      </c>
      <c r="AK120" s="82">
        <v>0</v>
      </c>
      <c r="AL120" s="82">
        <v>0</v>
      </c>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0"/>
      <c r="CN120" s="40"/>
      <c r="CO120" s="40"/>
      <c r="CP120" s="40"/>
      <c r="CQ120" s="40"/>
      <c r="CR120" s="40"/>
      <c r="CS120" s="40"/>
      <c r="CT120" s="40"/>
      <c r="CU120" s="40"/>
      <c r="CV120" s="40"/>
      <c r="CW120" s="40"/>
    </row>
    <row r="121" spans="1:101" s="20" customFormat="1">
      <c r="B121" s="20" t="s">
        <v>69</v>
      </c>
      <c r="C121" s="82">
        <v>0</v>
      </c>
      <c r="D121" s="82">
        <v>0</v>
      </c>
      <c r="E121" s="82">
        <v>0</v>
      </c>
      <c r="F121" s="82">
        <v>0</v>
      </c>
      <c r="G121" s="82">
        <v>0</v>
      </c>
      <c r="H121" s="82">
        <v>0</v>
      </c>
      <c r="I121" s="82">
        <v>0</v>
      </c>
      <c r="J121" s="82">
        <v>0</v>
      </c>
      <c r="K121" s="82">
        <v>0</v>
      </c>
      <c r="L121" s="83">
        <v>0</v>
      </c>
      <c r="M121" s="82">
        <v>0</v>
      </c>
      <c r="N121" s="82">
        <v>0</v>
      </c>
      <c r="O121" s="82">
        <v>0</v>
      </c>
      <c r="P121" s="82">
        <v>0</v>
      </c>
      <c r="Q121" s="82">
        <v>0</v>
      </c>
      <c r="R121" s="82">
        <v>0</v>
      </c>
      <c r="S121" s="82">
        <v>0</v>
      </c>
      <c r="T121" s="82">
        <v>0</v>
      </c>
      <c r="U121" s="82">
        <v>0</v>
      </c>
      <c r="V121" s="82">
        <v>0</v>
      </c>
      <c r="W121" s="82">
        <v>0</v>
      </c>
      <c r="X121" s="82">
        <v>0</v>
      </c>
      <c r="Y121" s="82">
        <v>0</v>
      </c>
      <c r="Z121" s="82"/>
      <c r="AA121" s="82">
        <v>0</v>
      </c>
      <c r="AB121" s="82">
        <v>0</v>
      </c>
      <c r="AC121" s="82">
        <v>0</v>
      </c>
      <c r="AD121" s="82">
        <v>0</v>
      </c>
      <c r="AE121" s="82">
        <v>0</v>
      </c>
      <c r="AF121" s="82">
        <v>0</v>
      </c>
      <c r="AG121" s="82">
        <v>0</v>
      </c>
      <c r="AH121" s="82">
        <v>0</v>
      </c>
      <c r="AI121" s="82">
        <v>0</v>
      </c>
      <c r="AJ121" s="82">
        <v>0</v>
      </c>
      <c r="AK121" s="82">
        <v>0</v>
      </c>
      <c r="AL121" s="82">
        <v>0</v>
      </c>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0"/>
      <c r="CN121" s="40"/>
      <c r="CO121" s="40"/>
      <c r="CP121" s="40"/>
      <c r="CQ121" s="40"/>
      <c r="CR121" s="40"/>
      <c r="CS121" s="40"/>
      <c r="CT121" s="40"/>
      <c r="CU121" s="40"/>
      <c r="CV121" s="40"/>
      <c r="CW121" s="40"/>
    </row>
    <row r="122" spans="1:101" s="20" customFormat="1">
      <c r="B122" s="20" t="s">
        <v>70</v>
      </c>
      <c r="C122" s="82">
        <v>0</v>
      </c>
      <c r="D122" s="82">
        <v>0</v>
      </c>
      <c r="E122" s="82">
        <v>0</v>
      </c>
      <c r="F122" s="82">
        <v>0</v>
      </c>
      <c r="G122" s="82">
        <v>0</v>
      </c>
      <c r="H122" s="82">
        <v>0</v>
      </c>
      <c r="I122" s="82">
        <v>0</v>
      </c>
      <c r="J122" s="82">
        <v>0</v>
      </c>
      <c r="K122" s="82">
        <v>0</v>
      </c>
      <c r="L122" s="83">
        <v>0</v>
      </c>
      <c r="M122" s="82">
        <v>0</v>
      </c>
      <c r="N122" s="82">
        <v>0</v>
      </c>
      <c r="O122" s="82">
        <v>0</v>
      </c>
      <c r="P122" s="82">
        <v>0</v>
      </c>
      <c r="Q122" s="82">
        <v>0</v>
      </c>
      <c r="R122" s="82">
        <v>0</v>
      </c>
      <c r="S122" s="82">
        <v>0</v>
      </c>
      <c r="T122" s="82">
        <v>0</v>
      </c>
      <c r="U122" s="82">
        <v>0</v>
      </c>
      <c r="V122" s="82">
        <v>0</v>
      </c>
      <c r="W122" s="82">
        <v>0</v>
      </c>
      <c r="X122" s="82">
        <v>0</v>
      </c>
      <c r="Y122" s="82">
        <v>0</v>
      </c>
      <c r="Z122" s="82"/>
      <c r="AA122" s="82">
        <v>0</v>
      </c>
      <c r="AB122" s="82">
        <v>0</v>
      </c>
      <c r="AC122" s="82">
        <v>0</v>
      </c>
      <c r="AD122" s="82">
        <v>0</v>
      </c>
      <c r="AE122" s="82">
        <v>0</v>
      </c>
      <c r="AF122" s="82">
        <v>0</v>
      </c>
      <c r="AG122" s="82">
        <v>0</v>
      </c>
      <c r="AH122" s="82">
        <v>0</v>
      </c>
      <c r="AI122" s="82">
        <v>0</v>
      </c>
      <c r="AJ122" s="82">
        <v>0</v>
      </c>
      <c r="AK122" s="82">
        <v>0</v>
      </c>
      <c r="AL122" s="82">
        <v>0</v>
      </c>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0"/>
      <c r="CN122" s="40"/>
      <c r="CO122" s="40"/>
      <c r="CP122" s="40"/>
      <c r="CQ122" s="40"/>
      <c r="CR122" s="40"/>
      <c r="CS122" s="40"/>
      <c r="CT122" s="40"/>
      <c r="CU122" s="40"/>
      <c r="CV122" s="40"/>
      <c r="CW122" s="40"/>
    </row>
    <row r="123" spans="1:101" s="20" customFormat="1">
      <c r="B123" s="20" t="s">
        <v>71</v>
      </c>
      <c r="C123" s="82">
        <v>0</v>
      </c>
      <c r="D123" s="82">
        <v>0</v>
      </c>
      <c r="E123" s="82">
        <v>0</v>
      </c>
      <c r="F123" s="82">
        <v>0</v>
      </c>
      <c r="G123" s="82">
        <v>0</v>
      </c>
      <c r="H123" s="82">
        <v>0</v>
      </c>
      <c r="I123" s="82">
        <v>0</v>
      </c>
      <c r="J123" s="82">
        <v>0</v>
      </c>
      <c r="K123" s="82">
        <v>0</v>
      </c>
      <c r="L123" s="83">
        <v>0</v>
      </c>
      <c r="M123" s="82">
        <v>0</v>
      </c>
      <c r="N123" s="82">
        <v>0</v>
      </c>
      <c r="O123" s="82">
        <v>0</v>
      </c>
      <c r="P123" s="82">
        <v>0</v>
      </c>
      <c r="Q123" s="82">
        <v>0</v>
      </c>
      <c r="R123" s="82">
        <v>0</v>
      </c>
      <c r="S123" s="82">
        <v>0</v>
      </c>
      <c r="T123" s="82">
        <v>0</v>
      </c>
      <c r="U123" s="82">
        <v>0</v>
      </c>
      <c r="V123" s="82">
        <v>0</v>
      </c>
      <c r="W123" s="82">
        <v>0</v>
      </c>
      <c r="X123" s="82">
        <v>0</v>
      </c>
      <c r="Y123" s="82">
        <v>0</v>
      </c>
      <c r="Z123" s="82"/>
      <c r="AA123" s="82">
        <v>0</v>
      </c>
      <c r="AB123" s="82">
        <v>0</v>
      </c>
      <c r="AC123" s="82">
        <v>0</v>
      </c>
      <c r="AD123" s="82">
        <v>0</v>
      </c>
      <c r="AE123" s="82">
        <v>0</v>
      </c>
      <c r="AF123" s="82">
        <v>0</v>
      </c>
      <c r="AG123" s="82">
        <v>0</v>
      </c>
      <c r="AH123" s="82">
        <v>0</v>
      </c>
      <c r="AI123" s="82">
        <v>0</v>
      </c>
      <c r="AJ123" s="82">
        <v>0</v>
      </c>
      <c r="AK123" s="82">
        <v>0</v>
      </c>
      <c r="AL123" s="82">
        <v>0</v>
      </c>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row>
    <row r="124" spans="1:101" s="20" customFormat="1">
      <c r="B124" s="20" t="s">
        <v>72</v>
      </c>
      <c r="C124" s="82">
        <v>0</v>
      </c>
      <c r="D124" s="82">
        <v>90.693333333333328</v>
      </c>
      <c r="E124" s="82">
        <v>18.138666666666666</v>
      </c>
      <c r="F124" s="82">
        <v>108.83199999999999</v>
      </c>
      <c r="G124" s="82">
        <v>186.75862073901897</v>
      </c>
      <c r="H124" s="82">
        <v>0</v>
      </c>
      <c r="I124" s="82">
        <v>0</v>
      </c>
      <c r="J124" s="82">
        <v>0</v>
      </c>
      <c r="K124" s="82">
        <v>0</v>
      </c>
      <c r="L124" s="83">
        <v>0</v>
      </c>
      <c r="M124" s="82">
        <v>0</v>
      </c>
      <c r="N124" s="82">
        <v>0</v>
      </c>
      <c r="O124" s="82">
        <v>0</v>
      </c>
      <c r="P124" s="82">
        <v>0</v>
      </c>
      <c r="Q124" s="82">
        <v>0</v>
      </c>
      <c r="R124" s="82">
        <v>0</v>
      </c>
      <c r="S124" s="82">
        <v>0</v>
      </c>
      <c r="T124" s="82">
        <v>0</v>
      </c>
      <c r="U124" s="82">
        <v>0</v>
      </c>
      <c r="V124" s="82">
        <v>0</v>
      </c>
      <c r="W124" s="82">
        <v>0</v>
      </c>
      <c r="X124" s="82">
        <v>0</v>
      </c>
      <c r="Y124" s="82">
        <v>0</v>
      </c>
      <c r="Z124" s="82"/>
      <c r="AA124" s="82">
        <v>0</v>
      </c>
      <c r="AB124" s="82">
        <v>0</v>
      </c>
      <c r="AC124" s="82">
        <v>0</v>
      </c>
      <c r="AD124" s="82">
        <v>0</v>
      </c>
      <c r="AE124" s="82">
        <v>0</v>
      </c>
      <c r="AF124" s="82">
        <v>0</v>
      </c>
      <c r="AG124" s="82">
        <v>0</v>
      </c>
      <c r="AH124" s="82">
        <v>0</v>
      </c>
      <c r="AI124" s="82">
        <v>0</v>
      </c>
      <c r="AJ124" s="82">
        <v>0</v>
      </c>
      <c r="AK124" s="82">
        <v>0</v>
      </c>
      <c r="AL124" s="82">
        <v>0</v>
      </c>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0"/>
      <c r="CN124" s="40"/>
      <c r="CO124" s="40"/>
      <c r="CP124" s="40"/>
      <c r="CQ124" s="40"/>
      <c r="CR124" s="40"/>
      <c r="CS124" s="40"/>
      <c r="CT124" s="40"/>
      <c r="CU124" s="40"/>
      <c r="CV124" s="40"/>
      <c r="CW124" s="40"/>
    </row>
    <row r="125" spans="1:101" s="20" customFormat="1">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0"/>
      <c r="CN125" s="40"/>
      <c r="CO125" s="40"/>
      <c r="CP125" s="40"/>
      <c r="CQ125" s="40"/>
      <c r="CR125" s="40"/>
      <c r="CS125" s="40"/>
      <c r="CT125" s="40"/>
      <c r="CU125" s="40"/>
      <c r="CV125" s="40"/>
      <c r="CW125" s="40"/>
    </row>
    <row r="126" spans="1:101" s="20" customFormat="1">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0"/>
      <c r="CN126" s="40"/>
      <c r="CO126" s="40"/>
      <c r="CP126" s="40"/>
      <c r="CQ126" s="40"/>
      <c r="CR126" s="40"/>
      <c r="CS126" s="40"/>
      <c r="CT126" s="40"/>
      <c r="CU126" s="40"/>
      <c r="CV126" s="40"/>
      <c r="CW126" s="40"/>
    </row>
    <row r="127" spans="1:101" s="20" customFormat="1" ht="13.5" thickBot="1">
      <c r="A127" s="51" t="s">
        <v>255</v>
      </c>
      <c r="B127" s="53"/>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0"/>
      <c r="CN127" s="40"/>
      <c r="CO127" s="40"/>
      <c r="CP127" s="40"/>
      <c r="CQ127" s="40"/>
      <c r="CR127" s="40"/>
      <c r="CS127" s="40"/>
      <c r="CT127" s="40"/>
      <c r="CU127" s="40"/>
      <c r="CV127" s="40"/>
      <c r="CW127" s="40"/>
    </row>
    <row r="128" spans="1:101" s="20" customFormat="1" ht="13.5" thickBot="1">
      <c r="A128" s="84"/>
      <c r="B128" s="85"/>
      <c r="C128" s="86"/>
      <c r="D128" s="86"/>
      <c r="E128" s="86"/>
      <c r="F128" s="86"/>
      <c r="G128" s="86"/>
      <c r="H128" s="86"/>
      <c r="I128" s="86"/>
      <c r="J128" s="86"/>
      <c r="K128" s="86"/>
      <c r="L128" s="86"/>
      <c r="M128" s="86"/>
      <c r="N128" s="86"/>
      <c r="O128" s="87" t="s">
        <v>365</v>
      </c>
      <c r="P128" s="88"/>
      <c r="Q128" s="88"/>
      <c r="R128" s="88"/>
      <c r="S128" s="88"/>
      <c r="T128" s="88"/>
      <c r="U128" s="88"/>
      <c r="V128" s="88"/>
      <c r="W128" s="88"/>
      <c r="X128" s="88"/>
      <c r="Y128" s="88"/>
      <c r="Z128" s="77"/>
      <c r="AA128" s="86"/>
      <c r="AB128" s="87" t="s">
        <v>366</v>
      </c>
      <c r="AC128" s="88"/>
      <c r="AD128" s="88"/>
      <c r="AE128" s="88"/>
      <c r="AF128" s="88"/>
      <c r="AG128" s="88"/>
      <c r="AH128" s="88"/>
      <c r="AI128" s="88"/>
      <c r="AJ128" s="88"/>
      <c r="AK128" s="88"/>
      <c r="AL128" s="88"/>
      <c r="AM128" s="77"/>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0"/>
      <c r="CN128" s="40"/>
      <c r="CO128" s="40"/>
      <c r="CP128" s="40"/>
      <c r="CQ128" s="40"/>
      <c r="CR128" s="40"/>
      <c r="CS128" s="40"/>
      <c r="CT128" s="40"/>
      <c r="CU128" s="40"/>
      <c r="CV128" s="40"/>
      <c r="CW128" s="40"/>
    </row>
    <row r="129" spans="1:101" s="20" customFormat="1" ht="102">
      <c r="A129" s="69" t="s">
        <v>148</v>
      </c>
      <c r="B129" s="70" t="s">
        <v>149</v>
      </c>
      <c r="C129" s="71" t="s">
        <v>50</v>
      </c>
      <c r="D129" s="71" t="s">
        <v>232</v>
      </c>
      <c r="E129" s="71" t="s">
        <v>233</v>
      </c>
      <c r="F129" s="71" t="s">
        <v>234</v>
      </c>
      <c r="G129" s="71" t="s">
        <v>235</v>
      </c>
      <c r="H129" s="71" t="s">
        <v>236</v>
      </c>
      <c r="I129" s="71" t="s">
        <v>237</v>
      </c>
      <c r="J129" s="71" t="s">
        <v>238</v>
      </c>
      <c r="K129" s="71" t="s">
        <v>49</v>
      </c>
      <c r="L129" s="71" t="s">
        <v>211</v>
      </c>
      <c r="M129" s="71" t="s">
        <v>239</v>
      </c>
      <c r="N129" s="71" t="s">
        <v>367</v>
      </c>
      <c r="O129" s="71" t="s">
        <v>240</v>
      </c>
      <c r="P129" s="71" t="s">
        <v>241</v>
      </c>
      <c r="Q129" s="71" t="s">
        <v>242</v>
      </c>
      <c r="R129" s="71" t="s">
        <v>243</v>
      </c>
      <c r="S129" s="71" t="s">
        <v>244</v>
      </c>
      <c r="T129" s="71" t="s">
        <v>245</v>
      </c>
      <c r="U129" s="71" t="s">
        <v>246</v>
      </c>
      <c r="V129" s="71" t="s">
        <v>247</v>
      </c>
      <c r="W129" s="71" t="s">
        <v>248</v>
      </c>
      <c r="X129" s="71" t="s">
        <v>249</v>
      </c>
      <c r="Y129" s="71" t="s">
        <v>250</v>
      </c>
      <c r="Z129" s="71" t="s">
        <v>251</v>
      </c>
      <c r="AA129" s="71"/>
      <c r="AB129" s="71" t="s">
        <v>240</v>
      </c>
      <c r="AC129" s="71" t="s">
        <v>241</v>
      </c>
      <c r="AD129" s="71" t="s">
        <v>242</v>
      </c>
      <c r="AE129" s="71" t="s">
        <v>243</v>
      </c>
      <c r="AF129" s="71" t="s">
        <v>244</v>
      </c>
      <c r="AG129" s="71" t="s">
        <v>245</v>
      </c>
      <c r="AH129" s="71" t="s">
        <v>246</v>
      </c>
      <c r="AI129" s="71" t="s">
        <v>247</v>
      </c>
      <c r="AJ129" s="71" t="s">
        <v>248</v>
      </c>
      <c r="AK129" s="71" t="s">
        <v>249</v>
      </c>
      <c r="AL129" s="71" t="s">
        <v>250</v>
      </c>
      <c r="AM129" s="71" t="s">
        <v>251</v>
      </c>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0"/>
      <c r="CN129" s="40"/>
      <c r="CO129" s="40"/>
      <c r="CP129" s="40"/>
      <c r="CQ129" s="40"/>
      <c r="CR129" s="40"/>
      <c r="CS129" s="40"/>
      <c r="CT129" s="40"/>
      <c r="CU129" s="40"/>
      <c r="CV129" s="40"/>
      <c r="CW129" s="40"/>
    </row>
    <row r="130" spans="1:101" s="20" customFormat="1">
      <c r="A130" s="20" t="s">
        <v>1260</v>
      </c>
      <c r="C130" s="45">
        <v>1667.5932805821674</v>
      </c>
      <c r="D130" s="45">
        <v>11.336666666666666</v>
      </c>
      <c r="E130" s="45">
        <v>2.2673333333333332</v>
      </c>
      <c r="F130" s="45">
        <v>13.603999999999999</v>
      </c>
      <c r="G130" s="45">
        <v>23.344827592377371</v>
      </c>
      <c r="H130" s="45">
        <v>9693.5567295936744</v>
      </c>
      <c r="I130" s="45">
        <v>71.462892893401815</v>
      </c>
      <c r="J130" s="45">
        <v>-9.3541236945276331</v>
      </c>
      <c r="K130" s="45">
        <v>-388.74893866765819</v>
      </c>
      <c r="L130" s="73">
        <v>415.2335968743177</v>
      </c>
      <c r="M130" s="45">
        <v>39.838761309111383</v>
      </c>
      <c r="N130" s="45">
        <v>0.28738159806208408</v>
      </c>
      <c r="O130" s="45">
        <v>106.32224969497891</v>
      </c>
      <c r="P130" s="45">
        <v>99.466017235269064</v>
      </c>
      <c r="Q130" s="45">
        <v>115.06504496829443</v>
      </c>
      <c r="R130" s="45">
        <v>100.10556199617311</v>
      </c>
      <c r="S130" s="45">
        <v>102.02025815000927</v>
      </c>
      <c r="T130" s="45">
        <v>91.974559470867561</v>
      </c>
      <c r="U130" s="45">
        <v>84.91844693379349</v>
      </c>
      <c r="V130" s="45">
        <v>89.168855451589238</v>
      </c>
      <c r="W130" s="45">
        <v>78.592181353638537</v>
      </c>
      <c r="X130" s="45">
        <v>90.19764679320204</v>
      </c>
      <c r="Y130" s="45">
        <v>87.269289771182756</v>
      </c>
      <c r="Z130" s="45">
        <v>99.270761800778345</v>
      </c>
      <c r="AA130" s="45"/>
      <c r="AB130" s="45">
        <v>52.171308748402168</v>
      </c>
      <c r="AC130" s="45">
        <v>46.42608613515408</v>
      </c>
      <c r="AD130" s="45">
        <v>45.415692916422238</v>
      </c>
      <c r="AE130" s="45">
        <v>45.99926924285576</v>
      </c>
      <c r="AF130" s="45">
        <v>46.240792878357816</v>
      </c>
      <c r="AG130" s="45">
        <v>37.886459202685757</v>
      </c>
      <c r="AH130" s="45">
        <v>42.721858566899826</v>
      </c>
      <c r="AI130" s="45">
        <v>35.933774582742714</v>
      </c>
      <c r="AJ130" s="45">
        <v>40.512146385469663</v>
      </c>
      <c r="AK130" s="45">
        <v>36.35292705613606</v>
      </c>
      <c r="AL130" s="45">
        <v>44.303860813414737</v>
      </c>
      <c r="AM130" s="40">
        <v>49.258230433849896</v>
      </c>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0"/>
      <c r="CN130" s="40"/>
      <c r="CO130" s="40"/>
      <c r="CP130" s="40"/>
      <c r="CQ130" s="40"/>
      <c r="CR130" s="40"/>
      <c r="CS130" s="40"/>
      <c r="CT130" s="40"/>
      <c r="CU130" s="40"/>
      <c r="CV130" s="40"/>
      <c r="CW130" s="40"/>
    </row>
    <row r="131" spans="1:101" s="20" customFormat="1">
      <c r="A131" s="20" t="s">
        <v>1261</v>
      </c>
      <c r="C131" s="45">
        <v>53.201158095537785</v>
      </c>
      <c r="D131" s="45">
        <v>11.336666666666666</v>
      </c>
      <c r="E131" s="45">
        <v>2.2673333333333332</v>
      </c>
      <c r="F131" s="45">
        <v>13.603999999999999</v>
      </c>
      <c r="G131" s="45">
        <v>23.344827592377371</v>
      </c>
      <c r="H131" s="45">
        <v>565.65693628826148</v>
      </c>
      <c r="I131" s="45">
        <v>2240.0083807573242</v>
      </c>
      <c r="J131" s="45">
        <v>3.7035712830940244</v>
      </c>
      <c r="K131" s="45">
        <v>-712.11950988115018</v>
      </c>
      <c r="L131" s="73">
        <v>24.230503911408693</v>
      </c>
      <c r="M131" s="45">
        <v>1.9854293830938703</v>
      </c>
      <c r="N131" s="45">
        <v>9.1683230019442945E-3</v>
      </c>
      <c r="O131" s="45">
        <v>3.3919942476148077</v>
      </c>
      <c r="P131" s="45">
        <v>3.1732601526312623</v>
      </c>
      <c r="Q131" s="45">
        <v>3.6709152764703572</v>
      </c>
      <c r="R131" s="45">
        <v>3.1936635221640004</v>
      </c>
      <c r="S131" s="45">
        <v>3.2547479928027849</v>
      </c>
      <c r="T131" s="45">
        <v>2.9342604915443395</v>
      </c>
      <c r="U131" s="45">
        <v>2.70914963088308</v>
      </c>
      <c r="V131" s="45">
        <v>2.8447502345548159</v>
      </c>
      <c r="W131" s="45">
        <v>2.5073230469053094</v>
      </c>
      <c r="X131" s="45">
        <v>2.8775717213344674</v>
      </c>
      <c r="Y131" s="45">
        <v>2.7841484707716933</v>
      </c>
      <c r="Z131" s="45">
        <v>3.167030926740086</v>
      </c>
      <c r="AA131" s="45"/>
      <c r="AB131" s="45">
        <v>1.6644190625461666</v>
      </c>
      <c r="AC131" s="45">
        <v>1.4811294678347</v>
      </c>
      <c r="AD131" s="45">
        <v>1.4488949355933336</v>
      </c>
      <c r="AE131" s="45">
        <v>1.4675127465217659</v>
      </c>
      <c r="AF131" s="45">
        <v>1.4752180648783306</v>
      </c>
      <c r="AG131" s="45">
        <v>1.2086901099880707</v>
      </c>
      <c r="AH131" s="45">
        <v>1.3629536519596528</v>
      </c>
      <c r="AI131" s="45">
        <v>1.1463936949173359</v>
      </c>
      <c r="AJ131" s="45">
        <v>1.2924572974355681</v>
      </c>
      <c r="AK131" s="45">
        <v>1.1597658985972106</v>
      </c>
      <c r="AL131" s="45">
        <v>1.4134242029053568</v>
      </c>
      <c r="AM131" s="40">
        <v>1.5714832479432952</v>
      </c>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0"/>
      <c r="CN131" s="40"/>
      <c r="CO131" s="40"/>
      <c r="CP131" s="40"/>
      <c r="CQ131" s="40"/>
      <c r="CR131" s="40"/>
      <c r="CS131" s="40"/>
      <c r="CT131" s="40"/>
      <c r="CU131" s="40"/>
      <c r="CV131" s="40"/>
      <c r="CW131" s="40"/>
    </row>
    <row r="132" spans="1:101" s="20" customFormat="1">
      <c r="A132" s="20" t="s">
        <v>1262</v>
      </c>
      <c r="C132" s="45">
        <v>53.201158095537785</v>
      </c>
      <c r="D132" s="45">
        <v>11.336666666666666</v>
      </c>
      <c r="E132" s="45">
        <v>2.2673333333333332</v>
      </c>
      <c r="F132" s="45">
        <v>13.603999999999999</v>
      </c>
      <c r="G132" s="45">
        <v>23.344827592377371</v>
      </c>
      <c r="H132" s="45">
        <v>565.65693628826148</v>
      </c>
      <c r="I132" s="45">
        <v>2240.0083807573242</v>
      </c>
      <c r="J132" s="45">
        <v>3.7035712830940244</v>
      </c>
      <c r="K132" s="45">
        <v>-712.11950988115018</v>
      </c>
      <c r="L132" s="73">
        <v>24.230503911408693</v>
      </c>
      <c r="M132" s="45">
        <v>1.9854293830938703</v>
      </c>
      <c r="N132" s="45">
        <v>9.1683230019442945E-3</v>
      </c>
      <c r="O132" s="45">
        <v>3.3919942476148077</v>
      </c>
      <c r="P132" s="45">
        <v>3.1732601526312623</v>
      </c>
      <c r="Q132" s="45">
        <v>3.6709152764703572</v>
      </c>
      <c r="R132" s="45">
        <v>3.1936635221640004</v>
      </c>
      <c r="S132" s="45">
        <v>3.2547479928027849</v>
      </c>
      <c r="T132" s="45">
        <v>2.9342604915443395</v>
      </c>
      <c r="U132" s="45">
        <v>2.70914963088308</v>
      </c>
      <c r="V132" s="45">
        <v>2.8447502345548159</v>
      </c>
      <c r="W132" s="45">
        <v>2.5073230469053094</v>
      </c>
      <c r="X132" s="45">
        <v>2.8775717213344674</v>
      </c>
      <c r="Y132" s="45">
        <v>2.7841484707716933</v>
      </c>
      <c r="Z132" s="45">
        <v>3.167030926740086</v>
      </c>
      <c r="AA132" s="45"/>
      <c r="AB132" s="45">
        <v>1.6644190625461666</v>
      </c>
      <c r="AC132" s="45">
        <v>1.4811294678347</v>
      </c>
      <c r="AD132" s="45">
        <v>1.4488949355933336</v>
      </c>
      <c r="AE132" s="45">
        <v>1.4675127465217659</v>
      </c>
      <c r="AF132" s="45">
        <v>1.4752180648783306</v>
      </c>
      <c r="AG132" s="45">
        <v>1.2086901099880707</v>
      </c>
      <c r="AH132" s="45">
        <v>1.3629536519596528</v>
      </c>
      <c r="AI132" s="45">
        <v>1.1463936949173359</v>
      </c>
      <c r="AJ132" s="45">
        <v>1.2924572974355681</v>
      </c>
      <c r="AK132" s="45">
        <v>1.1597658985972106</v>
      </c>
      <c r="AL132" s="45">
        <v>1.4134242029053568</v>
      </c>
      <c r="AM132" s="40">
        <v>1.5714832479432952</v>
      </c>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0"/>
      <c r="CN132" s="40"/>
      <c r="CO132" s="40"/>
      <c r="CP132" s="40"/>
      <c r="CQ132" s="40"/>
      <c r="CR132" s="40"/>
      <c r="CS132" s="40"/>
      <c r="CT132" s="40"/>
      <c r="CU132" s="40"/>
      <c r="CV132" s="40"/>
      <c r="CW132" s="40"/>
    </row>
    <row r="133" spans="1:101" s="20" customFormat="1">
      <c r="A133" s="20" t="s">
        <v>1263</v>
      </c>
      <c r="C133" s="45">
        <v>53.201158095537785</v>
      </c>
      <c r="D133" s="45">
        <v>11.336666666666666</v>
      </c>
      <c r="E133" s="45">
        <v>2.2673333333333332</v>
      </c>
      <c r="F133" s="45">
        <v>13.603999999999999</v>
      </c>
      <c r="G133" s="45">
        <v>23.344827592377371</v>
      </c>
      <c r="H133" s="45">
        <v>565.65693628826148</v>
      </c>
      <c r="I133" s="45">
        <v>2240.0083807573242</v>
      </c>
      <c r="J133" s="45">
        <v>3.7035712830940244</v>
      </c>
      <c r="K133" s="45">
        <v>-712.11950988115018</v>
      </c>
      <c r="L133" s="73">
        <v>24.230503911408693</v>
      </c>
      <c r="M133" s="45">
        <v>1.9854293830938703</v>
      </c>
      <c r="N133" s="45">
        <v>9.1683230019442945E-3</v>
      </c>
      <c r="O133" s="45">
        <v>3.3919942476148077</v>
      </c>
      <c r="P133" s="45">
        <v>3.1732601526312623</v>
      </c>
      <c r="Q133" s="45">
        <v>3.6709152764703572</v>
      </c>
      <c r="R133" s="45">
        <v>3.1936635221640004</v>
      </c>
      <c r="S133" s="45">
        <v>3.2547479928027849</v>
      </c>
      <c r="T133" s="45">
        <v>2.9342604915443395</v>
      </c>
      <c r="U133" s="45">
        <v>2.70914963088308</v>
      </c>
      <c r="V133" s="45">
        <v>2.8447502345548159</v>
      </c>
      <c r="W133" s="45">
        <v>2.5073230469053094</v>
      </c>
      <c r="X133" s="45">
        <v>2.8775717213344674</v>
      </c>
      <c r="Y133" s="45">
        <v>2.7841484707716933</v>
      </c>
      <c r="Z133" s="45">
        <v>3.167030926740086</v>
      </c>
      <c r="AA133" s="45"/>
      <c r="AB133" s="45">
        <v>1.6644190625461666</v>
      </c>
      <c r="AC133" s="45">
        <v>1.4811294678347</v>
      </c>
      <c r="AD133" s="45">
        <v>1.4488949355933336</v>
      </c>
      <c r="AE133" s="45">
        <v>1.4675127465217659</v>
      </c>
      <c r="AF133" s="45">
        <v>1.4752180648783306</v>
      </c>
      <c r="AG133" s="45">
        <v>1.2086901099880707</v>
      </c>
      <c r="AH133" s="45">
        <v>1.3629536519596528</v>
      </c>
      <c r="AI133" s="45">
        <v>1.1463936949173359</v>
      </c>
      <c r="AJ133" s="45">
        <v>1.2924572974355681</v>
      </c>
      <c r="AK133" s="45">
        <v>1.1597658985972106</v>
      </c>
      <c r="AL133" s="45">
        <v>1.4134242029053568</v>
      </c>
      <c r="AM133" s="40">
        <v>1.5714832479432952</v>
      </c>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0"/>
      <c r="CN133" s="40"/>
      <c r="CO133" s="40"/>
      <c r="CP133" s="40"/>
      <c r="CQ133" s="40"/>
      <c r="CR133" s="40"/>
      <c r="CS133" s="40"/>
      <c r="CT133" s="40"/>
      <c r="CU133" s="40"/>
      <c r="CV133" s="40"/>
      <c r="CW133" s="40"/>
    </row>
    <row r="134" spans="1:101" s="20" customFormat="1">
      <c r="A134" s="20" t="s">
        <v>1264</v>
      </c>
      <c r="C134" s="45">
        <v>53.201158095537785</v>
      </c>
      <c r="D134" s="45">
        <v>11.336666666666666</v>
      </c>
      <c r="E134" s="45">
        <v>2.2673333333333332</v>
      </c>
      <c r="F134" s="45">
        <v>13.603999999999999</v>
      </c>
      <c r="G134" s="45">
        <v>23.344827592377371</v>
      </c>
      <c r="H134" s="45">
        <v>565.65693628826148</v>
      </c>
      <c r="I134" s="45">
        <v>2240.0083807573242</v>
      </c>
      <c r="J134" s="45">
        <v>3.7035712830940244</v>
      </c>
      <c r="K134" s="45">
        <v>-712.11950988115018</v>
      </c>
      <c r="L134" s="73">
        <v>24.230503911408693</v>
      </c>
      <c r="M134" s="45">
        <v>1.9854293830938703</v>
      </c>
      <c r="N134" s="45">
        <v>9.1683230019442945E-3</v>
      </c>
      <c r="O134" s="45">
        <v>3.3919942476148077</v>
      </c>
      <c r="P134" s="45">
        <v>3.1732601526312623</v>
      </c>
      <c r="Q134" s="45">
        <v>3.6709152764703572</v>
      </c>
      <c r="R134" s="45">
        <v>3.1936635221640004</v>
      </c>
      <c r="S134" s="45">
        <v>3.2547479928027849</v>
      </c>
      <c r="T134" s="45">
        <v>2.9342604915443395</v>
      </c>
      <c r="U134" s="45">
        <v>2.70914963088308</v>
      </c>
      <c r="V134" s="45">
        <v>2.8447502345548159</v>
      </c>
      <c r="W134" s="45">
        <v>2.5073230469053094</v>
      </c>
      <c r="X134" s="45">
        <v>2.8775717213344674</v>
      </c>
      <c r="Y134" s="45">
        <v>2.7841484707716933</v>
      </c>
      <c r="Z134" s="45">
        <v>3.167030926740086</v>
      </c>
      <c r="AA134" s="45"/>
      <c r="AB134" s="45">
        <v>1.6644190625461666</v>
      </c>
      <c r="AC134" s="45">
        <v>1.4811294678347</v>
      </c>
      <c r="AD134" s="45">
        <v>1.4488949355933336</v>
      </c>
      <c r="AE134" s="45">
        <v>1.4675127465217659</v>
      </c>
      <c r="AF134" s="45">
        <v>1.4752180648783306</v>
      </c>
      <c r="AG134" s="45">
        <v>1.2086901099880707</v>
      </c>
      <c r="AH134" s="45">
        <v>1.3629536519596528</v>
      </c>
      <c r="AI134" s="45">
        <v>1.1463936949173359</v>
      </c>
      <c r="AJ134" s="45">
        <v>1.2924572974355681</v>
      </c>
      <c r="AK134" s="45">
        <v>1.1597658985972106</v>
      </c>
      <c r="AL134" s="45">
        <v>1.4134242029053568</v>
      </c>
      <c r="AM134" s="40">
        <v>1.5714832479432952</v>
      </c>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0"/>
      <c r="CN134" s="40"/>
      <c r="CO134" s="40"/>
      <c r="CP134" s="40"/>
      <c r="CQ134" s="40"/>
      <c r="CR134" s="40"/>
      <c r="CS134" s="40"/>
      <c r="CT134" s="40"/>
      <c r="CU134" s="40"/>
      <c r="CV134" s="40"/>
      <c r="CW134" s="40"/>
    </row>
    <row r="135" spans="1:101" s="20" customFormat="1">
      <c r="A135" s="20" t="s">
        <v>1265</v>
      </c>
      <c r="C135" s="45">
        <v>74.10148453691663</v>
      </c>
      <c r="D135" s="45">
        <v>11.336666666666666</v>
      </c>
      <c r="E135" s="45">
        <v>2.2673333333333332</v>
      </c>
      <c r="F135" s="45">
        <v>13.603999999999999</v>
      </c>
      <c r="G135" s="45">
        <v>23.344827592377371</v>
      </c>
      <c r="H135" s="45">
        <v>430.74468605135212</v>
      </c>
      <c r="I135" s="45">
        <v>1608.2139345080213</v>
      </c>
      <c r="J135" s="45">
        <v>-0.10072021729088509</v>
      </c>
      <c r="K135" s="45">
        <v>-366.59792668389559</v>
      </c>
      <c r="L135" s="73">
        <v>18.451397181960782</v>
      </c>
      <c r="M135" s="45">
        <v>1.77028259197976</v>
      </c>
      <c r="N135" s="45">
        <v>1.2770142032209168E-2</v>
      </c>
      <c r="O135" s="45">
        <v>4.7245552218537279</v>
      </c>
      <c r="P135" s="45">
        <v>4.4198904036929534</v>
      </c>
      <c r="Q135" s="45">
        <v>5.1130516953636524</v>
      </c>
      <c r="R135" s="45">
        <v>4.4483093333939978</v>
      </c>
      <c r="S135" s="45">
        <v>4.5333911270714413</v>
      </c>
      <c r="T135" s="45">
        <v>4.0869985959891215</v>
      </c>
      <c r="U135" s="45">
        <v>3.7734518696109718</v>
      </c>
      <c r="V135" s="45">
        <v>3.9623238114234653</v>
      </c>
      <c r="W135" s="45">
        <v>3.4923367580769265</v>
      </c>
      <c r="X135" s="45">
        <v>4.0080393744327028</v>
      </c>
      <c r="Y135" s="45">
        <v>3.8779143582717004</v>
      </c>
      <c r="Z135" s="45">
        <v>4.4112139969646824</v>
      </c>
      <c r="AA135" s="45"/>
      <c r="AB135" s="45">
        <v>2.3182939590286615</v>
      </c>
      <c r="AC135" s="45">
        <v>2.0629981806191191</v>
      </c>
      <c r="AD135" s="45">
        <v>2.0181001600130846</v>
      </c>
      <c r="AE135" s="45">
        <v>2.044032065971729</v>
      </c>
      <c r="AF135" s="45">
        <v>2.0547644550679522</v>
      </c>
      <c r="AG135" s="45">
        <v>1.6835297332130321</v>
      </c>
      <c r="AH135" s="45">
        <v>1.8983964368567627</v>
      </c>
      <c r="AI135" s="45">
        <v>1.5967598770046467</v>
      </c>
      <c r="AJ135" s="45">
        <v>1.8002052562194073</v>
      </c>
      <c r="AK135" s="45">
        <v>1.6153854141109873</v>
      </c>
      <c r="AL135" s="45">
        <v>1.9686945823173674</v>
      </c>
      <c r="AM135" s="40">
        <v>2.188847870348535</v>
      </c>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0"/>
      <c r="CN135" s="40"/>
      <c r="CO135" s="40"/>
      <c r="CP135" s="40"/>
      <c r="CQ135" s="40"/>
      <c r="CR135" s="40"/>
      <c r="CS135" s="40"/>
      <c r="CT135" s="40"/>
      <c r="CU135" s="40"/>
      <c r="CV135" s="40"/>
      <c r="CW135" s="40"/>
    </row>
    <row r="136" spans="1:101" s="20" customFormat="1">
      <c r="A136" s="20" t="s">
        <v>1266</v>
      </c>
      <c r="C136" s="45">
        <v>87.367093971108304</v>
      </c>
      <c r="D136" s="45">
        <v>11.336666666666666</v>
      </c>
      <c r="E136" s="45">
        <v>2.2673333333333332</v>
      </c>
      <c r="F136" s="45">
        <v>13.603999999999999</v>
      </c>
      <c r="G136" s="45">
        <v>23.344827592377371</v>
      </c>
      <c r="H136" s="45">
        <v>343.37328260767487</v>
      </c>
      <c r="I136" s="45">
        <v>1364.0265983827851</v>
      </c>
      <c r="J136" s="45">
        <v>-1.5710715520291227</v>
      </c>
      <c r="K136" s="45">
        <v>-231.58779709821113</v>
      </c>
      <c r="L136" s="73">
        <v>14.708752131448348</v>
      </c>
      <c r="M136" s="45">
        <v>1.6288745948239591</v>
      </c>
      <c r="N136" s="45">
        <v>1.5056246253698094E-2</v>
      </c>
      <c r="O136" s="45">
        <v>5.5703426539821459</v>
      </c>
      <c r="P136" s="45">
        <v>5.2111368976564094</v>
      </c>
      <c r="Q136" s="45">
        <v>6.0283875652372814</v>
      </c>
      <c r="R136" s="45">
        <v>5.2446433694533745</v>
      </c>
      <c r="S136" s="45">
        <v>5.3449564618279872</v>
      </c>
      <c r="T136" s="45">
        <v>4.8186509707194993</v>
      </c>
      <c r="U136" s="45">
        <v>4.4489732715613135</v>
      </c>
      <c r="V136" s="45">
        <v>4.6716569707066</v>
      </c>
      <c r="W136" s="45">
        <v>4.1175330781619781</v>
      </c>
      <c r="X136" s="45">
        <v>4.7255565101602306</v>
      </c>
      <c r="Y136" s="45">
        <v>4.5721365809108176</v>
      </c>
      <c r="Z136" s="45">
        <v>5.2009072450833527</v>
      </c>
      <c r="AA136" s="45"/>
      <c r="AB136" s="45">
        <v>2.7333137444797755</v>
      </c>
      <c r="AC136" s="45">
        <v>2.4323150478663238</v>
      </c>
      <c r="AD136" s="45">
        <v>2.3793794068340586</v>
      </c>
      <c r="AE136" s="45">
        <v>2.4099536291846264</v>
      </c>
      <c r="AF136" s="45">
        <v>2.4226073250257278</v>
      </c>
      <c r="AG136" s="45">
        <v>1.9849143552785575</v>
      </c>
      <c r="AH136" s="45">
        <v>2.2382463850728045</v>
      </c>
      <c r="AI136" s="45">
        <v>1.8826110042918325</v>
      </c>
      <c r="AJ136" s="45">
        <v>2.122477070065302</v>
      </c>
      <c r="AK136" s="45">
        <v>1.9045708754172395</v>
      </c>
      <c r="AL136" s="45">
        <v>2.3211292681733657</v>
      </c>
      <c r="AM136" s="40">
        <v>2.5806942839577012</v>
      </c>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0"/>
      <c r="CN136" s="40"/>
      <c r="CO136" s="40"/>
      <c r="CP136" s="40"/>
      <c r="CQ136" s="40"/>
      <c r="CR136" s="40"/>
      <c r="CS136" s="40"/>
      <c r="CT136" s="40"/>
      <c r="CU136" s="40"/>
      <c r="CV136" s="40"/>
      <c r="CW136" s="40"/>
    </row>
    <row r="137" spans="1:101" s="20" customFormat="1">
      <c r="A137" s="20" t="s">
        <v>1267</v>
      </c>
      <c r="C137" s="45">
        <v>87.367093971108304</v>
      </c>
      <c r="D137" s="45">
        <v>11.336666666666666</v>
      </c>
      <c r="E137" s="45">
        <v>2.2673333333333332</v>
      </c>
      <c r="F137" s="45">
        <v>13.603999999999999</v>
      </c>
      <c r="G137" s="45">
        <v>23.344827592377371</v>
      </c>
      <c r="H137" s="45">
        <v>343.37328260767487</v>
      </c>
      <c r="I137" s="45">
        <v>1364.0265983827851</v>
      </c>
      <c r="J137" s="45">
        <v>-1.5710715520291227</v>
      </c>
      <c r="K137" s="45">
        <v>-231.58779709821113</v>
      </c>
      <c r="L137" s="73">
        <v>14.708752131448348</v>
      </c>
      <c r="M137" s="45">
        <v>1.6288745948239591</v>
      </c>
      <c r="N137" s="45">
        <v>1.5056246253698094E-2</v>
      </c>
      <c r="O137" s="45">
        <v>5.5703426539821459</v>
      </c>
      <c r="P137" s="45">
        <v>5.2111368976564094</v>
      </c>
      <c r="Q137" s="45">
        <v>6.0283875652372814</v>
      </c>
      <c r="R137" s="45">
        <v>5.2446433694533745</v>
      </c>
      <c r="S137" s="45">
        <v>5.3449564618279872</v>
      </c>
      <c r="T137" s="45">
        <v>4.8186509707194993</v>
      </c>
      <c r="U137" s="45">
        <v>4.4489732715613135</v>
      </c>
      <c r="V137" s="45">
        <v>4.6716569707066</v>
      </c>
      <c r="W137" s="45">
        <v>4.1175330781619781</v>
      </c>
      <c r="X137" s="45">
        <v>4.7255565101602306</v>
      </c>
      <c r="Y137" s="45">
        <v>4.5721365809108176</v>
      </c>
      <c r="Z137" s="45">
        <v>5.2009072450833527</v>
      </c>
      <c r="AA137" s="45"/>
      <c r="AB137" s="45">
        <v>2.7333137444797755</v>
      </c>
      <c r="AC137" s="45">
        <v>2.4323150478663238</v>
      </c>
      <c r="AD137" s="45">
        <v>2.3793794068340586</v>
      </c>
      <c r="AE137" s="45">
        <v>2.4099536291846264</v>
      </c>
      <c r="AF137" s="45">
        <v>2.4226073250257278</v>
      </c>
      <c r="AG137" s="45">
        <v>1.9849143552785575</v>
      </c>
      <c r="AH137" s="45">
        <v>2.2382463850728045</v>
      </c>
      <c r="AI137" s="45">
        <v>1.8826110042918325</v>
      </c>
      <c r="AJ137" s="45">
        <v>2.122477070065302</v>
      </c>
      <c r="AK137" s="45">
        <v>1.9045708754172395</v>
      </c>
      <c r="AL137" s="45">
        <v>2.3211292681733657</v>
      </c>
      <c r="AM137" s="40">
        <v>2.5806942839577012</v>
      </c>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0"/>
      <c r="CN137" s="40"/>
      <c r="CO137" s="40"/>
      <c r="CP137" s="40"/>
      <c r="CQ137" s="40"/>
      <c r="CR137" s="40"/>
      <c r="CS137" s="40"/>
      <c r="CT137" s="40"/>
      <c r="CU137" s="40"/>
      <c r="CV137" s="40"/>
      <c r="CW137" s="40"/>
    </row>
    <row r="138" spans="1:101" s="20" customFormat="1">
      <c r="A138" s="20" t="s">
        <v>1268</v>
      </c>
      <c r="C138" s="45">
        <v>87.367093971108304</v>
      </c>
      <c r="D138" s="45">
        <v>11.336666666666666</v>
      </c>
      <c r="E138" s="45">
        <v>2.2673333333333332</v>
      </c>
      <c r="F138" s="45">
        <v>13.603999999999999</v>
      </c>
      <c r="G138" s="45">
        <v>23.344827592377371</v>
      </c>
      <c r="H138" s="45">
        <v>343.37328260767487</v>
      </c>
      <c r="I138" s="45">
        <v>1364.0265983827851</v>
      </c>
      <c r="J138" s="45">
        <v>-1.5710715520291227</v>
      </c>
      <c r="K138" s="45">
        <v>-231.58779709821113</v>
      </c>
      <c r="L138" s="73">
        <v>14.708752131448348</v>
      </c>
      <c r="M138" s="45">
        <v>1.6288745948239591</v>
      </c>
      <c r="N138" s="45">
        <v>1.5056246253698094E-2</v>
      </c>
      <c r="O138" s="45">
        <v>5.5703426539821459</v>
      </c>
      <c r="P138" s="45">
        <v>5.2111368976564094</v>
      </c>
      <c r="Q138" s="45">
        <v>6.0283875652372814</v>
      </c>
      <c r="R138" s="45">
        <v>5.2446433694533745</v>
      </c>
      <c r="S138" s="45">
        <v>5.3449564618279872</v>
      </c>
      <c r="T138" s="45">
        <v>4.8186509707194993</v>
      </c>
      <c r="U138" s="45">
        <v>4.4489732715613135</v>
      </c>
      <c r="V138" s="45">
        <v>4.6716569707066</v>
      </c>
      <c r="W138" s="45">
        <v>4.1175330781619781</v>
      </c>
      <c r="X138" s="45">
        <v>4.7255565101602306</v>
      </c>
      <c r="Y138" s="45">
        <v>4.5721365809108176</v>
      </c>
      <c r="Z138" s="45">
        <v>5.2009072450833527</v>
      </c>
      <c r="AA138" s="45"/>
      <c r="AB138" s="45">
        <v>2.7333137444797755</v>
      </c>
      <c r="AC138" s="45">
        <v>2.4323150478663238</v>
      </c>
      <c r="AD138" s="45">
        <v>2.3793794068340586</v>
      </c>
      <c r="AE138" s="45">
        <v>2.4099536291846264</v>
      </c>
      <c r="AF138" s="45">
        <v>2.4226073250257278</v>
      </c>
      <c r="AG138" s="45">
        <v>1.9849143552785575</v>
      </c>
      <c r="AH138" s="45">
        <v>2.2382463850728045</v>
      </c>
      <c r="AI138" s="45">
        <v>1.8826110042918325</v>
      </c>
      <c r="AJ138" s="45">
        <v>2.122477070065302</v>
      </c>
      <c r="AK138" s="45">
        <v>1.9045708754172395</v>
      </c>
      <c r="AL138" s="45">
        <v>2.3211292681733657</v>
      </c>
      <c r="AM138" s="40">
        <v>2.5806942839577012</v>
      </c>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0"/>
      <c r="CN138" s="40"/>
      <c r="CO138" s="40"/>
      <c r="CP138" s="40"/>
      <c r="CQ138" s="40"/>
      <c r="CR138" s="40"/>
      <c r="CS138" s="40"/>
      <c r="CT138" s="40"/>
      <c r="CU138" s="40"/>
      <c r="CV138" s="40"/>
      <c r="CW138" s="40"/>
    </row>
    <row r="139" spans="1:101" s="20" customFormat="1">
      <c r="A139" s="20" t="s">
        <v>1269</v>
      </c>
      <c r="C139" s="45">
        <v>31.19382820794868</v>
      </c>
      <c r="D139" s="45">
        <v>11.336666666666666</v>
      </c>
      <c r="E139" s="45">
        <v>2.2673333333333332</v>
      </c>
      <c r="F139" s="45">
        <v>13.603999999999999</v>
      </c>
      <c r="G139" s="45">
        <v>23.344827592377371</v>
      </c>
      <c r="H139" s="45">
        <v>331.6658119269506</v>
      </c>
      <c r="I139" s="45">
        <v>3820.3403316055105</v>
      </c>
      <c r="J139" s="45">
        <v>13.219393152199459</v>
      </c>
      <c r="K139" s="45">
        <v>-689.3403146610957</v>
      </c>
      <c r="L139" s="73">
        <v>14.207250433292863</v>
      </c>
      <c r="M139" s="45">
        <v>1.1641314834542733</v>
      </c>
      <c r="N139" s="45">
        <v>5.3757305839855826E-3</v>
      </c>
      <c r="O139" s="45">
        <v>1.9888530556503268</v>
      </c>
      <c r="P139" s="45">
        <v>1.8606010771899155</v>
      </c>
      <c r="Q139" s="45">
        <v>2.1523948838578986</v>
      </c>
      <c r="R139" s="45">
        <v>1.8725643356386243</v>
      </c>
      <c r="S139" s="45">
        <v>1.9083804447514736</v>
      </c>
      <c r="T139" s="45">
        <v>1.7204666395839654</v>
      </c>
      <c r="U139" s="45">
        <v>1.5884757249764172</v>
      </c>
      <c r="V139" s="45">
        <v>1.6679834290800435</v>
      </c>
      <c r="W139" s="45">
        <v>1.4701372523985476</v>
      </c>
      <c r="X139" s="45">
        <v>1.6872278939899112</v>
      </c>
      <c r="Y139" s="45">
        <v>1.6324503490453073</v>
      </c>
      <c r="Z139" s="45">
        <v>1.8569486491362084</v>
      </c>
      <c r="AA139" s="45"/>
      <c r="AB139" s="45">
        <v>0.97591112978901173</v>
      </c>
      <c r="AC139" s="45">
        <v>0.86844158712479702</v>
      </c>
      <c r="AD139" s="45">
        <v>0.84954127560723436</v>
      </c>
      <c r="AE139" s="45">
        <v>0.86045759428335544</v>
      </c>
      <c r="AF139" s="45">
        <v>0.86497551054131738</v>
      </c>
      <c r="AG139" s="45">
        <v>0.70870020498250852</v>
      </c>
      <c r="AH139" s="45">
        <v>0.79915068762744979</v>
      </c>
      <c r="AI139" s="45">
        <v>0.67217348753402961</v>
      </c>
      <c r="AJ139" s="45">
        <v>0.75781603907784634</v>
      </c>
      <c r="AK139" s="45">
        <v>0.68001411054457817</v>
      </c>
      <c r="AL139" s="45">
        <v>0.8287434587647543</v>
      </c>
      <c r="AM139" s="40">
        <v>0.92141938677316015</v>
      </c>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0"/>
      <c r="CN139" s="40"/>
      <c r="CO139" s="40"/>
      <c r="CP139" s="40"/>
      <c r="CQ139" s="40"/>
      <c r="CR139" s="40"/>
      <c r="CS139" s="40"/>
      <c r="CT139" s="40"/>
      <c r="CU139" s="40"/>
      <c r="CV139" s="40"/>
      <c r="CW139" s="40"/>
    </row>
    <row r="140" spans="1:101" s="20" customFormat="1">
      <c r="A140" s="20" t="s">
        <v>1270</v>
      </c>
      <c r="C140" s="45">
        <v>0</v>
      </c>
      <c r="D140" s="45">
        <v>11.336666666666666</v>
      </c>
      <c r="E140" s="45">
        <v>2.2673333333333332</v>
      </c>
      <c r="F140" s="45">
        <v>13.603999999999999</v>
      </c>
      <c r="G140" s="45">
        <v>23.344827592377371</v>
      </c>
      <c r="H140" s="45">
        <v>0</v>
      </c>
      <c r="I140" s="45">
        <v>0</v>
      </c>
      <c r="J140" s="45">
        <v>9999</v>
      </c>
      <c r="K140" s="45">
        <v>9999</v>
      </c>
      <c r="L140" s="81">
        <v>0</v>
      </c>
      <c r="M140" s="45">
        <v>0</v>
      </c>
      <c r="N140" s="45">
        <v>0</v>
      </c>
      <c r="O140" s="45">
        <v>0</v>
      </c>
      <c r="P140" s="45">
        <v>0</v>
      </c>
      <c r="Q140" s="45">
        <v>0</v>
      </c>
      <c r="R140" s="45">
        <v>0</v>
      </c>
      <c r="S140" s="45">
        <v>0</v>
      </c>
      <c r="T140" s="45">
        <v>0</v>
      </c>
      <c r="U140" s="45">
        <v>0</v>
      </c>
      <c r="V140" s="45">
        <v>0</v>
      </c>
      <c r="W140" s="45">
        <v>0</v>
      </c>
      <c r="X140" s="45">
        <v>0</v>
      </c>
      <c r="Y140" s="45">
        <v>0</v>
      </c>
      <c r="Z140" s="45">
        <v>0</v>
      </c>
      <c r="AA140" s="45"/>
      <c r="AB140" s="45">
        <v>0</v>
      </c>
      <c r="AC140" s="45">
        <v>0</v>
      </c>
      <c r="AD140" s="45">
        <v>0</v>
      </c>
      <c r="AE140" s="45">
        <v>0</v>
      </c>
      <c r="AF140" s="45">
        <v>0</v>
      </c>
      <c r="AG140" s="45">
        <v>0</v>
      </c>
      <c r="AH140" s="45">
        <v>0</v>
      </c>
      <c r="AI140" s="45">
        <v>0</v>
      </c>
      <c r="AJ140" s="45">
        <v>0</v>
      </c>
      <c r="AK140" s="45">
        <v>0</v>
      </c>
      <c r="AL140" s="45">
        <v>0</v>
      </c>
      <c r="AM140" s="40">
        <v>0</v>
      </c>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0"/>
      <c r="CN140" s="40"/>
      <c r="CO140" s="40"/>
      <c r="CP140" s="40"/>
      <c r="CQ140" s="40"/>
      <c r="CR140" s="40"/>
      <c r="CS140" s="40"/>
      <c r="CT140" s="40"/>
      <c r="CU140" s="40"/>
      <c r="CV140" s="40"/>
      <c r="CW140" s="40"/>
    </row>
    <row r="141" spans="1:101" s="20" customFormat="1">
      <c r="A141" s="20" t="s">
        <v>1271</v>
      </c>
      <c r="C141" s="45">
        <v>0</v>
      </c>
      <c r="D141" s="45">
        <v>11.336666666666666</v>
      </c>
      <c r="E141" s="45">
        <v>2.2673333333333332</v>
      </c>
      <c r="F141" s="45">
        <v>13.603999999999999</v>
      </c>
      <c r="G141" s="45">
        <v>23.344827592377371</v>
      </c>
      <c r="H141" s="45">
        <v>0</v>
      </c>
      <c r="I141" s="45">
        <v>0</v>
      </c>
      <c r="J141" s="45">
        <v>9999</v>
      </c>
      <c r="K141" s="45">
        <v>9999</v>
      </c>
      <c r="L141" s="81">
        <v>0</v>
      </c>
      <c r="M141" s="45">
        <v>0</v>
      </c>
      <c r="N141" s="45">
        <v>0</v>
      </c>
      <c r="O141" s="45">
        <v>0</v>
      </c>
      <c r="P141" s="45">
        <v>0</v>
      </c>
      <c r="Q141" s="45">
        <v>0</v>
      </c>
      <c r="R141" s="45">
        <v>0</v>
      </c>
      <c r="S141" s="45">
        <v>0</v>
      </c>
      <c r="T141" s="45">
        <v>0</v>
      </c>
      <c r="U141" s="45">
        <v>0</v>
      </c>
      <c r="V141" s="45">
        <v>0</v>
      </c>
      <c r="W141" s="45">
        <v>0</v>
      </c>
      <c r="X141" s="45">
        <v>0</v>
      </c>
      <c r="Y141" s="45">
        <v>0</v>
      </c>
      <c r="Z141" s="45">
        <v>0</v>
      </c>
      <c r="AA141" s="45"/>
      <c r="AB141" s="45">
        <v>0</v>
      </c>
      <c r="AC141" s="45">
        <v>0</v>
      </c>
      <c r="AD141" s="45">
        <v>0</v>
      </c>
      <c r="AE141" s="45">
        <v>0</v>
      </c>
      <c r="AF141" s="45">
        <v>0</v>
      </c>
      <c r="AG141" s="45">
        <v>0</v>
      </c>
      <c r="AH141" s="45">
        <v>0</v>
      </c>
      <c r="AI141" s="45">
        <v>0</v>
      </c>
      <c r="AJ141" s="45">
        <v>0</v>
      </c>
      <c r="AK141" s="45">
        <v>0</v>
      </c>
      <c r="AL141" s="45">
        <v>0</v>
      </c>
      <c r="AM141" s="40">
        <v>0</v>
      </c>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0"/>
      <c r="CN141" s="40"/>
      <c r="CO141" s="40"/>
      <c r="CP141" s="40"/>
      <c r="CQ141" s="40"/>
      <c r="CR141" s="40"/>
      <c r="CS141" s="40"/>
      <c r="CT141" s="40"/>
      <c r="CU141" s="40"/>
      <c r="CV141" s="40"/>
      <c r="CW141" s="40"/>
    </row>
    <row r="142" spans="1:101" s="20" customFormat="1">
      <c r="A142" s="20" t="s">
        <v>1272</v>
      </c>
      <c r="C142" s="45">
        <v>0</v>
      </c>
      <c r="D142" s="45">
        <v>11.336666666666666</v>
      </c>
      <c r="E142" s="45">
        <v>2.2673333333333332</v>
      </c>
      <c r="F142" s="45">
        <v>13.603999999999999</v>
      </c>
      <c r="G142" s="45">
        <v>23.344827592377371</v>
      </c>
      <c r="H142" s="45">
        <v>0</v>
      </c>
      <c r="I142" s="45">
        <v>0</v>
      </c>
      <c r="J142" s="45">
        <v>9999</v>
      </c>
      <c r="K142" s="45">
        <v>9999</v>
      </c>
      <c r="L142" s="81">
        <v>0</v>
      </c>
      <c r="M142" s="45">
        <v>0</v>
      </c>
      <c r="N142" s="45">
        <v>0</v>
      </c>
      <c r="O142" s="45">
        <v>0</v>
      </c>
      <c r="P142" s="45">
        <v>0</v>
      </c>
      <c r="Q142" s="45">
        <v>0</v>
      </c>
      <c r="R142" s="45">
        <v>0</v>
      </c>
      <c r="S142" s="45">
        <v>0</v>
      </c>
      <c r="T142" s="45">
        <v>0</v>
      </c>
      <c r="U142" s="45">
        <v>0</v>
      </c>
      <c r="V142" s="45">
        <v>0</v>
      </c>
      <c r="W142" s="45">
        <v>0</v>
      </c>
      <c r="X142" s="45">
        <v>0</v>
      </c>
      <c r="Y142" s="45">
        <v>0</v>
      </c>
      <c r="Z142" s="45">
        <v>0</v>
      </c>
      <c r="AA142" s="45"/>
      <c r="AB142" s="45">
        <v>0</v>
      </c>
      <c r="AC142" s="45">
        <v>0</v>
      </c>
      <c r="AD142" s="45">
        <v>0</v>
      </c>
      <c r="AE142" s="45">
        <v>0</v>
      </c>
      <c r="AF142" s="45">
        <v>0</v>
      </c>
      <c r="AG142" s="45">
        <v>0</v>
      </c>
      <c r="AH142" s="45">
        <v>0</v>
      </c>
      <c r="AI142" s="45">
        <v>0</v>
      </c>
      <c r="AJ142" s="45">
        <v>0</v>
      </c>
      <c r="AK142" s="45">
        <v>0</v>
      </c>
      <c r="AL142" s="45">
        <v>0</v>
      </c>
      <c r="AM142" s="40">
        <v>0</v>
      </c>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0"/>
      <c r="CN142" s="40"/>
      <c r="CO142" s="40"/>
      <c r="CP142" s="40"/>
      <c r="CQ142" s="40"/>
      <c r="CR142" s="40"/>
      <c r="CS142" s="40"/>
      <c r="CT142" s="40"/>
      <c r="CU142" s="40"/>
      <c r="CV142" s="40"/>
      <c r="CW142" s="40"/>
    </row>
    <row r="143" spans="1:101" s="20" customFormat="1">
      <c r="A143" s="20" t="s">
        <v>1273</v>
      </c>
      <c r="C143" s="45">
        <v>0</v>
      </c>
      <c r="D143" s="45">
        <v>11.336666666666666</v>
      </c>
      <c r="E143" s="45">
        <v>2.2673333333333332</v>
      </c>
      <c r="F143" s="45">
        <v>13.603999999999999</v>
      </c>
      <c r="G143" s="45">
        <v>23.344827592377371</v>
      </c>
      <c r="H143" s="45">
        <v>0</v>
      </c>
      <c r="I143" s="45">
        <v>0</v>
      </c>
      <c r="J143" s="45">
        <v>9999</v>
      </c>
      <c r="K143" s="45">
        <v>9999</v>
      </c>
      <c r="L143" s="81">
        <v>0</v>
      </c>
      <c r="M143" s="45">
        <v>0</v>
      </c>
      <c r="N143" s="45">
        <v>0</v>
      </c>
      <c r="O143" s="45">
        <v>0</v>
      </c>
      <c r="P143" s="45">
        <v>0</v>
      </c>
      <c r="Q143" s="45">
        <v>0</v>
      </c>
      <c r="R143" s="45">
        <v>0</v>
      </c>
      <c r="S143" s="45">
        <v>0</v>
      </c>
      <c r="T143" s="45">
        <v>0</v>
      </c>
      <c r="U143" s="45">
        <v>0</v>
      </c>
      <c r="V143" s="45">
        <v>0</v>
      </c>
      <c r="W143" s="45">
        <v>0</v>
      </c>
      <c r="X143" s="45">
        <v>0</v>
      </c>
      <c r="Y143" s="45">
        <v>0</v>
      </c>
      <c r="Z143" s="45">
        <v>0</v>
      </c>
      <c r="AA143" s="45"/>
      <c r="AB143" s="45">
        <v>0</v>
      </c>
      <c r="AC143" s="45">
        <v>0</v>
      </c>
      <c r="AD143" s="45">
        <v>0</v>
      </c>
      <c r="AE143" s="45">
        <v>0</v>
      </c>
      <c r="AF143" s="45">
        <v>0</v>
      </c>
      <c r="AG143" s="45">
        <v>0</v>
      </c>
      <c r="AH143" s="45">
        <v>0</v>
      </c>
      <c r="AI143" s="45">
        <v>0</v>
      </c>
      <c r="AJ143" s="45">
        <v>0</v>
      </c>
      <c r="AK143" s="45">
        <v>0</v>
      </c>
      <c r="AL143" s="45">
        <v>0</v>
      </c>
      <c r="AM143" s="40">
        <v>0</v>
      </c>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row>
    <row r="144" spans="1:101" s="20" customFormat="1">
      <c r="A144" s="20" t="s">
        <v>1274</v>
      </c>
      <c r="C144" s="45">
        <v>0</v>
      </c>
      <c r="D144" s="45">
        <v>11.336666666666666</v>
      </c>
      <c r="E144" s="45">
        <v>2.2673333333333332</v>
      </c>
      <c r="F144" s="45">
        <v>13.603999999999999</v>
      </c>
      <c r="G144" s="45">
        <v>23.344827592377371</v>
      </c>
      <c r="H144" s="45">
        <v>0</v>
      </c>
      <c r="I144" s="45">
        <v>0</v>
      </c>
      <c r="J144" s="45">
        <v>9999</v>
      </c>
      <c r="K144" s="45">
        <v>9999</v>
      </c>
      <c r="L144" s="81">
        <v>0</v>
      </c>
      <c r="M144" s="45">
        <v>0</v>
      </c>
      <c r="N144" s="45">
        <v>0</v>
      </c>
      <c r="O144" s="45">
        <v>0</v>
      </c>
      <c r="P144" s="45">
        <v>0</v>
      </c>
      <c r="Q144" s="45">
        <v>0</v>
      </c>
      <c r="R144" s="45">
        <v>0</v>
      </c>
      <c r="S144" s="45">
        <v>0</v>
      </c>
      <c r="T144" s="45">
        <v>0</v>
      </c>
      <c r="U144" s="45">
        <v>0</v>
      </c>
      <c r="V144" s="45">
        <v>0</v>
      </c>
      <c r="W144" s="45">
        <v>0</v>
      </c>
      <c r="X144" s="45">
        <v>0</v>
      </c>
      <c r="Y144" s="45">
        <v>0</v>
      </c>
      <c r="Z144" s="45">
        <v>0</v>
      </c>
      <c r="AA144" s="45"/>
      <c r="AB144" s="45">
        <v>0</v>
      </c>
      <c r="AC144" s="45">
        <v>0</v>
      </c>
      <c r="AD144" s="45">
        <v>0</v>
      </c>
      <c r="AE144" s="45">
        <v>0</v>
      </c>
      <c r="AF144" s="45">
        <v>0</v>
      </c>
      <c r="AG144" s="45">
        <v>0</v>
      </c>
      <c r="AH144" s="45">
        <v>0</v>
      </c>
      <c r="AI144" s="45">
        <v>0</v>
      </c>
      <c r="AJ144" s="45">
        <v>0</v>
      </c>
      <c r="AK144" s="45">
        <v>0</v>
      </c>
      <c r="AL144" s="45">
        <v>0</v>
      </c>
      <c r="AM144" s="40">
        <v>0</v>
      </c>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0"/>
      <c r="CN144" s="40"/>
      <c r="CO144" s="40"/>
      <c r="CP144" s="40"/>
      <c r="CQ144" s="40"/>
      <c r="CR144" s="40"/>
      <c r="CS144" s="40"/>
      <c r="CT144" s="40"/>
      <c r="CU144" s="40"/>
      <c r="CV144" s="40"/>
      <c r="CW144" s="40"/>
    </row>
    <row r="145" spans="1:131" s="20" customFormat="1">
      <c r="A145" s="20" t="s">
        <v>1275</v>
      </c>
      <c r="C145" s="45">
        <v>0</v>
      </c>
      <c r="D145" s="45">
        <v>11.336666666666666</v>
      </c>
      <c r="E145" s="45">
        <v>2.2673333333333332</v>
      </c>
      <c r="F145" s="45">
        <v>13.603999999999999</v>
      </c>
      <c r="G145" s="45">
        <v>23.344827592377371</v>
      </c>
      <c r="H145" s="45">
        <v>0</v>
      </c>
      <c r="I145" s="45">
        <v>0</v>
      </c>
      <c r="J145" s="45">
        <v>9999</v>
      </c>
      <c r="K145" s="45">
        <v>9999</v>
      </c>
      <c r="L145" s="81">
        <v>0</v>
      </c>
      <c r="M145" s="45">
        <v>0</v>
      </c>
      <c r="N145" s="45">
        <v>0</v>
      </c>
      <c r="O145" s="45">
        <v>0</v>
      </c>
      <c r="P145" s="45">
        <v>0</v>
      </c>
      <c r="Q145" s="45">
        <v>0</v>
      </c>
      <c r="R145" s="45">
        <v>0</v>
      </c>
      <c r="S145" s="45">
        <v>0</v>
      </c>
      <c r="T145" s="45">
        <v>0</v>
      </c>
      <c r="U145" s="45">
        <v>0</v>
      </c>
      <c r="V145" s="45">
        <v>0</v>
      </c>
      <c r="W145" s="45">
        <v>0</v>
      </c>
      <c r="X145" s="45">
        <v>0</v>
      </c>
      <c r="Y145" s="45">
        <v>0</v>
      </c>
      <c r="Z145" s="45">
        <v>0</v>
      </c>
      <c r="AA145" s="45"/>
      <c r="AB145" s="45">
        <v>0</v>
      </c>
      <c r="AC145" s="45">
        <v>0</v>
      </c>
      <c r="AD145" s="45">
        <v>0</v>
      </c>
      <c r="AE145" s="45">
        <v>0</v>
      </c>
      <c r="AF145" s="45">
        <v>0</v>
      </c>
      <c r="AG145" s="45">
        <v>0</v>
      </c>
      <c r="AH145" s="45">
        <v>0</v>
      </c>
      <c r="AI145" s="45">
        <v>0</v>
      </c>
      <c r="AJ145" s="45">
        <v>0</v>
      </c>
      <c r="AK145" s="45">
        <v>0</v>
      </c>
      <c r="AL145" s="45">
        <v>0</v>
      </c>
      <c r="AM145" s="40">
        <v>0</v>
      </c>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0"/>
      <c r="CN145" s="40"/>
      <c r="CO145" s="40"/>
      <c r="CP145" s="40"/>
      <c r="CQ145" s="40"/>
      <c r="CR145" s="40"/>
      <c r="CS145" s="40"/>
      <c r="CT145" s="40"/>
      <c r="CU145" s="40"/>
      <c r="CV145" s="40"/>
      <c r="CW145" s="40"/>
    </row>
    <row r="146" spans="1:131" s="20" customFormat="1">
      <c r="A146" s="20" t="s">
        <v>1276</v>
      </c>
      <c r="C146" s="45">
        <v>0</v>
      </c>
      <c r="D146" s="45">
        <v>11.336666666666666</v>
      </c>
      <c r="E146" s="45">
        <v>2.2673333333333332</v>
      </c>
      <c r="F146" s="45">
        <v>13.603999999999999</v>
      </c>
      <c r="G146" s="45">
        <v>23.344827592377371</v>
      </c>
      <c r="H146" s="45">
        <v>0</v>
      </c>
      <c r="I146" s="45">
        <v>0</v>
      </c>
      <c r="J146" s="45">
        <v>9999</v>
      </c>
      <c r="K146" s="45">
        <v>9999</v>
      </c>
      <c r="L146" s="81">
        <v>0</v>
      </c>
      <c r="M146" s="45">
        <v>0</v>
      </c>
      <c r="N146" s="45">
        <v>0</v>
      </c>
      <c r="O146" s="45">
        <v>0</v>
      </c>
      <c r="P146" s="45">
        <v>0</v>
      </c>
      <c r="Q146" s="45">
        <v>0</v>
      </c>
      <c r="R146" s="45">
        <v>0</v>
      </c>
      <c r="S146" s="45">
        <v>0</v>
      </c>
      <c r="T146" s="45">
        <v>0</v>
      </c>
      <c r="U146" s="45">
        <v>0</v>
      </c>
      <c r="V146" s="45">
        <v>0</v>
      </c>
      <c r="W146" s="45">
        <v>0</v>
      </c>
      <c r="X146" s="45">
        <v>0</v>
      </c>
      <c r="Y146" s="45">
        <v>0</v>
      </c>
      <c r="Z146" s="45">
        <v>0</v>
      </c>
      <c r="AA146" s="45"/>
      <c r="AB146" s="45">
        <v>0</v>
      </c>
      <c r="AC146" s="45">
        <v>0</v>
      </c>
      <c r="AD146" s="45">
        <v>0</v>
      </c>
      <c r="AE146" s="45">
        <v>0</v>
      </c>
      <c r="AF146" s="45">
        <v>0</v>
      </c>
      <c r="AG146" s="45">
        <v>0</v>
      </c>
      <c r="AH146" s="45">
        <v>0</v>
      </c>
      <c r="AI146" s="45">
        <v>0</v>
      </c>
      <c r="AJ146" s="45">
        <v>0</v>
      </c>
      <c r="AK146" s="45">
        <v>0</v>
      </c>
      <c r="AL146" s="45">
        <v>0</v>
      </c>
      <c r="AM146" s="40">
        <v>0</v>
      </c>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0"/>
      <c r="CN146" s="40"/>
      <c r="CO146" s="40"/>
      <c r="CP146" s="40"/>
      <c r="CQ146" s="40"/>
      <c r="CR146" s="40"/>
      <c r="CS146" s="40"/>
      <c r="CT146" s="40"/>
      <c r="CU146" s="40"/>
      <c r="CV146" s="40"/>
      <c r="CW146" s="40"/>
    </row>
    <row r="147" spans="1:131" s="20" customFormat="1">
      <c r="A147" s="20" t="s">
        <v>1277</v>
      </c>
      <c r="C147" s="45">
        <v>0</v>
      </c>
      <c r="D147" s="45">
        <v>11.336666666666666</v>
      </c>
      <c r="E147" s="45">
        <v>2.2673333333333332</v>
      </c>
      <c r="F147" s="45">
        <v>13.603999999999999</v>
      </c>
      <c r="G147" s="45">
        <v>23.344827592377371</v>
      </c>
      <c r="H147" s="45">
        <v>0</v>
      </c>
      <c r="I147" s="45">
        <v>0</v>
      </c>
      <c r="J147" s="45">
        <v>9999</v>
      </c>
      <c r="K147" s="45">
        <v>9999</v>
      </c>
      <c r="L147" s="81">
        <v>0</v>
      </c>
      <c r="M147" s="45">
        <v>0</v>
      </c>
      <c r="N147" s="45">
        <v>0</v>
      </c>
      <c r="O147" s="45">
        <v>0</v>
      </c>
      <c r="P147" s="45">
        <v>0</v>
      </c>
      <c r="Q147" s="45">
        <v>0</v>
      </c>
      <c r="R147" s="45">
        <v>0</v>
      </c>
      <c r="S147" s="45">
        <v>0</v>
      </c>
      <c r="T147" s="45">
        <v>0</v>
      </c>
      <c r="U147" s="45">
        <v>0</v>
      </c>
      <c r="V147" s="45">
        <v>0</v>
      </c>
      <c r="W147" s="45">
        <v>0</v>
      </c>
      <c r="X147" s="45">
        <v>0</v>
      </c>
      <c r="Y147" s="45">
        <v>0</v>
      </c>
      <c r="Z147" s="45">
        <v>0</v>
      </c>
      <c r="AA147" s="45"/>
      <c r="AB147" s="45">
        <v>0</v>
      </c>
      <c r="AC147" s="45">
        <v>0</v>
      </c>
      <c r="AD147" s="45">
        <v>0</v>
      </c>
      <c r="AE147" s="45">
        <v>0</v>
      </c>
      <c r="AF147" s="45">
        <v>0</v>
      </c>
      <c r="AG147" s="45">
        <v>0</v>
      </c>
      <c r="AH147" s="45">
        <v>0</v>
      </c>
      <c r="AI147" s="45">
        <v>0</v>
      </c>
      <c r="AJ147" s="45">
        <v>0</v>
      </c>
      <c r="AK147" s="45">
        <v>0</v>
      </c>
      <c r="AL147" s="45">
        <v>0</v>
      </c>
      <c r="AM147" s="40">
        <v>0</v>
      </c>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0"/>
      <c r="CN147" s="40"/>
      <c r="CO147" s="40"/>
      <c r="CP147" s="40"/>
      <c r="CQ147" s="40"/>
      <c r="CR147" s="40"/>
      <c r="CS147" s="40"/>
      <c r="CT147" s="40"/>
      <c r="CU147" s="40"/>
      <c r="CV147" s="40"/>
      <c r="CW147" s="40"/>
    </row>
    <row r="148" spans="1:131" s="20" customFormat="1">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0"/>
      <c r="CN148" s="40"/>
      <c r="CO148" s="40"/>
      <c r="CP148" s="40"/>
      <c r="CQ148" s="40"/>
      <c r="CR148" s="40"/>
      <c r="CS148" s="40"/>
      <c r="CT148" s="40"/>
      <c r="CU148" s="40"/>
      <c r="CV148" s="40"/>
      <c r="CW148" s="40"/>
    </row>
    <row r="149" spans="1:131" s="20" customFormat="1">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20" customFormat="1">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20" customFormat="1">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20" customFormat="1">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20" customFormat="1">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20" customFormat="1">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20" customFormat="1">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20" customFormat="1">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20" customFormat="1">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20" customFormat="1">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sheetData>
  <mergeCells count="3">
    <mergeCell ref="I6:N6"/>
    <mergeCell ref="O6:P6"/>
    <mergeCell ref="R6:T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dimension ref="A1:O46"/>
  <sheetViews>
    <sheetView topLeftCell="A9" workbookViewId="0">
      <selection activeCell="A11" sqref="A11:A46"/>
    </sheetView>
  </sheetViews>
  <sheetFormatPr defaultRowHeight="12.75"/>
  <cols>
    <col min="1" max="1" width="32.5703125" customWidth="1"/>
    <col min="2" max="2" width="14.5703125" customWidth="1"/>
    <col min="3" max="3" width="22.42578125" customWidth="1"/>
    <col min="4" max="4" width="30.85546875" customWidth="1"/>
    <col min="5" max="5" width="11.28515625" customWidth="1"/>
    <col min="6" max="6" width="9.7109375" customWidth="1"/>
    <col min="7" max="7" width="14.5703125" customWidth="1"/>
    <col min="8" max="8" width="13.140625" customWidth="1"/>
    <col min="9" max="9" width="9.42578125" customWidth="1"/>
    <col min="10" max="10" width="9" customWidth="1"/>
    <col min="11" max="11" width="13.28515625" customWidth="1"/>
    <col min="12" max="12" width="11.7109375" customWidth="1"/>
    <col min="13" max="13" width="12.140625" customWidth="1"/>
  </cols>
  <sheetData>
    <row r="1" spans="1:15" ht="15.75">
      <c r="A1" s="126" t="s">
        <v>383</v>
      </c>
    </row>
    <row r="7" spans="1:15">
      <c r="B7" s="168" t="s">
        <v>1245</v>
      </c>
      <c r="H7" s="168">
        <v>10</v>
      </c>
      <c r="J7" s="139">
        <f>InstallRatesCostAndLifetime!$B$14</f>
        <v>11.336666666666666</v>
      </c>
    </row>
    <row r="9" spans="1:15" s="131" customFormat="1">
      <c r="A9" s="127"/>
      <c r="B9" s="127"/>
      <c r="C9" s="127"/>
      <c r="D9" s="127"/>
      <c r="E9" s="127"/>
      <c r="F9" s="127"/>
      <c r="G9" s="127"/>
      <c r="H9" s="127"/>
      <c r="I9" s="127"/>
      <c r="J9" s="127"/>
      <c r="K9" s="127"/>
      <c r="L9" s="130"/>
      <c r="M9" s="127"/>
    </row>
    <row r="10" spans="1:15" s="135" customFormat="1" ht="70.5" customHeight="1">
      <c r="A10" s="132" t="s">
        <v>22</v>
      </c>
      <c r="B10" s="128" t="s">
        <v>384</v>
      </c>
      <c r="C10" s="132" t="s">
        <v>14</v>
      </c>
      <c r="D10" s="133" t="s">
        <v>385</v>
      </c>
      <c r="E10" s="132" t="s">
        <v>386</v>
      </c>
      <c r="F10" s="132" t="s">
        <v>370</v>
      </c>
      <c r="G10" s="133" t="s">
        <v>387</v>
      </c>
      <c r="H10" s="129" t="s">
        <v>388</v>
      </c>
      <c r="I10" s="129" t="s">
        <v>1238</v>
      </c>
      <c r="J10" s="129" t="s">
        <v>1239</v>
      </c>
      <c r="K10" s="129" t="s">
        <v>389</v>
      </c>
      <c r="L10" s="129" t="s">
        <v>1241</v>
      </c>
      <c r="M10" s="134" t="s">
        <v>407</v>
      </c>
    </row>
    <row r="11" spans="1:15" s="141" customFormat="1">
      <c r="A11" s="136" t="str">
        <f>CONCATENATE(C11,"-",E11)</f>
        <v>Showerheads-New-Large Off</v>
      </c>
      <c r="B11" s="137" t="str">
        <f>$B$7</f>
        <v>Showerheads</v>
      </c>
      <c r="C11" s="136" t="str">
        <f t="shared" ref="C11:C42" si="0">CONCATENATE(B11,"-",F11)</f>
        <v>Showerheads-New</v>
      </c>
      <c r="D11" s="136"/>
      <c r="E11" s="137" t="s">
        <v>371</v>
      </c>
      <c r="F11" s="145" t="s">
        <v>372</v>
      </c>
      <c r="G11" s="138" t="s">
        <v>1236</v>
      </c>
      <c r="H11" s="169">
        <f>$H$7</f>
        <v>10</v>
      </c>
      <c r="I11" s="139">
        <f>VLOOKUP($E11,'Regional Potential Estimates'!$N$40:$P$57,3,FALSE)</f>
        <v>81.293930844393842</v>
      </c>
      <c r="J11" s="139">
        <f>$J$7</f>
        <v>11.336666666666666</v>
      </c>
      <c r="K11" s="140">
        <f>MATCH(E11,[1]!BLDGTYPE,0)</f>
        <v>2</v>
      </c>
      <c r="L11" s="139">
        <f>VLOOKUP($E11,'Savings &amp; Cost'!$B$5:$F$22,4,FALSE)</f>
        <v>17.451509929033971</v>
      </c>
      <c r="M11" s="139">
        <f>VLOOKUP($E11,'Savings &amp; Cost'!$B$5:$F$22,5,FALSE)</f>
        <v>6.7604349038811193</v>
      </c>
      <c r="O11" s="142"/>
    </row>
    <row r="12" spans="1:15" s="144" customFormat="1">
      <c r="A12" s="136" t="str">
        <f t="shared" ref="A12:A46" si="1">CONCATENATE(C12,"-",E12)</f>
        <v>Showerheads-New-Medium Off</v>
      </c>
      <c r="B12" s="137" t="str">
        <f t="shared" ref="B12:B46" si="2">$B$7</f>
        <v>Showerheads</v>
      </c>
      <c r="C12" s="136" t="str">
        <f t="shared" si="0"/>
        <v>Showerheads-New</v>
      </c>
      <c r="D12" s="136"/>
      <c r="E12" s="143" t="s">
        <v>373</v>
      </c>
      <c r="F12" s="145" t="s">
        <v>372</v>
      </c>
      <c r="G12" s="138" t="s">
        <v>1236</v>
      </c>
      <c r="H12" s="169">
        <f t="shared" ref="H12:H46" si="3">$H$7</f>
        <v>10</v>
      </c>
      <c r="I12" s="139">
        <f>VLOOKUP(E12,'Regional Potential Estimates'!$N$40:$P$57,3,FALSE)</f>
        <v>81.293930844393842</v>
      </c>
      <c r="J12" s="139">
        <f t="shared" ref="J12:J46" si="4">$J$7</f>
        <v>11.336666666666666</v>
      </c>
      <c r="K12" s="140">
        <f>MATCH(E12,[1]!BLDGTYPE,0)</f>
        <v>3</v>
      </c>
      <c r="L12" s="139">
        <f>VLOOKUP($E12,'Savings &amp; Cost'!$B$5:$F$22,4,FALSE)</f>
        <v>17.451509929033971</v>
      </c>
      <c r="M12" s="139">
        <f>VLOOKUP($E12,'Savings &amp; Cost'!$B$5:$F$22,5,FALSE)</f>
        <v>6.7604349038811193</v>
      </c>
    </row>
    <row r="13" spans="1:15" s="144" customFormat="1">
      <c r="A13" s="136" t="str">
        <f t="shared" si="1"/>
        <v>Showerheads-New-Small Off</v>
      </c>
      <c r="B13" s="137" t="str">
        <f t="shared" si="2"/>
        <v>Showerheads</v>
      </c>
      <c r="C13" s="136" t="str">
        <f t="shared" si="0"/>
        <v>Showerheads-New</v>
      </c>
      <c r="D13" s="136"/>
      <c r="E13" s="143" t="s">
        <v>374</v>
      </c>
      <c r="F13" s="145" t="s">
        <v>372</v>
      </c>
      <c r="G13" s="138" t="s">
        <v>1236</v>
      </c>
      <c r="H13" s="169">
        <f t="shared" si="3"/>
        <v>10</v>
      </c>
      <c r="I13" s="139">
        <f>VLOOKUP(E13,'Regional Potential Estimates'!$N$40:$P$57,3,FALSE)</f>
        <v>81.293930844393842</v>
      </c>
      <c r="J13" s="139">
        <f t="shared" si="4"/>
        <v>11.336666666666666</v>
      </c>
      <c r="K13" s="140">
        <f>MATCH(E13,[1]!BLDGTYPE,0)</f>
        <v>4</v>
      </c>
      <c r="L13" s="139">
        <f>VLOOKUP($E13,'Savings &amp; Cost'!$B$5:$F$22,4,FALSE)</f>
        <v>17.451509929033971</v>
      </c>
      <c r="M13" s="139">
        <f>VLOOKUP($E13,'Savings &amp; Cost'!$B$5:$F$22,5,FALSE)</f>
        <v>6.7604349038811193</v>
      </c>
    </row>
    <row r="14" spans="1:15" s="144" customFormat="1">
      <c r="A14" s="136" t="str">
        <f t="shared" si="1"/>
        <v>Showerheads-New-Xlarge Ret</v>
      </c>
      <c r="B14" s="137" t="str">
        <f t="shared" si="2"/>
        <v>Showerheads</v>
      </c>
      <c r="C14" s="136" t="str">
        <f t="shared" si="0"/>
        <v>Showerheads-New</v>
      </c>
      <c r="D14" s="136"/>
      <c r="E14" s="143" t="s">
        <v>390</v>
      </c>
      <c r="F14" s="145" t="s">
        <v>372</v>
      </c>
      <c r="G14" s="138" t="s">
        <v>1236</v>
      </c>
      <c r="H14" s="169">
        <f t="shared" si="3"/>
        <v>10</v>
      </c>
      <c r="I14" s="139">
        <f>VLOOKUP(E14,'Regional Potential Estimates'!$N$40:$P$57,3,FALSE)</f>
        <v>0</v>
      </c>
      <c r="J14" s="139">
        <f t="shared" si="4"/>
        <v>11.336666666666666</v>
      </c>
      <c r="K14" s="140">
        <f>MATCH(E14,[1]!BLDGTYPE,0)</f>
        <v>5</v>
      </c>
      <c r="L14" s="139">
        <f>VLOOKUP($E14,'Savings &amp; Cost'!$B$5:$F$22,4,FALSE)</f>
        <v>0</v>
      </c>
      <c r="M14" s="139">
        <f>VLOOKUP($E14,'Savings &amp; Cost'!$B$5:$F$22,5,FALSE)</f>
        <v>0</v>
      </c>
    </row>
    <row r="15" spans="1:15" s="144" customFormat="1">
      <c r="A15" s="136" t="str">
        <f t="shared" si="1"/>
        <v>Showerheads-New-Large Ret</v>
      </c>
      <c r="B15" s="137" t="str">
        <f t="shared" si="2"/>
        <v>Showerheads</v>
      </c>
      <c r="C15" s="136" t="str">
        <f t="shared" si="0"/>
        <v>Showerheads-New</v>
      </c>
      <c r="D15" s="136"/>
      <c r="E15" s="143" t="s">
        <v>391</v>
      </c>
      <c r="F15" s="145" t="s">
        <v>372</v>
      </c>
      <c r="G15" s="138" t="s">
        <v>1236</v>
      </c>
      <c r="H15" s="169">
        <f t="shared" si="3"/>
        <v>10</v>
      </c>
      <c r="I15" s="139">
        <f>VLOOKUP(E15,'Regional Potential Estimates'!$N$40:$P$57,3,FALSE)</f>
        <v>0</v>
      </c>
      <c r="J15" s="139">
        <f t="shared" si="4"/>
        <v>11.336666666666666</v>
      </c>
      <c r="K15" s="140">
        <f>MATCH(E15,[1]!BLDGTYPE,0)</f>
        <v>6</v>
      </c>
      <c r="L15" s="139">
        <f>VLOOKUP($E15,'Savings &amp; Cost'!$B$5:$F$22,4,FALSE)</f>
        <v>0</v>
      </c>
      <c r="M15" s="139">
        <f>VLOOKUP($E15,'Savings &amp; Cost'!$B$5:$F$22,5,FALSE)</f>
        <v>0</v>
      </c>
    </row>
    <row r="16" spans="1:15" s="144" customFormat="1">
      <c r="A16" s="136" t="str">
        <f t="shared" si="1"/>
        <v>Showerheads-New-Medium Ret</v>
      </c>
      <c r="B16" s="137" t="str">
        <f t="shared" si="2"/>
        <v>Showerheads</v>
      </c>
      <c r="C16" s="136" t="str">
        <f t="shared" si="0"/>
        <v>Showerheads-New</v>
      </c>
      <c r="D16" s="136"/>
      <c r="E16" s="143" t="s">
        <v>392</v>
      </c>
      <c r="F16" s="145" t="s">
        <v>372</v>
      </c>
      <c r="G16" s="138" t="s">
        <v>1236</v>
      </c>
      <c r="H16" s="169">
        <f t="shared" si="3"/>
        <v>10</v>
      </c>
      <c r="I16" s="139">
        <f>VLOOKUP(E16,'Regional Potential Estimates'!$N$40:$P$57,3,FALSE)</f>
        <v>0</v>
      </c>
      <c r="J16" s="139">
        <f t="shared" si="4"/>
        <v>11.336666666666666</v>
      </c>
      <c r="K16" s="140">
        <f>MATCH(E16,[1]!BLDGTYPE,0)</f>
        <v>7</v>
      </c>
      <c r="L16" s="139">
        <f>VLOOKUP($E16,'Savings &amp; Cost'!$B$5:$F$22,4,FALSE)</f>
        <v>0</v>
      </c>
      <c r="M16" s="139">
        <f>VLOOKUP($E16,'Savings &amp; Cost'!$B$5:$F$22,5,FALSE)</f>
        <v>0</v>
      </c>
    </row>
    <row r="17" spans="1:13" s="144" customFormat="1">
      <c r="A17" s="136" t="str">
        <f t="shared" si="1"/>
        <v>Showerheads-New-Small Ret</v>
      </c>
      <c r="B17" s="137" t="str">
        <f t="shared" si="2"/>
        <v>Showerheads</v>
      </c>
      <c r="C17" s="136" t="str">
        <f t="shared" si="0"/>
        <v>Showerheads-New</v>
      </c>
      <c r="D17" s="136"/>
      <c r="E17" s="143" t="s">
        <v>393</v>
      </c>
      <c r="F17" s="145" t="s">
        <v>372</v>
      </c>
      <c r="G17" s="138" t="s">
        <v>1236</v>
      </c>
      <c r="H17" s="169">
        <f t="shared" si="3"/>
        <v>10</v>
      </c>
      <c r="I17" s="139">
        <f>VLOOKUP(E17,'Regional Potential Estimates'!$N$40:$P$57,3,FALSE)</f>
        <v>0</v>
      </c>
      <c r="J17" s="139">
        <f t="shared" si="4"/>
        <v>11.336666666666666</v>
      </c>
      <c r="K17" s="140">
        <f>MATCH(E17,[1]!BLDGTYPE,0)</f>
        <v>8</v>
      </c>
      <c r="L17" s="139">
        <f>VLOOKUP($E17,'Savings &amp; Cost'!$B$5:$F$22,4,FALSE)</f>
        <v>0</v>
      </c>
      <c r="M17" s="139">
        <f>VLOOKUP($E17,'Savings &amp; Cost'!$B$5:$F$22,5,FALSE)</f>
        <v>0</v>
      </c>
    </row>
    <row r="18" spans="1:13" s="144" customFormat="1">
      <c r="A18" s="136" t="str">
        <f t="shared" si="1"/>
        <v>Showerheads-New-School K-12</v>
      </c>
      <c r="B18" s="137" t="str">
        <f t="shared" si="2"/>
        <v>Showerheads</v>
      </c>
      <c r="C18" s="136" t="str">
        <f t="shared" si="0"/>
        <v>Showerheads-New</v>
      </c>
      <c r="D18" s="136"/>
      <c r="E18" s="143" t="s">
        <v>394</v>
      </c>
      <c r="F18" s="145" t="s">
        <v>372</v>
      </c>
      <c r="G18" s="138" t="s">
        <v>1236</v>
      </c>
      <c r="H18" s="169">
        <f t="shared" si="3"/>
        <v>10</v>
      </c>
      <c r="I18" s="139">
        <f>VLOOKUP(E18,'Regional Potential Estimates'!$N$40:$P$57,3,FALSE)</f>
        <v>29.02544651362075</v>
      </c>
      <c r="J18" s="139">
        <f t="shared" si="4"/>
        <v>11.336666666666666</v>
      </c>
      <c r="K18" s="140">
        <f>MATCH(E18,[1]!BLDGTYPE,0)</f>
        <v>9</v>
      </c>
      <c r="L18" s="139">
        <f>VLOOKUP($E18,'Savings &amp; Cost'!$B$5:$F$22,4,FALSE)</f>
        <v>18.956783746622847</v>
      </c>
      <c r="M18" s="139">
        <f>VLOOKUP($E18,'Savings &amp; Cost'!$B$5:$F$22,5,FALSE)</f>
        <v>7.3435538258373221</v>
      </c>
    </row>
    <row r="19" spans="1:13" s="144" customFormat="1">
      <c r="A19" s="136" t="str">
        <f t="shared" si="1"/>
        <v>Showerheads-New-University</v>
      </c>
      <c r="B19" s="137" t="str">
        <f t="shared" si="2"/>
        <v>Showerheads</v>
      </c>
      <c r="C19" s="136" t="str">
        <f t="shared" si="0"/>
        <v>Showerheads-New</v>
      </c>
      <c r="D19" s="136"/>
      <c r="E19" s="143" t="s">
        <v>375</v>
      </c>
      <c r="F19" s="145" t="s">
        <v>372</v>
      </c>
      <c r="G19" s="138" t="s">
        <v>1236</v>
      </c>
      <c r="H19" s="169">
        <f t="shared" si="3"/>
        <v>10</v>
      </c>
      <c r="I19" s="139">
        <f>VLOOKUP(E19,'Regional Potential Estimates'!$N$40:$P$57,3,FALSE)</f>
        <v>49.502977270716336</v>
      </c>
      <c r="J19" s="139">
        <f t="shared" si="4"/>
        <v>11.336666666666666</v>
      </c>
      <c r="K19" s="140">
        <f>MATCH(E19,[1]!BLDGTYPE,0)</f>
        <v>10</v>
      </c>
      <c r="L19" s="139">
        <f>VLOOKUP($E19,'Savings &amp; Cost'!$B$5:$F$22,4,FALSE)</f>
        <v>32.330845780256482</v>
      </c>
      <c r="M19" s="139">
        <f>VLOOKUP($E19,'Savings &amp; Cost'!$B$5:$F$22,5,FALSE)</f>
        <v>12.524450845437102</v>
      </c>
    </row>
    <row r="20" spans="1:13" s="144" customFormat="1">
      <c r="A20" s="136" t="str">
        <f t="shared" si="1"/>
        <v>Showerheads-New-Warehouse</v>
      </c>
      <c r="B20" s="137" t="str">
        <f t="shared" si="2"/>
        <v>Showerheads</v>
      </c>
      <c r="C20" s="136" t="str">
        <f t="shared" si="0"/>
        <v>Showerheads-New</v>
      </c>
      <c r="D20" s="136"/>
      <c r="E20" s="143" t="s">
        <v>376</v>
      </c>
      <c r="F20" s="145" t="s">
        <v>372</v>
      </c>
      <c r="G20" s="138" t="s">
        <v>1236</v>
      </c>
      <c r="H20" s="169">
        <f t="shared" si="3"/>
        <v>10</v>
      </c>
      <c r="I20" s="139">
        <f>VLOOKUP(E20,'Regional Potential Estimates'!$N$40:$P$57,3,FALSE)</f>
        <v>0</v>
      </c>
      <c r="J20" s="139">
        <f t="shared" si="4"/>
        <v>11.336666666666666</v>
      </c>
      <c r="K20" s="140">
        <f>MATCH(E20,[1]!BLDGTYPE,0)</f>
        <v>11</v>
      </c>
      <c r="L20" s="139">
        <f>VLOOKUP($E20,'Savings &amp; Cost'!$B$5:$F$22,4,FALSE)</f>
        <v>0</v>
      </c>
      <c r="M20" s="139">
        <f>VLOOKUP($E20,'Savings &amp; Cost'!$B$5:$F$22,5,FALSE)</f>
        <v>0</v>
      </c>
    </row>
    <row r="21" spans="1:13" s="144" customFormat="1">
      <c r="A21" s="136" t="str">
        <f t="shared" si="1"/>
        <v>Showerheads-New-Supermarket</v>
      </c>
      <c r="B21" s="137" t="str">
        <f t="shared" si="2"/>
        <v>Showerheads</v>
      </c>
      <c r="C21" s="136" t="str">
        <f t="shared" si="0"/>
        <v>Showerheads-New</v>
      </c>
      <c r="D21" s="136"/>
      <c r="E21" s="143" t="s">
        <v>377</v>
      </c>
      <c r="F21" s="145" t="s">
        <v>372</v>
      </c>
      <c r="G21" s="138" t="s">
        <v>1236</v>
      </c>
      <c r="H21" s="169">
        <f t="shared" si="3"/>
        <v>10</v>
      </c>
      <c r="I21" s="139">
        <f>VLOOKUP(E21,'Regional Potential Estimates'!$N$40:$P$57,3,FALSE)</f>
        <v>0</v>
      </c>
      <c r="J21" s="139">
        <f t="shared" si="4"/>
        <v>11.336666666666666</v>
      </c>
      <c r="K21" s="140">
        <f>MATCH(E21,[1]!BLDGTYPE,0)</f>
        <v>12</v>
      </c>
      <c r="L21" s="139">
        <f>VLOOKUP($E21,'Savings &amp; Cost'!$B$5:$F$22,4,FALSE)</f>
        <v>0</v>
      </c>
      <c r="M21" s="139">
        <f>VLOOKUP($E21,'Savings &amp; Cost'!$B$5:$F$22,5,FALSE)</f>
        <v>0</v>
      </c>
    </row>
    <row r="22" spans="1:13" s="144" customFormat="1">
      <c r="A22" s="136" t="str">
        <f t="shared" si="1"/>
        <v>Showerheads-New-MiniMart</v>
      </c>
      <c r="B22" s="137" t="str">
        <f t="shared" si="2"/>
        <v>Showerheads</v>
      </c>
      <c r="C22" s="136" t="str">
        <f t="shared" si="0"/>
        <v>Showerheads-New</v>
      </c>
      <c r="D22" s="136"/>
      <c r="E22" s="143" t="s">
        <v>395</v>
      </c>
      <c r="F22" s="145" t="s">
        <v>372</v>
      </c>
      <c r="G22" s="138" t="s">
        <v>1236</v>
      </c>
      <c r="H22" s="169">
        <f t="shared" si="3"/>
        <v>10</v>
      </c>
      <c r="I22" s="139">
        <f>VLOOKUP(E22,'Regional Potential Estimates'!$N$40:$P$57,3,FALSE)</f>
        <v>0</v>
      </c>
      <c r="J22" s="139">
        <f t="shared" si="4"/>
        <v>11.336666666666666</v>
      </c>
      <c r="K22" s="140">
        <f>MATCH(E22,[1]!BLDGTYPE,0)</f>
        <v>13</v>
      </c>
      <c r="L22" s="139">
        <f>VLOOKUP($E22,'Savings &amp; Cost'!$B$5:$F$22,4,FALSE)</f>
        <v>0</v>
      </c>
      <c r="M22" s="139">
        <f>VLOOKUP($E22,'Savings &amp; Cost'!$B$5:$F$22,5,FALSE)</f>
        <v>0</v>
      </c>
    </row>
    <row r="23" spans="1:13" s="144" customFormat="1">
      <c r="A23" s="136" t="str">
        <f t="shared" si="1"/>
        <v>Showerheads-New-Restaurant</v>
      </c>
      <c r="B23" s="137" t="str">
        <f t="shared" si="2"/>
        <v>Showerheads</v>
      </c>
      <c r="C23" s="136" t="str">
        <f t="shared" si="0"/>
        <v>Showerheads-New</v>
      </c>
      <c r="D23" s="136"/>
      <c r="E23" s="143" t="s">
        <v>378</v>
      </c>
      <c r="F23" s="145" t="s">
        <v>372</v>
      </c>
      <c r="G23" s="138" t="s">
        <v>1236</v>
      </c>
      <c r="H23" s="169">
        <f t="shared" si="3"/>
        <v>10</v>
      </c>
      <c r="I23" s="139">
        <f>VLOOKUP(E23,'Regional Potential Estimates'!$N$40:$P$57,3,FALSE)</f>
        <v>0</v>
      </c>
      <c r="J23" s="139">
        <f t="shared" si="4"/>
        <v>11.336666666666666</v>
      </c>
      <c r="K23" s="140">
        <f>MATCH(E23,[1]!BLDGTYPE,0)</f>
        <v>14</v>
      </c>
      <c r="L23" s="139">
        <f>VLOOKUP($E23,'Savings &amp; Cost'!$B$5:$F$22,4,FALSE)</f>
        <v>0</v>
      </c>
      <c r="M23" s="139">
        <f>VLOOKUP($E23,'Savings &amp; Cost'!$B$5:$F$22,5,FALSE)</f>
        <v>0</v>
      </c>
    </row>
    <row r="24" spans="1:13" s="144" customFormat="1">
      <c r="A24" s="136" t="str">
        <f t="shared" si="1"/>
        <v>Showerheads-New-Lodging</v>
      </c>
      <c r="B24" s="137" t="str">
        <f t="shared" si="2"/>
        <v>Showerheads</v>
      </c>
      <c r="C24" s="136" t="str">
        <f t="shared" si="0"/>
        <v>Showerheads-New</v>
      </c>
      <c r="D24" s="136"/>
      <c r="E24" s="143" t="s">
        <v>379</v>
      </c>
      <c r="F24" s="145" t="s">
        <v>372</v>
      </c>
      <c r="G24" s="138" t="s">
        <v>1236</v>
      </c>
      <c r="H24" s="169">
        <f t="shared" si="3"/>
        <v>10</v>
      </c>
      <c r="I24" s="139">
        <f>VLOOKUP(E24,'Regional Potential Estimates'!$N$40:$P$57,3,FALSE)</f>
        <v>49.502977270716336</v>
      </c>
      <c r="J24" s="139">
        <f t="shared" si="4"/>
        <v>11.336666666666666</v>
      </c>
      <c r="K24" s="140">
        <f>MATCH(E24,[1]!BLDGTYPE,0)</f>
        <v>15</v>
      </c>
      <c r="L24" s="139">
        <f>VLOOKUP($E24,'Savings &amp; Cost'!$B$5:$F$22,4,FALSE)</f>
        <v>32.330845780256482</v>
      </c>
      <c r="M24" s="139">
        <f>VLOOKUP($E24,'Savings &amp; Cost'!$B$5:$F$22,5,FALSE)</f>
        <v>12.524450845437102</v>
      </c>
    </row>
    <row r="25" spans="1:13" s="144" customFormat="1">
      <c r="A25" s="136" t="str">
        <f t="shared" si="1"/>
        <v>Showerheads-New-Hospital</v>
      </c>
      <c r="B25" s="137" t="str">
        <f t="shared" si="2"/>
        <v>Showerheads</v>
      </c>
      <c r="C25" s="136" t="str">
        <f t="shared" si="0"/>
        <v>Showerheads-New</v>
      </c>
      <c r="D25" s="136"/>
      <c r="E25" s="143" t="s">
        <v>380</v>
      </c>
      <c r="F25" s="145" t="s">
        <v>372</v>
      </c>
      <c r="G25" s="138" t="s">
        <v>1236</v>
      </c>
      <c r="H25" s="169">
        <f t="shared" si="3"/>
        <v>10</v>
      </c>
      <c r="I25" s="139">
        <f>VLOOKUP(E25,'Regional Potential Estimates'!$N$40:$P$57,3,FALSE)</f>
        <v>68.950455893647046</v>
      </c>
      <c r="J25" s="139">
        <f t="shared" si="4"/>
        <v>11.336666666666666</v>
      </c>
      <c r="K25" s="140">
        <f>MATCH(E25,[1]!BLDGTYPE,0)</f>
        <v>16</v>
      </c>
      <c r="L25" s="139">
        <f>VLOOKUP($E25,'Savings &amp; Cost'!$B$5:$F$22,4,FALSE)</f>
        <v>23.29355605420762</v>
      </c>
      <c r="M25" s="139">
        <f>VLOOKUP($E25,'Savings &amp; Cost'!$B$5:$F$22,5,FALSE)</f>
        <v>9.0235498260461213</v>
      </c>
    </row>
    <row r="26" spans="1:13" s="144" customFormat="1">
      <c r="A26" s="136" t="str">
        <f t="shared" si="1"/>
        <v>Showerheads-New-Residential Care</v>
      </c>
      <c r="B26" s="137" t="str">
        <f t="shared" si="2"/>
        <v>Showerheads</v>
      </c>
      <c r="C26" s="136" t="str">
        <f t="shared" si="0"/>
        <v>Showerheads-New</v>
      </c>
      <c r="D26" s="136"/>
      <c r="E26" s="143" t="s">
        <v>396</v>
      </c>
      <c r="F26" s="145" t="s">
        <v>372</v>
      </c>
      <c r="G26" s="138" t="s">
        <v>1236</v>
      </c>
      <c r="H26" s="169">
        <f t="shared" si="3"/>
        <v>10</v>
      </c>
      <c r="I26" s="139">
        <f>VLOOKUP(E26,'Regional Potential Estimates'!$N$40:$P$57,3,FALSE)</f>
        <v>49.502977270716336</v>
      </c>
      <c r="J26" s="139">
        <f t="shared" si="4"/>
        <v>11.336666666666666</v>
      </c>
      <c r="K26" s="140">
        <f>MATCH(E26,[1]!BLDGTYPE,0)</f>
        <v>17</v>
      </c>
      <c r="L26" s="139">
        <f>VLOOKUP($E26,'Savings &amp; Cost'!$B$5:$F$22,4,FALSE)</f>
        <v>32.330845780256482</v>
      </c>
      <c r="M26" s="139">
        <f>VLOOKUP($E26,'Savings &amp; Cost'!$B$5:$F$22,5,FALSE)</f>
        <v>12.524450845437102</v>
      </c>
    </row>
    <row r="27" spans="1:13" s="144" customFormat="1">
      <c r="A27" s="136" t="str">
        <f t="shared" si="1"/>
        <v>Showerheads-New-Assembly</v>
      </c>
      <c r="B27" s="137" t="str">
        <f t="shared" si="2"/>
        <v>Showerheads</v>
      </c>
      <c r="C27" s="136" t="str">
        <f t="shared" si="0"/>
        <v>Showerheads-New</v>
      </c>
      <c r="D27" s="136"/>
      <c r="E27" s="143" t="s">
        <v>381</v>
      </c>
      <c r="F27" s="145" t="s">
        <v>372</v>
      </c>
      <c r="G27" s="138" t="s">
        <v>1236</v>
      </c>
      <c r="H27" s="169">
        <f t="shared" si="3"/>
        <v>10</v>
      </c>
      <c r="I27" s="139">
        <f>VLOOKUP(E27,'Regional Potential Estimates'!$N$40:$P$57,3,FALSE)</f>
        <v>49.502977270716336</v>
      </c>
      <c r="J27" s="139">
        <f t="shared" si="4"/>
        <v>11.336666666666666</v>
      </c>
      <c r="K27" s="140">
        <f>MATCH(E27,[1]!BLDGTYPE,0)</f>
        <v>18</v>
      </c>
      <c r="L27" s="139">
        <f>VLOOKUP($E27,'Savings &amp; Cost'!$B$5:$F$22,4,FALSE)</f>
        <v>32.330845780256482</v>
      </c>
      <c r="M27" s="139">
        <f>VLOOKUP($E27,'Savings &amp; Cost'!$B$5:$F$22,5,FALSE)</f>
        <v>12.524450845437102</v>
      </c>
    </row>
    <row r="28" spans="1:13" s="144" customFormat="1">
      <c r="A28" s="136" t="str">
        <f t="shared" si="1"/>
        <v>Showerheads-New-Other</v>
      </c>
      <c r="B28" s="137" t="str">
        <f t="shared" si="2"/>
        <v>Showerheads</v>
      </c>
      <c r="C28" s="136" t="str">
        <f t="shared" si="0"/>
        <v>Showerheads-New</v>
      </c>
      <c r="D28" s="136"/>
      <c r="E28" s="143" t="s">
        <v>382</v>
      </c>
      <c r="F28" s="145" t="s">
        <v>372</v>
      </c>
      <c r="G28" s="138" t="s">
        <v>1236</v>
      </c>
      <c r="H28" s="169">
        <f t="shared" si="3"/>
        <v>10</v>
      </c>
      <c r="I28" s="139">
        <f>VLOOKUP(E28,'Regional Potential Estimates'!$N$40:$P$57,3,FALSE)</f>
        <v>1551.6735954735207</v>
      </c>
      <c r="J28" s="139">
        <f t="shared" si="4"/>
        <v>11.336666666666666</v>
      </c>
      <c r="K28" s="140">
        <f>MATCH(E28,[1]!BLDGTYPE,0)</f>
        <v>19</v>
      </c>
      <c r="L28" s="139">
        <f>VLOOKUP($E28,'Savings &amp; Cost'!$B$5:$F$22,4,FALSE)</f>
        <v>524.20242049953663</v>
      </c>
      <c r="M28" s="139">
        <f>VLOOKUP($E28,'Savings &amp; Cost'!$B$5:$F$22,5,FALSE)</f>
        <v>203.06760587794054</v>
      </c>
    </row>
    <row r="29" spans="1:13" s="144" customFormat="1">
      <c r="A29" s="136" t="str">
        <f t="shared" si="1"/>
        <v>Showerheads-Retro-Large Off</v>
      </c>
      <c r="B29" s="137" t="str">
        <f t="shared" si="2"/>
        <v>Showerheads</v>
      </c>
      <c r="C29" s="136" t="str">
        <f t="shared" si="0"/>
        <v>Showerheads-Retro</v>
      </c>
      <c r="D29" s="136"/>
      <c r="E29" s="143" t="s">
        <v>371</v>
      </c>
      <c r="F29" s="145" t="s">
        <v>413</v>
      </c>
      <c r="G29" s="138" t="s">
        <v>1236</v>
      </c>
      <c r="H29" s="169">
        <f t="shared" si="3"/>
        <v>10</v>
      </c>
      <c r="I29" s="139">
        <f>VLOOKUP(E29,'Regional Potential Estimates'!$N$40:$P$57,3,FALSE)</f>
        <v>81.293930844393842</v>
      </c>
      <c r="J29" s="139">
        <f t="shared" si="4"/>
        <v>11.336666666666666</v>
      </c>
      <c r="K29" s="140">
        <f>MATCH(E29,[1]!BLDGTYPE,0)</f>
        <v>2</v>
      </c>
      <c r="L29" s="139">
        <f>VLOOKUP($E29,'Savings &amp; Cost'!$B$5:$F$22,4,FALSE)</f>
        <v>17.451509929033971</v>
      </c>
      <c r="M29" s="139">
        <f>VLOOKUP($E29,'Savings &amp; Cost'!$B$5:$F$22,5,FALSE)</f>
        <v>6.7604349038811193</v>
      </c>
    </row>
    <row r="30" spans="1:13" s="144" customFormat="1">
      <c r="A30" s="136" t="str">
        <f t="shared" si="1"/>
        <v>Showerheads-Retro-Medium Off</v>
      </c>
      <c r="B30" s="137" t="str">
        <f t="shared" si="2"/>
        <v>Showerheads</v>
      </c>
      <c r="C30" s="136" t="str">
        <f t="shared" si="0"/>
        <v>Showerheads-Retro</v>
      </c>
      <c r="D30" s="136"/>
      <c r="E30" s="143" t="s">
        <v>373</v>
      </c>
      <c r="F30" s="145" t="s">
        <v>413</v>
      </c>
      <c r="G30" s="138" t="s">
        <v>1236</v>
      </c>
      <c r="H30" s="169">
        <f t="shared" si="3"/>
        <v>10</v>
      </c>
      <c r="I30" s="139">
        <f>VLOOKUP(E30,'Regional Potential Estimates'!$N$40:$P$57,3,FALSE)</f>
        <v>81.293930844393842</v>
      </c>
      <c r="J30" s="139">
        <f t="shared" si="4"/>
        <v>11.336666666666666</v>
      </c>
      <c r="K30" s="140">
        <f>MATCH(E30,[1]!BLDGTYPE,0)</f>
        <v>3</v>
      </c>
      <c r="L30" s="139">
        <f>VLOOKUP($E30,'Savings &amp; Cost'!$B$5:$F$22,4,FALSE)</f>
        <v>17.451509929033971</v>
      </c>
      <c r="M30" s="139">
        <f>VLOOKUP($E30,'Savings &amp; Cost'!$B$5:$F$22,5,FALSE)</f>
        <v>6.7604349038811193</v>
      </c>
    </row>
    <row r="31" spans="1:13" s="144" customFormat="1">
      <c r="A31" s="136" t="str">
        <f t="shared" si="1"/>
        <v>Showerheads-Retro-Small Off</v>
      </c>
      <c r="B31" s="137" t="str">
        <f t="shared" si="2"/>
        <v>Showerheads</v>
      </c>
      <c r="C31" s="136" t="str">
        <f t="shared" si="0"/>
        <v>Showerheads-Retro</v>
      </c>
      <c r="D31" s="136"/>
      <c r="E31" s="143" t="s">
        <v>374</v>
      </c>
      <c r="F31" s="145" t="s">
        <v>413</v>
      </c>
      <c r="G31" s="138" t="s">
        <v>1236</v>
      </c>
      <c r="H31" s="169">
        <f t="shared" si="3"/>
        <v>10</v>
      </c>
      <c r="I31" s="139">
        <f>VLOOKUP(E31,'Regional Potential Estimates'!$N$40:$P$57,3,FALSE)</f>
        <v>81.293930844393842</v>
      </c>
      <c r="J31" s="139">
        <f t="shared" si="4"/>
        <v>11.336666666666666</v>
      </c>
      <c r="K31" s="140">
        <f>MATCH(E31,[1]!BLDGTYPE,0)</f>
        <v>4</v>
      </c>
      <c r="L31" s="139">
        <f>VLOOKUP($E31,'Savings &amp; Cost'!$B$5:$F$22,4,FALSE)</f>
        <v>17.451509929033971</v>
      </c>
      <c r="M31" s="139">
        <f>VLOOKUP($E31,'Savings &amp; Cost'!$B$5:$F$22,5,FALSE)</f>
        <v>6.7604349038811193</v>
      </c>
    </row>
    <row r="32" spans="1:13" s="144" customFormat="1">
      <c r="A32" s="136" t="str">
        <f t="shared" si="1"/>
        <v>Showerheads-Retro-Xlarge Ret</v>
      </c>
      <c r="B32" s="137" t="str">
        <f t="shared" si="2"/>
        <v>Showerheads</v>
      </c>
      <c r="C32" s="136" t="str">
        <f t="shared" si="0"/>
        <v>Showerheads-Retro</v>
      </c>
      <c r="D32" s="136"/>
      <c r="E32" s="143" t="s">
        <v>390</v>
      </c>
      <c r="F32" s="145" t="s">
        <v>413</v>
      </c>
      <c r="G32" s="138" t="s">
        <v>1236</v>
      </c>
      <c r="H32" s="169">
        <f t="shared" si="3"/>
        <v>10</v>
      </c>
      <c r="I32" s="139">
        <f>VLOOKUP(E32,'Regional Potential Estimates'!$N$40:$P$57,3,FALSE)</f>
        <v>0</v>
      </c>
      <c r="J32" s="139">
        <f t="shared" si="4"/>
        <v>11.336666666666666</v>
      </c>
      <c r="K32" s="140">
        <f>MATCH(E32,[1]!BLDGTYPE,0)</f>
        <v>5</v>
      </c>
      <c r="L32" s="139">
        <f>VLOOKUP($E32,'Savings &amp; Cost'!$B$5:$F$22,4,FALSE)</f>
        <v>0</v>
      </c>
      <c r="M32" s="139">
        <f>VLOOKUP($E32,'Savings &amp; Cost'!$B$5:$F$22,5,FALSE)</f>
        <v>0</v>
      </c>
    </row>
    <row r="33" spans="1:13" s="144" customFormat="1">
      <c r="A33" s="136" t="str">
        <f t="shared" si="1"/>
        <v>Showerheads-Retro-Large Ret</v>
      </c>
      <c r="B33" s="137" t="str">
        <f t="shared" si="2"/>
        <v>Showerheads</v>
      </c>
      <c r="C33" s="136" t="str">
        <f t="shared" si="0"/>
        <v>Showerheads-Retro</v>
      </c>
      <c r="D33" s="136"/>
      <c r="E33" s="143" t="s">
        <v>391</v>
      </c>
      <c r="F33" s="145" t="s">
        <v>413</v>
      </c>
      <c r="G33" s="138" t="s">
        <v>1236</v>
      </c>
      <c r="H33" s="169">
        <f t="shared" si="3"/>
        <v>10</v>
      </c>
      <c r="I33" s="139">
        <f>VLOOKUP(E33,'Regional Potential Estimates'!$N$40:$P$57,3,FALSE)</f>
        <v>0</v>
      </c>
      <c r="J33" s="139">
        <f t="shared" si="4"/>
        <v>11.336666666666666</v>
      </c>
      <c r="K33" s="140">
        <f>MATCH(E33,[1]!BLDGTYPE,0)</f>
        <v>6</v>
      </c>
      <c r="L33" s="139">
        <f>VLOOKUP($E33,'Savings &amp; Cost'!$B$5:$F$22,4,FALSE)</f>
        <v>0</v>
      </c>
      <c r="M33" s="139">
        <f>VLOOKUP($E33,'Savings &amp; Cost'!$B$5:$F$22,5,FALSE)</f>
        <v>0</v>
      </c>
    </row>
    <row r="34" spans="1:13" s="144" customFormat="1">
      <c r="A34" s="136" t="str">
        <f t="shared" si="1"/>
        <v>Showerheads-Retro-Medium Ret</v>
      </c>
      <c r="B34" s="137" t="str">
        <f t="shared" si="2"/>
        <v>Showerheads</v>
      </c>
      <c r="C34" s="136" t="str">
        <f t="shared" si="0"/>
        <v>Showerheads-Retro</v>
      </c>
      <c r="D34" s="136"/>
      <c r="E34" s="143" t="s">
        <v>392</v>
      </c>
      <c r="F34" s="145" t="s">
        <v>413</v>
      </c>
      <c r="G34" s="138" t="s">
        <v>1236</v>
      </c>
      <c r="H34" s="169">
        <f t="shared" si="3"/>
        <v>10</v>
      </c>
      <c r="I34" s="139">
        <f>VLOOKUP(E34,'Regional Potential Estimates'!$N$40:$P$57,3,FALSE)</f>
        <v>0</v>
      </c>
      <c r="J34" s="139">
        <f t="shared" si="4"/>
        <v>11.336666666666666</v>
      </c>
      <c r="K34" s="140">
        <f>MATCH(E34,[1]!BLDGTYPE,0)</f>
        <v>7</v>
      </c>
      <c r="L34" s="139">
        <f>VLOOKUP($E34,'Savings &amp; Cost'!$B$5:$F$22,4,FALSE)</f>
        <v>0</v>
      </c>
      <c r="M34" s="139">
        <f>VLOOKUP($E34,'Savings &amp; Cost'!$B$5:$F$22,5,FALSE)</f>
        <v>0</v>
      </c>
    </row>
    <row r="35" spans="1:13" s="144" customFormat="1">
      <c r="A35" s="136" t="str">
        <f t="shared" si="1"/>
        <v>Showerheads-Retro-Small Ret</v>
      </c>
      <c r="B35" s="137" t="str">
        <f t="shared" si="2"/>
        <v>Showerheads</v>
      </c>
      <c r="C35" s="136" t="str">
        <f t="shared" si="0"/>
        <v>Showerheads-Retro</v>
      </c>
      <c r="D35" s="136"/>
      <c r="E35" s="143" t="s">
        <v>393</v>
      </c>
      <c r="F35" s="145" t="s">
        <v>413</v>
      </c>
      <c r="G35" s="138" t="s">
        <v>1236</v>
      </c>
      <c r="H35" s="169">
        <f t="shared" si="3"/>
        <v>10</v>
      </c>
      <c r="I35" s="139">
        <f>VLOOKUP(E35,'Regional Potential Estimates'!$N$40:$P$57,3,FALSE)</f>
        <v>0</v>
      </c>
      <c r="J35" s="139">
        <f t="shared" si="4"/>
        <v>11.336666666666666</v>
      </c>
      <c r="K35" s="140">
        <f>MATCH(E35,[1]!BLDGTYPE,0)</f>
        <v>8</v>
      </c>
      <c r="L35" s="139">
        <f>VLOOKUP($E35,'Savings &amp; Cost'!$B$5:$F$22,4,FALSE)</f>
        <v>0</v>
      </c>
      <c r="M35" s="139">
        <f>VLOOKUP($E35,'Savings &amp; Cost'!$B$5:$F$22,5,FALSE)</f>
        <v>0</v>
      </c>
    </row>
    <row r="36" spans="1:13" s="144" customFormat="1">
      <c r="A36" s="136" t="str">
        <f t="shared" si="1"/>
        <v>Showerheads-Retro-School K-12</v>
      </c>
      <c r="B36" s="137" t="str">
        <f t="shared" si="2"/>
        <v>Showerheads</v>
      </c>
      <c r="C36" s="136" t="str">
        <f t="shared" si="0"/>
        <v>Showerheads-Retro</v>
      </c>
      <c r="D36" s="136"/>
      <c r="E36" s="143" t="s">
        <v>394</v>
      </c>
      <c r="F36" s="145" t="s">
        <v>413</v>
      </c>
      <c r="G36" s="138" t="s">
        <v>1236</v>
      </c>
      <c r="H36" s="169">
        <f t="shared" si="3"/>
        <v>10</v>
      </c>
      <c r="I36" s="139">
        <f>VLOOKUP(E36,'Regional Potential Estimates'!$N$40:$P$57,3,FALSE)</f>
        <v>29.02544651362075</v>
      </c>
      <c r="J36" s="139">
        <f t="shared" si="4"/>
        <v>11.336666666666666</v>
      </c>
      <c r="K36" s="140">
        <f>MATCH(E36,[1]!BLDGTYPE,0)</f>
        <v>9</v>
      </c>
      <c r="L36" s="139">
        <f>VLOOKUP($E36,'Savings &amp; Cost'!$B$5:$F$22,4,FALSE)</f>
        <v>18.956783746622847</v>
      </c>
      <c r="M36" s="139">
        <f>VLOOKUP($E36,'Savings &amp; Cost'!$B$5:$F$22,5,FALSE)</f>
        <v>7.3435538258373221</v>
      </c>
    </row>
    <row r="37" spans="1:13" s="144" customFormat="1">
      <c r="A37" s="136" t="str">
        <f t="shared" si="1"/>
        <v>Showerheads-Retro-University</v>
      </c>
      <c r="B37" s="137" t="str">
        <f t="shared" si="2"/>
        <v>Showerheads</v>
      </c>
      <c r="C37" s="136" t="str">
        <f t="shared" si="0"/>
        <v>Showerheads-Retro</v>
      </c>
      <c r="D37" s="136"/>
      <c r="E37" s="143" t="s">
        <v>375</v>
      </c>
      <c r="F37" s="145" t="s">
        <v>413</v>
      </c>
      <c r="G37" s="138" t="s">
        <v>1236</v>
      </c>
      <c r="H37" s="169">
        <f t="shared" si="3"/>
        <v>10</v>
      </c>
      <c r="I37" s="139">
        <f>VLOOKUP(E37,'Regional Potential Estimates'!$N$40:$P$57,3,FALSE)</f>
        <v>49.502977270716336</v>
      </c>
      <c r="J37" s="139">
        <f t="shared" si="4"/>
        <v>11.336666666666666</v>
      </c>
      <c r="K37" s="140">
        <f>MATCH(E37,[1]!BLDGTYPE,0)</f>
        <v>10</v>
      </c>
      <c r="L37" s="139">
        <f>VLOOKUP($E37,'Savings &amp; Cost'!$B$5:$F$22,4,FALSE)</f>
        <v>32.330845780256482</v>
      </c>
      <c r="M37" s="139">
        <f>VLOOKUP($E37,'Savings &amp; Cost'!$B$5:$F$22,5,FALSE)</f>
        <v>12.524450845437102</v>
      </c>
    </row>
    <row r="38" spans="1:13" s="144" customFormat="1">
      <c r="A38" s="136" t="str">
        <f t="shared" si="1"/>
        <v>Showerheads-Retro-Warehouse</v>
      </c>
      <c r="B38" s="137" t="str">
        <f t="shared" si="2"/>
        <v>Showerheads</v>
      </c>
      <c r="C38" s="136" t="str">
        <f t="shared" si="0"/>
        <v>Showerheads-Retro</v>
      </c>
      <c r="D38" s="136"/>
      <c r="E38" s="143" t="s">
        <v>376</v>
      </c>
      <c r="F38" s="145" t="s">
        <v>413</v>
      </c>
      <c r="G38" s="138" t="s">
        <v>1236</v>
      </c>
      <c r="H38" s="169">
        <f t="shared" si="3"/>
        <v>10</v>
      </c>
      <c r="I38" s="139">
        <f>VLOOKUP(E38,'Regional Potential Estimates'!$N$40:$P$57,3,FALSE)</f>
        <v>0</v>
      </c>
      <c r="J38" s="139">
        <f t="shared" si="4"/>
        <v>11.336666666666666</v>
      </c>
      <c r="K38" s="140">
        <f>MATCH(E38,[1]!BLDGTYPE,0)</f>
        <v>11</v>
      </c>
      <c r="L38" s="139">
        <f>VLOOKUP($E38,'Savings &amp; Cost'!$B$5:$F$22,4,FALSE)</f>
        <v>0</v>
      </c>
      <c r="M38" s="139">
        <f>VLOOKUP($E38,'Savings &amp; Cost'!$B$5:$F$22,5,FALSE)</f>
        <v>0</v>
      </c>
    </row>
    <row r="39" spans="1:13" s="144" customFormat="1">
      <c r="A39" s="136" t="str">
        <f t="shared" si="1"/>
        <v>Showerheads-Retro-Supermarket</v>
      </c>
      <c r="B39" s="137" t="str">
        <f t="shared" si="2"/>
        <v>Showerheads</v>
      </c>
      <c r="C39" s="136" t="str">
        <f t="shared" si="0"/>
        <v>Showerheads-Retro</v>
      </c>
      <c r="D39" s="136"/>
      <c r="E39" s="143" t="s">
        <v>377</v>
      </c>
      <c r="F39" s="145" t="s">
        <v>413</v>
      </c>
      <c r="G39" s="138" t="s">
        <v>1236</v>
      </c>
      <c r="H39" s="169">
        <f t="shared" si="3"/>
        <v>10</v>
      </c>
      <c r="I39" s="139">
        <f>VLOOKUP(E39,'Regional Potential Estimates'!$N$40:$P$57,3,FALSE)</f>
        <v>0</v>
      </c>
      <c r="J39" s="139">
        <f t="shared" si="4"/>
        <v>11.336666666666666</v>
      </c>
      <c r="K39" s="140">
        <f>MATCH(E39,[1]!BLDGTYPE,0)</f>
        <v>12</v>
      </c>
      <c r="L39" s="139">
        <f>VLOOKUP($E39,'Savings &amp; Cost'!$B$5:$F$22,4,FALSE)</f>
        <v>0</v>
      </c>
      <c r="M39" s="139">
        <f>VLOOKUP($E39,'Savings &amp; Cost'!$B$5:$F$22,5,FALSE)</f>
        <v>0</v>
      </c>
    </row>
    <row r="40" spans="1:13" s="144" customFormat="1">
      <c r="A40" s="136" t="str">
        <f t="shared" si="1"/>
        <v>Showerheads-Retro-MiniMart</v>
      </c>
      <c r="B40" s="137" t="str">
        <f t="shared" si="2"/>
        <v>Showerheads</v>
      </c>
      <c r="C40" s="136" t="str">
        <f t="shared" si="0"/>
        <v>Showerheads-Retro</v>
      </c>
      <c r="D40" s="136"/>
      <c r="E40" s="143" t="s">
        <v>395</v>
      </c>
      <c r="F40" s="145" t="s">
        <v>413</v>
      </c>
      <c r="G40" s="138" t="s">
        <v>1236</v>
      </c>
      <c r="H40" s="169">
        <f t="shared" si="3"/>
        <v>10</v>
      </c>
      <c r="I40" s="139">
        <f>VLOOKUP(E40,'Regional Potential Estimates'!$N$40:$P$57,3,FALSE)</f>
        <v>0</v>
      </c>
      <c r="J40" s="139">
        <f t="shared" si="4"/>
        <v>11.336666666666666</v>
      </c>
      <c r="K40" s="140">
        <f>MATCH(E40,[1]!BLDGTYPE,0)</f>
        <v>13</v>
      </c>
      <c r="L40" s="139">
        <f>VLOOKUP($E40,'Savings &amp; Cost'!$B$5:$F$22,4,FALSE)</f>
        <v>0</v>
      </c>
      <c r="M40" s="139">
        <f>VLOOKUP($E40,'Savings &amp; Cost'!$B$5:$F$22,5,FALSE)</f>
        <v>0</v>
      </c>
    </row>
    <row r="41" spans="1:13" s="144" customFormat="1">
      <c r="A41" s="136" t="str">
        <f t="shared" si="1"/>
        <v>Showerheads-Retro-Restaurant</v>
      </c>
      <c r="B41" s="137" t="str">
        <f t="shared" si="2"/>
        <v>Showerheads</v>
      </c>
      <c r="C41" s="136" t="str">
        <f t="shared" si="0"/>
        <v>Showerheads-Retro</v>
      </c>
      <c r="D41" s="136"/>
      <c r="E41" s="143" t="s">
        <v>378</v>
      </c>
      <c r="F41" s="145" t="s">
        <v>413</v>
      </c>
      <c r="G41" s="138" t="s">
        <v>1236</v>
      </c>
      <c r="H41" s="169">
        <f t="shared" si="3"/>
        <v>10</v>
      </c>
      <c r="I41" s="139">
        <f>VLOOKUP(E41,'Regional Potential Estimates'!$N$40:$P$57,3,FALSE)</f>
        <v>0</v>
      </c>
      <c r="J41" s="139">
        <f t="shared" si="4"/>
        <v>11.336666666666666</v>
      </c>
      <c r="K41" s="140">
        <f>MATCH(E41,[1]!BLDGTYPE,0)</f>
        <v>14</v>
      </c>
      <c r="L41" s="139">
        <f>VLOOKUP($E41,'Savings &amp; Cost'!$B$5:$F$22,4,FALSE)</f>
        <v>0</v>
      </c>
      <c r="M41" s="139">
        <f>VLOOKUP($E41,'Savings &amp; Cost'!$B$5:$F$22,5,FALSE)</f>
        <v>0</v>
      </c>
    </row>
    <row r="42" spans="1:13" s="144" customFormat="1">
      <c r="A42" s="136" t="str">
        <f t="shared" si="1"/>
        <v>Showerheads-Retro-Lodging</v>
      </c>
      <c r="B42" s="137" t="str">
        <f t="shared" si="2"/>
        <v>Showerheads</v>
      </c>
      <c r="C42" s="136" t="str">
        <f t="shared" si="0"/>
        <v>Showerheads-Retro</v>
      </c>
      <c r="D42" s="136"/>
      <c r="E42" s="143" t="s">
        <v>379</v>
      </c>
      <c r="F42" s="145" t="s">
        <v>413</v>
      </c>
      <c r="G42" s="138" t="s">
        <v>1236</v>
      </c>
      <c r="H42" s="169">
        <f t="shared" si="3"/>
        <v>10</v>
      </c>
      <c r="I42" s="139">
        <f>VLOOKUP(E42,'Regional Potential Estimates'!$N$40:$P$57,3,FALSE)</f>
        <v>49.502977270716336</v>
      </c>
      <c r="J42" s="139">
        <f t="shared" si="4"/>
        <v>11.336666666666666</v>
      </c>
      <c r="K42" s="140">
        <f>MATCH(E42,[1]!BLDGTYPE,0)</f>
        <v>15</v>
      </c>
      <c r="L42" s="139">
        <f>VLOOKUP($E42,'Savings &amp; Cost'!$B$5:$F$22,4,FALSE)</f>
        <v>32.330845780256482</v>
      </c>
      <c r="M42" s="139">
        <f>VLOOKUP($E42,'Savings &amp; Cost'!$B$5:$F$22,5,FALSE)</f>
        <v>12.524450845437102</v>
      </c>
    </row>
    <row r="43" spans="1:13" s="144" customFormat="1">
      <c r="A43" s="136" t="str">
        <f t="shared" si="1"/>
        <v>Showerheads-Retro-Hospital</v>
      </c>
      <c r="B43" s="137" t="str">
        <f t="shared" si="2"/>
        <v>Showerheads</v>
      </c>
      <c r="C43" s="136" t="str">
        <f t="shared" ref="C43:C46" si="5">CONCATENATE(B43,"-",F43)</f>
        <v>Showerheads-Retro</v>
      </c>
      <c r="D43" s="136"/>
      <c r="E43" s="143" t="s">
        <v>380</v>
      </c>
      <c r="F43" s="145" t="s">
        <v>413</v>
      </c>
      <c r="G43" s="138" t="s">
        <v>1236</v>
      </c>
      <c r="H43" s="169">
        <f t="shared" si="3"/>
        <v>10</v>
      </c>
      <c r="I43" s="139">
        <f>VLOOKUP(E43,'Regional Potential Estimates'!$N$40:$P$57,3,FALSE)</f>
        <v>68.950455893647046</v>
      </c>
      <c r="J43" s="139">
        <f t="shared" si="4"/>
        <v>11.336666666666666</v>
      </c>
      <c r="K43" s="140">
        <f>MATCH(E43,[1]!BLDGTYPE,0)</f>
        <v>16</v>
      </c>
      <c r="L43" s="139">
        <f>VLOOKUP($E43,'Savings &amp; Cost'!$B$5:$F$22,4,FALSE)</f>
        <v>23.29355605420762</v>
      </c>
      <c r="M43" s="139">
        <f>VLOOKUP($E43,'Savings &amp; Cost'!$B$5:$F$22,5,FALSE)</f>
        <v>9.0235498260461213</v>
      </c>
    </row>
    <row r="44" spans="1:13" s="144" customFormat="1">
      <c r="A44" s="136" t="str">
        <f t="shared" si="1"/>
        <v>Showerheads-Retro-Residential Care</v>
      </c>
      <c r="B44" s="137" t="str">
        <f t="shared" si="2"/>
        <v>Showerheads</v>
      </c>
      <c r="C44" s="136" t="str">
        <f t="shared" si="5"/>
        <v>Showerheads-Retro</v>
      </c>
      <c r="D44" s="136"/>
      <c r="E44" s="143" t="s">
        <v>396</v>
      </c>
      <c r="F44" s="145" t="s">
        <v>413</v>
      </c>
      <c r="G44" s="138" t="s">
        <v>1236</v>
      </c>
      <c r="H44" s="169">
        <f t="shared" si="3"/>
        <v>10</v>
      </c>
      <c r="I44" s="139">
        <f>VLOOKUP(E44,'Regional Potential Estimates'!$N$40:$P$57,3,FALSE)</f>
        <v>49.502977270716336</v>
      </c>
      <c r="J44" s="139">
        <f t="shared" si="4"/>
        <v>11.336666666666666</v>
      </c>
      <c r="K44" s="140">
        <f>MATCH(E44,[1]!BLDGTYPE,0)</f>
        <v>17</v>
      </c>
      <c r="L44" s="139">
        <f>VLOOKUP($E44,'Savings &amp; Cost'!$B$5:$F$22,4,FALSE)</f>
        <v>32.330845780256482</v>
      </c>
      <c r="M44" s="139">
        <f>VLOOKUP($E44,'Savings &amp; Cost'!$B$5:$F$22,5,FALSE)</f>
        <v>12.524450845437102</v>
      </c>
    </row>
    <row r="45" spans="1:13" s="144" customFormat="1">
      <c r="A45" s="136" t="str">
        <f t="shared" si="1"/>
        <v>Showerheads-Retro-Assembly</v>
      </c>
      <c r="B45" s="137" t="str">
        <f t="shared" si="2"/>
        <v>Showerheads</v>
      </c>
      <c r="C45" s="136" t="str">
        <f t="shared" si="5"/>
        <v>Showerheads-Retro</v>
      </c>
      <c r="D45" s="136"/>
      <c r="E45" s="143" t="s">
        <v>381</v>
      </c>
      <c r="F45" s="145" t="s">
        <v>413</v>
      </c>
      <c r="G45" s="138" t="s">
        <v>1236</v>
      </c>
      <c r="H45" s="169">
        <f t="shared" si="3"/>
        <v>10</v>
      </c>
      <c r="I45" s="139">
        <f>VLOOKUP(E45,'Regional Potential Estimates'!$N$40:$P$57,3,FALSE)</f>
        <v>49.502977270716336</v>
      </c>
      <c r="J45" s="139">
        <f t="shared" si="4"/>
        <v>11.336666666666666</v>
      </c>
      <c r="K45" s="140">
        <f>MATCH(E45,[1]!BLDGTYPE,0)</f>
        <v>18</v>
      </c>
      <c r="L45" s="139">
        <f>VLOOKUP($E45,'Savings &amp; Cost'!$B$5:$F$22,4,FALSE)</f>
        <v>32.330845780256482</v>
      </c>
      <c r="M45" s="139">
        <f>VLOOKUP($E45,'Savings &amp; Cost'!$B$5:$F$22,5,FALSE)</f>
        <v>12.524450845437102</v>
      </c>
    </row>
    <row r="46" spans="1:13" s="144" customFormat="1">
      <c r="A46" s="136" t="str">
        <f t="shared" si="1"/>
        <v>Showerheads-Retro-Other</v>
      </c>
      <c r="B46" s="137" t="str">
        <f t="shared" si="2"/>
        <v>Showerheads</v>
      </c>
      <c r="C46" s="136" t="str">
        <f t="shared" si="5"/>
        <v>Showerheads-Retro</v>
      </c>
      <c r="D46" s="136"/>
      <c r="E46" s="143" t="s">
        <v>382</v>
      </c>
      <c r="F46" s="145" t="s">
        <v>413</v>
      </c>
      <c r="G46" s="138" t="s">
        <v>1236</v>
      </c>
      <c r="H46" s="169">
        <f t="shared" si="3"/>
        <v>10</v>
      </c>
      <c r="I46" s="139">
        <f>VLOOKUP(E46,'Regional Potential Estimates'!$N$40:$P$57,3,FALSE)</f>
        <v>1551.6735954735207</v>
      </c>
      <c r="J46" s="139">
        <f t="shared" si="4"/>
        <v>11.336666666666666</v>
      </c>
      <c r="K46" s="140">
        <f>MATCH(E46,[1]!BLDGTYPE,0)</f>
        <v>19</v>
      </c>
      <c r="L46" s="139">
        <f>VLOOKUP($E46,'Savings &amp; Cost'!$B$5:$F$22,4,FALSE)</f>
        <v>524.20242049953663</v>
      </c>
      <c r="M46" s="139">
        <f>VLOOKUP($E46,'Savings &amp; Cost'!$B$5:$F$22,5,FALSE)</f>
        <v>203.06760587794054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H88"/>
  <sheetViews>
    <sheetView zoomScale="110" zoomScaleNormal="110" workbookViewId="0">
      <selection activeCell="C5" sqref="C5"/>
    </sheetView>
  </sheetViews>
  <sheetFormatPr defaultRowHeight="12.75"/>
  <cols>
    <col min="1" max="1" width="15.5703125" style="159" customWidth="1"/>
    <col min="2" max="2" width="14.42578125" style="159" customWidth="1"/>
    <col min="3" max="3" width="13.85546875" style="159" customWidth="1"/>
    <col min="4" max="4" width="13.28515625" style="159" customWidth="1"/>
    <col min="5" max="5" width="21.5703125" style="159" customWidth="1"/>
    <col min="6" max="6" width="14.5703125" style="159" customWidth="1"/>
    <col min="7" max="7" width="14.85546875" style="159" customWidth="1"/>
    <col min="8" max="8" width="9.140625" style="159"/>
    <col min="9" max="9" width="16.42578125" style="159" customWidth="1"/>
    <col min="10" max="10" width="16.85546875" style="159" customWidth="1"/>
    <col min="11" max="12" width="9.140625" style="159"/>
    <col min="13" max="13" width="10" style="159" customWidth="1"/>
    <col min="14" max="14" width="4" style="159" customWidth="1"/>
    <col min="15" max="15" width="3.42578125" style="159" customWidth="1"/>
    <col min="16" max="16" width="21.5703125" style="159" customWidth="1"/>
    <col min="17" max="17" width="18.28515625" style="159" customWidth="1"/>
    <col min="18" max="18" width="18.5703125" style="159" customWidth="1"/>
    <col min="19" max="19" width="16.5703125" style="159" customWidth="1"/>
    <col min="20" max="28" width="9.140625" style="159"/>
    <col min="29" max="29" width="29.140625" style="159" customWidth="1"/>
    <col min="30" max="16384" width="9.140625" style="159"/>
  </cols>
  <sheetData>
    <row r="1" spans="1:34">
      <c r="A1" s="178"/>
    </row>
    <row r="2" spans="1:34">
      <c r="A2" s="366"/>
      <c r="B2" s="277"/>
      <c r="C2" s="277"/>
      <c r="D2" s="277"/>
    </row>
    <row r="3" spans="1:34">
      <c r="A3" s="277"/>
      <c r="B3" s="538" t="s">
        <v>682</v>
      </c>
      <c r="C3" s="539"/>
      <c r="D3" s="540"/>
      <c r="E3" s="545"/>
      <c r="F3" s="549"/>
      <c r="H3" s="125"/>
      <c r="P3" s="206"/>
      <c r="Q3" s="206"/>
      <c r="R3" s="206"/>
      <c r="S3" s="206"/>
      <c r="T3" s="206"/>
    </row>
    <row r="4" spans="1:34">
      <c r="A4" s="277"/>
      <c r="B4" s="537" t="s">
        <v>1233</v>
      </c>
      <c r="C4" s="537" t="s">
        <v>910</v>
      </c>
      <c r="D4" s="537" t="s">
        <v>132</v>
      </c>
      <c r="E4" s="541" t="s">
        <v>1237</v>
      </c>
      <c r="F4" s="546" t="s">
        <v>1240</v>
      </c>
      <c r="G4" s="125"/>
      <c r="H4" s="122"/>
      <c r="I4" s="180"/>
      <c r="L4" s="122"/>
      <c r="M4" s="122"/>
      <c r="N4" s="122"/>
      <c r="O4" s="122"/>
      <c r="P4" s="207"/>
      <c r="Q4" s="207"/>
      <c r="R4" s="207"/>
      <c r="S4" s="207"/>
    </row>
    <row r="5" spans="1:34">
      <c r="A5" s="277"/>
      <c r="B5" s="529" t="s">
        <v>371</v>
      </c>
      <c r="C5" s="530">
        <f>'Regional Potential Estimates'!O40</f>
        <v>32306.72054096264</v>
      </c>
      <c r="D5" s="530">
        <f>'Regional Potential Estimates'!P40</f>
        <v>81.293930844393842</v>
      </c>
      <c r="E5" s="542">
        <f>Impacts!Z13</f>
        <v>17.451509929033971</v>
      </c>
      <c r="F5" s="542">
        <f>Impacts!X13</f>
        <v>6.7604349038811193</v>
      </c>
      <c r="G5" s="125"/>
      <c r="H5" s="122"/>
      <c r="I5" s="180"/>
      <c r="L5" s="122"/>
      <c r="M5" s="122"/>
      <c r="N5" s="122"/>
      <c r="O5" s="122"/>
      <c r="P5" s="207"/>
      <c r="Q5" s="207"/>
      <c r="R5" s="207"/>
      <c r="S5" s="207"/>
    </row>
    <row r="6" spans="1:34">
      <c r="A6" s="277"/>
      <c r="B6" s="529" t="s">
        <v>373</v>
      </c>
      <c r="C6" s="530">
        <f>'Regional Potential Estimates'!O41</f>
        <v>27694.782718488583</v>
      </c>
      <c r="D6" s="530">
        <f>'Regional Potential Estimates'!P41</f>
        <v>81.293930844393842</v>
      </c>
      <c r="E6" s="543">
        <f>E5</f>
        <v>17.451509929033971</v>
      </c>
      <c r="F6" s="542">
        <f>F5</f>
        <v>6.7604349038811193</v>
      </c>
      <c r="G6" s="122"/>
      <c r="H6" s="122"/>
      <c r="I6" s="122"/>
      <c r="J6" s="213"/>
      <c r="L6" s="122"/>
      <c r="M6" s="122"/>
      <c r="N6" s="122"/>
      <c r="O6" s="122"/>
      <c r="P6" s="207"/>
      <c r="Q6" s="207"/>
      <c r="R6" s="207"/>
      <c r="S6" s="207"/>
    </row>
    <row r="7" spans="1:34">
      <c r="A7" s="277"/>
      <c r="B7" s="529" t="s">
        <v>374</v>
      </c>
      <c r="C7" s="530">
        <f>'Regional Potential Estimates'!O42</f>
        <v>4998.4967405487751</v>
      </c>
      <c r="D7" s="530">
        <f>'Regional Potential Estimates'!P42</f>
        <v>81.293930844393842</v>
      </c>
      <c r="E7" s="543">
        <f>E6</f>
        <v>17.451509929033971</v>
      </c>
      <c r="F7" s="547">
        <f>F6</f>
        <v>6.7604349038811193</v>
      </c>
      <c r="G7" s="122"/>
      <c r="H7" s="122"/>
      <c r="I7" s="122"/>
      <c r="J7" s="213"/>
      <c r="L7" s="122"/>
      <c r="M7" s="122"/>
      <c r="N7" s="122"/>
      <c r="O7" s="122"/>
      <c r="P7" s="122"/>
      <c r="Q7" s="122"/>
      <c r="R7" s="122"/>
    </row>
    <row r="8" spans="1:34">
      <c r="A8" s="277"/>
      <c r="B8" s="531" t="s">
        <v>397</v>
      </c>
      <c r="C8" s="530">
        <f>'Regional Potential Estimates'!O43</f>
        <v>0</v>
      </c>
      <c r="D8" s="530">
        <f>'Regional Potential Estimates'!P43</f>
        <v>0</v>
      </c>
      <c r="E8" s="543"/>
      <c r="F8" s="548">
        <v>0</v>
      </c>
      <c r="P8" s="207"/>
      <c r="Q8" s="181"/>
      <c r="R8" s="181"/>
      <c r="S8" s="181"/>
      <c r="T8" s="180"/>
      <c r="U8" s="180"/>
      <c r="V8" s="180"/>
      <c r="AC8" s="178"/>
      <c r="AD8" s="178"/>
      <c r="AE8" s="178"/>
      <c r="AF8" s="178"/>
      <c r="AG8" s="178"/>
      <c r="AH8" s="178"/>
    </row>
    <row r="9" spans="1:34">
      <c r="A9" s="277"/>
      <c r="B9" s="531" t="s">
        <v>391</v>
      </c>
      <c r="C9" s="530">
        <f>'Regional Potential Estimates'!O44</f>
        <v>0</v>
      </c>
      <c r="D9" s="530">
        <f>'Regional Potential Estimates'!P44</f>
        <v>0</v>
      </c>
      <c r="E9" s="543"/>
      <c r="F9" s="548">
        <v>0</v>
      </c>
      <c r="G9" s="122"/>
      <c r="H9" s="122"/>
      <c r="I9" s="125"/>
      <c r="J9" s="165"/>
      <c r="K9" s="122"/>
      <c r="L9" s="122"/>
      <c r="M9" s="161"/>
      <c r="N9" s="122"/>
      <c r="O9" s="122"/>
      <c r="P9" s="122"/>
      <c r="Q9" s="181"/>
      <c r="R9" s="181"/>
      <c r="S9" s="181"/>
      <c r="T9" s="180"/>
      <c r="U9" s="180"/>
      <c r="V9" s="180"/>
    </row>
    <row r="10" spans="1:34">
      <c r="A10" s="277"/>
      <c r="B10" s="531" t="s">
        <v>392</v>
      </c>
      <c r="C10" s="530">
        <f>'Regional Potential Estimates'!O45</f>
        <v>0</v>
      </c>
      <c r="D10" s="530">
        <f>'Regional Potential Estimates'!P45</f>
        <v>0</v>
      </c>
      <c r="E10" s="543"/>
      <c r="F10" s="548">
        <v>0</v>
      </c>
      <c r="G10" s="125"/>
      <c r="H10" s="122"/>
      <c r="I10" s="125"/>
      <c r="J10" s="125"/>
      <c r="M10" s="161"/>
      <c r="N10" s="161"/>
      <c r="O10" s="161"/>
      <c r="P10" s="161"/>
      <c r="Q10" s="181"/>
      <c r="R10" s="181"/>
      <c r="S10" s="181"/>
      <c r="T10" s="180"/>
      <c r="U10" s="180"/>
      <c r="V10" s="180"/>
    </row>
    <row r="11" spans="1:34">
      <c r="A11" s="277"/>
      <c r="B11" s="531" t="s">
        <v>393</v>
      </c>
      <c r="C11" s="530">
        <f>'Regional Potential Estimates'!O46</f>
        <v>0</v>
      </c>
      <c r="D11" s="530">
        <f>'Regional Potential Estimates'!P46</f>
        <v>0</v>
      </c>
      <c r="E11" s="542"/>
      <c r="F11" s="548">
        <v>0</v>
      </c>
      <c r="G11" s="122"/>
      <c r="I11" s="125"/>
      <c r="J11" s="125"/>
      <c r="M11" s="163"/>
      <c r="N11" s="125"/>
      <c r="O11" s="122"/>
      <c r="P11" s="122"/>
      <c r="Q11" s="164"/>
      <c r="R11" s="122"/>
    </row>
    <row r="12" spans="1:34">
      <c r="A12" s="277"/>
      <c r="B12" s="529" t="s">
        <v>394</v>
      </c>
      <c r="C12" s="530">
        <f>'Regional Potential Estimates'!O47</f>
        <v>5075.2854951796671</v>
      </c>
      <c r="D12" s="530">
        <f>'Regional Potential Estimates'!P47</f>
        <v>29.02544651362075</v>
      </c>
      <c r="E12" s="542">
        <f>Impacts!Z16</f>
        <v>18.956783746622847</v>
      </c>
      <c r="F12" s="548">
        <f>Impacts!X16</f>
        <v>7.3435538258373221</v>
      </c>
      <c r="G12" s="122"/>
      <c r="H12" s="125"/>
      <c r="I12" s="122"/>
      <c r="J12" s="162"/>
      <c r="M12" s="163"/>
      <c r="N12" s="125"/>
      <c r="O12" s="122"/>
      <c r="P12" s="125"/>
      <c r="Q12" s="164"/>
      <c r="R12" s="122"/>
    </row>
    <row r="13" spans="1:34">
      <c r="A13" s="277"/>
      <c r="B13" s="529" t="s">
        <v>375</v>
      </c>
      <c r="C13" s="530">
        <f>'Regional Potential Estimates'!O48</f>
        <v>22329.077738344113</v>
      </c>
      <c r="D13" s="530">
        <f>'Regional Potential Estimates'!P48</f>
        <v>49.502977270716336</v>
      </c>
      <c r="E13" s="543">
        <f>Impacts!Z7</f>
        <v>32.330845780256482</v>
      </c>
      <c r="F13" s="548">
        <f>Impacts!X7</f>
        <v>12.524450845437102</v>
      </c>
      <c r="G13" s="122"/>
      <c r="H13" s="125"/>
      <c r="I13" s="122"/>
      <c r="J13" s="162"/>
      <c r="M13" s="163"/>
      <c r="N13" s="125"/>
      <c r="O13" s="122"/>
      <c r="Q13" s="164"/>
      <c r="R13" s="122"/>
      <c r="AG13" s="182"/>
      <c r="AH13" s="182"/>
    </row>
    <row r="14" spans="1:34">
      <c r="A14" s="277"/>
      <c r="B14" s="529" t="s">
        <v>376</v>
      </c>
      <c r="C14" s="530">
        <f>'Regional Potential Estimates'!O49</f>
        <v>0</v>
      </c>
      <c r="D14" s="530">
        <f>'Regional Potential Estimates'!P49</f>
        <v>0</v>
      </c>
      <c r="E14" s="543"/>
      <c r="F14" s="548">
        <v>0</v>
      </c>
      <c r="G14" s="122"/>
      <c r="H14" s="125"/>
      <c r="I14" s="122"/>
      <c r="J14" s="162"/>
      <c r="M14" s="163"/>
      <c r="N14" s="125"/>
      <c r="O14" s="122"/>
      <c r="P14" s="122"/>
      <c r="Q14" s="164"/>
      <c r="R14" s="122"/>
      <c r="AG14" s="182"/>
      <c r="AH14" s="182"/>
    </row>
    <row r="15" spans="1:34">
      <c r="A15" s="277"/>
      <c r="B15" s="529" t="s">
        <v>377</v>
      </c>
      <c r="C15" s="530">
        <f>'Regional Potential Estimates'!O50</f>
        <v>0</v>
      </c>
      <c r="D15" s="530">
        <f>'Regional Potential Estimates'!P50</f>
        <v>0</v>
      </c>
      <c r="E15" s="543"/>
      <c r="F15" s="548">
        <v>0</v>
      </c>
      <c r="G15" s="122"/>
      <c r="H15" s="122"/>
      <c r="I15" s="122"/>
      <c r="J15" s="162"/>
      <c r="M15" s="163"/>
      <c r="N15" s="125"/>
      <c r="O15" s="122"/>
      <c r="P15" s="122"/>
      <c r="Q15" s="164"/>
      <c r="R15" s="122"/>
      <c r="AE15" s="180"/>
      <c r="AF15" s="180"/>
      <c r="AG15" s="182"/>
      <c r="AH15" s="182"/>
    </row>
    <row r="16" spans="1:34">
      <c r="A16" s="277"/>
      <c r="B16" s="529" t="s">
        <v>395</v>
      </c>
      <c r="C16" s="530">
        <f>'Regional Potential Estimates'!O51</f>
        <v>0</v>
      </c>
      <c r="D16" s="530">
        <f>'Regional Potential Estimates'!P51</f>
        <v>0</v>
      </c>
      <c r="E16" s="543"/>
      <c r="F16" s="548">
        <v>0</v>
      </c>
      <c r="G16" s="125"/>
      <c r="H16" s="122"/>
      <c r="I16" s="122"/>
      <c r="J16" s="162"/>
      <c r="M16" s="163"/>
      <c r="N16" s="125"/>
      <c r="O16" s="122"/>
      <c r="P16" s="122"/>
      <c r="Q16" s="164"/>
      <c r="R16" s="122"/>
      <c r="AE16" s="180"/>
      <c r="AF16" s="180"/>
      <c r="AG16" s="182"/>
      <c r="AH16" s="182"/>
    </row>
    <row r="17" spans="1:34">
      <c r="A17" s="277"/>
      <c r="B17" s="529" t="s">
        <v>378</v>
      </c>
      <c r="C17" s="530">
        <f>'Regional Potential Estimates'!O52</f>
        <v>0</v>
      </c>
      <c r="D17" s="530">
        <f>'Regional Potential Estimates'!P52</f>
        <v>0</v>
      </c>
      <c r="E17" s="543"/>
      <c r="F17" s="548">
        <v>0</v>
      </c>
      <c r="G17" s="122"/>
      <c r="H17" s="125"/>
      <c r="I17" s="122"/>
      <c r="J17" s="162"/>
      <c r="M17" s="163"/>
      <c r="N17" s="125"/>
      <c r="O17" s="122"/>
      <c r="P17" s="122"/>
      <c r="Q17" s="164"/>
      <c r="R17" s="122"/>
      <c r="AE17" s="180"/>
      <c r="AF17" s="180"/>
      <c r="AG17" s="182"/>
      <c r="AH17" s="182"/>
    </row>
    <row r="18" spans="1:34">
      <c r="A18" s="277"/>
      <c r="B18" s="529" t="s">
        <v>379</v>
      </c>
      <c r="C18" s="530">
        <f>'Regional Potential Estimates'!O53</f>
        <v>270709.48480192106</v>
      </c>
      <c r="D18" s="530">
        <f>'Regional Potential Estimates'!P53</f>
        <v>49.502977270716336</v>
      </c>
      <c r="E18" s="543">
        <f>Impacts!Z7</f>
        <v>32.330845780256482</v>
      </c>
      <c r="F18" s="548">
        <f>Impacts!X7</f>
        <v>12.524450845437102</v>
      </c>
      <c r="G18" s="122"/>
      <c r="H18" s="122"/>
      <c r="I18" s="122"/>
      <c r="J18" s="162"/>
      <c r="K18" s="122"/>
      <c r="L18" s="122"/>
      <c r="M18" s="163"/>
      <c r="N18" s="125"/>
      <c r="O18" s="122"/>
      <c r="P18" s="122"/>
      <c r="Q18" s="164"/>
      <c r="R18" s="122"/>
      <c r="AF18" s="180"/>
      <c r="AG18" s="182"/>
      <c r="AH18" s="182"/>
    </row>
    <row r="19" spans="1:34">
      <c r="A19" s="277"/>
      <c r="B19" s="529" t="s">
        <v>380</v>
      </c>
      <c r="C19" s="530">
        <f>'Regional Potential Estimates'!O54</f>
        <v>36256.51485</v>
      </c>
      <c r="D19" s="530">
        <f>'Regional Potential Estimates'!P54</f>
        <v>68.950455893647046</v>
      </c>
      <c r="E19" s="543">
        <f>Impacts!Z10</f>
        <v>23.29355605420762</v>
      </c>
      <c r="F19" s="548">
        <f>Impacts!X10</f>
        <v>9.0235498260461213</v>
      </c>
      <c r="G19" s="122"/>
      <c r="H19" s="125"/>
      <c r="I19" s="122"/>
      <c r="J19" s="162"/>
      <c r="K19" s="122"/>
      <c r="L19" s="122"/>
      <c r="M19" s="163"/>
      <c r="N19" s="125"/>
      <c r="O19" s="122"/>
      <c r="P19" s="122"/>
      <c r="Q19" s="164"/>
      <c r="R19" s="122"/>
      <c r="AF19" s="180"/>
      <c r="AG19" s="182"/>
      <c r="AH19" s="182"/>
    </row>
    <row r="20" spans="1:34">
      <c r="A20" s="277"/>
      <c r="B20" s="531" t="s">
        <v>396</v>
      </c>
      <c r="C20" s="530">
        <f>'Regional Potential Estimates'!O55</f>
        <v>148573.09613913839</v>
      </c>
      <c r="D20" s="530">
        <f>'Regional Potential Estimates'!P55</f>
        <v>49.502977270716336</v>
      </c>
      <c r="E20" s="543">
        <f>E21</f>
        <v>32.330845780256482</v>
      </c>
      <c r="F20" s="548">
        <f>F18</f>
        <v>12.524450845437102</v>
      </c>
      <c r="G20" s="122"/>
      <c r="H20" s="125"/>
      <c r="I20" s="122"/>
      <c r="J20" s="162"/>
      <c r="L20" s="122"/>
      <c r="M20" s="163"/>
      <c r="N20" s="125"/>
      <c r="O20" s="122"/>
      <c r="P20" s="122"/>
      <c r="Q20" s="164"/>
      <c r="R20" s="122"/>
      <c r="AF20" s="180"/>
      <c r="AG20" s="182"/>
      <c r="AH20" s="182"/>
    </row>
    <row r="21" spans="1:34">
      <c r="A21" s="277"/>
      <c r="B21" s="529" t="s">
        <v>381</v>
      </c>
      <c r="C21" s="530">
        <f>'Regional Potential Estimates'!O56</f>
        <v>3450.6348437960319</v>
      </c>
      <c r="D21" s="530">
        <f>'Regional Potential Estimates'!P56</f>
        <v>49.502977270716336</v>
      </c>
      <c r="E21" s="543">
        <f>Impacts!Z7</f>
        <v>32.330845780256482</v>
      </c>
      <c r="F21" s="548">
        <f>F20</f>
        <v>12.524450845437102</v>
      </c>
      <c r="L21" s="122"/>
      <c r="M21" s="163"/>
      <c r="N21" s="125"/>
      <c r="O21" s="122"/>
      <c r="P21" s="122"/>
      <c r="Q21" s="164"/>
      <c r="R21" s="122"/>
      <c r="AF21" s="180"/>
      <c r="AG21" s="182"/>
      <c r="AH21" s="182"/>
    </row>
    <row r="22" spans="1:34">
      <c r="A22" s="277"/>
      <c r="B22" s="529" t="s">
        <v>382</v>
      </c>
      <c r="C22" s="530">
        <f>'Regional Potential Estimates'!O57</f>
        <v>12300.095571838167</v>
      </c>
      <c r="D22" s="530">
        <f>'Regional Potential Estimates'!P57</f>
        <v>1551.6735954735207</v>
      </c>
      <c r="E22" s="543">
        <f>Impacts!Z22</f>
        <v>524.20242049953663</v>
      </c>
      <c r="F22" s="548">
        <f>Impacts!X22</f>
        <v>203.06760587794054</v>
      </c>
      <c r="L22" s="122"/>
      <c r="M22" s="163"/>
      <c r="N22" s="125"/>
      <c r="O22" s="122"/>
      <c r="P22" s="122"/>
      <c r="Q22" s="164"/>
      <c r="R22" s="122"/>
      <c r="AF22" s="180"/>
      <c r="AG22" s="182"/>
      <c r="AH22" s="182"/>
    </row>
    <row r="23" spans="1:34">
      <c r="A23" s="137"/>
      <c r="B23" s="170"/>
      <c r="C23" s="170"/>
      <c r="D23" s="170"/>
      <c r="E23" s="170"/>
      <c r="L23" s="122"/>
      <c r="M23" s="163"/>
      <c r="N23" s="125"/>
      <c r="O23" s="122"/>
      <c r="P23" s="122"/>
      <c r="Q23" s="164"/>
      <c r="R23" s="122"/>
      <c r="AH23" s="182"/>
    </row>
    <row r="24" spans="1:34">
      <c r="A24" s="137"/>
      <c r="B24" s="170"/>
      <c r="C24" s="170"/>
      <c r="D24" s="170"/>
      <c r="E24" s="170"/>
      <c r="K24" s="122"/>
      <c r="L24" s="122"/>
      <c r="M24" s="163"/>
      <c r="N24" s="125"/>
      <c r="O24" s="122"/>
      <c r="P24" s="122"/>
      <c r="Q24" s="164"/>
      <c r="R24" s="122"/>
    </row>
    <row r="25" spans="1:34">
      <c r="A25" s="137"/>
      <c r="B25" s="171"/>
      <c r="C25" s="544">
        <f>SUMPRODUCT(C5:C22,D5:D22)</f>
        <v>49048963.281543463</v>
      </c>
      <c r="D25" s="170"/>
      <c r="E25" s="170"/>
      <c r="K25" s="122"/>
      <c r="L25" s="122"/>
      <c r="M25" s="163"/>
      <c r="N25" s="125"/>
      <c r="O25" s="122"/>
      <c r="P25" s="122"/>
      <c r="Q25" s="164"/>
      <c r="R25" s="122"/>
    </row>
    <row r="26" spans="1:34">
      <c r="A26" s="137"/>
      <c r="B26" s="170"/>
      <c r="C26" s="170">
        <f>C25/8760000</f>
        <v>5.5991967216373819</v>
      </c>
      <c r="D26" s="170"/>
      <c r="E26" s="170"/>
      <c r="K26" s="122"/>
      <c r="L26" s="122"/>
      <c r="M26" s="163"/>
      <c r="N26" s="125"/>
      <c r="O26" s="122"/>
      <c r="P26" s="122"/>
      <c r="Q26" s="164"/>
      <c r="R26" s="122"/>
    </row>
    <row r="27" spans="1:34">
      <c r="A27" s="137"/>
      <c r="B27" s="171"/>
      <c r="C27" s="170"/>
      <c r="D27" s="170"/>
      <c r="E27" s="170"/>
      <c r="K27" s="122"/>
      <c r="L27" s="122"/>
      <c r="M27" s="163"/>
      <c r="N27" s="125"/>
      <c r="O27" s="122"/>
      <c r="P27" s="122"/>
      <c r="Q27" s="164"/>
      <c r="R27" s="122"/>
    </row>
    <row r="28" spans="1:34">
      <c r="A28" s="137"/>
      <c r="B28" s="171"/>
      <c r="C28" s="170"/>
      <c r="D28" s="170"/>
      <c r="E28" s="170"/>
      <c r="K28" s="122"/>
      <c r="L28" s="122"/>
      <c r="M28" s="163"/>
      <c r="N28" s="125"/>
      <c r="O28" s="122"/>
      <c r="P28" s="122"/>
      <c r="Q28" s="164"/>
      <c r="R28" s="122"/>
    </row>
    <row r="29" spans="1:34">
      <c r="A29" s="137"/>
      <c r="B29" s="170"/>
      <c r="C29" s="170"/>
      <c r="D29" s="170"/>
      <c r="E29" s="170"/>
      <c r="K29" s="122"/>
      <c r="L29" s="122"/>
      <c r="M29" s="163"/>
      <c r="N29" s="125"/>
      <c r="O29" s="122"/>
      <c r="P29" s="122"/>
      <c r="Q29" s="164"/>
      <c r="R29" s="122"/>
    </row>
    <row r="30" spans="1:34">
      <c r="A30" s="137"/>
      <c r="B30" s="170"/>
      <c r="C30" s="170"/>
      <c r="D30" s="170"/>
      <c r="E30" s="170"/>
      <c r="K30" s="122"/>
      <c r="L30" s="122"/>
      <c r="M30" s="163"/>
      <c r="N30" s="125"/>
      <c r="O30" s="122"/>
      <c r="P30" s="122"/>
      <c r="Q30" s="164"/>
      <c r="R30" s="122"/>
    </row>
    <row r="31" spans="1:34">
      <c r="A31" s="137"/>
      <c r="B31" s="170"/>
      <c r="C31" s="170"/>
      <c r="D31" s="170"/>
      <c r="E31" s="170"/>
      <c r="F31" s="122"/>
      <c r="G31" s="122"/>
      <c r="H31" s="122"/>
      <c r="I31" s="122"/>
      <c r="L31" s="122"/>
      <c r="M31" s="163"/>
      <c r="N31" s="125"/>
      <c r="O31" s="122"/>
      <c r="P31" s="122"/>
      <c r="Q31" s="164"/>
      <c r="R31" s="122"/>
    </row>
    <row r="32" spans="1:34">
      <c r="B32" s="122"/>
      <c r="C32" s="122"/>
      <c r="D32" s="122"/>
      <c r="E32" s="170"/>
      <c r="F32" s="122"/>
      <c r="J32" s="213"/>
      <c r="M32" s="163"/>
      <c r="N32" s="125"/>
      <c r="O32" s="122"/>
      <c r="P32" s="122"/>
      <c r="Q32" s="164"/>
      <c r="R32" s="122"/>
    </row>
    <row r="33" spans="1:27">
      <c r="B33" s="122"/>
      <c r="C33" s="122"/>
      <c r="D33" s="122"/>
      <c r="E33" s="122"/>
      <c r="F33" s="122"/>
      <c r="M33" s="163"/>
      <c r="N33" s="125"/>
      <c r="O33" s="122"/>
      <c r="P33" s="122"/>
      <c r="Q33" s="164"/>
      <c r="R33" s="122"/>
    </row>
    <row r="34" spans="1:27">
      <c r="B34" s="122"/>
      <c r="C34" s="122"/>
      <c r="D34" s="122"/>
      <c r="E34" s="122"/>
      <c r="F34" s="122"/>
      <c r="G34" s="166"/>
      <c r="H34" s="161"/>
      <c r="I34" s="161"/>
      <c r="J34" s="125"/>
      <c r="K34" s="125"/>
      <c r="L34" s="161"/>
      <c r="M34" s="161"/>
      <c r="N34" s="125"/>
      <c r="O34" s="122"/>
      <c r="P34" s="122"/>
      <c r="Q34" s="164"/>
      <c r="R34" s="122"/>
    </row>
    <row r="35" spans="1:27">
      <c r="C35" s="125"/>
      <c r="D35" s="125"/>
      <c r="E35" s="122"/>
      <c r="F35" s="122"/>
      <c r="G35" s="125"/>
      <c r="H35" s="122"/>
      <c r="I35" s="122"/>
      <c r="J35" s="125"/>
      <c r="K35" s="162"/>
      <c r="L35" s="122"/>
      <c r="M35" s="122"/>
      <c r="N35" s="125"/>
      <c r="O35" s="122"/>
      <c r="P35" s="122"/>
      <c r="Q35" s="164"/>
      <c r="R35" s="122"/>
    </row>
    <row r="36" spans="1:27">
      <c r="E36" s="122"/>
      <c r="F36" s="122"/>
      <c r="G36" s="122"/>
      <c r="H36" s="122"/>
      <c r="I36" s="122"/>
      <c r="J36" s="125"/>
      <c r="K36" s="165"/>
      <c r="L36" s="125"/>
      <c r="M36" s="125"/>
      <c r="N36" s="125"/>
      <c r="O36" s="122"/>
      <c r="P36" s="122"/>
      <c r="Q36" s="164"/>
      <c r="R36" s="122"/>
    </row>
    <row r="37" spans="1:27">
      <c r="B37" s="125"/>
      <c r="C37" s="125"/>
      <c r="D37" s="122"/>
      <c r="E37" s="122"/>
      <c r="F37" s="122"/>
      <c r="I37" s="125"/>
      <c r="J37" s="122"/>
      <c r="K37" s="162"/>
      <c r="L37" s="122"/>
      <c r="M37" s="124"/>
      <c r="N37" s="125"/>
      <c r="O37" s="122"/>
      <c r="P37" s="122"/>
      <c r="Q37" s="164"/>
      <c r="R37" s="122"/>
    </row>
    <row r="38" spans="1:27">
      <c r="D38" s="122"/>
      <c r="E38" s="122"/>
      <c r="F38" s="122"/>
      <c r="I38" s="125"/>
      <c r="J38" s="122"/>
      <c r="K38" s="162"/>
      <c r="L38" s="122"/>
      <c r="M38" s="124"/>
      <c r="N38" s="125"/>
      <c r="O38" s="122"/>
      <c r="P38" s="122"/>
      <c r="Q38" s="164"/>
      <c r="R38" s="122"/>
    </row>
    <row r="39" spans="1:27">
      <c r="D39" s="122"/>
      <c r="E39" s="122"/>
      <c r="F39" s="122"/>
      <c r="G39" s="122"/>
      <c r="H39" s="122"/>
      <c r="I39" s="122"/>
      <c r="J39" s="122"/>
      <c r="K39" s="162"/>
      <c r="L39" s="122"/>
      <c r="M39" s="122"/>
      <c r="N39" s="125"/>
      <c r="O39" s="122"/>
      <c r="P39" s="122"/>
      <c r="Q39" s="164"/>
      <c r="R39" s="122"/>
    </row>
    <row r="40" spans="1:27">
      <c r="D40" s="122"/>
      <c r="E40" s="122"/>
      <c r="F40" s="122"/>
      <c r="G40" s="125"/>
      <c r="H40" s="122"/>
      <c r="I40" s="125"/>
      <c r="J40" s="122"/>
      <c r="K40" s="162"/>
      <c r="L40" s="122"/>
      <c r="M40" s="124"/>
      <c r="N40" s="125"/>
      <c r="O40" s="122"/>
      <c r="P40" s="122"/>
      <c r="Q40" s="164"/>
      <c r="R40" s="122"/>
    </row>
    <row r="41" spans="1:27">
      <c r="D41" s="122"/>
      <c r="E41" s="122"/>
      <c r="F41" s="122"/>
      <c r="G41" s="122"/>
      <c r="H41" s="122"/>
      <c r="I41" s="125"/>
      <c r="J41" s="122"/>
      <c r="K41" s="162"/>
      <c r="L41" s="122"/>
      <c r="M41" s="124"/>
      <c r="N41" s="125"/>
      <c r="O41" s="122"/>
      <c r="P41" s="122"/>
      <c r="Q41" s="164"/>
      <c r="R41" s="123"/>
    </row>
    <row r="42" spans="1:27">
      <c r="B42" s="122"/>
      <c r="C42" s="122"/>
      <c r="D42" s="122"/>
      <c r="E42" s="122"/>
      <c r="F42" s="122"/>
      <c r="G42" s="122"/>
      <c r="H42" s="122"/>
      <c r="I42" s="122"/>
      <c r="J42" s="162"/>
      <c r="K42" s="122"/>
      <c r="L42" s="122"/>
      <c r="M42" s="163"/>
      <c r="N42" s="125"/>
      <c r="O42" s="122"/>
      <c r="P42" s="122"/>
      <c r="Q42" s="164"/>
      <c r="R42" s="123"/>
    </row>
    <row r="43" spans="1:27">
      <c r="B43" s="122"/>
      <c r="C43" s="122"/>
      <c r="D43" s="122"/>
      <c r="E43" s="122"/>
      <c r="F43" s="122"/>
      <c r="G43" s="122"/>
      <c r="H43" s="122"/>
      <c r="I43" s="122"/>
      <c r="J43" s="162"/>
      <c r="K43" s="122"/>
      <c r="L43" s="122"/>
      <c r="M43" s="163"/>
      <c r="N43" s="125"/>
      <c r="O43" s="122"/>
      <c r="P43" s="122"/>
      <c r="Q43" s="164"/>
      <c r="R43" s="123"/>
    </row>
    <row r="44" spans="1:27">
      <c r="A44" s="178"/>
      <c r="B44" s="160"/>
      <c r="C44" s="160"/>
      <c r="D44" s="160"/>
      <c r="E44" s="160"/>
      <c r="F44" s="160"/>
      <c r="G44" s="160"/>
      <c r="H44" s="160"/>
      <c r="I44" s="160"/>
      <c r="J44" s="208"/>
      <c r="K44" s="160"/>
      <c r="L44" s="125"/>
      <c r="M44" s="209"/>
      <c r="N44" s="125"/>
      <c r="O44" s="125"/>
      <c r="P44" s="125"/>
      <c r="Q44" s="210"/>
      <c r="R44" s="211"/>
      <c r="S44" s="212"/>
      <c r="T44" s="212"/>
      <c r="U44" s="212"/>
      <c r="V44" s="212"/>
      <c r="W44" s="212"/>
      <c r="X44" s="212"/>
      <c r="Y44" s="212"/>
      <c r="Z44" s="212"/>
      <c r="AA44" s="212"/>
    </row>
    <row r="45" spans="1:27">
      <c r="B45" s="122"/>
      <c r="C45" s="122"/>
      <c r="D45" s="122"/>
      <c r="E45" s="122"/>
      <c r="F45" s="122"/>
      <c r="G45" s="122"/>
      <c r="H45" s="122"/>
      <c r="I45" s="122"/>
      <c r="J45" s="162"/>
      <c r="K45" s="122"/>
      <c r="L45" s="122"/>
      <c r="M45" s="163"/>
      <c r="N45" s="125"/>
      <c r="O45" s="122"/>
      <c r="P45" s="122"/>
      <c r="Q45" s="164"/>
      <c r="R45" s="123"/>
    </row>
    <row r="46" spans="1:27">
      <c r="B46" s="122"/>
      <c r="C46" s="122"/>
      <c r="D46" s="122"/>
      <c r="E46" s="122"/>
      <c r="F46" s="122"/>
      <c r="G46" s="122"/>
      <c r="H46" s="122"/>
      <c r="I46" s="122"/>
      <c r="J46" s="162"/>
      <c r="K46" s="122"/>
      <c r="L46" s="122"/>
      <c r="M46" s="163"/>
      <c r="N46" s="125"/>
      <c r="O46" s="122"/>
      <c r="P46" s="122"/>
      <c r="Q46" s="164"/>
      <c r="R46" s="123"/>
    </row>
    <row r="47" spans="1:27">
      <c r="J47" s="162"/>
      <c r="K47" s="122"/>
      <c r="L47" s="122"/>
      <c r="M47" s="163"/>
      <c r="N47" s="125"/>
      <c r="O47" s="122"/>
      <c r="P47" s="122"/>
      <c r="Q47" s="164"/>
      <c r="R47" s="123"/>
    </row>
    <row r="48" spans="1:27" ht="15">
      <c r="A48" s="214"/>
      <c r="B48" s="215"/>
      <c r="C48" s="216"/>
      <c r="D48" s="216"/>
      <c r="E48" s="216"/>
      <c r="F48" s="214"/>
      <c r="G48" s="214"/>
      <c r="H48" s="214"/>
      <c r="I48" s="214"/>
      <c r="J48" s="162"/>
      <c r="K48" s="125"/>
      <c r="L48" s="122"/>
      <c r="M48" s="163"/>
      <c r="N48" s="125"/>
      <c r="O48" s="122"/>
      <c r="P48" s="122"/>
      <c r="Q48" s="164"/>
      <c r="R48" s="123"/>
    </row>
    <row r="49" spans="2:18" ht="15">
      <c r="B49" s="218"/>
      <c r="C49" s="217"/>
      <c r="D49" s="217"/>
      <c r="E49" s="217"/>
      <c r="F49" s="219"/>
      <c r="G49" s="219"/>
      <c r="K49" s="122"/>
      <c r="L49" s="122"/>
      <c r="M49" s="163"/>
      <c r="N49" s="125"/>
      <c r="O49" s="122"/>
      <c r="P49" s="122"/>
      <c r="Q49" s="164"/>
      <c r="R49" s="123"/>
    </row>
    <row r="50" spans="2:18" ht="15">
      <c r="B50" s="218"/>
      <c r="C50" s="217"/>
      <c r="D50" s="217"/>
      <c r="E50" s="217"/>
      <c r="F50" s="219"/>
      <c r="G50" s="219"/>
      <c r="K50" s="122"/>
      <c r="L50" s="122"/>
      <c r="M50" s="163"/>
      <c r="N50" s="125"/>
      <c r="O50" s="122"/>
      <c r="P50" s="122"/>
      <c r="Q50" s="164"/>
      <c r="R50" s="123"/>
    </row>
    <row r="51" spans="2:18" ht="15">
      <c r="B51" s="218"/>
      <c r="C51" s="217"/>
      <c r="D51" s="217"/>
      <c r="E51" s="217"/>
      <c r="F51" s="219"/>
      <c r="G51" s="219"/>
      <c r="K51" s="122"/>
      <c r="L51" s="122"/>
      <c r="M51" s="163"/>
      <c r="N51" s="125"/>
      <c r="O51" s="122"/>
      <c r="P51" s="122"/>
      <c r="Q51" s="164"/>
      <c r="R51" s="123"/>
    </row>
    <row r="52" spans="2:18">
      <c r="J52" s="162"/>
      <c r="K52" s="125"/>
      <c r="L52" s="122"/>
      <c r="M52" s="163"/>
      <c r="N52" s="125"/>
      <c r="O52" s="122"/>
      <c r="P52" s="122"/>
      <c r="Q52" s="164"/>
      <c r="R52" s="123"/>
    </row>
    <row r="53" spans="2:18">
      <c r="J53" s="162"/>
      <c r="K53" s="122"/>
      <c r="L53" s="122"/>
      <c r="M53" s="163"/>
      <c r="N53" s="125"/>
      <c r="O53" s="122"/>
      <c r="P53" s="122"/>
      <c r="Q53" s="164"/>
      <c r="R53" s="123"/>
    </row>
    <row r="54" spans="2:18">
      <c r="B54" s="122"/>
      <c r="C54" s="122"/>
      <c r="D54" s="122"/>
      <c r="E54" s="122"/>
      <c r="F54" s="122"/>
      <c r="G54" s="122"/>
      <c r="H54" s="122"/>
      <c r="I54" s="122"/>
      <c r="J54" s="162"/>
      <c r="K54" s="122"/>
      <c r="L54" s="122"/>
      <c r="M54" s="163"/>
      <c r="N54" s="125"/>
      <c r="O54" s="122"/>
      <c r="P54" s="122"/>
      <c r="Q54" s="164"/>
      <c r="R54" s="123"/>
    </row>
    <row r="55" spans="2:18">
      <c r="B55" s="125"/>
      <c r="C55" s="122"/>
      <c r="D55" s="125"/>
      <c r="E55" s="122"/>
      <c r="F55" s="122"/>
      <c r="G55" s="122"/>
      <c r="H55" s="122"/>
      <c r="I55" s="122"/>
      <c r="J55" s="162"/>
      <c r="K55" s="122"/>
      <c r="L55" s="122"/>
      <c r="M55" s="163"/>
      <c r="N55" s="125"/>
      <c r="O55" s="122"/>
      <c r="P55" s="122"/>
      <c r="Q55" s="164"/>
      <c r="R55" s="123"/>
    </row>
    <row r="56" spans="2:18">
      <c r="B56" s="122"/>
      <c r="C56" s="122"/>
      <c r="D56" s="122"/>
      <c r="E56" s="122"/>
      <c r="F56" s="122"/>
      <c r="G56" s="122"/>
      <c r="H56" s="122"/>
      <c r="I56" s="122"/>
      <c r="J56" s="162"/>
      <c r="K56" s="122"/>
      <c r="L56" s="122"/>
      <c r="M56" s="163"/>
      <c r="N56" s="125"/>
      <c r="O56" s="122"/>
      <c r="P56" s="122"/>
      <c r="Q56" s="164"/>
      <c r="R56" s="123"/>
    </row>
    <row r="57" spans="2:18">
      <c r="B57" s="122"/>
      <c r="C57" s="122"/>
      <c r="D57" s="122"/>
      <c r="E57" s="122"/>
      <c r="F57" s="122"/>
      <c r="G57" s="122"/>
      <c r="H57" s="122"/>
      <c r="I57" s="122"/>
      <c r="J57" s="162"/>
      <c r="K57" s="122"/>
      <c r="L57" s="122"/>
      <c r="M57" s="163"/>
      <c r="N57" s="125"/>
      <c r="O57" s="122"/>
      <c r="P57" s="122"/>
      <c r="Q57" s="164"/>
      <c r="R57" s="123"/>
    </row>
    <row r="58" spans="2:18">
      <c r="B58" s="173"/>
      <c r="C58" s="122"/>
      <c r="D58" s="125"/>
      <c r="E58" s="122"/>
      <c r="F58" s="122"/>
      <c r="G58" s="122"/>
      <c r="H58" s="122"/>
      <c r="I58" s="122"/>
      <c r="J58" s="162"/>
      <c r="K58" s="122"/>
      <c r="L58" s="122"/>
      <c r="M58" s="163"/>
      <c r="N58" s="125"/>
      <c r="O58" s="122"/>
      <c r="P58" s="122"/>
      <c r="Q58" s="164"/>
      <c r="R58" s="123"/>
    </row>
    <row r="59" spans="2:18">
      <c r="B59" s="173"/>
      <c r="C59" s="122"/>
      <c r="D59" s="125"/>
      <c r="E59" s="122"/>
      <c r="F59" s="122"/>
      <c r="G59" s="122"/>
      <c r="H59" s="122"/>
      <c r="I59" s="122"/>
      <c r="J59" s="162"/>
      <c r="K59" s="122"/>
      <c r="L59" s="122"/>
      <c r="M59" s="163"/>
      <c r="N59" s="125"/>
      <c r="O59" s="122"/>
      <c r="P59" s="122"/>
      <c r="Q59" s="164"/>
      <c r="R59" s="123"/>
    </row>
    <row r="60" spans="2:18">
      <c r="B60" s="173"/>
      <c r="C60" s="122"/>
      <c r="D60" s="125"/>
      <c r="E60" s="122"/>
      <c r="F60" s="122"/>
      <c r="G60" s="122"/>
      <c r="H60" s="122"/>
      <c r="I60" s="122"/>
      <c r="J60" s="162"/>
      <c r="K60" s="122"/>
      <c r="L60" s="122"/>
      <c r="M60" s="163"/>
      <c r="N60" s="125"/>
      <c r="O60" s="122"/>
      <c r="P60" s="122"/>
      <c r="Q60" s="164"/>
      <c r="R60" s="123"/>
    </row>
    <row r="61" spans="2:18">
      <c r="B61" s="173"/>
      <c r="C61" s="122"/>
      <c r="D61" s="122"/>
      <c r="E61" s="122"/>
      <c r="F61" s="122"/>
      <c r="G61" s="122"/>
      <c r="H61" s="122"/>
      <c r="I61" s="122"/>
      <c r="J61" s="162"/>
      <c r="K61" s="122"/>
      <c r="L61" s="122"/>
      <c r="M61" s="163"/>
      <c r="N61" s="125"/>
      <c r="O61" s="122"/>
      <c r="P61" s="122"/>
      <c r="Q61" s="164"/>
      <c r="R61" s="123"/>
    </row>
    <row r="62" spans="2:18">
      <c r="B62" s="173"/>
      <c r="C62" s="122"/>
      <c r="D62" s="125"/>
      <c r="E62" s="122"/>
      <c r="F62" s="122"/>
      <c r="G62" s="122"/>
      <c r="H62" s="122"/>
      <c r="I62" s="122"/>
      <c r="J62" s="162"/>
      <c r="K62" s="122"/>
      <c r="L62" s="122"/>
      <c r="M62" s="163"/>
      <c r="N62" s="125"/>
      <c r="O62" s="122"/>
      <c r="P62" s="122"/>
      <c r="Q62" s="164"/>
      <c r="R62" s="123"/>
    </row>
    <row r="63" spans="2:18">
      <c r="C63" s="124"/>
      <c r="D63" s="122"/>
      <c r="E63" s="122"/>
      <c r="F63" s="122"/>
      <c r="G63" s="122"/>
      <c r="H63" s="122"/>
      <c r="I63" s="122"/>
      <c r="J63" s="162"/>
      <c r="K63" s="122"/>
      <c r="L63" s="122"/>
      <c r="M63" s="163"/>
      <c r="N63" s="125"/>
      <c r="O63" s="122"/>
      <c r="P63" s="122"/>
      <c r="Q63" s="164"/>
      <c r="R63" s="123"/>
    </row>
    <row r="64" spans="2:18">
      <c r="B64" s="122"/>
      <c r="C64" s="122"/>
      <c r="D64" s="122"/>
      <c r="E64" s="122"/>
      <c r="F64" s="122"/>
      <c r="G64" s="122"/>
      <c r="H64" s="122"/>
      <c r="I64" s="122"/>
      <c r="J64" s="162"/>
      <c r="K64" s="122"/>
      <c r="L64" s="122"/>
      <c r="M64" s="163"/>
      <c r="N64" s="125"/>
      <c r="O64" s="122"/>
      <c r="P64" s="122"/>
      <c r="Q64" s="164"/>
      <c r="R64" s="123"/>
    </row>
    <row r="65" spans="1:18">
      <c r="B65" s="122"/>
      <c r="C65" s="122"/>
      <c r="D65" s="122"/>
      <c r="E65" s="122"/>
      <c r="F65" s="122"/>
      <c r="G65" s="125"/>
      <c r="H65" s="122"/>
      <c r="I65" s="122"/>
      <c r="J65" s="162"/>
      <c r="K65" s="122"/>
      <c r="L65" s="122"/>
      <c r="M65" s="163"/>
      <c r="N65" s="125"/>
      <c r="O65" s="122"/>
      <c r="P65" s="122"/>
      <c r="Q65" s="164"/>
      <c r="R65" s="123"/>
    </row>
    <row r="66" spans="1:18">
      <c r="B66" s="122"/>
      <c r="C66" s="122"/>
      <c r="D66" s="160"/>
      <c r="E66" s="160"/>
      <c r="F66" s="160"/>
      <c r="G66" s="122"/>
      <c r="H66" s="179"/>
      <c r="I66" s="122"/>
      <c r="J66" s="162"/>
      <c r="K66" s="122"/>
      <c r="L66" s="122"/>
      <c r="M66" s="163"/>
      <c r="N66" s="125"/>
      <c r="O66" s="122"/>
      <c r="P66" s="122"/>
      <c r="Q66" s="164"/>
      <c r="R66" s="123"/>
    </row>
    <row r="67" spans="1:18">
      <c r="A67" s="178"/>
      <c r="B67" s="160"/>
      <c r="C67" s="122"/>
      <c r="D67" s="160"/>
      <c r="E67" s="160"/>
      <c r="F67" s="220"/>
      <c r="G67" s="122"/>
      <c r="H67" s="122"/>
      <c r="I67" s="122"/>
      <c r="J67" s="162"/>
      <c r="K67" s="122"/>
      <c r="L67" s="122"/>
      <c r="M67" s="163"/>
      <c r="N67" s="125"/>
      <c r="O67" s="122"/>
      <c r="P67" s="122"/>
      <c r="Q67" s="164"/>
      <c r="R67" s="123"/>
    </row>
    <row r="68" spans="1:18">
      <c r="B68" s="172"/>
      <c r="C68" s="122"/>
      <c r="D68" s="160"/>
      <c r="E68" s="160"/>
      <c r="F68" s="160"/>
    </row>
    <row r="69" spans="1:18">
      <c r="A69" s="137"/>
      <c r="B69" s="122"/>
      <c r="C69" s="122"/>
      <c r="D69" s="160"/>
      <c r="E69" s="160"/>
      <c r="F69" s="160"/>
    </row>
    <row r="70" spans="1:18">
      <c r="A70" s="137"/>
      <c r="B70" s="122"/>
      <c r="C70" s="122"/>
      <c r="D70" s="160"/>
      <c r="E70" s="160"/>
      <c r="F70" s="160"/>
    </row>
    <row r="71" spans="1:18">
      <c r="A71" s="137"/>
      <c r="B71" s="122"/>
      <c r="C71" s="122"/>
    </row>
    <row r="72" spans="1:18">
      <c r="A72" s="137"/>
      <c r="B72" s="122"/>
      <c r="C72" s="122"/>
      <c r="F72" s="182"/>
    </row>
    <row r="73" spans="1:18">
      <c r="A73" s="137"/>
      <c r="B73" s="122"/>
      <c r="C73" s="122"/>
    </row>
    <row r="74" spans="1:18">
      <c r="A74" s="137"/>
      <c r="B74" s="122"/>
      <c r="C74" s="122"/>
    </row>
    <row r="75" spans="1:18">
      <c r="A75" s="137"/>
      <c r="B75" s="122"/>
      <c r="C75" s="122"/>
    </row>
    <row r="76" spans="1:18">
      <c r="A76" s="137"/>
      <c r="B76" s="122"/>
      <c r="C76" s="122"/>
    </row>
    <row r="77" spans="1:18">
      <c r="A77" s="137"/>
      <c r="B77" s="122"/>
      <c r="C77" s="122"/>
    </row>
    <row r="78" spans="1:18">
      <c r="A78" s="137"/>
      <c r="B78" s="122"/>
      <c r="C78" s="122"/>
    </row>
    <row r="79" spans="1:18">
      <c r="A79" s="137"/>
      <c r="B79" s="122"/>
      <c r="C79" s="122"/>
    </row>
    <row r="80" spans="1:18">
      <c r="A80" s="137"/>
      <c r="B80" s="122"/>
      <c r="C80" s="122"/>
    </row>
    <row r="81" spans="1:3">
      <c r="A81" s="137"/>
      <c r="B81" s="122"/>
      <c r="C81" s="122"/>
    </row>
    <row r="82" spans="1:3">
      <c r="A82" s="137"/>
      <c r="B82" s="122"/>
      <c r="C82" s="122"/>
    </row>
    <row r="83" spans="1:3">
      <c r="A83" s="137"/>
      <c r="B83" s="122"/>
      <c r="C83" s="122"/>
    </row>
    <row r="84" spans="1:3">
      <c r="A84" s="137"/>
      <c r="B84" s="122"/>
      <c r="C84" s="122"/>
    </row>
    <row r="85" spans="1:3">
      <c r="A85" s="137"/>
      <c r="B85" s="122"/>
      <c r="C85" s="122"/>
    </row>
    <row r="86" spans="1:3">
      <c r="A86" s="137"/>
      <c r="B86" s="122"/>
      <c r="C86" s="122"/>
    </row>
    <row r="87" spans="1:3">
      <c r="B87" s="122"/>
      <c r="C87" s="122"/>
    </row>
    <row r="88" spans="1:3">
      <c r="B88" s="122"/>
      <c r="C88" s="122"/>
    </row>
  </sheetData>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dimension ref="A2:N30"/>
  <sheetViews>
    <sheetView workbookViewId="0">
      <selection activeCell="D4" sqref="D4"/>
    </sheetView>
  </sheetViews>
  <sheetFormatPr defaultRowHeight="12.75"/>
  <cols>
    <col min="1" max="1" width="30.5703125" style="221" bestFit="1" customWidth="1"/>
    <col min="2" max="2" width="15" style="221" bestFit="1" customWidth="1"/>
    <col min="3" max="3" width="6.28515625" style="221" bestFit="1" customWidth="1"/>
    <col min="4" max="4" width="8.7109375" style="221" bestFit="1" customWidth="1"/>
    <col min="5" max="5" width="20.28515625" style="221" bestFit="1" customWidth="1"/>
    <col min="6" max="6" width="11.28515625" style="221" bestFit="1" customWidth="1"/>
    <col min="7" max="7" width="23.28515625" style="221" bestFit="1" customWidth="1"/>
    <col min="8" max="8" width="16.42578125" style="221" bestFit="1" customWidth="1"/>
    <col min="9" max="9" width="19.28515625" style="221" bestFit="1" customWidth="1"/>
    <col min="10" max="10" width="24.5703125" style="221" bestFit="1" customWidth="1"/>
    <col min="11" max="11" width="27.7109375" style="221" bestFit="1" customWidth="1"/>
    <col min="12" max="12" width="11.85546875" style="221" bestFit="1" customWidth="1"/>
    <col min="13" max="13" width="5.5703125" style="221" bestFit="1" customWidth="1"/>
    <col min="14" max="14" width="29.7109375" style="221" customWidth="1"/>
    <col min="15" max="16384" width="9.140625" style="221"/>
  </cols>
  <sheetData>
    <row r="2" spans="1:14">
      <c r="A2" s="273" t="s">
        <v>149</v>
      </c>
      <c r="B2" s="273" t="s">
        <v>401</v>
      </c>
      <c r="C2" s="273" t="s">
        <v>610</v>
      </c>
      <c r="D2" s="273" t="s">
        <v>132</v>
      </c>
      <c r="E2" s="273" t="s">
        <v>611</v>
      </c>
      <c r="F2" s="273" t="s">
        <v>612</v>
      </c>
      <c r="G2" s="273" t="s">
        <v>613</v>
      </c>
      <c r="H2" s="273" t="s">
        <v>614</v>
      </c>
      <c r="I2" s="273" t="s">
        <v>615</v>
      </c>
      <c r="J2" s="273" t="s">
        <v>616</v>
      </c>
      <c r="K2" s="273" t="s">
        <v>617</v>
      </c>
      <c r="L2" s="273" t="s">
        <v>618</v>
      </c>
      <c r="M2" s="273" t="s">
        <v>619</v>
      </c>
      <c r="N2" s="273" t="s">
        <v>620</v>
      </c>
    </row>
    <row r="3" spans="1:14">
      <c r="A3" s="274" t="s">
        <v>621</v>
      </c>
      <c r="B3" s="274" t="str">
        <f>'Regional Potential Estimates'!A3</f>
        <v>Lodging</v>
      </c>
      <c r="C3" s="221" t="s">
        <v>622</v>
      </c>
      <c r="D3" s="264">
        <f>'Regional Potential Estimates'!M3</f>
        <v>30.435512729558738</v>
      </c>
      <c r="E3" s="274" t="s">
        <v>623</v>
      </c>
      <c r="F3" s="275">
        <f>'Regional Potential Estimates'!I3*(1-'Regional Potential Estimates'!J3)</f>
        <v>161511.00605288311</v>
      </c>
      <c r="G3" s="274" t="s">
        <v>624</v>
      </c>
      <c r="H3" s="276">
        <f>InstallRatesCostAndLifetime!$B$14</f>
        <v>11.336666666666666</v>
      </c>
      <c r="I3" s="221">
        <v>0</v>
      </c>
      <c r="J3" s="274" t="s">
        <v>625</v>
      </c>
      <c r="K3" s="221">
        <v>0</v>
      </c>
      <c r="L3" s="274" t="s">
        <v>626</v>
      </c>
      <c r="M3" s="221">
        <f>InstallRatesCostAndLifetime!$B$54</f>
        <v>10</v>
      </c>
      <c r="N3" s="584" t="s">
        <v>627</v>
      </c>
    </row>
    <row r="4" spans="1:14">
      <c r="A4" s="274" t="s">
        <v>628</v>
      </c>
      <c r="B4" s="274" t="str">
        <f>'Regional Potential Estimates'!A4</f>
        <v>Lodging</v>
      </c>
      <c r="C4" s="221" t="s">
        <v>622</v>
      </c>
      <c r="D4" s="264">
        <f>'Regional Potential Estimates'!M4</f>
        <v>49.502977270716336</v>
      </c>
      <c r="E4" s="274" t="s">
        <v>623</v>
      </c>
      <c r="F4" s="275">
        <f>'Regional Potential Estimates'!I4*(1-'Regional Potential Estimates'!J4)</f>
        <v>161511.00605288311</v>
      </c>
      <c r="G4" s="274" t="s">
        <v>624</v>
      </c>
      <c r="H4" s="276">
        <f>InstallRatesCostAndLifetime!$B$14</f>
        <v>11.336666666666666</v>
      </c>
      <c r="I4" s="221">
        <v>0</v>
      </c>
      <c r="J4" s="274" t="s">
        <v>625</v>
      </c>
      <c r="K4" s="221">
        <v>0</v>
      </c>
      <c r="L4" s="274" t="s">
        <v>626</v>
      </c>
      <c r="M4" s="221">
        <f>InstallRatesCostAndLifetime!$B$54</f>
        <v>10</v>
      </c>
      <c r="N4" s="585"/>
    </row>
    <row r="5" spans="1:14">
      <c r="A5" s="274" t="s">
        <v>621</v>
      </c>
      <c r="B5" s="274" t="str">
        <f>'Regional Potential Estimates'!A5</f>
        <v>Hospital</v>
      </c>
      <c r="C5" s="221" t="s">
        <v>622</v>
      </c>
      <c r="D5" s="264">
        <f>'Regional Potential Estimates'!M5</f>
        <v>42.060143505184236</v>
      </c>
      <c r="E5" s="274" t="s">
        <v>623</v>
      </c>
      <c r="F5" s="275">
        <f>'Regional Potential Estimates'!I5*(1-'Regional Potential Estimates'!J5)</f>
        <v>29005.211880000003</v>
      </c>
      <c r="G5" s="274" t="s">
        <v>624</v>
      </c>
      <c r="H5" s="276">
        <f>InstallRatesCostAndLifetime!$B$14</f>
        <v>11.336666666666666</v>
      </c>
      <c r="I5" s="221">
        <v>0</v>
      </c>
      <c r="J5" s="274" t="s">
        <v>625</v>
      </c>
      <c r="K5" s="221">
        <v>0</v>
      </c>
      <c r="L5" s="274" t="s">
        <v>626</v>
      </c>
      <c r="M5" s="221">
        <f>InstallRatesCostAndLifetime!$B$54</f>
        <v>10</v>
      </c>
      <c r="N5" s="585"/>
    </row>
    <row r="6" spans="1:14">
      <c r="A6" s="274" t="s">
        <v>628</v>
      </c>
      <c r="B6" s="274" t="str">
        <f>'Regional Potential Estimates'!A6</f>
        <v>Hospital</v>
      </c>
      <c r="C6" s="221" t="s">
        <v>622</v>
      </c>
      <c r="D6" s="264">
        <f>'Regional Potential Estimates'!M6</f>
        <v>68.950455893647046</v>
      </c>
      <c r="E6" s="274" t="s">
        <v>623</v>
      </c>
      <c r="F6" s="275">
        <f>'Regional Potential Estimates'!I6*(1-'Regional Potential Estimates'!J6)</f>
        <v>29005.211880000003</v>
      </c>
      <c r="G6" s="274" t="s">
        <v>624</v>
      </c>
      <c r="H6" s="276">
        <f>InstallRatesCostAndLifetime!$B$14</f>
        <v>11.336666666666666</v>
      </c>
      <c r="I6" s="221">
        <v>0</v>
      </c>
      <c r="J6" s="274" t="s">
        <v>625</v>
      </c>
      <c r="K6" s="221">
        <v>0</v>
      </c>
      <c r="L6" s="274" t="s">
        <v>626</v>
      </c>
      <c r="M6" s="221">
        <f>InstallRatesCostAndLifetime!$B$54</f>
        <v>10</v>
      </c>
      <c r="N6" s="585"/>
    </row>
    <row r="7" spans="1:14">
      <c r="A7" s="274" t="s">
        <v>621</v>
      </c>
      <c r="B7" s="274" t="str">
        <f>'Regional Potential Estimates'!A7</f>
        <v>Office</v>
      </c>
      <c r="C7" s="221" t="s">
        <v>622</v>
      </c>
      <c r="D7" s="264">
        <f>'Regional Potential Estimates'!M7</f>
        <v>49.436773020569809</v>
      </c>
      <c r="E7" s="274" t="s">
        <v>623</v>
      </c>
      <c r="F7" s="275">
        <f>'Regional Potential Estimates'!I7*(1-'Regional Potential Estimates'!J7)</f>
        <v>52000</v>
      </c>
      <c r="G7" s="274" t="s">
        <v>624</v>
      </c>
      <c r="H7" s="276">
        <f>InstallRatesCostAndLifetime!$B$14</f>
        <v>11.336666666666666</v>
      </c>
      <c r="I7" s="221">
        <v>0</v>
      </c>
      <c r="J7" s="274" t="s">
        <v>625</v>
      </c>
      <c r="K7" s="221">
        <v>0</v>
      </c>
      <c r="L7" s="274" t="s">
        <v>626</v>
      </c>
      <c r="M7" s="221">
        <f>InstallRatesCostAndLifetime!$B$54</f>
        <v>10</v>
      </c>
      <c r="N7" s="585"/>
    </row>
    <row r="8" spans="1:14">
      <c r="A8" s="274" t="s">
        <v>628</v>
      </c>
      <c r="B8" s="274" t="str">
        <f>'Regional Potential Estimates'!A8</f>
        <v>Office</v>
      </c>
      <c r="C8" s="221" t="s">
        <v>622</v>
      </c>
      <c r="D8" s="264">
        <f>'Regional Potential Estimates'!M8</f>
        <v>81.293930844393842</v>
      </c>
      <c r="E8" s="274" t="s">
        <v>623</v>
      </c>
      <c r="F8" s="275">
        <f>'Regional Potential Estimates'!I8*(1-'Regional Potential Estimates'!J8)</f>
        <v>52000</v>
      </c>
      <c r="G8" s="274" t="s">
        <v>624</v>
      </c>
      <c r="H8" s="276">
        <f>InstallRatesCostAndLifetime!$B$14</f>
        <v>11.336666666666666</v>
      </c>
      <c r="I8" s="221">
        <v>0</v>
      </c>
      <c r="J8" s="274" t="s">
        <v>625</v>
      </c>
      <c r="K8" s="221">
        <v>0</v>
      </c>
      <c r="L8" s="274" t="s">
        <v>626</v>
      </c>
      <c r="M8" s="221">
        <f>InstallRatesCostAndLifetime!$B$54</f>
        <v>10</v>
      </c>
      <c r="N8" s="585"/>
    </row>
    <row r="9" spans="1:14">
      <c r="A9" s="274" t="s">
        <v>621</v>
      </c>
      <c r="B9" s="274" t="str">
        <f>'Regional Potential Estimates'!A9</f>
        <v>School</v>
      </c>
      <c r="C9" s="221" t="s">
        <v>622</v>
      </c>
      <c r="D9" s="264">
        <f>'Regional Potential Estimates'!M9</f>
        <v>17.845479111597026</v>
      </c>
      <c r="E9" s="274" t="s">
        <v>623</v>
      </c>
      <c r="F9" s="275">
        <f>'Regional Potential Estimates'!I9*(1-'Regional Potential Estimates'!J9)</f>
        <v>4060.2283961437338</v>
      </c>
      <c r="G9" s="274" t="s">
        <v>624</v>
      </c>
      <c r="H9" s="276">
        <f>InstallRatesCostAndLifetime!$B$14</f>
        <v>11.336666666666666</v>
      </c>
      <c r="I9" s="221">
        <v>0</v>
      </c>
      <c r="J9" s="274" t="s">
        <v>625</v>
      </c>
      <c r="K9" s="221">
        <v>0</v>
      </c>
      <c r="L9" s="274" t="s">
        <v>626</v>
      </c>
      <c r="M9" s="221">
        <f>InstallRatesCostAndLifetime!$B$54</f>
        <v>10</v>
      </c>
      <c r="N9" s="585"/>
    </row>
    <row r="10" spans="1:14">
      <c r="A10" s="274" t="s">
        <v>628</v>
      </c>
      <c r="B10" s="274" t="str">
        <f>'Regional Potential Estimates'!A10</f>
        <v>School</v>
      </c>
      <c r="C10" s="221" t="s">
        <v>622</v>
      </c>
      <c r="D10" s="264">
        <f>'Regional Potential Estimates'!M10</f>
        <v>29.02544651362075</v>
      </c>
      <c r="E10" s="274" t="s">
        <v>623</v>
      </c>
      <c r="F10" s="275">
        <f>'Regional Potential Estimates'!I10*(1-'Regional Potential Estimates'!J10)</f>
        <v>4060.2283961437338</v>
      </c>
      <c r="G10" s="274" t="s">
        <v>624</v>
      </c>
      <c r="H10" s="276">
        <f>InstallRatesCostAndLifetime!$B$14</f>
        <v>11.336666666666666</v>
      </c>
      <c r="I10" s="221">
        <v>0</v>
      </c>
      <c r="J10" s="274" t="s">
        <v>625</v>
      </c>
      <c r="K10" s="221">
        <v>0</v>
      </c>
      <c r="L10" s="274" t="s">
        <v>626</v>
      </c>
      <c r="M10" s="221">
        <f>InstallRatesCostAndLifetime!$B$54</f>
        <v>10</v>
      </c>
      <c r="N10" s="585"/>
    </row>
    <row r="11" spans="1:14">
      <c r="A11" s="274" t="s">
        <v>621</v>
      </c>
      <c r="B11" s="274" t="str">
        <f>'Regional Potential Estimates'!A11</f>
        <v>Other</v>
      </c>
      <c r="C11" s="221" t="s">
        <v>622</v>
      </c>
      <c r="D11" s="264">
        <f>'Regional Potential Estimates'!M11</f>
        <v>946.52911649326347</v>
      </c>
      <c r="E11" s="274" t="s">
        <v>623</v>
      </c>
      <c r="F11" s="275">
        <f>'Regional Potential Estimates'!I11*(1-'Regional Potential Estimates'!J11)</f>
        <v>9840.0764574705336</v>
      </c>
      <c r="G11" s="274" t="s">
        <v>624</v>
      </c>
      <c r="H11" s="276">
        <f>InstallRatesCostAndLifetime!$B$14</f>
        <v>11.336666666666666</v>
      </c>
      <c r="I11" s="221">
        <v>0</v>
      </c>
      <c r="J11" s="274" t="s">
        <v>625</v>
      </c>
      <c r="K11" s="221">
        <v>0</v>
      </c>
      <c r="L11" s="274" t="s">
        <v>626</v>
      </c>
      <c r="M11" s="221">
        <f>InstallRatesCostAndLifetime!$B$54</f>
        <v>10</v>
      </c>
      <c r="N11" s="585"/>
    </row>
    <row r="12" spans="1:14">
      <c r="A12" s="274" t="s">
        <v>628</v>
      </c>
      <c r="B12" s="274" t="str">
        <f>'Regional Potential Estimates'!A12</f>
        <v>Other</v>
      </c>
      <c r="C12" s="221" t="s">
        <v>622</v>
      </c>
      <c r="D12" s="264">
        <f>'Regional Potential Estimates'!M12</f>
        <v>1551.6735954735207</v>
      </c>
      <c r="E12" s="274" t="s">
        <v>623</v>
      </c>
      <c r="F12" s="275">
        <f>'Regional Potential Estimates'!I12*(1-'Regional Potential Estimates'!J12)</f>
        <v>9840.0764574705336</v>
      </c>
      <c r="G12" s="274" t="s">
        <v>624</v>
      </c>
      <c r="H12" s="276">
        <f>InstallRatesCostAndLifetime!$B$14</f>
        <v>11.336666666666666</v>
      </c>
      <c r="I12" s="221">
        <v>0</v>
      </c>
      <c r="J12" s="274" t="s">
        <v>625</v>
      </c>
      <c r="K12" s="221">
        <v>0</v>
      </c>
      <c r="L12" s="274" t="s">
        <v>626</v>
      </c>
      <c r="M12" s="221">
        <f>InstallRatesCostAndLifetime!$B$54</f>
        <v>10</v>
      </c>
      <c r="N12" s="585"/>
    </row>
    <row r="13" spans="1:14">
      <c r="A13" s="274"/>
      <c r="B13" s="274"/>
    </row>
    <row r="14" spans="1:14">
      <c r="A14" s="274"/>
      <c r="B14" s="274"/>
    </row>
    <row r="15" spans="1:14">
      <c r="A15" s="274"/>
      <c r="B15" s="274"/>
      <c r="F15" s="221">
        <f>SUMPRODUCT(F3:F12,D3:D12)/8760000/2</f>
        <v>2.7226963958304919</v>
      </c>
    </row>
    <row r="16" spans="1:14">
      <c r="A16" s="274"/>
      <c r="B16" s="274"/>
    </row>
    <row r="17" spans="1:14">
      <c r="A17" s="274"/>
      <c r="B17" s="274"/>
    </row>
    <row r="18" spans="1:14">
      <c r="A18" s="274"/>
      <c r="B18" s="274"/>
    </row>
    <row r="20" spans="1:14">
      <c r="A20" s="273" t="s">
        <v>149</v>
      </c>
      <c r="B20" s="273" t="s">
        <v>401</v>
      </c>
      <c r="C20" s="273" t="s">
        <v>610</v>
      </c>
      <c r="D20" s="273" t="s">
        <v>132</v>
      </c>
      <c r="E20" s="273" t="s">
        <v>611</v>
      </c>
      <c r="F20" s="273" t="s">
        <v>612</v>
      </c>
      <c r="G20" s="273" t="s">
        <v>613</v>
      </c>
      <c r="H20" s="273" t="s">
        <v>614</v>
      </c>
      <c r="I20" s="273" t="s">
        <v>615</v>
      </c>
      <c r="J20" s="273" t="s">
        <v>616</v>
      </c>
      <c r="K20" s="273" t="s">
        <v>617</v>
      </c>
      <c r="L20" s="273" t="s">
        <v>618</v>
      </c>
      <c r="M20" s="273" t="s">
        <v>619</v>
      </c>
      <c r="N20" s="273" t="s">
        <v>620</v>
      </c>
    </row>
    <row r="21" spans="1:14">
      <c r="A21" s="274" t="s">
        <v>628</v>
      </c>
      <c r="B21" s="274" t="s">
        <v>379</v>
      </c>
      <c r="C21" s="221" t="s">
        <v>622</v>
      </c>
      <c r="D21" s="264">
        <v>49.502977270716336</v>
      </c>
      <c r="E21" s="274" t="s">
        <v>623</v>
      </c>
      <c r="F21" s="275">
        <v>161511.00605288311</v>
      </c>
      <c r="G21" s="274" t="s">
        <v>624</v>
      </c>
      <c r="H21" s="276">
        <v>11.336666666666666</v>
      </c>
      <c r="I21" s="221">
        <v>0</v>
      </c>
      <c r="J21" s="274" t="s">
        <v>625</v>
      </c>
      <c r="K21" s="221">
        <v>0</v>
      </c>
      <c r="L21" s="274" t="s">
        <v>626</v>
      </c>
      <c r="M21" s="221">
        <v>10</v>
      </c>
      <c r="N21" s="535"/>
    </row>
    <row r="22" spans="1:14">
      <c r="A22" s="274" t="s">
        <v>628</v>
      </c>
      <c r="B22" s="274" t="s">
        <v>380</v>
      </c>
      <c r="C22" s="221" t="s">
        <v>622</v>
      </c>
      <c r="D22" s="264">
        <v>68.950455893647046</v>
      </c>
      <c r="E22" s="274" t="s">
        <v>623</v>
      </c>
      <c r="F22" s="275">
        <v>29005.211880000003</v>
      </c>
      <c r="G22" s="274" t="s">
        <v>624</v>
      </c>
      <c r="H22" s="276">
        <v>11.336666666666666</v>
      </c>
      <c r="I22" s="221">
        <v>0</v>
      </c>
      <c r="J22" s="274" t="s">
        <v>625</v>
      </c>
      <c r="K22" s="221">
        <v>0</v>
      </c>
      <c r="L22" s="274" t="s">
        <v>626</v>
      </c>
      <c r="M22" s="221">
        <v>10</v>
      </c>
      <c r="N22" s="535"/>
    </row>
    <row r="23" spans="1:14">
      <c r="A23" s="274" t="s">
        <v>628</v>
      </c>
      <c r="B23" s="274" t="s">
        <v>402</v>
      </c>
      <c r="C23" s="221" t="s">
        <v>622</v>
      </c>
      <c r="D23" s="264">
        <v>81.293930844393842</v>
      </c>
      <c r="E23" s="274" t="s">
        <v>623</v>
      </c>
      <c r="F23" s="275">
        <v>52000</v>
      </c>
      <c r="G23" s="274" t="s">
        <v>624</v>
      </c>
      <c r="H23" s="276">
        <v>11.336666666666666</v>
      </c>
      <c r="I23" s="221">
        <v>0</v>
      </c>
      <c r="J23" s="274" t="s">
        <v>625</v>
      </c>
      <c r="K23" s="221">
        <v>0</v>
      </c>
      <c r="L23" s="274" t="s">
        <v>626</v>
      </c>
      <c r="M23" s="221">
        <v>10</v>
      </c>
      <c r="N23" s="535"/>
    </row>
    <row r="24" spans="1:14">
      <c r="A24" s="274" t="s">
        <v>628</v>
      </c>
      <c r="B24" s="274" t="s">
        <v>403</v>
      </c>
      <c r="C24" s="221" t="s">
        <v>622</v>
      </c>
      <c r="D24" s="264">
        <v>29.02544651362075</v>
      </c>
      <c r="E24" s="274" t="s">
        <v>623</v>
      </c>
      <c r="F24" s="275">
        <v>4060.2283961437338</v>
      </c>
      <c r="G24" s="274" t="s">
        <v>624</v>
      </c>
      <c r="H24" s="276">
        <v>11.336666666666666</v>
      </c>
      <c r="I24" s="221">
        <v>0</v>
      </c>
      <c r="J24" s="274" t="s">
        <v>625</v>
      </c>
      <c r="K24" s="221">
        <v>0</v>
      </c>
      <c r="L24" s="274" t="s">
        <v>626</v>
      </c>
      <c r="M24" s="221">
        <v>10</v>
      </c>
      <c r="N24" s="535"/>
    </row>
    <row r="25" spans="1:14">
      <c r="A25" s="274" t="s">
        <v>628</v>
      </c>
      <c r="B25" s="274" t="s">
        <v>382</v>
      </c>
      <c r="C25" s="221" t="s">
        <v>622</v>
      </c>
      <c r="D25" s="264">
        <v>1551.6735954735207</v>
      </c>
      <c r="E25" s="274" t="s">
        <v>623</v>
      </c>
      <c r="F25" s="275">
        <v>9840.0764574705336</v>
      </c>
      <c r="G25" s="274" t="s">
        <v>624</v>
      </c>
      <c r="H25" s="276">
        <v>11.336666666666666</v>
      </c>
      <c r="I25" s="221">
        <v>0</v>
      </c>
      <c r="J25" s="274" t="s">
        <v>625</v>
      </c>
      <c r="K25" s="221">
        <v>0</v>
      </c>
      <c r="L25" s="274" t="s">
        <v>626</v>
      </c>
      <c r="M25" s="221">
        <v>10</v>
      </c>
      <c r="N25" s="535"/>
    </row>
    <row r="26" spans="1:14">
      <c r="A26" s="274" t="s">
        <v>621</v>
      </c>
      <c r="B26" s="274" t="s">
        <v>379</v>
      </c>
      <c r="C26" s="221" t="s">
        <v>622</v>
      </c>
      <c r="D26" s="264">
        <v>30.435512729558738</v>
      </c>
      <c r="E26" s="274" t="s">
        <v>623</v>
      </c>
      <c r="F26" s="275">
        <v>161511.00605288311</v>
      </c>
      <c r="G26" s="274" t="s">
        <v>624</v>
      </c>
      <c r="H26" s="276">
        <v>11.336666666666666</v>
      </c>
      <c r="I26" s="221">
        <v>0</v>
      </c>
      <c r="J26" s="274" t="s">
        <v>625</v>
      </c>
      <c r="K26" s="221">
        <v>0</v>
      </c>
      <c r="L26" s="274" t="s">
        <v>626</v>
      </c>
      <c r="M26" s="221">
        <v>10</v>
      </c>
      <c r="N26" s="534"/>
    </row>
    <row r="27" spans="1:14">
      <c r="A27" s="274" t="s">
        <v>621</v>
      </c>
      <c r="B27" s="274" t="s">
        <v>380</v>
      </c>
      <c r="C27" s="221" t="s">
        <v>622</v>
      </c>
      <c r="D27" s="264">
        <v>42.060143505184236</v>
      </c>
      <c r="E27" s="274" t="s">
        <v>623</v>
      </c>
      <c r="F27" s="275">
        <v>29005.211880000003</v>
      </c>
      <c r="G27" s="274" t="s">
        <v>624</v>
      </c>
      <c r="H27" s="276">
        <v>11.336666666666666</v>
      </c>
      <c r="I27" s="221">
        <v>0</v>
      </c>
      <c r="J27" s="274" t="s">
        <v>625</v>
      </c>
      <c r="K27" s="221">
        <v>0</v>
      </c>
      <c r="L27" s="274" t="s">
        <v>626</v>
      </c>
      <c r="M27" s="221">
        <v>10</v>
      </c>
      <c r="N27" s="535"/>
    </row>
    <row r="28" spans="1:14">
      <c r="A28" s="274" t="s">
        <v>621</v>
      </c>
      <c r="B28" s="274" t="s">
        <v>402</v>
      </c>
      <c r="C28" s="221" t="s">
        <v>622</v>
      </c>
      <c r="D28" s="264">
        <v>49.436773020569809</v>
      </c>
      <c r="E28" s="274" t="s">
        <v>623</v>
      </c>
      <c r="F28" s="275">
        <v>52000</v>
      </c>
      <c r="G28" s="274" t="s">
        <v>624</v>
      </c>
      <c r="H28" s="276">
        <v>11.336666666666666</v>
      </c>
      <c r="I28" s="221">
        <v>0</v>
      </c>
      <c r="J28" s="274" t="s">
        <v>625</v>
      </c>
      <c r="K28" s="221">
        <v>0</v>
      </c>
      <c r="L28" s="274" t="s">
        <v>626</v>
      </c>
      <c r="M28" s="221">
        <v>10</v>
      </c>
      <c r="N28" s="535"/>
    </row>
    <row r="29" spans="1:14">
      <c r="A29" s="274" t="s">
        <v>621</v>
      </c>
      <c r="B29" s="274" t="s">
        <v>403</v>
      </c>
      <c r="C29" s="221" t="s">
        <v>622</v>
      </c>
      <c r="D29" s="264">
        <v>17.845479111597026</v>
      </c>
      <c r="E29" s="274" t="s">
        <v>623</v>
      </c>
      <c r="F29" s="275">
        <v>4060.2283961437338</v>
      </c>
      <c r="G29" s="274" t="s">
        <v>624</v>
      </c>
      <c r="H29" s="276">
        <v>11.336666666666666</v>
      </c>
      <c r="I29" s="221">
        <v>0</v>
      </c>
      <c r="J29" s="274" t="s">
        <v>625</v>
      </c>
      <c r="K29" s="221">
        <v>0</v>
      </c>
      <c r="L29" s="274" t="s">
        <v>626</v>
      </c>
      <c r="M29" s="221">
        <v>10</v>
      </c>
      <c r="N29" s="535"/>
    </row>
    <row r="30" spans="1:14">
      <c r="A30" s="274" t="s">
        <v>621</v>
      </c>
      <c r="B30" s="274" t="s">
        <v>382</v>
      </c>
      <c r="C30" s="221" t="s">
        <v>622</v>
      </c>
      <c r="D30" s="264">
        <v>946.52911649326347</v>
      </c>
      <c r="E30" s="274" t="s">
        <v>623</v>
      </c>
      <c r="F30" s="275">
        <v>9840.0764574705336</v>
      </c>
      <c r="G30" s="274" t="s">
        <v>624</v>
      </c>
      <c r="H30" s="276">
        <v>11.336666666666666</v>
      </c>
      <c r="I30" s="221">
        <v>0</v>
      </c>
      <c r="J30" s="274" t="s">
        <v>625</v>
      </c>
      <c r="K30" s="221">
        <v>0</v>
      </c>
      <c r="L30" s="274" t="s">
        <v>626</v>
      </c>
      <c r="M30" s="221">
        <v>10</v>
      </c>
      <c r="N30" s="535"/>
    </row>
  </sheetData>
  <sortState ref="A21:N30">
    <sortCondition ref="A21"/>
  </sortState>
  <mergeCells count="1">
    <mergeCell ref="N3:N12"/>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sheetPr codeName="Sheet24"/>
  <dimension ref="A3:Z59"/>
  <sheetViews>
    <sheetView workbookViewId="0">
      <pane xSplit="6" ySplit="4" topLeftCell="L5" activePane="bottomRight" state="frozen"/>
      <selection activeCell="E8" sqref="E8"/>
      <selection pane="topRight" activeCell="E8" sqref="E8"/>
      <selection pane="bottomLeft" activeCell="E8" sqref="E8"/>
      <selection pane="bottomRight" activeCell="X5" sqref="X5"/>
    </sheetView>
  </sheetViews>
  <sheetFormatPr defaultRowHeight="12.75"/>
  <cols>
    <col min="1" max="2" width="29.42578125" style="277" customWidth="1"/>
    <col min="3" max="3" width="17.85546875" style="277" customWidth="1"/>
    <col min="4" max="6" width="14.7109375" style="277" customWidth="1"/>
    <col min="7" max="8" width="9.140625" style="277" customWidth="1"/>
    <col min="9" max="9" width="12" style="277" customWidth="1"/>
    <col min="10" max="15" width="9.140625" style="277" customWidth="1"/>
    <col min="16" max="16" width="12.140625" style="277" customWidth="1"/>
    <col min="17" max="23" width="9.140625" style="277"/>
    <col min="24" max="24" width="10.28515625" style="277" bestFit="1" customWidth="1"/>
    <col min="25" max="16384" width="9.140625" style="277"/>
  </cols>
  <sheetData>
    <row r="3" spans="1:26">
      <c r="A3" s="460" t="s">
        <v>963</v>
      </c>
      <c r="B3" s="460"/>
      <c r="C3" s="460"/>
      <c r="D3" s="461"/>
      <c r="E3" s="461"/>
      <c r="F3" s="461"/>
      <c r="G3" s="462" t="s">
        <v>964</v>
      </c>
      <c r="H3" s="462"/>
      <c r="I3" s="462"/>
      <c r="J3" s="462"/>
      <c r="K3" s="462"/>
      <c r="L3" s="462"/>
      <c r="M3" s="462"/>
      <c r="N3" s="463" t="s">
        <v>965</v>
      </c>
      <c r="O3" s="463"/>
      <c r="P3" s="463"/>
      <c r="Q3" s="463"/>
      <c r="R3" s="463"/>
      <c r="S3" s="463"/>
      <c r="T3" s="463"/>
      <c r="U3" s="464" t="s">
        <v>966</v>
      </c>
      <c r="V3" s="464"/>
      <c r="W3" s="464"/>
      <c r="X3" s="464"/>
      <c r="Y3" s="465" t="s">
        <v>967</v>
      </c>
      <c r="Z3" s="465"/>
    </row>
    <row r="4" spans="1:26" s="466" customFormat="1" ht="63.75">
      <c r="A4" s="279" t="s">
        <v>401</v>
      </c>
      <c r="B4" s="279" t="s">
        <v>630</v>
      </c>
      <c r="C4" s="279" t="s">
        <v>968</v>
      </c>
      <c r="D4" s="279" t="s">
        <v>969</v>
      </c>
      <c r="E4" s="279" t="s">
        <v>970</v>
      </c>
      <c r="F4" s="279" t="s">
        <v>971</v>
      </c>
      <c r="G4" s="279" t="s">
        <v>972</v>
      </c>
      <c r="H4" s="279" t="s">
        <v>863</v>
      </c>
      <c r="I4" s="279" t="s">
        <v>973</v>
      </c>
      <c r="J4" s="279" t="s">
        <v>974</v>
      </c>
      <c r="K4" s="279" t="s">
        <v>975</v>
      </c>
      <c r="L4" s="279" t="s">
        <v>623</v>
      </c>
      <c r="M4" s="279" t="s">
        <v>976</v>
      </c>
      <c r="N4" s="279" t="s">
        <v>972</v>
      </c>
      <c r="O4" s="279" t="s">
        <v>863</v>
      </c>
      <c r="P4" s="279" t="s">
        <v>973</v>
      </c>
      <c r="Q4" s="279" t="s">
        <v>974</v>
      </c>
      <c r="R4" s="279" t="s">
        <v>975</v>
      </c>
      <c r="S4" s="279" t="s">
        <v>623</v>
      </c>
      <c r="T4" s="279" t="s">
        <v>976</v>
      </c>
      <c r="U4" s="383" t="s">
        <v>977</v>
      </c>
      <c r="V4" s="383" t="s">
        <v>978</v>
      </c>
      <c r="W4" s="383" t="s">
        <v>979</v>
      </c>
      <c r="X4" s="383" t="s">
        <v>976</v>
      </c>
      <c r="Y4" s="383" t="s">
        <v>973</v>
      </c>
      <c r="Z4" s="279" t="s">
        <v>980</v>
      </c>
    </row>
    <row r="5" spans="1:26">
      <c r="A5" s="281" t="s">
        <v>643</v>
      </c>
      <c r="B5" s="281" t="str">
        <f>VLOOKUP(A5,'Regional Potential Estimates'!$O$5:$P$11,2,FALSE)</f>
        <v>Lodging</v>
      </c>
      <c r="C5" s="281">
        <f t="shared" ref="C5:C22" si="0">H5</f>
        <v>2.2000000000000002</v>
      </c>
      <c r="D5" s="277">
        <v>2</v>
      </c>
      <c r="E5" s="277" t="s">
        <v>931</v>
      </c>
      <c r="F5" s="277" t="str">
        <f t="shared" ref="F5:F22" si="1">A5&amp;E5</f>
        <v>Hospitality2_00</v>
      </c>
      <c r="G5" s="275">
        <f t="shared" ref="G5:G22" si="2">VLOOKUP(A5,table_AnnualMinutes,2,FALSE)</f>
        <v>3508.9289910000002</v>
      </c>
      <c r="H5" s="277">
        <f t="shared" ref="H5:H22" si="3">VLOOKUP(A5,table_BaselineFlowRates,2,FALSE)</f>
        <v>2.2000000000000002</v>
      </c>
      <c r="I5" s="291">
        <f t="shared" ref="I5:I22" si="4">G5*H5</f>
        <v>7719.6437802000009</v>
      </c>
      <c r="J5" s="467">
        <f t="shared" ref="J5:J22" si="5">VLOOKUP(2.5,table_EnergyIntensity,3,FALSE)</f>
        <v>0.13306009597959184</v>
      </c>
      <c r="K5" s="468">
        <f t="shared" ref="K5:K22" si="6">VLOOKUP(2.5,table_EnergyIntensity,4,FALSE)</f>
        <v>5.9339655999999996E-3</v>
      </c>
      <c r="L5" s="275">
        <f t="shared" ref="L5:L22" si="7">J5*I5</f>
        <v>1027.1765423216714</v>
      </c>
      <c r="M5" s="283">
        <f t="shared" ref="M5:M22" si="8">K5*I5</f>
        <v>45.808100635960763</v>
      </c>
      <c r="N5" s="291">
        <f t="shared" ref="N5:N22" si="9">G5</f>
        <v>3508.9289910000002</v>
      </c>
      <c r="O5" s="277">
        <f t="shared" ref="O5:O22" si="10">VLOOKUP(D5,table_FlowRates,3,FALSE)</f>
        <v>1.8</v>
      </c>
      <c r="P5" s="300">
        <f t="shared" ref="P5:P22" si="11">N5*O5</f>
        <v>6316.0721838000009</v>
      </c>
      <c r="Q5" s="467">
        <f t="shared" ref="Q5:Q22" si="12">VLOOKUP(D5,table_EnergyIntensity,3,FALSE)</f>
        <v>0.13742869010204081</v>
      </c>
      <c r="R5" s="468">
        <f t="shared" ref="R5:R22" si="13">VLOOKUP(D5,table_EnergyIntensity,4,FALSE)</f>
        <v>6.1287879999999987E-3</v>
      </c>
      <c r="S5" s="275">
        <f>Q5*P5</f>
        <v>868.0095268095705</v>
      </c>
      <c r="T5" s="275">
        <f t="shared" ref="T5:T22" si="14">R5*P5</f>
        <v>38.709867407207234</v>
      </c>
      <c r="U5" s="282">
        <f t="shared" ref="U5:U22" si="15">L5-S5</f>
        <v>159.16701551210087</v>
      </c>
      <c r="V5" s="282">
        <f xml:space="preserve"> (Y5*WaterCostAndEnergy!$D$8/1000)</f>
        <v>7.4248937449560009</v>
      </c>
      <c r="W5" s="282">
        <f t="shared" ref="W5:W22" si="16">U5+V5</f>
        <v>166.59190925705687</v>
      </c>
      <c r="X5" s="291">
        <f t="shared" ref="X5:X22" si="17">M5-T5</f>
        <v>7.0982332287535286</v>
      </c>
      <c r="Y5" s="291">
        <f t="shared" ref="Y5:Y22" si="18">I5-P5</f>
        <v>1403.5715964000001</v>
      </c>
      <c r="Z5" s="469">
        <f>Y5*WaterCostAndEnergy!$D$11/1000</f>
        <v>18.474769017289411</v>
      </c>
    </row>
    <row r="6" spans="1:26">
      <c r="A6" s="281" t="s">
        <v>643</v>
      </c>
      <c r="B6" s="281" t="str">
        <f>VLOOKUP(A6,'Regional Potential Estimates'!$O$5:$P$11,2,FALSE)</f>
        <v>Lodging</v>
      </c>
      <c r="C6" s="281">
        <f t="shared" si="0"/>
        <v>2.2000000000000002</v>
      </c>
      <c r="D6" s="277">
        <v>1.75</v>
      </c>
      <c r="E6" s="277" t="s">
        <v>932</v>
      </c>
      <c r="F6" s="277" t="str">
        <f t="shared" si="1"/>
        <v>Hospitality1_75</v>
      </c>
      <c r="G6" s="275">
        <f t="shared" si="2"/>
        <v>3508.9289910000002</v>
      </c>
      <c r="H6" s="277">
        <f t="shared" si="3"/>
        <v>2.2000000000000002</v>
      </c>
      <c r="I6" s="291">
        <f t="shared" si="4"/>
        <v>7719.6437802000009</v>
      </c>
      <c r="J6" s="467">
        <f t="shared" si="5"/>
        <v>0.13306009597959184</v>
      </c>
      <c r="K6" s="468">
        <f t="shared" si="6"/>
        <v>5.9339655999999996E-3</v>
      </c>
      <c r="L6" s="275">
        <f t="shared" si="7"/>
        <v>1027.1765423216714</v>
      </c>
      <c r="M6" s="283">
        <f t="shared" si="8"/>
        <v>45.808100635960763</v>
      </c>
      <c r="N6" s="291">
        <f t="shared" si="9"/>
        <v>3508.9289910000002</v>
      </c>
      <c r="O6" s="277">
        <f t="shared" si="10"/>
        <v>1.75</v>
      </c>
      <c r="P6" s="300">
        <f t="shared" si="11"/>
        <v>6140.6257342500003</v>
      </c>
      <c r="Q6" s="467">
        <f t="shared" si="12"/>
        <v>0.13961298716326531</v>
      </c>
      <c r="R6" s="468">
        <f t="shared" si="13"/>
        <v>6.2261992E-3</v>
      </c>
      <c r="S6" s="275">
        <f t="shared" ref="S6:S22" si="19">Q6*P6</f>
        <v>857.3111018102619</v>
      </c>
      <c r="T6" s="275">
        <f t="shared" si="14"/>
        <v>38.232759034086762</v>
      </c>
      <c r="U6" s="282">
        <f t="shared" si="15"/>
        <v>169.86544051140947</v>
      </c>
      <c r="V6" s="282">
        <f xml:space="preserve"> (Y6*WaterCostAndEnergy!$D$8/1000)</f>
        <v>8.3530054630755046</v>
      </c>
      <c r="W6" s="282">
        <f t="shared" si="16"/>
        <v>178.21844597448498</v>
      </c>
      <c r="X6" s="291">
        <f t="shared" si="17"/>
        <v>7.5753416018740012</v>
      </c>
      <c r="Y6" s="291">
        <f t="shared" si="18"/>
        <v>1579.0180459500007</v>
      </c>
      <c r="Z6" s="469">
        <f>Y6*WaterCostAndEnergy!$D$11/1000</f>
        <v>20.784115144450595</v>
      </c>
    </row>
    <row r="7" spans="1:26">
      <c r="A7" s="281" t="s">
        <v>643</v>
      </c>
      <c r="B7" s="281" t="str">
        <f>VLOOKUP(A7,'Regional Potential Estimates'!$O$5:$P$11,2,FALSE)</f>
        <v>Lodging</v>
      </c>
      <c r="C7" s="281">
        <f t="shared" si="0"/>
        <v>2.2000000000000002</v>
      </c>
      <c r="D7" s="277">
        <v>1.5</v>
      </c>
      <c r="E7" s="277" t="s">
        <v>933</v>
      </c>
      <c r="F7" s="277" t="str">
        <f t="shared" si="1"/>
        <v>Hospitality1_50</v>
      </c>
      <c r="G7" s="275">
        <f t="shared" si="2"/>
        <v>3508.9289910000002</v>
      </c>
      <c r="H7" s="277">
        <f t="shared" si="3"/>
        <v>2.2000000000000002</v>
      </c>
      <c r="I7" s="291">
        <f t="shared" si="4"/>
        <v>7719.6437802000009</v>
      </c>
      <c r="J7" s="467">
        <f t="shared" si="5"/>
        <v>0.13306009597959184</v>
      </c>
      <c r="K7" s="468">
        <f t="shared" si="6"/>
        <v>5.9339655999999996E-3</v>
      </c>
      <c r="L7" s="275">
        <f t="shared" si="7"/>
        <v>1027.1765423216714</v>
      </c>
      <c r="M7" s="283">
        <f t="shared" si="8"/>
        <v>45.808100635960763</v>
      </c>
      <c r="N7" s="291">
        <f t="shared" si="9"/>
        <v>3508.9289910000002</v>
      </c>
      <c r="O7" s="277">
        <f t="shared" si="10"/>
        <v>1.5</v>
      </c>
      <c r="P7" s="300">
        <f t="shared" si="11"/>
        <v>5263.3934865000001</v>
      </c>
      <c r="Q7" s="467">
        <f t="shared" si="12"/>
        <v>0.14179728422448981</v>
      </c>
      <c r="R7" s="468">
        <f t="shared" si="13"/>
        <v>6.3236103999999996E-3</v>
      </c>
      <c r="S7" s="275">
        <f t="shared" si="19"/>
        <v>746.33490219056887</v>
      </c>
      <c r="T7" s="275">
        <f t="shared" si="14"/>
        <v>33.283649790523661</v>
      </c>
      <c r="U7" s="282">
        <f t="shared" si="15"/>
        <v>280.84164013110251</v>
      </c>
      <c r="V7" s="282">
        <f xml:space="preserve"> (Y7*WaterCostAndEnergy!$D$8/1000)</f>
        <v>12.993564053673005</v>
      </c>
      <c r="W7" s="282">
        <f t="shared" si="16"/>
        <v>293.83520418477553</v>
      </c>
      <c r="X7" s="291">
        <f t="shared" si="17"/>
        <v>12.524450845437102</v>
      </c>
      <c r="Y7" s="291">
        <f t="shared" si="18"/>
        <v>2456.2502937000008</v>
      </c>
      <c r="Z7" s="469">
        <f>Y7*WaterCostAndEnergy!$D$11/1000</f>
        <v>32.330845780256482</v>
      </c>
    </row>
    <row r="8" spans="1:26">
      <c r="A8" s="281" t="s">
        <v>644</v>
      </c>
      <c r="B8" s="281" t="str">
        <f>VLOOKUP(A8,'Regional Potential Estimates'!$O$5:$P$11,2,FALSE)</f>
        <v>Hospital</v>
      </c>
      <c r="C8" s="281">
        <f t="shared" si="0"/>
        <v>2.2000000000000002</v>
      </c>
      <c r="D8" s="277">
        <v>2</v>
      </c>
      <c r="E8" s="277" t="str">
        <f t="shared" ref="E8:E19" si="20">E5</f>
        <v>2_00</v>
      </c>
      <c r="F8" s="277" t="str">
        <f t="shared" si="1"/>
        <v>Health Care2_00</v>
      </c>
      <c r="G8" s="275">
        <f t="shared" si="2"/>
        <v>2528.0945230330522</v>
      </c>
      <c r="H8" s="277">
        <f t="shared" si="3"/>
        <v>2.2000000000000002</v>
      </c>
      <c r="I8" s="291">
        <f t="shared" si="4"/>
        <v>5561.8079506727154</v>
      </c>
      <c r="J8" s="467">
        <f t="shared" si="5"/>
        <v>0.13306009597959184</v>
      </c>
      <c r="K8" s="468">
        <f t="shared" si="6"/>
        <v>5.9339655999999996E-3</v>
      </c>
      <c r="L8" s="275">
        <f t="shared" si="7"/>
        <v>740.05469973656852</v>
      </c>
      <c r="M8" s="283">
        <f t="shared" si="8"/>
        <v>33.00357705309839</v>
      </c>
      <c r="N8" s="291">
        <f t="shared" si="9"/>
        <v>2528.0945230330522</v>
      </c>
      <c r="O8" s="277">
        <f t="shared" si="10"/>
        <v>1.8</v>
      </c>
      <c r="P8" s="300">
        <f t="shared" si="11"/>
        <v>4550.5701414594942</v>
      </c>
      <c r="Q8" s="467">
        <f t="shared" si="12"/>
        <v>0.13742869010204081</v>
      </c>
      <c r="R8" s="468">
        <f t="shared" si="13"/>
        <v>6.1287879999999987E-3</v>
      </c>
      <c r="S8" s="275">
        <f t="shared" si="19"/>
        <v>625.37889375823681</v>
      </c>
      <c r="T8" s="275">
        <f t="shared" si="14"/>
        <v>27.889479676135245</v>
      </c>
      <c r="U8" s="282">
        <f t="shared" si="15"/>
        <v>114.67580597833171</v>
      </c>
      <c r="V8" s="282">
        <f xml:space="preserve"> (Y8*WaterCostAndEnergy!$D$8/1000)</f>
        <v>5.3494480107379401</v>
      </c>
      <c r="W8" s="282">
        <f t="shared" si="16"/>
        <v>120.02525398906965</v>
      </c>
      <c r="X8" s="291">
        <f t="shared" si="17"/>
        <v>5.1140973769631444</v>
      </c>
      <c r="Y8" s="291">
        <f t="shared" si="18"/>
        <v>1011.2378092132212</v>
      </c>
      <c r="Z8" s="469">
        <f>Y8*WaterCostAndEnergy!$D$11/1000</f>
        <v>13.31060345954721</v>
      </c>
    </row>
    <row r="9" spans="1:26">
      <c r="A9" s="281" t="s">
        <v>644</v>
      </c>
      <c r="B9" s="281" t="str">
        <f>VLOOKUP(A9,'Regional Potential Estimates'!$O$5:$P$11,2,FALSE)</f>
        <v>Hospital</v>
      </c>
      <c r="C9" s="281">
        <f t="shared" si="0"/>
        <v>2.2000000000000002</v>
      </c>
      <c r="D9" s="277">
        <v>1.75</v>
      </c>
      <c r="E9" s="277" t="str">
        <f t="shared" si="20"/>
        <v>1_75</v>
      </c>
      <c r="F9" s="277" t="str">
        <f t="shared" si="1"/>
        <v>Health Care1_75</v>
      </c>
      <c r="G9" s="275">
        <f t="shared" si="2"/>
        <v>2528.0945230330522</v>
      </c>
      <c r="H9" s="277">
        <f t="shared" si="3"/>
        <v>2.2000000000000002</v>
      </c>
      <c r="I9" s="291">
        <f t="shared" si="4"/>
        <v>5561.8079506727154</v>
      </c>
      <c r="J9" s="467">
        <f t="shared" si="5"/>
        <v>0.13306009597959184</v>
      </c>
      <c r="K9" s="468">
        <f t="shared" si="6"/>
        <v>5.9339655999999996E-3</v>
      </c>
      <c r="L9" s="275">
        <f t="shared" si="7"/>
        <v>740.05469973656852</v>
      </c>
      <c r="M9" s="283">
        <f t="shared" si="8"/>
        <v>33.00357705309839</v>
      </c>
      <c r="N9" s="291">
        <f t="shared" si="9"/>
        <v>2528.0945230330522</v>
      </c>
      <c r="O9" s="277">
        <f t="shared" si="10"/>
        <v>1.75</v>
      </c>
      <c r="P9" s="300">
        <f t="shared" si="11"/>
        <v>4424.1654153078416</v>
      </c>
      <c r="Q9" s="467">
        <f t="shared" si="12"/>
        <v>0.13961298716326531</v>
      </c>
      <c r="R9" s="468">
        <f t="shared" si="13"/>
        <v>6.2261992E-3</v>
      </c>
      <c r="S9" s="275">
        <f t="shared" si="19"/>
        <v>617.67094933553608</v>
      </c>
      <c r="T9" s="275">
        <f t="shared" si="14"/>
        <v>27.545735169457352</v>
      </c>
      <c r="U9" s="282">
        <f t="shared" si="15"/>
        <v>122.38375040103244</v>
      </c>
      <c r="V9" s="282">
        <f xml:space="preserve"> (Y9*WaterCostAndEnergy!$D$8/1000)</f>
        <v>6.0181290120801822</v>
      </c>
      <c r="W9" s="282">
        <f t="shared" si="16"/>
        <v>128.40187941311262</v>
      </c>
      <c r="X9" s="291">
        <f t="shared" si="17"/>
        <v>5.4578418836410378</v>
      </c>
      <c r="Y9" s="291">
        <f t="shared" si="18"/>
        <v>1137.6425353648738</v>
      </c>
      <c r="Z9" s="469">
        <f>Y9*WaterCostAndEnergy!$D$11/1000</f>
        <v>14.974428891990611</v>
      </c>
    </row>
    <row r="10" spans="1:26">
      <c r="A10" s="281" t="s">
        <v>644</v>
      </c>
      <c r="B10" s="281" t="str">
        <f>VLOOKUP(A10,'Regional Potential Estimates'!$O$5:$P$11,2,FALSE)</f>
        <v>Hospital</v>
      </c>
      <c r="C10" s="281">
        <f t="shared" si="0"/>
        <v>2.2000000000000002</v>
      </c>
      <c r="D10" s="277">
        <v>1.5</v>
      </c>
      <c r="E10" s="277" t="str">
        <f t="shared" si="20"/>
        <v>1_50</v>
      </c>
      <c r="F10" s="277" t="str">
        <f t="shared" si="1"/>
        <v>Health Care1_50</v>
      </c>
      <c r="G10" s="275">
        <f t="shared" si="2"/>
        <v>2528.0945230330522</v>
      </c>
      <c r="H10" s="277">
        <f t="shared" si="3"/>
        <v>2.2000000000000002</v>
      </c>
      <c r="I10" s="291">
        <f t="shared" si="4"/>
        <v>5561.8079506727154</v>
      </c>
      <c r="J10" s="467">
        <f t="shared" si="5"/>
        <v>0.13306009597959184</v>
      </c>
      <c r="K10" s="468">
        <f t="shared" si="6"/>
        <v>5.9339655999999996E-3</v>
      </c>
      <c r="L10" s="275">
        <f t="shared" si="7"/>
        <v>740.05469973656852</v>
      </c>
      <c r="M10" s="283">
        <f t="shared" si="8"/>
        <v>33.00357705309839</v>
      </c>
      <c r="N10" s="291">
        <f t="shared" si="9"/>
        <v>2528.0945230330522</v>
      </c>
      <c r="O10" s="277">
        <f t="shared" si="10"/>
        <v>1.5</v>
      </c>
      <c r="P10" s="300">
        <f t="shared" si="11"/>
        <v>3792.141784549578</v>
      </c>
      <c r="Q10" s="467">
        <f t="shared" si="12"/>
        <v>0.14179728422448981</v>
      </c>
      <c r="R10" s="468">
        <f t="shared" si="13"/>
        <v>6.3236103999999996E-3</v>
      </c>
      <c r="S10" s="275">
        <f t="shared" si="19"/>
        <v>537.7154064433405</v>
      </c>
      <c r="T10" s="275">
        <f t="shared" si="14"/>
        <v>23.980027227052268</v>
      </c>
      <c r="U10" s="282">
        <f t="shared" si="15"/>
        <v>202.33929329322802</v>
      </c>
      <c r="V10" s="282">
        <f xml:space="preserve"> (Y10*WaterCostAndEnergy!$D$8/1000)</f>
        <v>9.3615340187913976</v>
      </c>
      <c r="W10" s="282">
        <f t="shared" si="16"/>
        <v>211.70082731201941</v>
      </c>
      <c r="X10" s="291">
        <f t="shared" si="17"/>
        <v>9.0235498260461213</v>
      </c>
      <c r="Y10" s="291">
        <f t="shared" si="18"/>
        <v>1769.6661661231374</v>
      </c>
      <c r="Z10" s="469">
        <f>Y10*WaterCostAndEnergy!$D$11/1000</f>
        <v>23.29355605420762</v>
      </c>
    </row>
    <row r="11" spans="1:26">
      <c r="A11" s="281" t="s">
        <v>646</v>
      </c>
      <c r="B11" s="281" t="str">
        <f>VLOOKUP(A11,'Regional Potential Estimates'!$O$5:$P$11,2,FALSE)</f>
        <v>Office</v>
      </c>
      <c r="C11" s="281">
        <f t="shared" si="0"/>
        <v>2.2000000000000002</v>
      </c>
      <c r="D11" s="277">
        <v>2</v>
      </c>
      <c r="E11" s="277" t="str">
        <f t="shared" si="20"/>
        <v>2_00</v>
      </c>
      <c r="F11" s="277" t="str">
        <f t="shared" si="1"/>
        <v>Commercial - Employee Shower2_00</v>
      </c>
      <c r="G11" s="275">
        <f t="shared" si="2"/>
        <v>1894.046</v>
      </c>
      <c r="H11" s="277">
        <f t="shared" si="3"/>
        <v>2.2000000000000002</v>
      </c>
      <c r="I11" s="291">
        <f t="shared" si="4"/>
        <v>4166.9012000000002</v>
      </c>
      <c r="J11" s="467">
        <f t="shared" si="5"/>
        <v>0.13306009597959184</v>
      </c>
      <c r="K11" s="468">
        <f t="shared" si="6"/>
        <v>5.9339655999999996E-3</v>
      </c>
      <c r="L11" s="275">
        <f t="shared" si="7"/>
        <v>554.44827360947647</v>
      </c>
      <c r="M11" s="283">
        <f t="shared" si="8"/>
        <v>24.726248379398719</v>
      </c>
      <c r="N11" s="291">
        <f t="shared" si="9"/>
        <v>1894.046</v>
      </c>
      <c r="O11" s="277">
        <f t="shared" si="10"/>
        <v>1.8</v>
      </c>
      <c r="P11" s="300">
        <f t="shared" si="11"/>
        <v>3409.2828</v>
      </c>
      <c r="Q11" s="467">
        <f t="shared" si="12"/>
        <v>0.13742869010204081</v>
      </c>
      <c r="R11" s="468">
        <f t="shared" si="13"/>
        <v>6.1287879999999987E-3</v>
      </c>
      <c r="S11" s="275">
        <f t="shared" si="19"/>
        <v>468.533269391418</v>
      </c>
      <c r="T11" s="275">
        <f t="shared" si="14"/>
        <v>20.894771513246397</v>
      </c>
      <c r="U11" s="282">
        <f t="shared" si="15"/>
        <v>85.915004218058471</v>
      </c>
      <c r="V11" s="282">
        <f xml:space="preserve"> (Y11*WaterCostAndEnergy!$D$8/1000)</f>
        <v>4.0078013360000018</v>
      </c>
      <c r="W11" s="282">
        <f t="shared" si="16"/>
        <v>89.922805554058471</v>
      </c>
      <c r="X11" s="291">
        <f t="shared" si="17"/>
        <v>3.8314768661523217</v>
      </c>
      <c r="Y11" s="291">
        <f t="shared" si="18"/>
        <v>757.61840000000029</v>
      </c>
      <c r="Z11" s="469">
        <f>Y11*WaterCostAndEnergy!$D$11/1000</f>
        <v>9.9722913880194142</v>
      </c>
    </row>
    <row r="12" spans="1:26">
      <c r="A12" s="281" t="s">
        <v>646</v>
      </c>
      <c r="B12" s="281" t="str">
        <f>VLOOKUP(A12,'Regional Potential Estimates'!$O$5:$P$11,2,FALSE)</f>
        <v>Office</v>
      </c>
      <c r="C12" s="281">
        <f t="shared" si="0"/>
        <v>2.2000000000000002</v>
      </c>
      <c r="D12" s="277">
        <v>1.75</v>
      </c>
      <c r="E12" s="277" t="str">
        <f t="shared" si="20"/>
        <v>1_75</v>
      </c>
      <c r="F12" s="277" t="str">
        <f t="shared" si="1"/>
        <v>Commercial - Employee Shower1_75</v>
      </c>
      <c r="G12" s="275">
        <f t="shared" si="2"/>
        <v>1894.046</v>
      </c>
      <c r="H12" s="277">
        <f t="shared" si="3"/>
        <v>2.2000000000000002</v>
      </c>
      <c r="I12" s="291">
        <f t="shared" si="4"/>
        <v>4166.9012000000002</v>
      </c>
      <c r="J12" s="467">
        <f t="shared" si="5"/>
        <v>0.13306009597959184</v>
      </c>
      <c r="K12" s="468">
        <f t="shared" si="6"/>
        <v>5.9339655999999996E-3</v>
      </c>
      <c r="L12" s="275">
        <f t="shared" si="7"/>
        <v>554.44827360947647</v>
      </c>
      <c r="M12" s="283">
        <f t="shared" si="8"/>
        <v>24.726248379398719</v>
      </c>
      <c r="N12" s="291">
        <f t="shared" si="9"/>
        <v>1894.046</v>
      </c>
      <c r="O12" s="277">
        <f t="shared" si="10"/>
        <v>1.75</v>
      </c>
      <c r="P12" s="300">
        <f t="shared" si="11"/>
        <v>3314.5805</v>
      </c>
      <c r="Q12" s="467">
        <f t="shared" si="12"/>
        <v>0.13961298716326531</v>
      </c>
      <c r="R12" s="468">
        <f t="shared" si="13"/>
        <v>6.2261992E-3</v>
      </c>
      <c r="S12" s="275">
        <f t="shared" si="19"/>
        <v>462.75848479810952</v>
      </c>
      <c r="T12" s="275">
        <f t="shared" si="14"/>
        <v>20.6372384574356</v>
      </c>
      <c r="U12" s="282">
        <f t="shared" si="15"/>
        <v>91.689788811366952</v>
      </c>
      <c r="V12" s="282">
        <f xml:space="preserve"> (Y12*WaterCostAndEnergy!$D$8/1000)</f>
        <v>4.5087765030000009</v>
      </c>
      <c r="W12" s="282">
        <f t="shared" si="16"/>
        <v>96.198565314366959</v>
      </c>
      <c r="X12" s="291">
        <f t="shared" si="17"/>
        <v>4.0890099219631182</v>
      </c>
      <c r="Y12" s="291">
        <f t="shared" si="18"/>
        <v>852.32070000000022</v>
      </c>
      <c r="Z12" s="469">
        <f>Y12*WaterCostAndEnergy!$D$11/1000</f>
        <v>11.218827811521839</v>
      </c>
    </row>
    <row r="13" spans="1:26">
      <c r="A13" s="281" t="s">
        <v>646</v>
      </c>
      <c r="B13" s="281" t="str">
        <f>VLOOKUP(A13,'Regional Potential Estimates'!$O$5:$P$11,2,FALSE)</f>
        <v>Office</v>
      </c>
      <c r="C13" s="281">
        <f t="shared" si="0"/>
        <v>2.2000000000000002</v>
      </c>
      <c r="D13" s="277">
        <v>1.5</v>
      </c>
      <c r="E13" s="277" t="str">
        <f t="shared" si="20"/>
        <v>1_50</v>
      </c>
      <c r="F13" s="277" t="str">
        <f t="shared" si="1"/>
        <v>Commercial - Employee Shower1_50</v>
      </c>
      <c r="G13" s="275">
        <f t="shared" si="2"/>
        <v>1894.046</v>
      </c>
      <c r="H13" s="277">
        <f t="shared" si="3"/>
        <v>2.2000000000000002</v>
      </c>
      <c r="I13" s="291">
        <f t="shared" si="4"/>
        <v>4166.9012000000002</v>
      </c>
      <c r="J13" s="467">
        <f t="shared" si="5"/>
        <v>0.13306009597959184</v>
      </c>
      <c r="K13" s="468">
        <f t="shared" si="6"/>
        <v>5.9339655999999996E-3</v>
      </c>
      <c r="L13" s="275">
        <f t="shared" si="7"/>
        <v>554.44827360947647</v>
      </c>
      <c r="M13" s="283">
        <f t="shared" si="8"/>
        <v>24.726248379398719</v>
      </c>
      <c r="N13" s="291">
        <f t="shared" si="9"/>
        <v>1894.046</v>
      </c>
      <c r="O13" s="277">
        <f t="shared" si="10"/>
        <v>1.5</v>
      </c>
      <c r="P13" s="300">
        <f t="shared" si="11"/>
        <v>2841.069</v>
      </c>
      <c r="Q13" s="467">
        <f t="shared" si="12"/>
        <v>0.14179728422448981</v>
      </c>
      <c r="R13" s="468">
        <f t="shared" si="13"/>
        <v>6.3236103999999996E-3</v>
      </c>
      <c r="S13" s="275">
        <f t="shared" si="19"/>
        <v>402.85586849438704</v>
      </c>
      <c r="T13" s="275">
        <f t="shared" si="14"/>
        <v>17.965813475517599</v>
      </c>
      <c r="U13" s="282">
        <f t="shared" si="15"/>
        <v>151.59240511508943</v>
      </c>
      <c r="V13" s="282">
        <f xml:space="preserve"> (Y13*WaterCostAndEnergy!$D$8/1000)</f>
        <v>7.0136523380000018</v>
      </c>
      <c r="W13" s="282">
        <f t="shared" si="16"/>
        <v>158.60605745308945</v>
      </c>
      <c r="X13" s="291">
        <f t="shared" si="17"/>
        <v>6.7604349038811193</v>
      </c>
      <c r="Y13" s="291">
        <f t="shared" si="18"/>
        <v>1325.8322000000003</v>
      </c>
      <c r="Z13" s="469">
        <f>Y13*WaterCostAndEnergy!$D$11/1000</f>
        <v>17.451509929033971</v>
      </c>
    </row>
    <row r="14" spans="1:26">
      <c r="A14" s="281" t="s">
        <v>403</v>
      </c>
      <c r="B14" s="281" t="str">
        <f>VLOOKUP(A14,'Regional Potential Estimates'!$O$5:$P$11,2,FALSE)</f>
        <v>School</v>
      </c>
      <c r="C14" s="281">
        <f t="shared" si="0"/>
        <v>2.2000000000000002</v>
      </c>
      <c r="D14" s="277">
        <v>2</v>
      </c>
      <c r="E14" s="277" t="str">
        <f t="shared" si="20"/>
        <v>2_00</v>
      </c>
      <c r="F14" s="277" t="str">
        <f t="shared" si="1"/>
        <v>School2_00</v>
      </c>
      <c r="G14" s="275">
        <f t="shared" si="2"/>
        <v>2057.4162679425835</v>
      </c>
      <c r="H14" s="277">
        <f t="shared" si="3"/>
        <v>2.2000000000000002</v>
      </c>
      <c r="I14" s="291">
        <f t="shared" si="4"/>
        <v>4526.3157894736842</v>
      </c>
      <c r="J14" s="467">
        <f t="shared" si="5"/>
        <v>0.13306009597959184</v>
      </c>
      <c r="K14" s="468">
        <f t="shared" si="6"/>
        <v>5.9339655999999996E-3</v>
      </c>
      <c r="L14" s="275">
        <f t="shared" si="7"/>
        <v>602.27201338131044</v>
      </c>
      <c r="M14" s="283">
        <f t="shared" si="8"/>
        <v>26.859002189473681</v>
      </c>
      <c r="N14" s="291">
        <f t="shared" si="9"/>
        <v>2057.4162679425835</v>
      </c>
      <c r="O14" s="277">
        <f t="shared" si="10"/>
        <v>1.8</v>
      </c>
      <c r="P14" s="300">
        <f t="shared" si="11"/>
        <v>3703.3492822966505</v>
      </c>
      <c r="Q14" s="467">
        <f t="shared" si="12"/>
        <v>0.13742869010204081</v>
      </c>
      <c r="R14" s="468">
        <f t="shared" si="13"/>
        <v>6.1287879999999987E-3</v>
      </c>
      <c r="S14" s="275">
        <f t="shared" si="19"/>
        <v>508.94644085636162</v>
      </c>
      <c r="T14" s="275">
        <f t="shared" si="14"/>
        <v>22.697042641148318</v>
      </c>
      <c r="U14" s="282">
        <f t="shared" si="15"/>
        <v>93.325572524948825</v>
      </c>
      <c r="V14" s="282">
        <f xml:space="preserve"> (Y14*WaterCostAndEnergy!$D$8/1000)</f>
        <v>4.3534928229665084</v>
      </c>
      <c r="W14" s="282">
        <f t="shared" si="16"/>
        <v>97.679065347915326</v>
      </c>
      <c r="X14" s="291">
        <f t="shared" si="17"/>
        <v>4.1619595483253633</v>
      </c>
      <c r="Y14" s="291">
        <f t="shared" si="18"/>
        <v>822.96650717703369</v>
      </c>
      <c r="Z14" s="469">
        <f>Y14*WaterCostAndEnergy!$D$11/1000</f>
        <v>10.832447855213056</v>
      </c>
    </row>
    <row r="15" spans="1:26">
      <c r="A15" s="281" t="s">
        <v>403</v>
      </c>
      <c r="B15" s="281" t="str">
        <f>VLOOKUP(A15,'Regional Potential Estimates'!$O$5:$P$11,2,FALSE)</f>
        <v>School</v>
      </c>
      <c r="C15" s="281">
        <f t="shared" si="0"/>
        <v>2.2000000000000002</v>
      </c>
      <c r="D15" s="277">
        <v>1.75</v>
      </c>
      <c r="E15" s="277" t="str">
        <f t="shared" si="20"/>
        <v>1_75</v>
      </c>
      <c r="F15" s="277" t="str">
        <f t="shared" si="1"/>
        <v>School1_75</v>
      </c>
      <c r="G15" s="275">
        <f t="shared" si="2"/>
        <v>2057.4162679425835</v>
      </c>
      <c r="H15" s="277">
        <f t="shared" si="3"/>
        <v>2.2000000000000002</v>
      </c>
      <c r="I15" s="291">
        <f t="shared" si="4"/>
        <v>4526.3157894736842</v>
      </c>
      <c r="J15" s="467">
        <f t="shared" si="5"/>
        <v>0.13306009597959184</v>
      </c>
      <c r="K15" s="468">
        <f t="shared" si="6"/>
        <v>5.9339655999999996E-3</v>
      </c>
      <c r="L15" s="275">
        <f t="shared" si="7"/>
        <v>602.27201338131044</v>
      </c>
      <c r="M15" s="283">
        <f t="shared" si="8"/>
        <v>26.859002189473681</v>
      </c>
      <c r="N15" s="291">
        <f t="shared" si="9"/>
        <v>2057.4162679425835</v>
      </c>
      <c r="O15" s="277">
        <f t="shared" si="10"/>
        <v>1.75</v>
      </c>
      <c r="P15" s="300">
        <f t="shared" si="11"/>
        <v>3600.4784688995214</v>
      </c>
      <c r="Q15" s="467">
        <f t="shared" si="12"/>
        <v>0.13961298716326531</v>
      </c>
      <c r="R15" s="468">
        <f t="shared" si="13"/>
        <v>6.2261992E-3</v>
      </c>
      <c r="S15" s="275">
        <f t="shared" si="19"/>
        <v>502.67355426008203</v>
      </c>
      <c r="T15" s="275">
        <f t="shared" si="14"/>
        <v>22.417296162679424</v>
      </c>
      <c r="U15" s="282">
        <f t="shared" si="15"/>
        <v>99.598459121228416</v>
      </c>
      <c r="V15" s="282">
        <f xml:space="preserve"> (Y15*WaterCostAndEnergy!$D$8/1000)</f>
        <v>4.8976794258373211</v>
      </c>
      <c r="W15" s="282">
        <f t="shared" si="16"/>
        <v>104.49613854706574</v>
      </c>
      <c r="X15" s="291">
        <f t="shared" si="17"/>
        <v>4.4417060267942574</v>
      </c>
      <c r="Y15" s="291">
        <f t="shared" si="18"/>
        <v>925.83732057416273</v>
      </c>
      <c r="Z15" s="469">
        <f>Y15*WaterCostAndEnergy!$D$11/1000</f>
        <v>12.186503837114685</v>
      </c>
    </row>
    <row r="16" spans="1:26">
      <c r="A16" s="281" t="s">
        <v>403</v>
      </c>
      <c r="B16" s="281" t="str">
        <f>VLOOKUP(A16,'Regional Potential Estimates'!$O$5:$P$11,2,FALSE)</f>
        <v>School</v>
      </c>
      <c r="C16" s="281">
        <f t="shared" si="0"/>
        <v>2.2000000000000002</v>
      </c>
      <c r="D16" s="277">
        <v>1.5</v>
      </c>
      <c r="E16" s="277" t="str">
        <f t="shared" si="20"/>
        <v>1_50</v>
      </c>
      <c r="F16" s="277" t="str">
        <f t="shared" si="1"/>
        <v>School1_50</v>
      </c>
      <c r="G16" s="275">
        <f t="shared" si="2"/>
        <v>2057.4162679425835</v>
      </c>
      <c r="H16" s="277">
        <f t="shared" si="3"/>
        <v>2.2000000000000002</v>
      </c>
      <c r="I16" s="291">
        <f t="shared" si="4"/>
        <v>4526.3157894736842</v>
      </c>
      <c r="J16" s="467">
        <f t="shared" si="5"/>
        <v>0.13306009597959184</v>
      </c>
      <c r="K16" s="468">
        <f t="shared" si="6"/>
        <v>5.9339655999999996E-3</v>
      </c>
      <c r="L16" s="275">
        <f t="shared" si="7"/>
        <v>602.27201338131044</v>
      </c>
      <c r="M16" s="283">
        <f t="shared" si="8"/>
        <v>26.859002189473681</v>
      </c>
      <c r="N16" s="291">
        <f t="shared" si="9"/>
        <v>2057.4162679425835</v>
      </c>
      <c r="O16" s="277">
        <f t="shared" si="10"/>
        <v>1.5</v>
      </c>
      <c r="P16" s="300">
        <f t="shared" si="11"/>
        <v>3086.1244019138753</v>
      </c>
      <c r="Q16" s="467">
        <f t="shared" si="12"/>
        <v>0.14179728422448981</v>
      </c>
      <c r="R16" s="468">
        <f t="shared" si="13"/>
        <v>6.3236103999999996E-3</v>
      </c>
      <c r="S16" s="275">
        <f t="shared" si="19"/>
        <v>437.60405897031541</v>
      </c>
      <c r="T16" s="275">
        <f t="shared" si="14"/>
        <v>19.515448363636359</v>
      </c>
      <c r="U16" s="282">
        <f t="shared" si="15"/>
        <v>164.66795441099504</v>
      </c>
      <c r="V16" s="282">
        <f xml:space="preserve"> (Y16*WaterCostAndEnergy!$D$8/1000)</f>
        <v>7.6186124401913888</v>
      </c>
      <c r="W16" s="282">
        <f t="shared" si="16"/>
        <v>172.28656685118642</v>
      </c>
      <c r="X16" s="291">
        <f t="shared" si="17"/>
        <v>7.3435538258373221</v>
      </c>
      <c r="Y16" s="291">
        <f t="shared" si="18"/>
        <v>1440.1913875598088</v>
      </c>
      <c r="Z16" s="469">
        <f>Y16*WaterCostAndEnergy!$D$11/1000</f>
        <v>18.956783746622847</v>
      </c>
    </row>
    <row r="17" spans="1:26" s="471" customFormat="1">
      <c r="A17" s="470" t="s">
        <v>688</v>
      </c>
      <c r="B17" s="470" t="e">
        <f>VLOOKUP(A17,'Regional Potential Estimates'!$O$5:$P$11,2,FALSE)</f>
        <v>#N/A</v>
      </c>
      <c r="C17" s="470">
        <f t="shared" si="0"/>
        <v>2.2000000000000002</v>
      </c>
      <c r="D17" s="471">
        <v>2</v>
      </c>
      <c r="E17" s="471" t="str">
        <f t="shared" si="20"/>
        <v>2_00</v>
      </c>
      <c r="F17" s="471" t="str">
        <f t="shared" si="1"/>
        <v>Any Commercial Except Fitness Center2_00</v>
      </c>
      <c r="G17" s="472">
        <f t="shared" si="2"/>
        <v>3029.0911880322728</v>
      </c>
      <c r="H17" s="471">
        <f t="shared" si="3"/>
        <v>2.2000000000000002</v>
      </c>
      <c r="I17" s="473">
        <f t="shared" si="4"/>
        <v>6664.0006136710008</v>
      </c>
      <c r="J17" s="474">
        <f t="shared" si="5"/>
        <v>0.13306009597959184</v>
      </c>
      <c r="K17" s="475">
        <f t="shared" si="6"/>
        <v>5.9339655999999996E-3</v>
      </c>
      <c r="L17" s="472">
        <f t="shared" si="7"/>
        <v>886.71256126312232</v>
      </c>
      <c r="M17" s="476">
        <f t="shared" si="8"/>
        <v>39.543950399902606</v>
      </c>
      <c r="N17" s="473">
        <f t="shared" si="9"/>
        <v>3029.0911880322728</v>
      </c>
      <c r="O17" s="471">
        <f t="shared" si="10"/>
        <v>1.8</v>
      </c>
      <c r="P17" s="477">
        <f t="shared" si="11"/>
        <v>5452.3641384580915</v>
      </c>
      <c r="Q17" s="474">
        <f t="shared" si="12"/>
        <v>0.13742869010204081</v>
      </c>
      <c r="R17" s="475">
        <f t="shared" si="13"/>
        <v>6.1287879999999987E-3</v>
      </c>
      <c r="S17" s="472">
        <f t="shared" si="19"/>
        <v>749.31126150763782</v>
      </c>
      <c r="T17" s="472">
        <f t="shared" si="14"/>
        <v>33.416383903412282</v>
      </c>
      <c r="U17" s="478">
        <f t="shared" si="15"/>
        <v>137.4012997554845</v>
      </c>
      <c r="V17" s="478">
        <f xml:space="preserve"> (Y17*WaterCostAndEnergy!$D$8/1000)</f>
        <v>6.4095569538762902</v>
      </c>
      <c r="W17" s="478">
        <f t="shared" si="16"/>
        <v>143.81085670936079</v>
      </c>
      <c r="X17" s="473">
        <f t="shared" si="17"/>
        <v>6.1275664964903243</v>
      </c>
      <c r="Y17" s="473">
        <f t="shared" si="18"/>
        <v>1211.6364752129093</v>
      </c>
      <c r="Z17" s="479">
        <f>Y17*WaterCostAndEnergy!$D$11/1000</f>
        <v>15.948387720224177</v>
      </c>
    </row>
    <row r="18" spans="1:26" s="471" customFormat="1">
      <c r="A18" s="470" t="s">
        <v>688</v>
      </c>
      <c r="B18" s="470" t="e">
        <f>VLOOKUP(A18,'Regional Potential Estimates'!$O$5:$P$11,2,FALSE)</f>
        <v>#N/A</v>
      </c>
      <c r="C18" s="470">
        <f t="shared" si="0"/>
        <v>2.2000000000000002</v>
      </c>
      <c r="D18" s="471">
        <v>1.75</v>
      </c>
      <c r="E18" s="471" t="str">
        <f t="shared" si="20"/>
        <v>1_75</v>
      </c>
      <c r="F18" s="471" t="str">
        <f t="shared" si="1"/>
        <v>Any Commercial Except Fitness Center1_75</v>
      </c>
      <c r="G18" s="472">
        <f t="shared" si="2"/>
        <v>3029.0911880322728</v>
      </c>
      <c r="H18" s="471">
        <f t="shared" si="3"/>
        <v>2.2000000000000002</v>
      </c>
      <c r="I18" s="473">
        <f t="shared" si="4"/>
        <v>6664.0006136710008</v>
      </c>
      <c r="J18" s="474">
        <f t="shared" si="5"/>
        <v>0.13306009597959184</v>
      </c>
      <c r="K18" s="475">
        <f t="shared" si="6"/>
        <v>5.9339655999999996E-3</v>
      </c>
      <c r="L18" s="472">
        <f t="shared" si="7"/>
        <v>886.71256126312232</v>
      </c>
      <c r="M18" s="476">
        <f t="shared" si="8"/>
        <v>39.543950399902606</v>
      </c>
      <c r="N18" s="473">
        <f t="shared" si="9"/>
        <v>3029.0911880322728</v>
      </c>
      <c r="O18" s="471">
        <f t="shared" si="10"/>
        <v>1.75</v>
      </c>
      <c r="P18" s="477">
        <f t="shared" si="11"/>
        <v>5300.909579056477</v>
      </c>
      <c r="Q18" s="474">
        <f t="shared" si="12"/>
        <v>0.13961298716326531</v>
      </c>
      <c r="R18" s="475">
        <f t="shared" si="13"/>
        <v>6.2261992E-3</v>
      </c>
      <c r="S18" s="472">
        <f t="shared" si="19"/>
        <v>740.075821014442</v>
      </c>
      <c r="T18" s="472">
        <f t="shared" si="14"/>
        <v>33.004518980393776</v>
      </c>
      <c r="U18" s="478">
        <f t="shared" si="15"/>
        <v>146.63674024868033</v>
      </c>
      <c r="V18" s="478">
        <f xml:space="preserve"> (Y18*WaterCostAndEnergy!$D$8/1000)</f>
        <v>7.2107515731108309</v>
      </c>
      <c r="W18" s="478">
        <f t="shared" si="16"/>
        <v>153.84749182179115</v>
      </c>
      <c r="X18" s="473">
        <f t="shared" si="17"/>
        <v>6.5394314195088299</v>
      </c>
      <c r="Y18" s="473">
        <f t="shared" si="18"/>
        <v>1363.0910346145238</v>
      </c>
      <c r="Z18" s="479">
        <f>Y18*WaterCostAndEnergy!$D$11/1000</f>
        <v>17.941936185252214</v>
      </c>
    </row>
    <row r="19" spans="1:26" s="471" customFormat="1">
      <c r="A19" s="470" t="s">
        <v>688</v>
      </c>
      <c r="B19" s="470" t="e">
        <f>VLOOKUP(A19,'Regional Potential Estimates'!$O$5:$P$11,2,FALSE)</f>
        <v>#N/A</v>
      </c>
      <c r="C19" s="470">
        <f t="shared" si="0"/>
        <v>2.2000000000000002</v>
      </c>
      <c r="D19" s="471">
        <v>1.5</v>
      </c>
      <c r="E19" s="471" t="str">
        <f t="shared" si="20"/>
        <v>1_50</v>
      </c>
      <c r="F19" s="471" t="str">
        <f t="shared" si="1"/>
        <v>Any Commercial Except Fitness Center1_50</v>
      </c>
      <c r="G19" s="472">
        <f t="shared" si="2"/>
        <v>3029.0911880322728</v>
      </c>
      <c r="H19" s="471">
        <f t="shared" si="3"/>
        <v>2.2000000000000002</v>
      </c>
      <c r="I19" s="473">
        <f t="shared" si="4"/>
        <v>6664.0006136710008</v>
      </c>
      <c r="J19" s="474">
        <f t="shared" si="5"/>
        <v>0.13306009597959184</v>
      </c>
      <c r="K19" s="475">
        <f t="shared" si="6"/>
        <v>5.9339655999999996E-3</v>
      </c>
      <c r="L19" s="472">
        <f t="shared" si="7"/>
        <v>886.71256126312232</v>
      </c>
      <c r="M19" s="476">
        <f t="shared" si="8"/>
        <v>39.543950399902606</v>
      </c>
      <c r="N19" s="473">
        <f t="shared" si="9"/>
        <v>3029.0911880322728</v>
      </c>
      <c r="O19" s="471">
        <f t="shared" si="10"/>
        <v>1.5</v>
      </c>
      <c r="P19" s="477">
        <f t="shared" si="11"/>
        <v>4543.6367820484093</v>
      </c>
      <c r="Q19" s="474">
        <f t="shared" si="12"/>
        <v>0.14179728422448981</v>
      </c>
      <c r="R19" s="475">
        <f t="shared" si="13"/>
        <v>6.3236103999999996E-3</v>
      </c>
      <c r="S19" s="472">
        <f t="shared" si="19"/>
        <v>644.27535619696459</v>
      </c>
      <c r="T19" s="472">
        <f t="shared" si="14"/>
        <v>28.732188808783853</v>
      </c>
      <c r="U19" s="478">
        <f t="shared" si="15"/>
        <v>242.43720506615773</v>
      </c>
      <c r="V19" s="478">
        <f xml:space="preserve"> (Y19*WaterCostAndEnergy!$D$8/1000)</f>
        <v>11.21672466928351</v>
      </c>
      <c r="W19" s="478">
        <f t="shared" si="16"/>
        <v>253.65392973544124</v>
      </c>
      <c r="X19" s="473">
        <f t="shared" si="17"/>
        <v>10.811761591118753</v>
      </c>
      <c r="Y19" s="473">
        <f t="shared" si="18"/>
        <v>2120.3638316225915</v>
      </c>
      <c r="Z19" s="479">
        <f>Y19*WaterCostAndEnergy!$D$11/1000</f>
        <v>27.909678510392315</v>
      </c>
    </row>
    <row r="20" spans="1:26">
      <c r="A20" s="281" t="s">
        <v>645</v>
      </c>
      <c r="B20" s="281" t="str">
        <f>VLOOKUP(A20,'Regional Potential Estimates'!$O$5:$P$11,2,FALSE)</f>
        <v>Other</v>
      </c>
      <c r="C20" s="281">
        <f t="shared" si="0"/>
        <v>2.2000000000000002</v>
      </c>
      <c r="D20" s="277">
        <v>2</v>
      </c>
      <c r="E20" s="277" t="str">
        <f>E14</f>
        <v>2_00</v>
      </c>
      <c r="F20" s="277" t="str">
        <f t="shared" si="1"/>
        <v>Fitness Center2_00</v>
      </c>
      <c r="G20" s="275">
        <f t="shared" si="2"/>
        <v>56892.698785085886</v>
      </c>
      <c r="H20" s="277">
        <f t="shared" si="3"/>
        <v>2.2000000000000002</v>
      </c>
      <c r="I20" s="291">
        <f t="shared" si="4"/>
        <v>125163.93732718896</v>
      </c>
      <c r="J20" s="467">
        <f t="shared" si="5"/>
        <v>0.13306009597959184</v>
      </c>
      <c r="K20" s="468">
        <f t="shared" si="6"/>
        <v>5.9339655999999996E-3</v>
      </c>
      <c r="L20" s="275">
        <f t="shared" si="7"/>
        <v>16654.32551393938</v>
      </c>
      <c r="M20" s="283">
        <f t="shared" si="8"/>
        <v>742.71849846009525</v>
      </c>
      <c r="N20" s="291">
        <f t="shared" si="9"/>
        <v>56892.698785085886</v>
      </c>
      <c r="O20" s="277">
        <f t="shared" si="10"/>
        <v>1.8</v>
      </c>
      <c r="P20" s="300">
        <f t="shared" si="11"/>
        <v>102406.85781315459</v>
      </c>
      <c r="Q20" s="467">
        <f t="shared" si="12"/>
        <v>0.13742869010204081</v>
      </c>
      <c r="R20" s="468">
        <f t="shared" si="13"/>
        <v>6.1287879999999987E-3</v>
      </c>
      <c r="S20" s="275">
        <f t="shared" si="19"/>
        <v>14073.64032672778</v>
      </c>
      <c r="T20" s="275">
        <f t="shared" si="14"/>
        <v>627.62992128296798</v>
      </c>
      <c r="U20" s="282">
        <f t="shared" si="15"/>
        <v>2580.6851872116004</v>
      </c>
      <c r="V20" s="282">
        <f xml:space="preserve"> (Y20*WaterCostAndEnergy!$D$8/1000)</f>
        <v>120.38495062924181</v>
      </c>
      <c r="W20" s="282">
        <f t="shared" si="16"/>
        <v>2701.0701378408421</v>
      </c>
      <c r="X20" s="291">
        <f t="shared" si="17"/>
        <v>115.08857717712726</v>
      </c>
      <c r="Y20" s="291">
        <f t="shared" si="18"/>
        <v>22757.079514034369</v>
      </c>
      <c r="Z20" s="469">
        <f>Y20*WaterCostAndEnergy!$D$11/1000</f>
        <v>299.54424028544958</v>
      </c>
    </row>
    <row r="21" spans="1:26">
      <c r="A21" s="281" t="s">
        <v>645</v>
      </c>
      <c r="B21" s="281" t="str">
        <f>VLOOKUP(A21,'Regional Potential Estimates'!$O$5:$P$11,2,FALSE)</f>
        <v>Other</v>
      </c>
      <c r="C21" s="281">
        <f t="shared" si="0"/>
        <v>2.2000000000000002</v>
      </c>
      <c r="D21" s="277">
        <v>1.75</v>
      </c>
      <c r="E21" s="277" t="str">
        <f>E15</f>
        <v>1_75</v>
      </c>
      <c r="F21" s="277" t="str">
        <f t="shared" si="1"/>
        <v>Fitness Center1_75</v>
      </c>
      <c r="G21" s="275">
        <f t="shared" si="2"/>
        <v>56892.698785085886</v>
      </c>
      <c r="H21" s="277">
        <f t="shared" si="3"/>
        <v>2.2000000000000002</v>
      </c>
      <c r="I21" s="291">
        <f t="shared" si="4"/>
        <v>125163.93732718896</v>
      </c>
      <c r="J21" s="467">
        <f t="shared" si="5"/>
        <v>0.13306009597959184</v>
      </c>
      <c r="K21" s="468">
        <f t="shared" si="6"/>
        <v>5.9339655999999996E-3</v>
      </c>
      <c r="L21" s="275">
        <f t="shared" si="7"/>
        <v>16654.32551393938</v>
      </c>
      <c r="M21" s="283">
        <f t="shared" si="8"/>
        <v>742.71849846009525</v>
      </c>
      <c r="N21" s="291">
        <f t="shared" si="9"/>
        <v>56892.698785085886</v>
      </c>
      <c r="O21" s="277">
        <f t="shared" si="10"/>
        <v>1.75</v>
      </c>
      <c r="P21" s="300">
        <f t="shared" si="11"/>
        <v>99562.222873900304</v>
      </c>
      <c r="Q21" s="467">
        <f t="shared" si="12"/>
        <v>0.13961298716326531</v>
      </c>
      <c r="R21" s="468">
        <f t="shared" si="13"/>
        <v>6.2261992E-3</v>
      </c>
      <c r="S21" s="275">
        <f t="shared" si="19"/>
        <v>13900.179344040003</v>
      </c>
      <c r="T21" s="275">
        <f t="shared" si="14"/>
        <v>619.89423240769975</v>
      </c>
      <c r="U21" s="282">
        <f t="shared" si="15"/>
        <v>2754.1461698993771</v>
      </c>
      <c r="V21" s="282">
        <f xml:space="preserve"> (Y21*WaterCostAndEnergy!$D$8/1000)</f>
        <v>135.43306945789701</v>
      </c>
      <c r="W21" s="282">
        <f t="shared" si="16"/>
        <v>2889.5792393572742</v>
      </c>
      <c r="X21" s="291">
        <f t="shared" si="17"/>
        <v>122.8242660523955</v>
      </c>
      <c r="Y21" s="291">
        <f t="shared" si="18"/>
        <v>25601.71445328866</v>
      </c>
      <c r="Z21" s="469">
        <f>Y21*WaterCostAndEnergy!$D$11/1000</f>
        <v>336.98727032113078</v>
      </c>
    </row>
    <row r="22" spans="1:26">
      <c r="A22" s="281" t="s">
        <v>645</v>
      </c>
      <c r="B22" s="281" t="str">
        <f>VLOOKUP(A22,'Regional Potential Estimates'!$O$5:$P$11,2,FALSE)</f>
        <v>Other</v>
      </c>
      <c r="C22" s="281">
        <f t="shared" si="0"/>
        <v>2.2000000000000002</v>
      </c>
      <c r="D22" s="277">
        <v>1.5</v>
      </c>
      <c r="E22" s="277" t="str">
        <f>E16</f>
        <v>1_50</v>
      </c>
      <c r="F22" s="277" t="str">
        <f t="shared" si="1"/>
        <v>Fitness Center1_50</v>
      </c>
      <c r="G22" s="275">
        <f t="shared" si="2"/>
        <v>56892.698785085886</v>
      </c>
      <c r="H22" s="277">
        <f t="shared" si="3"/>
        <v>2.2000000000000002</v>
      </c>
      <c r="I22" s="291">
        <f t="shared" si="4"/>
        <v>125163.93732718896</v>
      </c>
      <c r="J22" s="467">
        <f t="shared" si="5"/>
        <v>0.13306009597959184</v>
      </c>
      <c r="K22" s="468">
        <f t="shared" si="6"/>
        <v>5.9339655999999996E-3</v>
      </c>
      <c r="L22" s="275">
        <f t="shared" si="7"/>
        <v>16654.32551393938</v>
      </c>
      <c r="M22" s="283">
        <f t="shared" si="8"/>
        <v>742.71849846009525</v>
      </c>
      <c r="N22" s="291">
        <f t="shared" si="9"/>
        <v>56892.698785085886</v>
      </c>
      <c r="O22" s="277">
        <f t="shared" si="10"/>
        <v>1.5</v>
      </c>
      <c r="P22" s="300">
        <f t="shared" si="11"/>
        <v>85339.048177628836</v>
      </c>
      <c r="Q22" s="467">
        <f t="shared" si="12"/>
        <v>0.14179728422448981</v>
      </c>
      <c r="R22" s="468">
        <f t="shared" si="13"/>
        <v>6.3236103999999996E-3</v>
      </c>
      <c r="S22" s="275">
        <f t="shared" si="19"/>
        <v>12100.845269890666</v>
      </c>
      <c r="T22" s="275">
        <f t="shared" si="14"/>
        <v>539.65089258215471</v>
      </c>
      <c r="U22" s="282">
        <f t="shared" si="15"/>
        <v>4553.4802440487147</v>
      </c>
      <c r="V22" s="282">
        <f xml:space="preserve"> (Y22*WaterCostAndEnergy!$D$8/1000)</f>
        <v>210.67366360117308</v>
      </c>
      <c r="W22" s="282">
        <f t="shared" si="16"/>
        <v>4764.1539076498875</v>
      </c>
      <c r="X22" s="291">
        <f t="shared" si="17"/>
        <v>203.06760587794054</v>
      </c>
      <c r="Y22" s="291">
        <f t="shared" si="18"/>
        <v>39824.889149560127</v>
      </c>
      <c r="Z22" s="469">
        <f>Y22*WaterCostAndEnergy!$D$11/1000</f>
        <v>524.20242049953663</v>
      </c>
    </row>
    <row r="24" spans="1:26">
      <c r="A24" s="480" t="s">
        <v>981</v>
      </c>
      <c r="B24" s="480"/>
      <c r="C24" s="481"/>
      <c r="D24" s="482"/>
      <c r="E24" s="482"/>
      <c r="F24" s="482"/>
      <c r="G24" s="482"/>
      <c r="H24" s="482"/>
      <c r="I24" s="482"/>
      <c r="J24" s="482"/>
      <c r="K24" s="482"/>
      <c r="L24" s="482"/>
      <c r="M24" s="482"/>
      <c r="N24" s="482"/>
      <c r="O24" s="482"/>
      <c r="P24" s="482"/>
      <c r="Q24" s="482"/>
      <c r="R24" s="482"/>
      <c r="S24" s="482"/>
      <c r="T24" s="482"/>
      <c r="U24" s="482"/>
      <c r="V24" s="482"/>
      <c r="W24" s="482"/>
      <c r="X24" s="482"/>
      <c r="Y24" s="482"/>
      <c r="Z24" s="482"/>
    </row>
    <row r="25" spans="1:26" s="453" customFormat="1">
      <c r="A25" s="483" t="s">
        <v>982</v>
      </c>
      <c r="B25" s="483"/>
      <c r="C25" s="484"/>
    </row>
    <row r="26" spans="1:26" ht="52.5" customHeight="1">
      <c r="J26" s="586" t="s">
        <v>983</v>
      </c>
      <c r="K26" s="586"/>
    </row>
    <row r="27" spans="1:26">
      <c r="A27" s="281" t="s">
        <v>645</v>
      </c>
      <c r="B27" s="281"/>
      <c r="C27" s="281" t="s">
        <v>864</v>
      </c>
      <c r="D27" s="277">
        <v>2</v>
      </c>
      <c r="E27" s="277" t="s">
        <v>931</v>
      </c>
      <c r="F27" s="277" t="str">
        <f t="shared" ref="F27:F59" si="21">A27&amp;C27&amp;E27</f>
        <v>Fitness Center2_5 gpm or higher2_00</v>
      </c>
      <c r="G27" s="275">
        <f t="shared" ref="G27:G59" si="22">VLOOKUP(A27,table_AnnualMinutes,2,FALSE)</f>
        <v>56892.698785085886</v>
      </c>
      <c r="H27" s="277">
        <f>VLOOKUP(C27,FlowRates!$A$74:$B$81,2,FALSE)</f>
        <v>2.5</v>
      </c>
      <c r="I27" s="300">
        <f t="shared" ref="I27:I59" si="23">G27*H27</f>
        <v>142231.74696271471</v>
      </c>
      <c r="J27" s="467">
        <f>AVERAGE(EnergyPerGallon!$C$5:$C$8)</f>
        <v>0.13797476436734693</v>
      </c>
      <c r="K27" s="468">
        <f>AVERAGE(EnergyPerGallon!$D$5:$D$8)</f>
        <v>6.1531407999999991E-3</v>
      </c>
      <c r="L27" s="277">
        <f t="shared" ref="L27:L59" si="24">J27*I27</f>
        <v>19624.391772736675</v>
      </c>
      <c r="M27" s="277">
        <f t="shared" ref="M27:M59" si="25">K27*I27</f>
        <v>875.17196529155581</v>
      </c>
      <c r="N27" s="291">
        <f t="shared" ref="N27:N59" si="26">G27</f>
        <v>56892.698785085886</v>
      </c>
      <c r="O27" s="277">
        <f t="shared" ref="O27:O59" si="27">VLOOKUP(D27,table_FlowRates,3,FALSE)</f>
        <v>1.8</v>
      </c>
      <c r="P27" s="300">
        <f t="shared" ref="P27:P59" si="28">N27*O27</f>
        <v>102406.85781315459</v>
      </c>
      <c r="Q27" s="467">
        <f t="shared" ref="Q27:Q59" si="29">VLOOKUP(D27,table_EnergyIntensity,3,FALSE)</f>
        <v>0.13742869010204081</v>
      </c>
      <c r="R27" s="468">
        <f t="shared" ref="R27:R59" si="30">VLOOKUP(D27,table_EnergyIntensity,4,FALSE)</f>
        <v>6.1287879999999987E-3</v>
      </c>
      <c r="S27" s="275">
        <f t="shared" ref="S27:S59" si="31">Q27*P27</f>
        <v>14073.64032672778</v>
      </c>
      <c r="T27" s="275">
        <f t="shared" ref="T27:T59" si="32">R27*P27</f>
        <v>627.62992128296798</v>
      </c>
      <c r="U27" s="282">
        <f t="shared" ref="U27:U59" si="33">L27-S27</f>
        <v>5550.7514460088951</v>
      </c>
      <c r="V27" s="282">
        <f xml:space="preserve"> (Y27*WaterCostAndEnergy!$D$8/1000)</f>
        <v>210.67366360117299</v>
      </c>
      <c r="W27" s="282">
        <f t="shared" ref="W27:W59" si="34">U27+V27</f>
        <v>5761.4251096100679</v>
      </c>
      <c r="X27" s="291">
        <f t="shared" ref="X27:X59" si="35">M27-T27</f>
        <v>247.54204400858782</v>
      </c>
      <c r="Y27" s="291">
        <f t="shared" ref="Y27:Y59" si="36">I27-P27</f>
        <v>39824.889149560113</v>
      </c>
      <c r="Z27" s="469">
        <f>Y27*WaterCostAndEnergy!$D$11/1000</f>
        <v>524.2024204995364</v>
      </c>
    </row>
    <row r="28" spans="1:26">
      <c r="A28" s="281" t="s">
        <v>645</v>
      </c>
      <c r="B28" s="281"/>
      <c r="C28" s="281" t="s">
        <v>864</v>
      </c>
      <c r="D28" s="277">
        <v>1.75</v>
      </c>
      <c r="E28" s="277" t="s">
        <v>932</v>
      </c>
      <c r="F28" s="277" t="str">
        <f t="shared" si="21"/>
        <v>Fitness Center2_5 gpm or higher1_75</v>
      </c>
      <c r="G28" s="275">
        <f t="shared" si="22"/>
        <v>56892.698785085886</v>
      </c>
      <c r="H28" s="277">
        <f>VLOOKUP(C28,FlowRates!$A$74:$B$81,2,FALSE)</f>
        <v>2.5</v>
      </c>
      <c r="I28" s="300">
        <f t="shared" si="23"/>
        <v>142231.74696271471</v>
      </c>
      <c r="J28" s="467">
        <f>AVERAGE(EnergyPerGallon!$C$5:$C$8)</f>
        <v>0.13797476436734693</v>
      </c>
      <c r="K28" s="468">
        <f>AVERAGE(EnergyPerGallon!$D$5:$D$8)</f>
        <v>6.1531407999999991E-3</v>
      </c>
      <c r="L28" s="277">
        <f t="shared" si="24"/>
        <v>19624.391772736675</v>
      </c>
      <c r="M28" s="277">
        <f t="shared" si="25"/>
        <v>875.17196529155581</v>
      </c>
      <c r="N28" s="291">
        <f t="shared" si="26"/>
        <v>56892.698785085886</v>
      </c>
      <c r="O28" s="277">
        <f t="shared" si="27"/>
        <v>1.75</v>
      </c>
      <c r="P28" s="300">
        <f t="shared" si="28"/>
        <v>99562.222873900304</v>
      </c>
      <c r="Q28" s="467">
        <f t="shared" si="29"/>
        <v>0.13961298716326531</v>
      </c>
      <c r="R28" s="468">
        <f t="shared" si="30"/>
        <v>6.2261992E-3</v>
      </c>
      <c r="S28" s="275">
        <f t="shared" si="31"/>
        <v>13900.179344040003</v>
      </c>
      <c r="T28" s="275">
        <f t="shared" si="32"/>
        <v>619.89423240769975</v>
      </c>
      <c r="U28" s="282">
        <f t="shared" si="33"/>
        <v>5724.2124286966719</v>
      </c>
      <c r="V28" s="282">
        <f xml:space="preserve"> (Y28*WaterCostAndEnergy!$D$8/1000)</f>
        <v>225.72178242982818</v>
      </c>
      <c r="W28" s="282">
        <f t="shared" si="34"/>
        <v>5949.9342111264996</v>
      </c>
      <c r="X28" s="291">
        <f t="shared" si="35"/>
        <v>255.27773288385606</v>
      </c>
      <c r="Y28" s="291">
        <f t="shared" si="36"/>
        <v>42669.524088814404</v>
      </c>
      <c r="Z28" s="469">
        <f>Y28*WaterCostAndEnergy!$D$11/1000</f>
        <v>561.64545053521749</v>
      </c>
    </row>
    <row r="29" spans="1:26">
      <c r="A29" s="281" t="s">
        <v>645</v>
      </c>
      <c r="B29" s="281"/>
      <c r="C29" s="281" t="s">
        <v>864</v>
      </c>
      <c r="D29" s="277">
        <v>1.5</v>
      </c>
      <c r="E29" s="277" t="s">
        <v>933</v>
      </c>
      <c r="F29" s="277" t="str">
        <f t="shared" si="21"/>
        <v>Fitness Center2_5 gpm or higher1_50</v>
      </c>
      <c r="G29" s="275">
        <f t="shared" si="22"/>
        <v>56892.698785085886</v>
      </c>
      <c r="H29" s="277">
        <f>VLOOKUP(C29,FlowRates!$A$74:$B$81,2,FALSE)</f>
        <v>2.5</v>
      </c>
      <c r="I29" s="300">
        <f t="shared" si="23"/>
        <v>142231.74696271471</v>
      </c>
      <c r="J29" s="467">
        <f>AVERAGE(EnergyPerGallon!$C$5:$C$8)</f>
        <v>0.13797476436734693</v>
      </c>
      <c r="K29" s="468">
        <f>AVERAGE(EnergyPerGallon!$D$5:$D$8)</f>
        <v>6.1531407999999991E-3</v>
      </c>
      <c r="L29" s="277">
        <f t="shared" si="24"/>
        <v>19624.391772736675</v>
      </c>
      <c r="M29" s="277">
        <f t="shared" si="25"/>
        <v>875.17196529155581</v>
      </c>
      <c r="N29" s="291">
        <f t="shared" si="26"/>
        <v>56892.698785085886</v>
      </c>
      <c r="O29" s="277">
        <f t="shared" si="27"/>
        <v>1.5</v>
      </c>
      <c r="P29" s="300">
        <f t="shared" si="28"/>
        <v>85339.048177628836</v>
      </c>
      <c r="Q29" s="467">
        <f t="shared" si="29"/>
        <v>0.14179728422448981</v>
      </c>
      <c r="R29" s="468">
        <f t="shared" si="30"/>
        <v>6.3236103999999996E-3</v>
      </c>
      <c r="S29" s="275">
        <f t="shared" si="31"/>
        <v>12100.845269890666</v>
      </c>
      <c r="T29" s="275">
        <f t="shared" si="32"/>
        <v>539.65089258215471</v>
      </c>
      <c r="U29" s="282">
        <f t="shared" si="33"/>
        <v>7523.5465028460094</v>
      </c>
      <c r="V29" s="282">
        <f xml:space="preserve"> (Y29*WaterCostAndEnergy!$D$8/1000)</f>
        <v>300.96237657310422</v>
      </c>
      <c r="W29" s="282">
        <f t="shared" si="34"/>
        <v>7824.5088794191133</v>
      </c>
      <c r="X29" s="291">
        <f t="shared" si="35"/>
        <v>335.5210727094011</v>
      </c>
      <c r="Y29" s="291">
        <f t="shared" si="36"/>
        <v>56892.698785085871</v>
      </c>
      <c r="Z29" s="469">
        <f>Y29*WaterCostAndEnergy!$D$11/1000</f>
        <v>748.8606007136234</v>
      </c>
    </row>
    <row r="30" spans="1:26">
      <c r="A30" s="281" t="s">
        <v>645</v>
      </c>
      <c r="B30" s="281"/>
      <c r="C30" s="281" t="s">
        <v>865</v>
      </c>
      <c r="D30" s="277">
        <f t="shared" ref="D30:E45" si="37">D27</f>
        <v>2</v>
      </c>
      <c r="E30" s="277" t="str">
        <f t="shared" si="37"/>
        <v>2_00</v>
      </c>
      <c r="F30" s="277" t="str">
        <f t="shared" si="21"/>
        <v>Fitness Center2_4 to 2_49 gpm2_00</v>
      </c>
      <c r="G30" s="275">
        <f t="shared" si="22"/>
        <v>56892.698785085886</v>
      </c>
      <c r="H30" s="277">
        <f>VLOOKUP(C30,FlowRates!$A$74:$B$81,2,FALSE)</f>
        <v>2.4500000000000002</v>
      </c>
      <c r="I30" s="300">
        <f t="shared" si="23"/>
        <v>139387.11202346042</v>
      </c>
      <c r="J30" s="467">
        <f>AVERAGE(EnergyPerGallon!$C$5:$C$8)</f>
        <v>0.13797476436734693</v>
      </c>
      <c r="K30" s="468">
        <f>AVERAGE(EnergyPerGallon!$D$5:$D$8)</f>
        <v>6.1531407999999991E-3</v>
      </c>
      <c r="L30" s="277">
        <f t="shared" si="24"/>
        <v>19231.903937281942</v>
      </c>
      <c r="M30" s="277">
        <f t="shared" si="25"/>
        <v>857.66852598572473</v>
      </c>
      <c r="N30" s="291">
        <f t="shared" si="26"/>
        <v>56892.698785085886</v>
      </c>
      <c r="O30" s="277">
        <f t="shared" si="27"/>
        <v>1.8</v>
      </c>
      <c r="P30" s="300">
        <f t="shared" si="28"/>
        <v>102406.85781315459</v>
      </c>
      <c r="Q30" s="467">
        <f t="shared" si="29"/>
        <v>0.13742869010204081</v>
      </c>
      <c r="R30" s="468">
        <f t="shared" si="30"/>
        <v>6.1287879999999987E-3</v>
      </c>
      <c r="S30" s="275">
        <f t="shared" si="31"/>
        <v>14073.64032672778</v>
      </c>
      <c r="T30" s="275">
        <f t="shared" si="32"/>
        <v>627.62992128296798</v>
      </c>
      <c r="U30" s="282">
        <f t="shared" si="33"/>
        <v>5158.2636105541624</v>
      </c>
      <c r="V30" s="282">
        <f xml:space="preserve"> (Y30*WaterCostAndEnergy!$D$8/1000)</f>
        <v>195.6255447725178</v>
      </c>
      <c r="W30" s="282">
        <f t="shared" si="34"/>
        <v>5353.8891553266803</v>
      </c>
      <c r="X30" s="291">
        <f t="shared" si="35"/>
        <v>230.03860470275674</v>
      </c>
      <c r="Y30" s="291">
        <f t="shared" si="36"/>
        <v>36980.254210305822</v>
      </c>
      <c r="Z30" s="469">
        <f>Y30*WaterCostAndEnergy!$D$11/1000</f>
        <v>486.75939046385531</v>
      </c>
    </row>
    <row r="31" spans="1:26">
      <c r="A31" s="281" t="s">
        <v>645</v>
      </c>
      <c r="B31" s="281"/>
      <c r="C31" s="281" t="s">
        <v>865</v>
      </c>
      <c r="D31" s="277">
        <f t="shared" si="37"/>
        <v>1.75</v>
      </c>
      <c r="E31" s="277" t="str">
        <f t="shared" si="37"/>
        <v>1_75</v>
      </c>
      <c r="F31" s="277" t="str">
        <f t="shared" si="21"/>
        <v>Fitness Center2_4 to 2_49 gpm1_75</v>
      </c>
      <c r="G31" s="275">
        <f t="shared" si="22"/>
        <v>56892.698785085886</v>
      </c>
      <c r="H31" s="277">
        <f>VLOOKUP(C31,FlowRates!$A$74:$B$81,2,FALSE)</f>
        <v>2.4500000000000002</v>
      </c>
      <c r="I31" s="300">
        <f t="shared" si="23"/>
        <v>139387.11202346042</v>
      </c>
      <c r="J31" s="467">
        <f>AVERAGE(EnergyPerGallon!$C$5:$C$8)</f>
        <v>0.13797476436734693</v>
      </c>
      <c r="K31" s="468">
        <f>AVERAGE(EnergyPerGallon!$D$5:$D$8)</f>
        <v>6.1531407999999991E-3</v>
      </c>
      <c r="L31" s="277">
        <f t="shared" si="24"/>
        <v>19231.903937281942</v>
      </c>
      <c r="M31" s="277">
        <f t="shared" si="25"/>
        <v>857.66852598572473</v>
      </c>
      <c r="N31" s="291">
        <f t="shared" si="26"/>
        <v>56892.698785085886</v>
      </c>
      <c r="O31" s="277">
        <f t="shared" si="27"/>
        <v>1.75</v>
      </c>
      <c r="P31" s="300">
        <f t="shared" si="28"/>
        <v>99562.222873900304</v>
      </c>
      <c r="Q31" s="467">
        <f t="shared" si="29"/>
        <v>0.13961298716326531</v>
      </c>
      <c r="R31" s="468">
        <f t="shared" si="30"/>
        <v>6.2261992E-3</v>
      </c>
      <c r="S31" s="275">
        <f t="shared" si="31"/>
        <v>13900.179344040003</v>
      </c>
      <c r="T31" s="275">
        <f t="shared" si="32"/>
        <v>619.89423240769975</v>
      </c>
      <c r="U31" s="282">
        <f t="shared" si="33"/>
        <v>5331.7245932419391</v>
      </c>
      <c r="V31" s="282">
        <f xml:space="preserve"> (Y31*WaterCostAndEnergy!$D$8/1000)</f>
        <v>210.67366360117299</v>
      </c>
      <c r="W31" s="282">
        <f t="shared" si="34"/>
        <v>5542.398256843112</v>
      </c>
      <c r="X31" s="291">
        <f t="shared" si="35"/>
        <v>237.77429357802498</v>
      </c>
      <c r="Y31" s="291">
        <f t="shared" si="36"/>
        <v>39824.889149560113</v>
      </c>
      <c r="Z31" s="469">
        <f>Y31*WaterCostAndEnergy!$D$11/1000</f>
        <v>524.2024204995364</v>
      </c>
    </row>
    <row r="32" spans="1:26">
      <c r="A32" s="281" t="s">
        <v>645</v>
      </c>
      <c r="B32" s="281"/>
      <c r="C32" s="281" t="s">
        <v>865</v>
      </c>
      <c r="D32" s="277">
        <f t="shared" si="37"/>
        <v>1.5</v>
      </c>
      <c r="E32" s="277" t="str">
        <f t="shared" si="37"/>
        <v>1_50</v>
      </c>
      <c r="F32" s="277" t="str">
        <f t="shared" si="21"/>
        <v>Fitness Center2_4 to 2_49 gpm1_50</v>
      </c>
      <c r="G32" s="275">
        <f t="shared" si="22"/>
        <v>56892.698785085886</v>
      </c>
      <c r="H32" s="277">
        <f>VLOOKUP(C32,FlowRates!$A$74:$B$81,2,FALSE)</f>
        <v>2.4500000000000002</v>
      </c>
      <c r="I32" s="300">
        <f t="shared" si="23"/>
        <v>139387.11202346042</v>
      </c>
      <c r="J32" s="467">
        <f>AVERAGE(EnergyPerGallon!$C$5:$C$8)</f>
        <v>0.13797476436734693</v>
      </c>
      <c r="K32" s="468">
        <f>AVERAGE(EnergyPerGallon!$D$5:$D$8)</f>
        <v>6.1531407999999991E-3</v>
      </c>
      <c r="L32" s="277">
        <f t="shared" si="24"/>
        <v>19231.903937281942</v>
      </c>
      <c r="M32" s="277">
        <f t="shared" si="25"/>
        <v>857.66852598572473</v>
      </c>
      <c r="N32" s="291">
        <f t="shared" si="26"/>
        <v>56892.698785085886</v>
      </c>
      <c r="O32" s="277">
        <f t="shared" si="27"/>
        <v>1.5</v>
      </c>
      <c r="P32" s="300">
        <f t="shared" si="28"/>
        <v>85339.048177628836</v>
      </c>
      <c r="Q32" s="467">
        <f t="shared" si="29"/>
        <v>0.14179728422448981</v>
      </c>
      <c r="R32" s="468">
        <f t="shared" si="30"/>
        <v>6.3236103999999996E-3</v>
      </c>
      <c r="S32" s="275">
        <f t="shared" si="31"/>
        <v>12100.845269890666</v>
      </c>
      <c r="T32" s="275">
        <f t="shared" si="32"/>
        <v>539.65089258215471</v>
      </c>
      <c r="U32" s="282">
        <f t="shared" si="33"/>
        <v>7131.0586673912767</v>
      </c>
      <c r="V32" s="282">
        <f xml:space="preserve"> (Y32*WaterCostAndEnergy!$D$8/1000)</f>
        <v>285.91425774444906</v>
      </c>
      <c r="W32" s="282">
        <f t="shared" si="34"/>
        <v>7416.9729251357257</v>
      </c>
      <c r="X32" s="291">
        <f t="shared" si="35"/>
        <v>318.01763340357002</v>
      </c>
      <c r="Y32" s="291">
        <f t="shared" si="36"/>
        <v>54048.063845831581</v>
      </c>
      <c r="Z32" s="469">
        <f>Y32*WaterCostAndEnergy!$D$11/1000</f>
        <v>711.41757067794219</v>
      </c>
    </row>
    <row r="33" spans="1:26">
      <c r="A33" s="281" t="s">
        <v>645</v>
      </c>
      <c r="B33" s="281"/>
      <c r="C33" s="281" t="s">
        <v>866</v>
      </c>
      <c r="D33" s="277">
        <f t="shared" si="37"/>
        <v>2</v>
      </c>
      <c r="E33" s="277" t="str">
        <f t="shared" si="37"/>
        <v>2_00</v>
      </c>
      <c r="F33" s="277" t="str">
        <f t="shared" si="21"/>
        <v>Fitness Center2_30 to 2_39 gpm2_00</v>
      </c>
      <c r="G33" s="275">
        <f t="shared" si="22"/>
        <v>56892.698785085886</v>
      </c>
      <c r="H33" s="277">
        <f>VLOOKUP(C33,FlowRates!$A$74:$B$81,2,FALSE)</f>
        <v>2.35</v>
      </c>
      <c r="I33" s="300">
        <f t="shared" si="23"/>
        <v>133697.84214495184</v>
      </c>
      <c r="J33" s="467">
        <f>AVERAGE(EnergyPerGallon!$C$5:$C$8)</f>
        <v>0.13797476436734693</v>
      </c>
      <c r="K33" s="468">
        <f>AVERAGE(EnergyPerGallon!$D$5:$D$8)</f>
        <v>6.1531407999999991E-3</v>
      </c>
      <c r="L33" s="277">
        <f t="shared" si="24"/>
        <v>18446.928266372473</v>
      </c>
      <c r="M33" s="277">
        <f t="shared" si="25"/>
        <v>822.66164737406257</v>
      </c>
      <c r="N33" s="291">
        <f t="shared" si="26"/>
        <v>56892.698785085886</v>
      </c>
      <c r="O33" s="277">
        <f t="shared" si="27"/>
        <v>1.8</v>
      </c>
      <c r="P33" s="300">
        <f t="shared" si="28"/>
        <v>102406.85781315459</v>
      </c>
      <c r="Q33" s="467">
        <f t="shared" si="29"/>
        <v>0.13742869010204081</v>
      </c>
      <c r="R33" s="468">
        <f t="shared" si="30"/>
        <v>6.1287879999999987E-3</v>
      </c>
      <c r="S33" s="275">
        <f t="shared" si="31"/>
        <v>14073.64032672778</v>
      </c>
      <c r="T33" s="275">
        <f t="shared" si="32"/>
        <v>627.62992128296798</v>
      </c>
      <c r="U33" s="282">
        <f t="shared" si="33"/>
        <v>4373.2879396446933</v>
      </c>
      <c r="V33" s="282">
        <f xml:space="preserve"> (Y33*WaterCostAndEnergy!$D$8/1000)</f>
        <v>165.52930711520739</v>
      </c>
      <c r="W33" s="282">
        <f t="shared" si="34"/>
        <v>4538.8172467599006</v>
      </c>
      <c r="X33" s="291">
        <f t="shared" si="35"/>
        <v>195.03172609109458</v>
      </c>
      <c r="Y33" s="291">
        <f t="shared" si="36"/>
        <v>31290.984331797241</v>
      </c>
      <c r="Z33" s="469">
        <f>Y33*WaterCostAndEnergy!$D$11/1000</f>
        <v>411.87333039249307</v>
      </c>
    </row>
    <row r="34" spans="1:26">
      <c r="A34" s="281" t="s">
        <v>645</v>
      </c>
      <c r="B34" s="281"/>
      <c r="C34" s="281" t="s">
        <v>866</v>
      </c>
      <c r="D34" s="277">
        <f t="shared" si="37"/>
        <v>1.75</v>
      </c>
      <c r="E34" s="277" t="str">
        <f t="shared" si="37"/>
        <v>1_75</v>
      </c>
      <c r="F34" s="277" t="str">
        <f t="shared" si="21"/>
        <v>Fitness Center2_30 to 2_39 gpm1_75</v>
      </c>
      <c r="G34" s="275">
        <f t="shared" si="22"/>
        <v>56892.698785085886</v>
      </c>
      <c r="H34" s="277">
        <f>VLOOKUP(C34,FlowRates!$A$74:$B$81,2,FALSE)</f>
        <v>2.35</v>
      </c>
      <c r="I34" s="300">
        <f t="shared" si="23"/>
        <v>133697.84214495184</v>
      </c>
      <c r="J34" s="467">
        <f>AVERAGE(EnergyPerGallon!$C$5:$C$8)</f>
        <v>0.13797476436734693</v>
      </c>
      <c r="K34" s="468">
        <f>AVERAGE(EnergyPerGallon!$D$5:$D$8)</f>
        <v>6.1531407999999991E-3</v>
      </c>
      <c r="L34" s="277">
        <f t="shared" si="24"/>
        <v>18446.928266372473</v>
      </c>
      <c r="M34" s="277">
        <f t="shared" si="25"/>
        <v>822.66164737406257</v>
      </c>
      <c r="N34" s="291">
        <f t="shared" si="26"/>
        <v>56892.698785085886</v>
      </c>
      <c r="O34" s="277">
        <f t="shared" si="27"/>
        <v>1.75</v>
      </c>
      <c r="P34" s="300">
        <f t="shared" si="28"/>
        <v>99562.222873900304</v>
      </c>
      <c r="Q34" s="467">
        <f t="shared" si="29"/>
        <v>0.13961298716326531</v>
      </c>
      <c r="R34" s="468">
        <f t="shared" si="30"/>
        <v>6.2261992E-3</v>
      </c>
      <c r="S34" s="275">
        <f t="shared" si="31"/>
        <v>13900.179344040003</v>
      </c>
      <c r="T34" s="275">
        <f t="shared" si="32"/>
        <v>619.89423240769975</v>
      </c>
      <c r="U34" s="282">
        <f t="shared" si="33"/>
        <v>4546.7489223324701</v>
      </c>
      <c r="V34" s="282">
        <f xml:space="preserve"> (Y34*WaterCostAndEnergy!$D$8/1000)</f>
        <v>180.57742594386258</v>
      </c>
      <c r="W34" s="282">
        <f t="shared" si="34"/>
        <v>4727.3263482763323</v>
      </c>
      <c r="X34" s="291">
        <f t="shared" si="35"/>
        <v>202.76741496636282</v>
      </c>
      <c r="Y34" s="291">
        <f t="shared" si="36"/>
        <v>34135.619271051532</v>
      </c>
      <c r="Z34" s="469">
        <f>Y34*WaterCostAndEnergy!$D$11/1000</f>
        <v>449.31636042817416</v>
      </c>
    </row>
    <row r="35" spans="1:26">
      <c r="A35" s="281" t="s">
        <v>645</v>
      </c>
      <c r="B35" s="281"/>
      <c r="C35" s="281" t="s">
        <v>866</v>
      </c>
      <c r="D35" s="277">
        <f t="shared" si="37"/>
        <v>1.5</v>
      </c>
      <c r="E35" s="277" t="str">
        <f t="shared" si="37"/>
        <v>1_50</v>
      </c>
      <c r="F35" s="277" t="str">
        <f t="shared" si="21"/>
        <v>Fitness Center2_30 to 2_39 gpm1_50</v>
      </c>
      <c r="G35" s="275">
        <f t="shared" si="22"/>
        <v>56892.698785085886</v>
      </c>
      <c r="H35" s="277">
        <f>VLOOKUP(C35,FlowRates!$A$74:$B$81,2,FALSE)</f>
        <v>2.35</v>
      </c>
      <c r="I35" s="300">
        <f t="shared" si="23"/>
        <v>133697.84214495184</v>
      </c>
      <c r="J35" s="467">
        <f>AVERAGE(EnergyPerGallon!$C$5:$C$8)</f>
        <v>0.13797476436734693</v>
      </c>
      <c r="K35" s="468">
        <f>AVERAGE(EnergyPerGallon!$D$5:$D$8)</f>
        <v>6.1531407999999991E-3</v>
      </c>
      <c r="L35" s="277">
        <f t="shared" si="24"/>
        <v>18446.928266372473</v>
      </c>
      <c r="M35" s="277">
        <f t="shared" si="25"/>
        <v>822.66164737406257</v>
      </c>
      <c r="N35" s="291">
        <f t="shared" si="26"/>
        <v>56892.698785085886</v>
      </c>
      <c r="O35" s="277">
        <f t="shared" si="27"/>
        <v>1.5</v>
      </c>
      <c r="P35" s="300">
        <f t="shared" si="28"/>
        <v>85339.048177628836</v>
      </c>
      <c r="Q35" s="467">
        <f t="shared" si="29"/>
        <v>0.14179728422448981</v>
      </c>
      <c r="R35" s="468">
        <f t="shared" si="30"/>
        <v>6.3236103999999996E-3</v>
      </c>
      <c r="S35" s="275">
        <f t="shared" si="31"/>
        <v>12100.845269890666</v>
      </c>
      <c r="T35" s="275">
        <f t="shared" si="32"/>
        <v>539.65089258215471</v>
      </c>
      <c r="U35" s="282">
        <f t="shared" si="33"/>
        <v>6346.0829964818076</v>
      </c>
      <c r="V35" s="282">
        <f xml:space="preserve"> (Y35*WaterCostAndEnergy!$D$8/1000)</f>
        <v>255.81802008713865</v>
      </c>
      <c r="W35" s="282">
        <f t="shared" si="34"/>
        <v>6601.901016568946</v>
      </c>
      <c r="X35" s="291">
        <f t="shared" si="35"/>
        <v>283.01075479190786</v>
      </c>
      <c r="Y35" s="291">
        <f t="shared" si="36"/>
        <v>48358.793967322999</v>
      </c>
      <c r="Z35" s="469">
        <f>Y35*WaterCostAndEnergy!$D$11/1000</f>
        <v>636.5315106065799</v>
      </c>
    </row>
    <row r="36" spans="1:26">
      <c r="A36" s="281" t="s">
        <v>645</v>
      </c>
      <c r="B36" s="281"/>
      <c r="C36" s="281" t="s">
        <v>867</v>
      </c>
      <c r="D36" s="277">
        <f t="shared" si="37"/>
        <v>2</v>
      </c>
      <c r="E36" s="277" t="str">
        <f t="shared" si="37"/>
        <v>2_00</v>
      </c>
      <c r="F36" s="277" t="str">
        <f t="shared" si="21"/>
        <v>Fitness Center2_20 to 2_29 gpm2_00</v>
      </c>
      <c r="G36" s="275">
        <f t="shared" si="22"/>
        <v>56892.698785085886</v>
      </c>
      <c r="H36" s="277">
        <f>VLOOKUP(C36,FlowRates!$A$74:$B$84,2,FALSE)</f>
        <v>2.25</v>
      </c>
      <c r="I36" s="300">
        <f t="shared" si="23"/>
        <v>128008.57226644324</v>
      </c>
      <c r="J36" s="467">
        <f>AVERAGE(EnergyPerGallon!$C$5:$C$8)</f>
        <v>0.13797476436734693</v>
      </c>
      <c r="K36" s="468">
        <f>AVERAGE(EnergyPerGallon!$D$5:$D$8)</f>
        <v>6.1531407999999991E-3</v>
      </c>
      <c r="L36" s="277">
        <f t="shared" si="24"/>
        <v>17661.952595463008</v>
      </c>
      <c r="M36" s="277">
        <f t="shared" si="25"/>
        <v>787.65476876240029</v>
      </c>
      <c r="N36" s="291">
        <f t="shared" si="26"/>
        <v>56892.698785085886</v>
      </c>
      <c r="O36" s="277">
        <f t="shared" si="27"/>
        <v>1.8</v>
      </c>
      <c r="P36" s="300">
        <f t="shared" si="28"/>
        <v>102406.85781315459</v>
      </c>
      <c r="Q36" s="467">
        <f t="shared" si="29"/>
        <v>0.13742869010204081</v>
      </c>
      <c r="R36" s="468">
        <f t="shared" si="30"/>
        <v>6.1287879999999987E-3</v>
      </c>
      <c r="S36" s="275">
        <f t="shared" si="31"/>
        <v>14073.64032672778</v>
      </c>
      <c r="T36" s="275">
        <f t="shared" si="32"/>
        <v>627.62992128296798</v>
      </c>
      <c r="U36" s="282">
        <f t="shared" si="33"/>
        <v>3588.3122687352279</v>
      </c>
      <c r="V36" s="282">
        <f xml:space="preserve"> (Y36*WaterCostAndEnergy!$D$8/1000)</f>
        <v>135.43306945789692</v>
      </c>
      <c r="W36" s="282">
        <f t="shared" si="34"/>
        <v>3723.745338193125</v>
      </c>
      <c r="X36" s="291">
        <f t="shared" si="35"/>
        <v>160.02484747943231</v>
      </c>
      <c r="Y36" s="291">
        <f t="shared" si="36"/>
        <v>25601.714453288645</v>
      </c>
      <c r="Z36" s="469">
        <f>Y36*WaterCostAndEnergy!$D$11/1000</f>
        <v>336.98727032113055</v>
      </c>
    </row>
    <row r="37" spans="1:26">
      <c r="A37" s="281" t="s">
        <v>645</v>
      </c>
      <c r="B37" s="281"/>
      <c r="C37" s="281" t="s">
        <v>867</v>
      </c>
      <c r="D37" s="277">
        <f t="shared" si="37"/>
        <v>1.75</v>
      </c>
      <c r="E37" s="277" t="str">
        <f t="shared" si="37"/>
        <v>1_75</v>
      </c>
      <c r="F37" s="277" t="str">
        <f t="shared" si="21"/>
        <v>Fitness Center2_20 to 2_29 gpm1_75</v>
      </c>
      <c r="G37" s="275">
        <f t="shared" si="22"/>
        <v>56892.698785085886</v>
      </c>
      <c r="H37" s="277">
        <f>VLOOKUP(C37,FlowRates!$A$74:$B$84,2,FALSE)</f>
        <v>2.25</v>
      </c>
      <c r="I37" s="300">
        <f t="shared" si="23"/>
        <v>128008.57226644324</v>
      </c>
      <c r="J37" s="467">
        <f>AVERAGE(EnergyPerGallon!$C$5:$C$8)</f>
        <v>0.13797476436734693</v>
      </c>
      <c r="K37" s="468">
        <f>AVERAGE(EnergyPerGallon!$D$5:$D$8)</f>
        <v>6.1531407999999991E-3</v>
      </c>
      <c r="L37" s="277">
        <f t="shared" si="24"/>
        <v>17661.952595463008</v>
      </c>
      <c r="M37" s="277">
        <f t="shared" si="25"/>
        <v>787.65476876240029</v>
      </c>
      <c r="N37" s="291">
        <f t="shared" si="26"/>
        <v>56892.698785085886</v>
      </c>
      <c r="O37" s="277">
        <f t="shared" si="27"/>
        <v>1.75</v>
      </c>
      <c r="P37" s="300">
        <f t="shared" si="28"/>
        <v>99562.222873900304</v>
      </c>
      <c r="Q37" s="467">
        <f t="shared" si="29"/>
        <v>0.13961298716326531</v>
      </c>
      <c r="R37" s="468">
        <f t="shared" si="30"/>
        <v>6.2261992E-3</v>
      </c>
      <c r="S37" s="275">
        <f t="shared" si="31"/>
        <v>13900.179344040003</v>
      </c>
      <c r="T37" s="275">
        <f t="shared" si="32"/>
        <v>619.89423240769975</v>
      </c>
      <c r="U37" s="282">
        <f t="shared" si="33"/>
        <v>3761.7732514230047</v>
      </c>
      <c r="V37" s="282">
        <f xml:space="preserve"> (Y37*WaterCostAndEnergy!$D$8/1000)</f>
        <v>150.48118828655211</v>
      </c>
      <c r="W37" s="282">
        <f t="shared" si="34"/>
        <v>3912.2544397095567</v>
      </c>
      <c r="X37" s="291">
        <f t="shared" si="35"/>
        <v>167.76053635470055</v>
      </c>
      <c r="Y37" s="291">
        <f t="shared" si="36"/>
        <v>28446.349392542936</v>
      </c>
      <c r="Z37" s="469">
        <f>Y37*WaterCostAndEnergy!$D$11/1000</f>
        <v>374.4303003568117</v>
      </c>
    </row>
    <row r="38" spans="1:26">
      <c r="A38" s="281" t="s">
        <v>645</v>
      </c>
      <c r="B38" s="281"/>
      <c r="C38" s="281" t="s">
        <v>867</v>
      </c>
      <c r="D38" s="277">
        <f t="shared" si="37"/>
        <v>1.5</v>
      </c>
      <c r="E38" s="277" t="str">
        <f t="shared" si="37"/>
        <v>1_50</v>
      </c>
      <c r="F38" s="277" t="str">
        <f t="shared" si="21"/>
        <v>Fitness Center2_20 to 2_29 gpm1_50</v>
      </c>
      <c r="G38" s="275">
        <f t="shared" si="22"/>
        <v>56892.698785085886</v>
      </c>
      <c r="H38" s="277">
        <f>VLOOKUP(C38,FlowRates!$A$74:$B$84,2,FALSE)</f>
        <v>2.25</v>
      </c>
      <c r="I38" s="300">
        <f t="shared" si="23"/>
        <v>128008.57226644324</v>
      </c>
      <c r="J38" s="467">
        <f>AVERAGE(EnergyPerGallon!$C$5:$C$8)</f>
        <v>0.13797476436734693</v>
      </c>
      <c r="K38" s="468">
        <f>AVERAGE(EnergyPerGallon!$D$5:$D$8)</f>
        <v>6.1531407999999991E-3</v>
      </c>
      <c r="L38" s="277">
        <f t="shared" si="24"/>
        <v>17661.952595463008</v>
      </c>
      <c r="M38" s="277">
        <f t="shared" si="25"/>
        <v>787.65476876240029</v>
      </c>
      <c r="N38" s="291">
        <f t="shared" si="26"/>
        <v>56892.698785085886</v>
      </c>
      <c r="O38" s="277">
        <f t="shared" si="27"/>
        <v>1.5</v>
      </c>
      <c r="P38" s="300">
        <f t="shared" si="28"/>
        <v>85339.048177628836</v>
      </c>
      <c r="Q38" s="467">
        <f t="shared" si="29"/>
        <v>0.14179728422448981</v>
      </c>
      <c r="R38" s="468">
        <f t="shared" si="30"/>
        <v>6.3236103999999996E-3</v>
      </c>
      <c r="S38" s="275">
        <f t="shared" si="31"/>
        <v>12100.845269890666</v>
      </c>
      <c r="T38" s="275">
        <f t="shared" si="32"/>
        <v>539.65089258215471</v>
      </c>
      <c r="U38" s="282">
        <f t="shared" si="33"/>
        <v>5561.1073255723422</v>
      </c>
      <c r="V38" s="282">
        <f xml:space="preserve"> (Y38*WaterCostAndEnergy!$D$8/1000)</f>
        <v>225.72178242982818</v>
      </c>
      <c r="W38" s="282">
        <f t="shared" si="34"/>
        <v>5786.82910800217</v>
      </c>
      <c r="X38" s="291">
        <f t="shared" si="35"/>
        <v>248.00387618024558</v>
      </c>
      <c r="Y38" s="291">
        <f t="shared" si="36"/>
        <v>42669.524088814404</v>
      </c>
      <c r="Z38" s="469">
        <f>Y38*WaterCostAndEnergy!$D$11/1000</f>
        <v>561.64545053521749</v>
      </c>
    </row>
    <row r="39" spans="1:26">
      <c r="A39" s="281" t="s">
        <v>645</v>
      </c>
      <c r="B39" s="281"/>
      <c r="C39" s="281" t="s">
        <v>868</v>
      </c>
      <c r="D39" s="277">
        <f t="shared" si="37"/>
        <v>2</v>
      </c>
      <c r="E39" s="277" t="str">
        <f t="shared" si="37"/>
        <v>2_00</v>
      </c>
      <c r="F39" s="277" t="str">
        <f t="shared" si="21"/>
        <v>Fitness Center2_10 to 2_19 gpm2_00</v>
      </c>
      <c r="G39" s="275">
        <f t="shared" si="22"/>
        <v>56892.698785085886</v>
      </c>
      <c r="H39" s="277">
        <f>VLOOKUP(C39,FlowRates!$A$74:$B$84,2,FALSE)</f>
        <v>2.15</v>
      </c>
      <c r="I39" s="300">
        <f t="shared" si="23"/>
        <v>122319.30238793464</v>
      </c>
      <c r="J39" s="467">
        <f>AVERAGE(EnergyPerGallon!$C$5:$C$8)</f>
        <v>0.13797476436734693</v>
      </c>
      <c r="K39" s="468">
        <f>AVERAGE(EnergyPerGallon!$D$5:$D$8)</f>
        <v>6.1531407999999991E-3</v>
      </c>
      <c r="L39" s="277">
        <f t="shared" si="24"/>
        <v>16876.976924553539</v>
      </c>
      <c r="M39" s="277">
        <f t="shared" si="25"/>
        <v>752.64789015073802</v>
      </c>
      <c r="N39" s="291">
        <f t="shared" si="26"/>
        <v>56892.698785085886</v>
      </c>
      <c r="O39" s="277">
        <f t="shared" si="27"/>
        <v>1.8</v>
      </c>
      <c r="P39" s="300">
        <f t="shared" si="28"/>
        <v>102406.85781315459</v>
      </c>
      <c r="Q39" s="467">
        <f t="shared" si="29"/>
        <v>0.13742869010204081</v>
      </c>
      <c r="R39" s="468">
        <f t="shared" si="30"/>
        <v>6.1287879999999987E-3</v>
      </c>
      <c r="S39" s="275">
        <f t="shared" si="31"/>
        <v>14073.64032672778</v>
      </c>
      <c r="T39" s="275">
        <f t="shared" si="32"/>
        <v>627.62992128296798</v>
      </c>
      <c r="U39" s="282">
        <f t="shared" si="33"/>
        <v>2803.3365978257589</v>
      </c>
      <c r="V39" s="282">
        <f xml:space="preserve"> (Y39*WaterCostAndEnergy!$D$8/1000)</f>
        <v>105.33683180058645</v>
      </c>
      <c r="W39" s="282">
        <f t="shared" si="34"/>
        <v>2908.6734296263453</v>
      </c>
      <c r="X39" s="291">
        <f t="shared" si="35"/>
        <v>125.01796886777004</v>
      </c>
      <c r="Y39" s="291">
        <f t="shared" si="36"/>
        <v>19912.444574780049</v>
      </c>
      <c r="Z39" s="469">
        <f>Y39*WaterCostAndEnergy!$D$11/1000</f>
        <v>262.10121024976809</v>
      </c>
    </row>
    <row r="40" spans="1:26">
      <c r="A40" s="281" t="s">
        <v>645</v>
      </c>
      <c r="B40" s="281"/>
      <c r="C40" s="281" t="s">
        <v>868</v>
      </c>
      <c r="D40" s="277">
        <f t="shared" si="37"/>
        <v>1.75</v>
      </c>
      <c r="E40" s="277" t="str">
        <f t="shared" si="37"/>
        <v>1_75</v>
      </c>
      <c r="F40" s="277" t="str">
        <f t="shared" si="21"/>
        <v>Fitness Center2_10 to 2_19 gpm1_75</v>
      </c>
      <c r="G40" s="275">
        <f t="shared" si="22"/>
        <v>56892.698785085886</v>
      </c>
      <c r="H40" s="277">
        <f>VLOOKUP(C40,FlowRates!$A$74:$B$84,2,FALSE)</f>
        <v>2.15</v>
      </c>
      <c r="I40" s="300">
        <f t="shared" si="23"/>
        <v>122319.30238793464</v>
      </c>
      <c r="J40" s="467">
        <f>AVERAGE(EnergyPerGallon!$C$5:$C$8)</f>
        <v>0.13797476436734693</v>
      </c>
      <c r="K40" s="468">
        <f>AVERAGE(EnergyPerGallon!$D$5:$D$8)</f>
        <v>6.1531407999999991E-3</v>
      </c>
      <c r="L40" s="277">
        <f t="shared" si="24"/>
        <v>16876.976924553539</v>
      </c>
      <c r="M40" s="277">
        <f t="shared" si="25"/>
        <v>752.64789015073802</v>
      </c>
      <c r="N40" s="291">
        <f t="shared" si="26"/>
        <v>56892.698785085886</v>
      </c>
      <c r="O40" s="277">
        <f t="shared" si="27"/>
        <v>1.75</v>
      </c>
      <c r="P40" s="300">
        <f t="shared" si="28"/>
        <v>99562.222873900304</v>
      </c>
      <c r="Q40" s="467">
        <f t="shared" si="29"/>
        <v>0.13961298716326531</v>
      </c>
      <c r="R40" s="468">
        <f t="shared" si="30"/>
        <v>6.2261992E-3</v>
      </c>
      <c r="S40" s="275">
        <f t="shared" si="31"/>
        <v>13900.179344040003</v>
      </c>
      <c r="T40" s="275">
        <f t="shared" si="32"/>
        <v>619.89423240769975</v>
      </c>
      <c r="U40" s="282">
        <f t="shared" si="33"/>
        <v>2976.7975805135356</v>
      </c>
      <c r="V40" s="282">
        <f xml:space="preserve"> (Y40*WaterCostAndEnergy!$D$8/1000)</f>
        <v>120.38495062924166</v>
      </c>
      <c r="W40" s="282">
        <f t="shared" si="34"/>
        <v>3097.1825311427774</v>
      </c>
      <c r="X40" s="291">
        <f t="shared" si="35"/>
        <v>132.75365774303827</v>
      </c>
      <c r="Y40" s="291">
        <f t="shared" si="36"/>
        <v>22757.07951403434</v>
      </c>
      <c r="Z40" s="469">
        <f>Y40*WaterCostAndEnergy!$D$11/1000</f>
        <v>299.54424028544923</v>
      </c>
    </row>
    <row r="41" spans="1:26">
      <c r="A41" s="281" t="s">
        <v>645</v>
      </c>
      <c r="B41" s="281"/>
      <c r="C41" s="281" t="s">
        <v>868</v>
      </c>
      <c r="D41" s="277">
        <f t="shared" si="37"/>
        <v>1.5</v>
      </c>
      <c r="E41" s="277" t="str">
        <f t="shared" si="37"/>
        <v>1_50</v>
      </c>
      <c r="F41" s="277" t="str">
        <f t="shared" si="21"/>
        <v>Fitness Center2_10 to 2_19 gpm1_50</v>
      </c>
      <c r="G41" s="275">
        <f t="shared" si="22"/>
        <v>56892.698785085886</v>
      </c>
      <c r="H41" s="277">
        <f>VLOOKUP(C41,FlowRates!$A$74:$B$84,2,FALSE)</f>
        <v>2.15</v>
      </c>
      <c r="I41" s="300">
        <f t="shared" si="23"/>
        <v>122319.30238793464</v>
      </c>
      <c r="J41" s="467">
        <f>AVERAGE(EnergyPerGallon!$C$5:$C$8)</f>
        <v>0.13797476436734693</v>
      </c>
      <c r="K41" s="468">
        <f>AVERAGE(EnergyPerGallon!$D$5:$D$8)</f>
        <v>6.1531407999999991E-3</v>
      </c>
      <c r="L41" s="277">
        <f t="shared" si="24"/>
        <v>16876.976924553539</v>
      </c>
      <c r="M41" s="277">
        <f t="shared" si="25"/>
        <v>752.64789015073802</v>
      </c>
      <c r="N41" s="291">
        <f t="shared" si="26"/>
        <v>56892.698785085886</v>
      </c>
      <c r="O41" s="277">
        <f t="shared" si="27"/>
        <v>1.5</v>
      </c>
      <c r="P41" s="300">
        <f t="shared" si="28"/>
        <v>85339.048177628836</v>
      </c>
      <c r="Q41" s="467">
        <f t="shared" si="29"/>
        <v>0.14179728422448981</v>
      </c>
      <c r="R41" s="468">
        <f t="shared" si="30"/>
        <v>6.3236103999999996E-3</v>
      </c>
      <c r="S41" s="275">
        <f t="shared" si="31"/>
        <v>12100.845269890666</v>
      </c>
      <c r="T41" s="275">
        <f t="shared" si="32"/>
        <v>539.65089258215471</v>
      </c>
      <c r="U41" s="282">
        <f t="shared" si="33"/>
        <v>4776.1316546628732</v>
      </c>
      <c r="V41" s="282">
        <f xml:space="preserve"> (Y41*WaterCostAndEnergy!$D$8/1000)</f>
        <v>195.62554477251771</v>
      </c>
      <c r="W41" s="282">
        <f t="shared" si="34"/>
        <v>4971.7571994353912</v>
      </c>
      <c r="X41" s="291">
        <f t="shared" si="35"/>
        <v>212.99699756858331</v>
      </c>
      <c r="Y41" s="291">
        <f t="shared" si="36"/>
        <v>36980.254210305808</v>
      </c>
      <c r="Z41" s="469">
        <f>Y41*WaterCostAndEnergy!$D$11/1000</f>
        <v>486.75939046385514</v>
      </c>
    </row>
    <row r="42" spans="1:26">
      <c r="A42" s="281" t="s">
        <v>645</v>
      </c>
      <c r="B42" s="281"/>
      <c r="C42" s="281" t="s">
        <v>869</v>
      </c>
      <c r="D42" s="277">
        <f t="shared" si="37"/>
        <v>2</v>
      </c>
      <c r="E42" s="277" t="str">
        <f t="shared" si="37"/>
        <v>2_00</v>
      </c>
      <c r="F42" s="277" t="str">
        <f t="shared" si="21"/>
        <v>Fitness Center2_00 to 2_09 gpm2_00</v>
      </c>
      <c r="G42" s="275">
        <f t="shared" si="22"/>
        <v>56892.698785085886</v>
      </c>
      <c r="H42" s="277">
        <f>VLOOKUP(C42,FlowRates!$A$74:$B$84,2,FALSE)</f>
        <v>2.0499999999999998</v>
      </c>
      <c r="I42" s="300">
        <f t="shared" si="23"/>
        <v>116630.03250942606</v>
      </c>
      <c r="J42" s="467">
        <f>AVERAGE(EnergyPerGallon!$C$5:$C$8)</f>
        <v>0.13797476436734693</v>
      </c>
      <c r="K42" s="468">
        <f>AVERAGE(EnergyPerGallon!$D$5:$D$8)</f>
        <v>6.1531407999999991E-3</v>
      </c>
      <c r="L42" s="277">
        <f t="shared" si="24"/>
        <v>16092.001253644074</v>
      </c>
      <c r="M42" s="277">
        <f t="shared" si="25"/>
        <v>717.64101153907575</v>
      </c>
      <c r="N42" s="291">
        <f t="shared" si="26"/>
        <v>56892.698785085886</v>
      </c>
      <c r="O42" s="277">
        <f t="shared" si="27"/>
        <v>1.8</v>
      </c>
      <c r="P42" s="300">
        <f t="shared" si="28"/>
        <v>102406.85781315459</v>
      </c>
      <c r="Q42" s="467">
        <f t="shared" si="29"/>
        <v>0.13742869010204081</v>
      </c>
      <c r="R42" s="468">
        <f t="shared" si="30"/>
        <v>6.1287879999999987E-3</v>
      </c>
      <c r="S42" s="275">
        <f t="shared" si="31"/>
        <v>14073.64032672778</v>
      </c>
      <c r="T42" s="275">
        <f t="shared" si="32"/>
        <v>627.62992128296798</v>
      </c>
      <c r="U42" s="282">
        <f t="shared" si="33"/>
        <v>2018.3609269162935</v>
      </c>
      <c r="V42" s="282">
        <f xml:space="preserve"> (Y42*WaterCostAndEnergy!$D$8/1000)</f>
        <v>75.240594143276056</v>
      </c>
      <c r="W42" s="282">
        <f t="shared" si="34"/>
        <v>2093.6015210595697</v>
      </c>
      <c r="X42" s="291">
        <f t="shared" si="35"/>
        <v>90.011090256107764</v>
      </c>
      <c r="Y42" s="291">
        <f t="shared" si="36"/>
        <v>14223.174696271468</v>
      </c>
      <c r="Z42" s="469">
        <f>Y42*WaterCostAndEnergy!$D$11/1000</f>
        <v>187.21515017840585</v>
      </c>
    </row>
    <row r="43" spans="1:26">
      <c r="A43" s="281" t="s">
        <v>645</v>
      </c>
      <c r="B43" s="281"/>
      <c r="C43" s="281" t="s">
        <v>869</v>
      </c>
      <c r="D43" s="277">
        <f t="shared" si="37"/>
        <v>1.75</v>
      </c>
      <c r="E43" s="277" t="str">
        <f t="shared" si="37"/>
        <v>1_75</v>
      </c>
      <c r="F43" s="277" t="str">
        <f t="shared" si="21"/>
        <v>Fitness Center2_00 to 2_09 gpm1_75</v>
      </c>
      <c r="G43" s="275">
        <f t="shared" si="22"/>
        <v>56892.698785085886</v>
      </c>
      <c r="H43" s="277">
        <f>VLOOKUP(C43,FlowRates!$A$74:$B$84,2,FALSE)</f>
        <v>2.0499999999999998</v>
      </c>
      <c r="I43" s="300">
        <f t="shared" si="23"/>
        <v>116630.03250942606</v>
      </c>
      <c r="J43" s="467">
        <f>AVERAGE(EnergyPerGallon!$C$5:$C$8)</f>
        <v>0.13797476436734693</v>
      </c>
      <c r="K43" s="468">
        <f>AVERAGE(EnergyPerGallon!$D$5:$D$8)</f>
        <v>6.1531407999999991E-3</v>
      </c>
      <c r="L43" s="277">
        <f t="shared" si="24"/>
        <v>16092.001253644074</v>
      </c>
      <c r="M43" s="277">
        <f t="shared" si="25"/>
        <v>717.64101153907575</v>
      </c>
      <c r="N43" s="291">
        <f t="shared" si="26"/>
        <v>56892.698785085886</v>
      </c>
      <c r="O43" s="277">
        <f t="shared" si="27"/>
        <v>1.75</v>
      </c>
      <c r="P43" s="300">
        <f t="shared" si="28"/>
        <v>99562.222873900304</v>
      </c>
      <c r="Q43" s="467">
        <f t="shared" si="29"/>
        <v>0.13961298716326531</v>
      </c>
      <c r="R43" s="468">
        <f t="shared" si="30"/>
        <v>6.2261992E-3</v>
      </c>
      <c r="S43" s="275">
        <f t="shared" si="31"/>
        <v>13900.179344040003</v>
      </c>
      <c r="T43" s="275">
        <f t="shared" si="32"/>
        <v>619.89423240769975</v>
      </c>
      <c r="U43" s="282">
        <f t="shared" si="33"/>
        <v>2191.8219096040702</v>
      </c>
      <c r="V43" s="282">
        <f xml:space="preserve"> (Y43*WaterCostAndEnergy!$D$8/1000)</f>
        <v>90.288712971931261</v>
      </c>
      <c r="W43" s="282">
        <f t="shared" si="34"/>
        <v>2282.1106225760013</v>
      </c>
      <c r="X43" s="291">
        <f t="shared" si="35"/>
        <v>97.746779131376002</v>
      </c>
      <c r="Y43" s="291">
        <f t="shared" si="36"/>
        <v>17067.809635525758</v>
      </c>
      <c r="Z43" s="469">
        <f>Y43*WaterCostAndEnergy!$D$11/1000</f>
        <v>224.658180214087</v>
      </c>
    </row>
    <row r="44" spans="1:26">
      <c r="A44" s="281" t="s">
        <v>645</v>
      </c>
      <c r="B44" s="281"/>
      <c r="C44" s="281" t="s">
        <v>869</v>
      </c>
      <c r="D44" s="277">
        <f t="shared" si="37"/>
        <v>1.5</v>
      </c>
      <c r="E44" s="277" t="str">
        <f t="shared" si="37"/>
        <v>1_50</v>
      </c>
      <c r="F44" s="277" t="str">
        <f t="shared" si="21"/>
        <v>Fitness Center2_00 to 2_09 gpm1_50</v>
      </c>
      <c r="G44" s="275">
        <f t="shared" si="22"/>
        <v>56892.698785085886</v>
      </c>
      <c r="H44" s="277">
        <f>VLOOKUP(C44,FlowRates!$A$74:$B$84,2,FALSE)</f>
        <v>2.0499999999999998</v>
      </c>
      <c r="I44" s="300">
        <f t="shared" si="23"/>
        <v>116630.03250942606</v>
      </c>
      <c r="J44" s="467">
        <f>AVERAGE(EnergyPerGallon!$C$5:$C$8)</f>
        <v>0.13797476436734693</v>
      </c>
      <c r="K44" s="468">
        <f>AVERAGE(EnergyPerGallon!$D$5:$D$8)</f>
        <v>6.1531407999999991E-3</v>
      </c>
      <c r="L44" s="277">
        <f t="shared" si="24"/>
        <v>16092.001253644074</v>
      </c>
      <c r="M44" s="277">
        <f t="shared" si="25"/>
        <v>717.64101153907575</v>
      </c>
      <c r="N44" s="291">
        <f t="shared" si="26"/>
        <v>56892.698785085886</v>
      </c>
      <c r="O44" s="277">
        <f t="shared" si="27"/>
        <v>1.5</v>
      </c>
      <c r="P44" s="300">
        <f t="shared" si="28"/>
        <v>85339.048177628836</v>
      </c>
      <c r="Q44" s="467">
        <f t="shared" si="29"/>
        <v>0.14179728422448981</v>
      </c>
      <c r="R44" s="468">
        <f t="shared" si="30"/>
        <v>6.3236103999999996E-3</v>
      </c>
      <c r="S44" s="275">
        <f t="shared" si="31"/>
        <v>12100.845269890666</v>
      </c>
      <c r="T44" s="275">
        <f t="shared" si="32"/>
        <v>539.65089258215471</v>
      </c>
      <c r="U44" s="282">
        <f t="shared" si="33"/>
        <v>3991.1559837534078</v>
      </c>
      <c r="V44" s="282">
        <f xml:space="preserve"> (Y44*WaterCostAndEnergy!$D$8/1000)</f>
        <v>165.52930711520733</v>
      </c>
      <c r="W44" s="282">
        <f t="shared" si="34"/>
        <v>4156.6852908686151</v>
      </c>
      <c r="X44" s="291">
        <f t="shared" si="35"/>
        <v>177.99011895692104</v>
      </c>
      <c r="Y44" s="291">
        <f t="shared" si="36"/>
        <v>31290.984331797226</v>
      </c>
      <c r="Z44" s="469">
        <f>Y44*WaterCostAndEnergy!$D$11/1000</f>
        <v>411.87333039249285</v>
      </c>
    </row>
    <row r="45" spans="1:26">
      <c r="A45" s="281" t="s">
        <v>645</v>
      </c>
      <c r="B45" s="281"/>
      <c r="C45" s="281" t="s">
        <v>870</v>
      </c>
      <c r="D45" s="277">
        <f t="shared" si="37"/>
        <v>2</v>
      </c>
      <c r="E45" s="277" t="str">
        <f t="shared" si="37"/>
        <v>2_00</v>
      </c>
      <c r="F45" s="277" t="str">
        <f t="shared" si="21"/>
        <v>Fitness Center1_90 to 1_99 gpm2_00</v>
      </c>
      <c r="G45" s="275">
        <f t="shared" si="22"/>
        <v>56892.698785085886</v>
      </c>
      <c r="H45" s="277">
        <f>VLOOKUP(C45,FlowRates!$A$74:$B$84,2,FALSE)</f>
        <v>1.9499999999999997</v>
      </c>
      <c r="I45" s="300">
        <f t="shared" si="23"/>
        <v>110940.76263091747</v>
      </c>
      <c r="J45" s="467">
        <f>AVERAGE(EnergyPerGallon!$C$5:$C$8)</f>
        <v>0.13797476436734693</v>
      </c>
      <c r="K45" s="468">
        <f>AVERAGE(EnergyPerGallon!$D$5:$D$8)</f>
        <v>6.1531407999999991E-3</v>
      </c>
      <c r="L45" s="277">
        <f t="shared" si="24"/>
        <v>15307.025582734605</v>
      </c>
      <c r="M45" s="277">
        <f t="shared" si="25"/>
        <v>682.63413292741348</v>
      </c>
      <c r="N45" s="291">
        <f t="shared" si="26"/>
        <v>56892.698785085886</v>
      </c>
      <c r="O45" s="277">
        <f t="shared" si="27"/>
        <v>1.8</v>
      </c>
      <c r="P45" s="300">
        <f t="shared" si="28"/>
        <v>102406.85781315459</v>
      </c>
      <c r="Q45" s="467">
        <f t="shared" si="29"/>
        <v>0.13742869010204081</v>
      </c>
      <c r="R45" s="468">
        <f t="shared" si="30"/>
        <v>6.1287879999999987E-3</v>
      </c>
      <c r="S45" s="275">
        <f t="shared" si="31"/>
        <v>14073.64032672778</v>
      </c>
      <c r="T45" s="275">
        <f t="shared" si="32"/>
        <v>627.62992128296798</v>
      </c>
      <c r="U45" s="282">
        <f t="shared" si="33"/>
        <v>1233.3852560068244</v>
      </c>
      <c r="V45" s="282">
        <f xml:space="preserve"> (Y45*WaterCostAndEnergy!$D$8/1000)</f>
        <v>45.144356485965595</v>
      </c>
      <c r="W45" s="282">
        <f t="shared" si="34"/>
        <v>1278.52961249279</v>
      </c>
      <c r="X45" s="291">
        <f t="shared" si="35"/>
        <v>55.00421164444549</v>
      </c>
      <c r="Y45" s="291">
        <f t="shared" si="36"/>
        <v>8533.904817762872</v>
      </c>
      <c r="Z45" s="469">
        <f>Y45*WaterCostAndEnergy!$D$11/1000</f>
        <v>112.32909010704338</v>
      </c>
    </row>
    <row r="46" spans="1:26">
      <c r="A46" s="281" t="s">
        <v>645</v>
      </c>
      <c r="B46" s="281"/>
      <c r="C46" s="281" t="s">
        <v>870</v>
      </c>
      <c r="D46" s="277">
        <f t="shared" ref="D46:E59" si="38">D43</f>
        <v>1.75</v>
      </c>
      <c r="E46" s="277" t="str">
        <f t="shared" si="38"/>
        <v>1_75</v>
      </c>
      <c r="F46" s="277" t="str">
        <f t="shared" si="21"/>
        <v>Fitness Center1_90 to 1_99 gpm1_75</v>
      </c>
      <c r="G46" s="275">
        <f t="shared" si="22"/>
        <v>56892.698785085886</v>
      </c>
      <c r="H46" s="277">
        <f>VLOOKUP(C46,FlowRates!$A$74:$B$84,2,FALSE)</f>
        <v>1.9499999999999997</v>
      </c>
      <c r="I46" s="300">
        <f t="shared" si="23"/>
        <v>110940.76263091747</v>
      </c>
      <c r="J46" s="467">
        <f>AVERAGE(EnergyPerGallon!$C$5:$C$8)</f>
        <v>0.13797476436734693</v>
      </c>
      <c r="K46" s="468">
        <f>AVERAGE(EnergyPerGallon!$D$5:$D$8)</f>
        <v>6.1531407999999991E-3</v>
      </c>
      <c r="L46" s="277">
        <f t="shared" si="24"/>
        <v>15307.025582734605</v>
      </c>
      <c r="M46" s="277">
        <f t="shared" si="25"/>
        <v>682.63413292741348</v>
      </c>
      <c r="N46" s="291">
        <f t="shared" si="26"/>
        <v>56892.698785085886</v>
      </c>
      <c r="O46" s="277">
        <f t="shared" si="27"/>
        <v>1.75</v>
      </c>
      <c r="P46" s="300">
        <f t="shared" si="28"/>
        <v>99562.222873900304</v>
      </c>
      <c r="Q46" s="467">
        <f t="shared" si="29"/>
        <v>0.13961298716326531</v>
      </c>
      <c r="R46" s="468">
        <f t="shared" si="30"/>
        <v>6.2261992E-3</v>
      </c>
      <c r="S46" s="275">
        <f t="shared" si="31"/>
        <v>13900.179344040003</v>
      </c>
      <c r="T46" s="275">
        <f t="shared" si="32"/>
        <v>619.89423240769975</v>
      </c>
      <c r="U46" s="282">
        <f t="shared" si="33"/>
        <v>1406.8462386946012</v>
      </c>
      <c r="V46" s="282">
        <f xml:space="preserve"> (Y46*WaterCostAndEnergy!$D$8/1000)</f>
        <v>60.192475314620786</v>
      </c>
      <c r="W46" s="282">
        <f t="shared" si="34"/>
        <v>1467.0387140092221</v>
      </c>
      <c r="X46" s="291">
        <f t="shared" si="35"/>
        <v>62.739900519713728</v>
      </c>
      <c r="Y46" s="291">
        <f t="shared" si="36"/>
        <v>11378.539757017163</v>
      </c>
      <c r="Z46" s="469">
        <f>Y46*WaterCostAndEnergy!$D$11/1000</f>
        <v>149.77212014272453</v>
      </c>
    </row>
    <row r="47" spans="1:26">
      <c r="A47" s="281" t="s">
        <v>645</v>
      </c>
      <c r="B47" s="281"/>
      <c r="C47" s="281" t="s">
        <v>870</v>
      </c>
      <c r="D47" s="277">
        <f t="shared" si="38"/>
        <v>1.5</v>
      </c>
      <c r="E47" s="277" t="str">
        <f t="shared" si="38"/>
        <v>1_50</v>
      </c>
      <c r="F47" s="277" t="str">
        <f t="shared" si="21"/>
        <v>Fitness Center1_90 to 1_99 gpm1_50</v>
      </c>
      <c r="G47" s="275">
        <f t="shared" si="22"/>
        <v>56892.698785085886</v>
      </c>
      <c r="H47" s="277">
        <f>VLOOKUP(C47,FlowRates!$A$74:$B$84,2,FALSE)</f>
        <v>1.9499999999999997</v>
      </c>
      <c r="I47" s="300">
        <f t="shared" si="23"/>
        <v>110940.76263091747</v>
      </c>
      <c r="J47" s="467">
        <f>AVERAGE(EnergyPerGallon!$C$5:$C$8)</f>
        <v>0.13797476436734693</v>
      </c>
      <c r="K47" s="468">
        <f>AVERAGE(EnergyPerGallon!$D$5:$D$8)</f>
        <v>6.1531407999999991E-3</v>
      </c>
      <c r="L47" s="277">
        <f t="shared" si="24"/>
        <v>15307.025582734605</v>
      </c>
      <c r="M47" s="277">
        <f t="shared" si="25"/>
        <v>682.63413292741348</v>
      </c>
      <c r="N47" s="291">
        <f t="shared" si="26"/>
        <v>56892.698785085886</v>
      </c>
      <c r="O47" s="277">
        <f t="shared" si="27"/>
        <v>1.5</v>
      </c>
      <c r="P47" s="300">
        <f t="shared" si="28"/>
        <v>85339.048177628836</v>
      </c>
      <c r="Q47" s="467">
        <f t="shared" si="29"/>
        <v>0.14179728422448981</v>
      </c>
      <c r="R47" s="468">
        <f t="shared" si="30"/>
        <v>6.3236103999999996E-3</v>
      </c>
      <c r="S47" s="275">
        <f t="shared" si="31"/>
        <v>12100.845269890666</v>
      </c>
      <c r="T47" s="275">
        <f t="shared" si="32"/>
        <v>539.65089258215471</v>
      </c>
      <c r="U47" s="282">
        <f t="shared" si="33"/>
        <v>3206.1803128439387</v>
      </c>
      <c r="V47" s="282">
        <f xml:space="preserve"> (Y47*WaterCostAndEnergy!$D$8/1000)</f>
        <v>135.43306945789686</v>
      </c>
      <c r="W47" s="282">
        <f t="shared" si="34"/>
        <v>3341.6133823018354</v>
      </c>
      <c r="X47" s="291">
        <f t="shared" si="35"/>
        <v>142.98324034525876</v>
      </c>
      <c r="Y47" s="291">
        <f t="shared" si="36"/>
        <v>25601.71445328863</v>
      </c>
      <c r="Z47" s="469">
        <f>Y47*WaterCostAndEnergy!$D$11/1000</f>
        <v>336.98727032113038</v>
      </c>
    </row>
    <row r="48" spans="1:26">
      <c r="A48" s="281" t="s">
        <v>645</v>
      </c>
      <c r="B48" s="281"/>
      <c r="C48" s="281" t="s">
        <v>871</v>
      </c>
      <c r="D48" s="277">
        <f t="shared" si="38"/>
        <v>2</v>
      </c>
      <c r="E48" s="277" t="str">
        <f t="shared" si="38"/>
        <v>2_00</v>
      </c>
      <c r="F48" s="277" t="str">
        <f t="shared" si="21"/>
        <v>Fitness Center1_80 to 1_89 gpm2_00</v>
      </c>
      <c r="G48" s="275">
        <f t="shared" si="22"/>
        <v>56892.698785085886</v>
      </c>
      <c r="H48" s="277">
        <f>VLOOKUP(C48,FlowRates!$A$74:$B$84,2,FALSE)</f>
        <v>1.8499999999999996</v>
      </c>
      <c r="I48" s="300">
        <f t="shared" si="23"/>
        <v>105251.49275240887</v>
      </c>
      <c r="J48" s="467">
        <f>AVERAGE(EnergyPerGallon!$C$5:$C$8)</f>
        <v>0.13797476436734693</v>
      </c>
      <c r="K48" s="468">
        <f>AVERAGE(EnergyPerGallon!$D$5:$D$8)</f>
        <v>6.1531407999999991E-3</v>
      </c>
      <c r="L48" s="277">
        <f t="shared" si="24"/>
        <v>14522.049911825137</v>
      </c>
      <c r="M48" s="277">
        <f t="shared" si="25"/>
        <v>647.6272543157512</v>
      </c>
      <c r="N48" s="291">
        <f t="shared" si="26"/>
        <v>56892.698785085886</v>
      </c>
      <c r="O48" s="277">
        <f t="shared" si="27"/>
        <v>1.8</v>
      </c>
      <c r="P48" s="300">
        <f t="shared" si="28"/>
        <v>102406.85781315459</v>
      </c>
      <c r="Q48" s="467">
        <f t="shared" si="29"/>
        <v>0.13742869010204081</v>
      </c>
      <c r="R48" s="468">
        <f t="shared" si="30"/>
        <v>6.1287879999999987E-3</v>
      </c>
      <c r="S48" s="275">
        <f t="shared" si="31"/>
        <v>14073.64032672778</v>
      </c>
      <c r="T48" s="275">
        <f t="shared" si="32"/>
        <v>627.62992128296798</v>
      </c>
      <c r="U48" s="282">
        <f t="shared" si="33"/>
        <v>448.40958509735719</v>
      </c>
      <c r="V48" s="282">
        <f xml:space="preserve"> (Y48*WaterCostAndEnergy!$D$8/1000)</f>
        <v>15.04811882865512</v>
      </c>
      <c r="W48" s="282">
        <f t="shared" si="34"/>
        <v>463.4577039260123</v>
      </c>
      <c r="X48" s="291">
        <f t="shared" si="35"/>
        <v>19.997333032783217</v>
      </c>
      <c r="Y48" s="291">
        <f t="shared" si="36"/>
        <v>2844.6349392542761</v>
      </c>
      <c r="Z48" s="469">
        <f>Y48*WaterCostAndEnergy!$D$11/1000</f>
        <v>37.443030035680941</v>
      </c>
    </row>
    <row r="49" spans="1:26">
      <c r="A49" s="281" t="s">
        <v>645</v>
      </c>
      <c r="B49" s="281"/>
      <c r="C49" s="281" t="s">
        <v>871</v>
      </c>
      <c r="D49" s="277">
        <f t="shared" si="38"/>
        <v>1.75</v>
      </c>
      <c r="E49" s="277" t="str">
        <f t="shared" si="38"/>
        <v>1_75</v>
      </c>
      <c r="F49" s="277" t="str">
        <f t="shared" si="21"/>
        <v>Fitness Center1_80 to 1_89 gpm1_75</v>
      </c>
      <c r="G49" s="275">
        <f t="shared" si="22"/>
        <v>56892.698785085886</v>
      </c>
      <c r="H49" s="277">
        <f>VLOOKUP(C49,FlowRates!$A$74:$B$84,2,FALSE)</f>
        <v>1.8499999999999996</v>
      </c>
      <c r="I49" s="300">
        <f t="shared" si="23"/>
        <v>105251.49275240887</v>
      </c>
      <c r="J49" s="467">
        <f>AVERAGE(EnergyPerGallon!$C$5:$C$8)</f>
        <v>0.13797476436734693</v>
      </c>
      <c r="K49" s="468">
        <f>AVERAGE(EnergyPerGallon!$D$5:$D$8)</f>
        <v>6.1531407999999991E-3</v>
      </c>
      <c r="L49" s="277">
        <f t="shared" si="24"/>
        <v>14522.049911825137</v>
      </c>
      <c r="M49" s="277">
        <f t="shared" si="25"/>
        <v>647.6272543157512</v>
      </c>
      <c r="N49" s="291">
        <f t="shared" si="26"/>
        <v>56892.698785085886</v>
      </c>
      <c r="O49" s="277">
        <f t="shared" si="27"/>
        <v>1.75</v>
      </c>
      <c r="P49" s="300">
        <f t="shared" si="28"/>
        <v>99562.222873900304</v>
      </c>
      <c r="Q49" s="467">
        <f t="shared" si="29"/>
        <v>0.13961298716326531</v>
      </c>
      <c r="R49" s="468">
        <f t="shared" si="30"/>
        <v>6.2261992E-3</v>
      </c>
      <c r="S49" s="275">
        <f t="shared" si="31"/>
        <v>13900.179344040003</v>
      </c>
      <c r="T49" s="275">
        <f t="shared" si="32"/>
        <v>619.89423240769975</v>
      </c>
      <c r="U49" s="282">
        <f t="shared" si="33"/>
        <v>621.87056778513397</v>
      </c>
      <c r="V49" s="282">
        <f xml:space="preserve"> (Y49*WaterCostAndEnergy!$D$8/1000)</f>
        <v>30.096237657310319</v>
      </c>
      <c r="W49" s="282">
        <f t="shared" si="34"/>
        <v>651.9668054424443</v>
      </c>
      <c r="X49" s="291">
        <f t="shared" si="35"/>
        <v>27.733021908051455</v>
      </c>
      <c r="Y49" s="291">
        <f t="shared" si="36"/>
        <v>5689.2698785085668</v>
      </c>
      <c r="Z49" s="469">
        <f>Y49*WaterCostAndEnergy!$D$11/1000</f>
        <v>74.886060071362067</v>
      </c>
    </row>
    <row r="50" spans="1:26">
      <c r="A50" s="281" t="s">
        <v>645</v>
      </c>
      <c r="B50" s="281"/>
      <c r="C50" s="281" t="s">
        <v>871</v>
      </c>
      <c r="D50" s="277">
        <f t="shared" si="38"/>
        <v>1.5</v>
      </c>
      <c r="E50" s="277" t="str">
        <f t="shared" si="38"/>
        <v>1_50</v>
      </c>
      <c r="F50" s="277" t="str">
        <f t="shared" si="21"/>
        <v>Fitness Center1_80 to 1_89 gpm1_50</v>
      </c>
      <c r="G50" s="275">
        <f t="shared" si="22"/>
        <v>56892.698785085886</v>
      </c>
      <c r="H50" s="277">
        <f>VLOOKUP(C50,FlowRates!$A$74:$B$84,2,FALSE)</f>
        <v>1.8499999999999996</v>
      </c>
      <c r="I50" s="300">
        <f t="shared" si="23"/>
        <v>105251.49275240887</v>
      </c>
      <c r="J50" s="467">
        <f>AVERAGE(EnergyPerGallon!$C$5:$C$8)</f>
        <v>0.13797476436734693</v>
      </c>
      <c r="K50" s="468">
        <f>AVERAGE(EnergyPerGallon!$D$5:$D$8)</f>
        <v>6.1531407999999991E-3</v>
      </c>
      <c r="L50" s="277">
        <f t="shared" si="24"/>
        <v>14522.049911825137</v>
      </c>
      <c r="M50" s="277">
        <f t="shared" si="25"/>
        <v>647.6272543157512</v>
      </c>
      <c r="N50" s="291">
        <f t="shared" si="26"/>
        <v>56892.698785085886</v>
      </c>
      <c r="O50" s="277">
        <f t="shared" si="27"/>
        <v>1.5</v>
      </c>
      <c r="P50" s="300">
        <f t="shared" si="28"/>
        <v>85339.048177628836</v>
      </c>
      <c r="Q50" s="467">
        <f t="shared" si="29"/>
        <v>0.14179728422448981</v>
      </c>
      <c r="R50" s="468">
        <f t="shared" si="30"/>
        <v>6.3236103999999996E-3</v>
      </c>
      <c r="S50" s="275">
        <f t="shared" si="31"/>
        <v>12100.845269890666</v>
      </c>
      <c r="T50" s="275">
        <f t="shared" si="32"/>
        <v>539.65089258215471</v>
      </c>
      <c r="U50" s="282">
        <f t="shared" si="33"/>
        <v>2421.2046419344715</v>
      </c>
      <c r="V50" s="282">
        <f xml:space="preserve"> (Y50*WaterCostAndEnergy!$D$8/1000)</f>
        <v>105.33683180058638</v>
      </c>
      <c r="W50" s="282">
        <f t="shared" si="34"/>
        <v>2526.5414737350579</v>
      </c>
      <c r="X50" s="291">
        <f t="shared" si="35"/>
        <v>107.97636173359649</v>
      </c>
      <c r="Y50" s="291">
        <f t="shared" si="36"/>
        <v>19912.444574780035</v>
      </c>
      <c r="Z50" s="469">
        <f>Y50*WaterCostAndEnergy!$D$11/1000</f>
        <v>262.10121024976792</v>
      </c>
    </row>
    <row r="51" spans="1:26">
      <c r="A51" s="281" t="s">
        <v>645</v>
      </c>
      <c r="B51" s="281"/>
      <c r="C51" s="277" t="s">
        <v>872</v>
      </c>
      <c r="D51" s="277">
        <f t="shared" si="38"/>
        <v>2</v>
      </c>
      <c r="E51" s="277" t="str">
        <f t="shared" si="38"/>
        <v>2_00</v>
      </c>
      <c r="F51" s="277" t="str">
        <f t="shared" si="21"/>
        <v>Fitness Center1_70 to 1_79 gpm2_00</v>
      </c>
      <c r="G51" s="275">
        <f t="shared" si="22"/>
        <v>56892.698785085886</v>
      </c>
      <c r="H51" s="277">
        <f>VLOOKUP(C51,FlowRates!$A$74:$B$84,2,FALSE)</f>
        <v>1.7499999999999996</v>
      </c>
      <c r="I51" s="300">
        <f t="shared" si="23"/>
        <v>99562.222873900275</v>
      </c>
      <c r="J51" s="467">
        <f>AVERAGE(EnergyPerGallon!$C$5:$C$8)</f>
        <v>0.13797476436734693</v>
      </c>
      <c r="K51" s="468">
        <f>AVERAGE(EnergyPerGallon!$D$5:$D$8)</f>
        <v>6.1531407999999991E-3</v>
      </c>
      <c r="L51" s="277">
        <f t="shared" si="24"/>
        <v>13737.074240915668</v>
      </c>
      <c r="M51" s="277">
        <f t="shared" si="25"/>
        <v>612.62037570408893</v>
      </c>
      <c r="N51" s="291">
        <f t="shared" si="26"/>
        <v>56892.698785085886</v>
      </c>
      <c r="O51" s="277">
        <f t="shared" si="27"/>
        <v>1.8</v>
      </c>
      <c r="P51" s="300">
        <f t="shared" si="28"/>
        <v>102406.85781315459</v>
      </c>
      <c r="Q51" s="467">
        <f t="shared" si="29"/>
        <v>0.13742869010204081</v>
      </c>
      <c r="R51" s="468">
        <f t="shared" si="30"/>
        <v>6.1287879999999987E-3</v>
      </c>
      <c r="S51" s="275">
        <f t="shared" si="31"/>
        <v>14073.64032672778</v>
      </c>
      <c r="T51" s="275">
        <f t="shared" si="32"/>
        <v>627.62992128296798</v>
      </c>
      <c r="U51" s="282">
        <f t="shared" si="33"/>
        <v>-336.56608581211185</v>
      </c>
      <c r="V51" s="282">
        <f xml:space="preserve"> (Y51*WaterCostAndEnergy!$D$8/1000)</f>
        <v>-15.048118828655351</v>
      </c>
      <c r="W51" s="282">
        <f t="shared" si="34"/>
        <v>-351.61420464076718</v>
      </c>
      <c r="X51" s="291">
        <f t="shared" si="35"/>
        <v>-15.009545578879056</v>
      </c>
      <c r="Y51" s="291">
        <f t="shared" si="36"/>
        <v>-2844.6349392543198</v>
      </c>
      <c r="Z51" s="469">
        <f>Y51*WaterCostAndEnergy!$D$11/1000</f>
        <v>-37.443030035681517</v>
      </c>
    </row>
    <row r="52" spans="1:26">
      <c r="A52" s="281" t="s">
        <v>645</v>
      </c>
      <c r="B52" s="281"/>
      <c r="C52" s="277" t="s">
        <v>872</v>
      </c>
      <c r="D52" s="277">
        <f t="shared" si="38"/>
        <v>1.75</v>
      </c>
      <c r="E52" s="277" t="str">
        <f t="shared" si="38"/>
        <v>1_75</v>
      </c>
      <c r="F52" s="277" t="str">
        <f t="shared" si="21"/>
        <v>Fitness Center1_70 to 1_79 gpm1_75</v>
      </c>
      <c r="G52" s="275">
        <f t="shared" si="22"/>
        <v>56892.698785085886</v>
      </c>
      <c r="H52" s="277">
        <f>VLOOKUP(C52,FlowRates!$A$74:$B$84,2,FALSE)</f>
        <v>1.7499999999999996</v>
      </c>
      <c r="I52" s="300">
        <f t="shared" si="23"/>
        <v>99562.222873900275</v>
      </c>
      <c r="J52" s="467">
        <f>AVERAGE(EnergyPerGallon!$C$5:$C$8)</f>
        <v>0.13797476436734693</v>
      </c>
      <c r="K52" s="468">
        <f>AVERAGE(EnergyPerGallon!$D$5:$D$8)</f>
        <v>6.1531407999999991E-3</v>
      </c>
      <c r="L52" s="277">
        <f t="shared" si="24"/>
        <v>13737.074240915668</v>
      </c>
      <c r="M52" s="277">
        <f t="shared" si="25"/>
        <v>612.62037570408893</v>
      </c>
      <c r="N52" s="291">
        <f t="shared" si="26"/>
        <v>56892.698785085886</v>
      </c>
      <c r="O52" s="277">
        <f t="shared" si="27"/>
        <v>1.75</v>
      </c>
      <c r="P52" s="300">
        <f t="shared" si="28"/>
        <v>99562.222873900304</v>
      </c>
      <c r="Q52" s="467">
        <f t="shared" si="29"/>
        <v>0.13961298716326531</v>
      </c>
      <c r="R52" s="468">
        <f t="shared" si="30"/>
        <v>6.2261992E-3</v>
      </c>
      <c r="S52" s="275">
        <f t="shared" si="31"/>
        <v>13900.179344040003</v>
      </c>
      <c r="T52" s="275">
        <f t="shared" si="32"/>
        <v>619.89423240769975</v>
      </c>
      <c r="U52" s="282">
        <f t="shared" si="33"/>
        <v>-163.10510312433507</v>
      </c>
      <c r="V52" s="282">
        <f xml:space="preserve"> (Y52*WaterCostAndEnergy!$D$8/1000)</f>
        <v>0</v>
      </c>
      <c r="W52" s="282">
        <f t="shared" si="34"/>
        <v>-163.10510312433507</v>
      </c>
      <c r="X52" s="291">
        <f t="shared" si="35"/>
        <v>-7.2738567036108179</v>
      </c>
      <c r="Y52" s="291">
        <f t="shared" si="36"/>
        <v>0</v>
      </c>
      <c r="Z52" s="469">
        <f>Y52*WaterCostAndEnergy!$D$11/1000</f>
        <v>0</v>
      </c>
    </row>
    <row r="53" spans="1:26">
      <c r="A53" s="281" t="s">
        <v>645</v>
      </c>
      <c r="B53" s="281"/>
      <c r="C53" s="277" t="s">
        <v>872</v>
      </c>
      <c r="D53" s="277">
        <f t="shared" si="38"/>
        <v>1.5</v>
      </c>
      <c r="E53" s="277" t="str">
        <f t="shared" si="38"/>
        <v>1_50</v>
      </c>
      <c r="F53" s="277" t="str">
        <f t="shared" si="21"/>
        <v>Fitness Center1_70 to 1_79 gpm1_50</v>
      </c>
      <c r="G53" s="275">
        <f t="shared" si="22"/>
        <v>56892.698785085886</v>
      </c>
      <c r="H53" s="277">
        <f>VLOOKUP(C53,FlowRates!$A$74:$B$84,2,FALSE)</f>
        <v>1.7499999999999996</v>
      </c>
      <c r="I53" s="300">
        <f t="shared" si="23"/>
        <v>99562.222873900275</v>
      </c>
      <c r="J53" s="467">
        <f>AVERAGE(EnergyPerGallon!$C$5:$C$8)</f>
        <v>0.13797476436734693</v>
      </c>
      <c r="K53" s="468">
        <f>AVERAGE(EnergyPerGallon!$D$5:$D$8)</f>
        <v>6.1531407999999991E-3</v>
      </c>
      <c r="L53" s="277">
        <f t="shared" si="24"/>
        <v>13737.074240915668</v>
      </c>
      <c r="M53" s="277">
        <f t="shared" si="25"/>
        <v>612.62037570408893</v>
      </c>
      <c r="N53" s="291">
        <f t="shared" si="26"/>
        <v>56892.698785085886</v>
      </c>
      <c r="O53" s="277">
        <f t="shared" si="27"/>
        <v>1.5</v>
      </c>
      <c r="P53" s="300">
        <f t="shared" si="28"/>
        <v>85339.048177628836</v>
      </c>
      <c r="Q53" s="467">
        <f t="shared" si="29"/>
        <v>0.14179728422448981</v>
      </c>
      <c r="R53" s="468">
        <f t="shared" si="30"/>
        <v>6.3236103999999996E-3</v>
      </c>
      <c r="S53" s="275">
        <f t="shared" si="31"/>
        <v>12100.845269890666</v>
      </c>
      <c r="T53" s="275">
        <f t="shared" si="32"/>
        <v>539.65089258215471</v>
      </c>
      <c r="U53" s="282">
        <f t="shared" si="33"/>
        <v>1636.2289710250025</v>
      </c>
      <c r="V53" s="282">
        <f xml:space="preserve"> (Y53*WaterCostAndEnergy!$D$8/1000)</f>
        <v>75.240594143275914</v>
      </c>
      <c r="W53" s="282">
        <f t="shared" si="34"/>
        <v>1711.4695651682785</v>
      </c>
      <c r="X53" s="291">
        <f t="shared" si="35"/>
        <v>72.969483121934218</v>
      </c>
      <c r="Y53" s="291">
        <f t="shared" si="36"/>
        <v>14223.174696271439</v>
      </c>
      <c r="Z53" s="469">
        <f>Y53*WaterCostAndEnergy!$D$11/1000</f>
        <v>187.21515017840545</v>
      </c>
    </row>
    <row r="54" spans="1:26">
      <c r="A54" s="281" t="s">
        <v>645</v>
      </c>
      <c r="B54" s="281"/>
      <c r="C54" s="277" t="s">
        <v>873</v>
      </c>
      <c r="D54" s="277">
        <f t="shared" si="38"/>
        <v>2</v>
      </c>
      <c r="E54" s="277" t="str">
        <f t="shared" si="38"/>
        <v>2_00</v>
      </c>
      <c r="F54" s="277" t="str">
        <f t="shared" si="21"/>
        <v>Fitness Center1_60 to 1_69 gpm2_00</v>
      </c>
      <c r="G54" s="275">
        <f t="shared" si="22"/>
        <v>56892.698785085886</v>
      </c>
      <c r="H54" s="277">
        <f>VLOOKUP(C54,FlowRates!$A$74:$B$84,2,FALSE)</f>
        <v>1.6499999999999995</v>
      </c>
      <c r="I54" s="300">
        <f t="shared" si="23"/>
        <v>93872.952995391679</v>
      </c>
      <c r="J54" s="467">
        <f>AVERAGE(EnergyPerGallon!$C$5:$C$8)</f>
        <v>0.13797476436734693</v>
      </c>
      <c r="K54" s="468">
        <f>AVERAGE(EnergyPerGallon!$D$5:$D$8)</f>
        <v>6.1531407999999991E-3</v>
      </c>
      <c r="L54" s="277">
        <f t="shared" si="24"/>
        <v>12952.098570006201</v>
      </c>
      <c r="M54" s="277">
        <f t="shared" si="25"/>
        <v>577.61349709242666</v>
      </c>
      <c r="N54" s="291">
        <f t="shared" si="26"/>
        <v>56892.698785085886</v>
      </c>
      <c r="O54" s="277">
        <f t="shared" si="27"/>
        <v>1.8</v>
      </c>
      <c r="P54" s="300">
        <f t="shared" si="28"/>
        <v>102406.85781315459</v>
      </c>
      <c r="Q54" s="467">
        <f t="shared" si="29"/>
        <v>0.13742869010204081</v>
      </c>
      <c r="R54" s="468">
        <f t="shared" si="30"/>
        <v>6.1287879999999987E-3</v>
      </c>
      <c r="S54" s="275">
        <f t="shared" si="31"/>
        <v>14073.64032672778</v>
      </c>
      <c r="T54" s="275">
        <f t="shared" si="32"/>
        <v>627.62992128296798</v>
      </c>
      <c r="U54" s="282">
        <f t="shared" si="33"/>
        <v>-1121.5417567215791</v>
      </c>
      <c r="V54" s="282">
        <f xml:space="preserve"> (Y54*WaterCostAndEnergy!$D$8/1000)</f>
        <v>-45.144356485965822</v>
      </c>
      <c r="W54" s="282">
        <f t="shared" si="34"/>
        <v>-1166.6861132075448</v>
      </c>
      <c r="X54" s="291">
        <f t="shared" si="35"/>
        <v>-50.016424190541329</v>
      </c>
      <c r="Y54" s="291">
        <f t="shared" si="36"/>
        <v>-8533.9048177629156</v>
      </c>
      <c r="Z54" s="469">
        <f>Y54*WaterCostAndEnergy!$D$11/1000</f>
        <v>-112.32909010704397</v>
      </c>
    </row>
    <row r="55" spans="1:26">
      <c r="A55" s="281" t="s">
        <v>645</v>
      </c>
      <c r="B55" s="281"/>
      <c r="C55" s="277" t="s">
        <v>873</v>
      </c>
      <c r="D55" s="277">
        <f t="shared" si="38"/>
        <v>1.75</v>
      </c>
      <c r="E55" s="277" t="str">
        <f t="shared" si="38"/>
        <v>1_75</v>
      </c>
      <c r="F55" s="277" t="str">
        <f t="shared" si="21"/>
        <v>Fitness Center1_60 to 1_69 gpm1_75</v>
      </c>
      <c r="G55" s="275">
        <f t="shared" si="22"/>
        <v>56892.698785085886</v>
      </c>
      <c r="H55" s="277">
        <f>VLOOKUP(C55,FlowRates!$A$74:$B$84,2,FALSE)</f>
        <v>1.6499999999999995</v>
      </c>
      <c r="I55" s="300">
        <f t="shared" si="23"/>
        <v>93872.952995391679</v>
      </c>
      <c r="J55" s="467">
        <f>AVERAGE(EnergyPerGallon!$C$5:$C$8)</f>
        <v>0.13797476436734693</v>
      </c>
      <c r="K55" s="468">
        <f>AVERAGE(EnergyPerGallon!$D$5:$D$8)</f>
        <v>6.1531407999999991E-3</v>
      </c>
      <c r="L55" s="277">
        <f t="shared" si="24"/>
        <v>12952.098570006201</v>
      </c>
      <c r="M55" s="277">
        <f t="shared" si="25"/>
        <v>577.61349709242666</v>
      </c>
      <c r="N55" s="291">
        <f t="shared" si="26"/>
        <v>56892.698785085886</v>
      </c>
      <c r="O55" s="277">
        <f t="shared" si="27"/>
        <v>1.75</v>
      </c>
      <c r="P55" s="300">
        <f t="shared" si="28"/>
        <v>99562.222873900304</v>
      </c>
      <c r="Q55" s="467">
        <f t="shared" si="29"/>
        <v>0.13961298716326531</v>
      </c>
      <c r="R55" s="468">
        <f t="shared" si="30"/>
        <v>6.2261992E-3</v>
      </c>
      <c r="S55" s="275">
        <f t="shared" si="31"/>
        <v>13900.179344040003</v>
      </c>
      <c r="T55" s="275">
        <f t="shared" si="32"/>
        <v>619.89423240769975</v>
      </c>
      <c r="U55" s="282">
        <f t="shared" si="33"/>
        <v>-948.0807740338023</v>
      </c>
      <c r="V55" s="282">
        <f xml:space="preserve"> (Y55*WaterCostAndEnergy!$D$8/1000)</f>
        <v>-30.096237657310628</v>
      </c>
      <c r="W55" s="282">
        <f t="shared" si="34"/>
        <v>-978.17701169111297</v>
      </c>
      <c r="X55" s="291">
        <f t="shared" si="35"/>
        <v>-42.280735315273091</v>
      </c>
      <c r="Y55" s="291">
        <f t="shared" si="36"/>
        <v>-5689.269878508625</v>
      </c>
      <c r="Z55" s="469">
        <f>Y55*WaterCostAndEnergy!$D$11/1000</f>
        <v>-74.886060071362834</v>
      </c>
    </row>
    <row r="56" spans="1:26">
      <c r="A56" s="281" t="s">
        <v>645</v>
      </c>
      <c r="B56" s="281"/>
      <c r="C56" s="277" t="s">
        <v>873</v>
      </c>
      <c r="D56" s="277">
        <f t="shared" si="38"/>
        <v>1.5</v>
      </c>
      <c r="E56" s="277" t="str">
        <f t="shared" si="38"/>
        <v>1_50</v>
      </c>
      <c r="F56" s="277" t="str">
        <f t="shared" si="21"/>
        <v>Fitness Center1_60 to 1_69 gpm1_50</v>
      </c>
      <c r="G56" s="275">
        <f t="shared" si="22"/>
        <v>56892.698785085886</v>
      </c>
      <c r="H56" s="277">
        <f>VLOOKUP(C56,FlowRates!$A$74:$B$84,2,FALSE)</f>
        <v>1.6499999999999995</v>
      </c>
      <c r="I56" s="300">
        <f t="shared" si="23"/>
        <v>93872.952995391679</v>
      </c>
      <c r="J56" s="467">
        <f>AVERAGE(EnergyPerGallon!$C$5:$C$8)</f>
        <v>0.13797476436734693</v>
      </c>
      <c r="K56" s="468">
        <f>AVERAGE(EnergyPerGallon!$D$5:$D$8)</f>
        <v>6.1531407999999991E-3</v>
      </c>
      <c r="L56" s="277">
        <f t="shared" si="24"/>
        <v>12952.098570006201</v>
      </c>
      <c r="M56" s="277">
        <f t="shared" si="25"/>
        <v>577.61349709242666</v>
      </c>
      <c r="N56" s="291">
        <f t="shared" si="26"/>
        <v>56892.698785085886</v>
      </c>
      <c r="O56" s="277">
        <f t="shared" si="27"/>
        <v>1.5</v>
      </c>
      <c r="P56" s="300">
        <f t="shared" si="28"/>
        <v>85339.048177628836</v>
      </c>
      <c r="Q56" s="467">
        <f t="shared" si="29"/>
        <v>0.14179728422448981</v>
      </c>
      <c r="R56" s="468">
        <f t="shared" si="30"/>
        <v>6.3236103999999996E-3</v>
      </c>
      <c r="S56" s="275">
        <f t="shared" si="31"/>
        <v>12100.845269890666</v>
      </c>
      <c r="T56" s="275">
        <f t="shared" si="32"/>
        <v>539.65089258215471</v>
      </c>
      <c r="U56" s="282">
        <f t="shared" si="33"/>
        <v>851.25330011553524</v>
      </c>
      <c r="V56" s="282">
        <f xml:space="preserve"> (Y56*WaterCostAndEnergy!$D$8/1000)</f>
        <v>45.144356485965439</v>
      </c>
      <c r="W56" s="282">
        <f t="shared" si="34"/>
        <v>896.39765660150067</v>
      </c>
      <c r="X56" s="291">
        <f t="shared" si="35"/>
        <v>37.962604510271944</v>
      </c>
      <c r="Y56" s="291">
        <f t="shared" si="36"/>
        <v>8533.9048177628429</v>
      </c>
      <c r="Z56" s="469">
        <f>Y56*WaterCostAndEnergy!$D$11/1000</f>
        <v>112.32909010704302</v>
      </c>
    </row>
    <row r="57" spans="1:26">
      <c r="A57" s="281" t="s">
        <v>645</v>
      </c>
      <c r="B57" s="281"/>
      <c r="C57" s="277" t="s">
        <v>874</v>
      </c>
      <c r="D57" s="277">
        <f t="shared" si="38"/>
        <v>2</v>
      </c>
      <c r="E57" s="277" t="str">
        <f t="shared" si="38"/>
        <v>2_00</v>
      </c>
      <c r="F57" s="277" t="str">
        <f t="shared" si="21"/>
        <v>Fitness Center1_50 to 1_59 gpm2_00</v>
      </c>
      <c r="G57" s="275">
        <f t="shared" si="22"/>
        <v>56892.698785085886</v>
      </c>
      <c r="H57" s="277">
        <f>VLOOKUP(C57,FlowRates!$A$74:$B$84,2,FALSE)</f>
        <v>1.5499999999999994</v>
      </c>
      <c r="I57" s="300">
        <f t="shared" si="23"/>
        <v>88183.683116883083</v>
      </c>
      <c r="J57" s="467">
        <f>AVERAGE(EnergyPerGallon!$C$5:$C$8)</f>
        <v>0.13797476436734693</v>
      </c>
      <c r="K57" s="468">
        <f>AVERAGE(EnergyPerGallon!$D$5:$D$8)</f>
        <v>6.1531407999999991E-3</v>
      </c>
      <c r="L57" s="277">
        <f t="shared" si="24"/>
        <v>12167.122899096734</v>
      </c>
      <c r="M57" s="277">
        <f t="shared" si="25"/>
        <v>542.60661848076438</v>
      </c>
      <c r="N57" s="291">
        <f t="shared" si="26"/>
        <v>56892.698785085886</v>
      </c>
      <c r="O57" s="277">
        <f t="shared" si="27"/>
        <v>1.8</v>
      </c>
      <c r="P57" s="300">
        <f t="shared" si="28"/>
        <v>102406.85781315459</v>
      </c>
      <c r="Q57" s="467">
        <f t="shared" si="29"/>
        <v>0.13742869010204081</v>
      </c>
      <c r="R57" s="468">
        <f t="shared" si="30"/>
        <v>6.1287879999999987E-3</v>
      </c>
      <c r="S57" s="275">
        <f t="shared" si="31"/>
        <v>14073.64032672778</v>
      </c>
      <c r="T57" s="275">
        <f t="shared" si="32"/>
        <v>627.62992128296798</v>
      </c>
      <c r="U57" s="282">
        <f t="shared" si="33"/>
        <v>-1906.5174276310463</v>
      </c>
      <c r="V57" s="282">
        <f xml:space="preserve"> (Y57*WaterCostAndEnergy!$D$8/1000)</f>
        <v>-75.240594143276297</v>
      </c>
      <c r="W57" s="282">
        <f t="shared" si="34"/>
        <v>-1981.7580217743225</v>
      </c>
      <c r="X57" s="291">
        <f t="shared" si="35"/>
        <v>-85.023302802203602</v>
      </c>
      <c r="Y57" s="291">
        <f t="shared" si="36"/>
        <v>-14223.174696271511</v>
      </c>
      <c r="Z57" s="469">
        <f>Y57*WaterCostAndEnergy!$D$11/1000</f>
        <v>-187.21515017840642</v>
      </c>
    </row>
    <row r="58" spans="1:26">
      <c r="A58" s="281" t="s">
        <v>645</v>
      </c>
      <c r="B58" s="281"/>
      <c r="C58" s="277" t="s">
        <v>874</v>
      </c>
      <c r="D58" s="277">
        <f t="shared" si="38"/>
        <v>1.75</v>
      </c>
      <c r="E58" s="277" t="str">
        <f t="shared" si="38"/>
        <v>1_75</v>
      </c>
      <c r="F58" s="277" t="str">
        <f t="shared" si="21"/>
        <v>Fitness Center1_50 to 1_59 gpm1_75</v>
      </c>
      <c r="G58" s="275">
        <f t="shared" si="22"/>
        <v>56892.698785085886</v>
      </c>
      <c r="H58" s="277">
        <f>VLOOKUP(C58,FlowRates!$A$74:$B$84,2,FALSE)</f>
        <v>1.5499999999999994</v>
      </c>
      <c r="I58" s="300">
        <f t="shared" si="23"/>
        <v>88183.683116883083</v>
      </c>
      <c r="J58" s="467">
        <f>AVERAGE(EnergyPerGallon!$C$5:$C$8)</f>
        <v>0.13797476436734693</v>
      </c>
      <c r="K58" s="468">
        <f>AVERAGE(EnergyPerGallon!$D$5:$D$8)</f>
        <v>6.1531407999999991E-3</v>
      </c>
      <c r="L58" s="277">
        <f t="shared" si="24"/>
        <v>12167.122899096734</v>
      </c>
      <c r="M58" s="277">
        <f t="shared" si="25"/>
        <v>542.60661848076438</v>
      </c>
      <c r="N58" s="291">
        <f t="shared" si="26"/>
        <v>56892.698785085886</v>
      </c>
      <c r="O58" s="277">
        <f t="shared" si="27"/>
        <v>1.75</v>
      </c>
      <c r="P58" s="300">
        <f t="shared" si="28"/>
        <v>99562.222873900304</v>
      </c>
      <c r="Q58" s="467">
        <f t="shared" si="29"/>
        <v>0.13961298716326531</v>
      </c>
      <c r="R58" s="468">
        <f t="shared" si="30"/>
        <v>6.2261992E-3</v>
      </c>
      <c r="S58" s="275">
        <f t="shared" si="31"/>
        <v>13900.179344040003</v>
      </c>
      <c r="T58" s="275">
        <f t="shared" si="32"/>
        <v>619.89423240769975</v>
      </c>
      <c r="U58" s="282">
        <f t="shared" si="33"/>
        <v>-1733.0564449432695</v>
      </c>
      <c r="V58" s="282">
        <f xml:space="preserve"> (Y58*WaterCostAndEnergy!$D$8/1000)</f>
        <v>-60.192475314621099</v>
      </c>
      <c r="W58" s="282">
        <f t="shared" si="34"/>
        <v>-1793.2489202578906</v>
      </c>
      <c r="X58" s="291">
        <f t="shared" si="35"/>
        <v>-77.287613926935364</v>
      </c>
      <c r="Y58" s="291">
        <f t="shared" si="36"/>
        <v>-11378.539757017221</v>
      </c>
      <c r="Z58" s="469">
        <f>Y58*WaterCostAndEnergy!$D$11/1000</f>
        <v>-149.7721201427253</v>
      </c>
    </row>
    <row r="59" spans="1:26">
      <c r="A59" s="281" t="s">
        <v>645</v>
      </c>
      <c r="B59" s="281"/>
      <c r="C59" s="277" t="s">
        <v>874</v>
      </c>
      <c r="D59" s="277">
        <f t="shared" si="38"/>
        <v>1.5</v>
      </c>
      <c r="E59" s="277" t="str">
        <f t="shared" si="38"/>
        <v>1_50</v>
      </c>
      <c r="F59" s="277" t="str">
        <f t="shared" si="21"/>
        <v>Fitness Center1_50 to 1_59 gpm1_50</v>
      </c>
      <c r="G59" s="275">
        <f t="shared" si="22"/>
        <v>56892.698785085886</v>
      </c>
      <c r="H59" s="277">
        <f>VLOOKUP(C59,FlowRates!$A$74:$B$84,2,FALSE)</f>
        <v>1.5499999999999994</v>
      </c>
      <c r="I59" s="300">
        <f t="shared" si="23"/>
        <v>88183.683116883083</v>
      </c>
      <c r="J59" s="467">
        <f>AVERAGE(EnergyPerGallon!$C$5:$C$8)</f>
        <v>0.13797476436734693</v>
      </c>
      <c r="K59" s="468">
        <f>AVERAGE(EnergyPerGallon!$D$5:$D$8)</f>
        <v>6.1531407999999991E-3</v>
      </c>
      <c r="L59" s="277">
        <f t="shared" si="24"/>
        <v>12167.122899096734</v>
      </c>
      <c r="M59" s="277">
        <f t="shared" si="25"/>
        <v>542.60661848076438</v>
      </c>
      <c r="N59" s="291">
        <f t="shared" si="26"/>
        <v>56892.698785085886</v>
      </c>
      <c r="O59" s="277">
        <f t="shared" si="27"/>
        <v>1.5</v>
      </c>
      <c r="P59" s="300">
        <f t="shared" si="28"/>
        <v>85339.048177628836</v>
      </c>
      <c r="Q59" s="467">
        <f t="shared" si="29"/>
        <v>0.14179728422448981</v>
      </c>
      <c r="R59" s="468">
        <f t="shared" si="30"/>
        <v>6.3236103999999996E-3</v>
      </c>
      <c r="S59" s="275">
        <f t="shared" si="31"/>
        <v>12100.845269890666</v>
      </c>
      <c r="T59" s="275">
        <f t="shared" si="32"/>
        <v>539.65089258215471</v>
      </c>
      <c r="U59" s="282">
        <f t="shared" si="33"/>
        <v>66.277629206068013</v>
      </c>
      <c r="V59" s="282">
        <f xml:space="preserve"> (Y59*WaterCostAndEnergy!$D$8/1000)</f>
        <v>15.048118828654966</v>
      </c>
      <c r="W59" s="282">
        <f t="shared" si="34"/>
        <v>81.325748034722977</v>
      </c>
      <c r="X59" s="291">
        <f t="shared" si="35"/>
        <v>2.9557258986096713</v>
      </c>
      <c r="Y59" s="291">
        <f t="shared" si="36"/>
        <v>2844.634939254247</v>
      </c>
      <c r="Z59" s="469">
        <f>Y59*WaterCostAndEnergy!$D$11/1000</f>
        <v>37.443030035680557</v>
      </c>
    </row>
  </sheetData>
  <mergeCells count="1">
    <mergeCell ref="J26:K26"/>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election activeCell="I30" sqref="I30"/>
    </sheetView>
  </sheetViews>
  <sheetFormatPr defaultRowHeight="12.75"/>
  <sheetData/>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Sheet18">
    <tabColor rgb="FFFFC000"/>
  </sheetPr>
  <dimension ref="A1:DA1105"/>
  <sheetViews>
    <sheetView zoomScale="90" zoomScaleNormal="90" workbookViewId="0">
      <selection activeCell="C9" sqref="C9"/>
    </sheetView>
  </sheetViews>
  <sheetFormatPr defaultRowHeight="12.75"/>
  <cols>
    <col min="1" max="1" width="98.85546875" style="221" customWidth="1"/>
    <col min="2" max="2" width="43.42578125" style="221" customWidth="1"/>
    <col min="3" max="3" width="17.28515625" style="221" bestFit="1" customWidth="1"/>
    <col min="4" max="4" width="12" style="221" bestFit="1" customWidth="1"/>
    <col min="5" max="5" width="12.5703125" style="221" customWidth="1"/>
    <col min="6" max="6" width="13.7109375" style="221" customWidth="1"/>
    <col min="7" max="7" width="17.28515625" style="221" bestFit="1" customWidth="1"/>
    <col min="8" max="8" width="15.5703125" style="221" bestFit="1" customWidth="1"/>
    <col min="9" max="9" width="15.28515625" style="221" bestFit="1" customWidth="1"/>
    <col min="10" max="10" width="14.28515625" style="221" bestFit="1" customWidth="1"/>
    <col min="11" max="11" width="14.28515625" style="221" customWidth="1"/>
    <col min="12" max="12" width="12.5703125" style="221" customWidth="1"/>
    <col min="13" max="13" width="10.28515625" style="221" bestFit="1" customWidth="1"/>
    <col min="14" max="15" width="10.85546875" style="221" bestFit="1" customWidth="1"/>
    <col min="16" max="16" width="13.42578125" style="221" customWidth="1"/>
    <col min="17" max="17" width="11.85546875" style="221" bestFit="1" customWidth="1"/>
    <col min="18" max="18" width="11" style="221" bestFit="1" customWidth="1"/>
    <col min="19" max="19" width="14.28515625" style="221" bestFit="1" customWidth="1"/>
    <col min="20" max="20" width="10.7109375" style="221" customWidth="1"/>
    <col min="21" max="21" width="13.85546875" style="221" bestFit="1" customWidth="1"/>
    <col min="22" max="22" width="11.7109375" style="221" bestFit="1" customWidth="1"/>
    <col min="23" max="23" width="15.28515625" style="221" bestFit="1" customWidth="1"/>
    <col min="24" max="26" width="12.28515625" style="221" bestFit="1" customWidth="1"/>
    <col min="27" max="27" width="12.5703125" style="221" bestFit="1" customWidth="1"/>
    <col min="28" max="30" width="14.28515625" style="221" bestFit="1" customWidth="1"/>
    <col min="31" max="31" width="13.7109375" style="221" bestFit="1" customWidth="1"/>
    <col min="32" max="32" width="14" style="221" bestFit="1" customWidth="1"/>
    <col min="33" max="33" width="12.85546875" style="221" bestFit="1" customWidth="1"/>
    <col min="34" max="34" width="15.28515625" style="221" bestFit="1" customWidth="1"/>
    <col min="35" max="35" width="12.28515625" style="221" bestFit="1" customWidth="1"/>
    <col min="36" max="36" width="10.85546875" style="221" bestFit="1" customWidth="1"/>
    <col min="37" max="37" width="12.28515625" style="221" bestFit="1" customWidth="1"/>
    <col min="38" max="38" width="12.5703125" style="221" bestFit="1" customWidth="1"/>
    <col min="39" max="43" width="12.85546875" style="221" customWidth="1"/>
    <col min="44" max="44" width="12.5703125" style="221" customWidth="1"/>
    <col min="45" max="45" width="12.28515625" style="221" customWidth="1"/>
    <col min="46" max="46" width="12.7109375" style="221" customWidth="1"/>
    <col min="47" max="47" width="11.85546875" style="221" customWidth="1"/>
    <col min="48" max="48" width="12.5703125" style="221" bestFit="1" customWidth="1"/>
    <col min="49" max="49" width="13.42578125" style="221" customWidth="1"/>
    <col min="50" max="50" width="15.7109375" style="221" bestFit="1" customWidth="1"/>
    <col min="51" max="51" width="11" style="221" bestFit="1" customWidth="1"/>
    <col min="52" max="52" width="14.28515625" style="221" bestFit="1" customWidth="1"/>
    <col min="53" max="53" width="14.7109375" style="221" bestFit="1" customWidth="1"/>
    <col min="54" max="54" width="15" style="221" bestFit="1" customWidth="1"/>
    <col min="55" max="55" width="12.5703125" style="221" bestFit="1" customWidth="1"/>
    <col min="56" max="56" width="13.5703125" style="221" customWidth="1"/>
    <col min="57" max="58" width="14.5703125" style="221" bestFit="1" customWidth="1"/>
    <col min="59" max="59" width="14.85546875" style="221" bestFit="1" customWidth="1"/>
    <col min="60" max="60" width="12.5703125" style="221" bestFit="1" customWidth="1"/>
    <col min="61" max="61" width="13.28515625" style="221" bestFit="1" customWidth="1"/>
    <col min="62" max="62" width="14" style="221" bestFit="1" customWidth="1"/>
    <col min="63" max="63" width="13.28515625" style="221" bestFit="1" customWidth="1"/>
    <col min="64" max="64" width="11.140625" style="221" bestFit="1" customWidth="1"/>
    <col min="65" max="65" width="16.85546875" style="221" bestFit="1" customWidth="1"/>
    <col min="66" max="66" width="14.7109375" style="221" customWidth="1"/>
    <col min="67" max="67" width="12" style="221" customWidth="1"/>
    <col min="68" max="68" width="14" style="221" customWidth="1"/>
    <col min="69" max="69" width="12.5703125" style="221" customWidth="1"/>
    <col min="70" max="70" width="11.28515625" style="221" customWidth="1"/>
    <col min="71" max="71" width="14.42578125" style="221" customWidth="1"/>
    <col min="72" max="72" width="15.7109375" style="221" customWidth="1"/>
    <col min="73" max="73" width="12.85546875" style="221" customWidth="1"/>
    <col min="74" max="74" width="13" style="221" customWidth="1"/>
    <col min="75" max="75" width="11.7109375" style="221" customWidth="1"/>
    <col min="76" max="76" width="14" style="221" customWidth="1"/>
    <col min="77" max="77" width="14.85546875" style="221" customWidth="1"/>
    <col min="78" max="78" width="11.85546875" style="221" customWidth="1"/>
    <col min="79" max="79" width="13.85546875" style="221" customWidth="1"/>
    <col min="80" max="80" width="13.7109375" style="221" customWidth="1"/>
    <col min="81" max="81" width="13" style="221" customWidth="1"/>
    <col min="82" max="82" width="12.42578125" style="221" customWidth="1"/>
    <col min="83" max="83" width="13" style="221" customWidth="1"/>
    <col min="84" max="84" width="12.7109375" style="221" hidden="1" customWidth="1"/>
    <col min="85" max="85" width="12.42578125" style="221" hidden="1" customWidth="1"/>
    <col min="86" max="86" width="10.28515625" style="221" hidden="1" customWidth="1"/>
    <col min="87" max="90" width="9.85546875" style="221" hidden="1" customWidth="1"/>
    <col min="91" max="91" width="9.85546875" style="221" customWidth="1"/>
    <col min="92" max="99" width="10.7109375" style="221" customWidth="1"/>
    <col min="100" max="100" width="16.5703125" style="221" customWidth="1"/>
    <col min="101" max="105" width="10.7109375" style="221" customWidth="1"/>
    <col min="106" max="16384" width="9.140625" style="221"/>
  </cols>
  <sheetData>
    <row r="1" spans="1:105">
      <c r="A1" s="11" t="s">
        <v>13</v>
      </c>
      <c r="B1" s="12" t="e">
        <f>IF(AND(#REF!=TRUE,#REF!=TRUE,#REF!=TRUE,#REF!=TRUE,#REF!=TRUE,#REF!=TRUE,#REF!=TRUE,#REF!=TRUE,#REF!=TRUE,#REF!=TRUE,#REF!=TRUE,#REF!=TRUE,#REF!=TRUE,#REF!=TRUE,#REF!=TRUE,#REF!=TRUE,#REF!=TRUE,#REF!=TRUE),"","ERROR - Inputs have changed re-run ProCost")</f>
        <v>#REF!</v>
      </c>
      <c r="C1" s="12" t="e">
        <f>IF(AND(#REF!=TRUE,#REF!=TRUE,#REF!=TRUE),"","Re-run ProCost")</f>
        <v>#REF!</v>
      </c>
      <c r="D1" s="12" t="e">
        <f>IF(AND(#REF!=TRUE,#REF!=TRUE,#REF!=TRUE),"","Re-run ProCost")</f>
        <v>#REF!</v>
      </c>
      <c r="E1" s="12" t="e">
        <f>IF(AND(#REF!=TRUE,#REF!=TRUE,#REF!=TRUE),"","Re-run ProCost")</f>
        <v>#REF!</v>
      </c>
      <c r="F1" s="12" t="e">
        <f>IF(AND(#REF!=TRUE,#REF!=TRUE,#REF!=TRUE),"","Re-run ProCost")</f>
        <v>#REF!</v>
      </c>
      <c r="G1" s="12" t="e">
        <f>IF(AND(#REF!=TRUE,#REF!=TRUE,#REF!=TRUE),"","Re-run ProCost")</f>
        <v>#REF!</v>
      </c>
      <c r="H1" s="13"/>
      <c r="I1" s="14"/>
      <c r="J1" s="14"/>
      <c r="K1" s="14"/>
      <c r="L1" s="14"/>
      <c r="M1" s="14"/>
      <c r="N1" s="15"/>
      <c r="O1" s="16" t="e">
        <f>IF(AND(#REF!=TRUE,#REF!=TRUE,#REF!=TRUE),"","Re-run ProCost")</f>
        <v>#REF!</v>
      </c>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05">
      <c r="A2" s="19" t="s">
        <v>14</v>
      </c>
      <c r="B2" s="13"/>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05">
      <c r="A3" s="19" t="s">
        <v>15</v>
      </c>
      <c r="C3" s="19">
        <v>2006</v>
      </c>
      <c r="J3" s="222"/>
      <c r="K3" s="223"/>
      <c r="CO3" s="223"/>
      <c r="CP3" s="223"/>
    </row>
    <row r="5" spans="1:105">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05">
      <c r="A6" s="24" t="s">
        <v>16</v>
      </c>
      <c r="B6" s="25"/>
      <c r="C6" s="25"/>
      <c r="D6" s="25"/>
      <c r="E6" s="25"/>
      <c r="F6" s="25"/>
      <c r="G6" s="26"/>
      <c r="H6" s="27"/>
      <c r="I6" s="578" t="s">
        <v>17</v>
      </c>
      <c r="J6" s="579"/>
      <c r="K6" s="579"/>
      <c r="L6" s="579"/>
      <c r="M6" s="579"/>
      <c r="N6" s="580"/>
      <c r="O6" s="587" t="s">
        <v>18</v>
      </c>
      <c r="P6" s="588"/>
      <c r="Q6" s="224"/>
      <c r="R6" s="29"/>
      <c r="S6" s="29"/>
      <c r="T6" s="29"/>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05" ht="25.5">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225" t="s">
        <v>35</v>
      </c>
      <c r="P7" s="35" t="s">
        <v>27</v>
      </c>
      <c r="Q7" s="39"/>
      <c r="R7" s="39"/>
      <c r="S7" s="39"/>
      <c r="T7" s="39"/>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05">
      <c r="A8" s="226" t="str">
        <f>InputForProCost!U11</f>
        <v>Commercial Showerhead Replacement_2_00gpm_Hospitality_ Electric Water Heating_Retail</v>
      </c>
      <c r="B8" s="226" t="str">
        <f>InputForProCost!V11</f>
        <v>On-site Savings, Costs, and Benefits</v>
      </c>
      <c r="C8" s="227">
        <f>InputForProCost!W11</f>
        <v>127.33361240968071</v>
      </c>
      <c r="D8" s="227">
        <f>InputForProCost!X11</f>
        <v>10</v>
      </c>
      <c r="E8" s="227">
        <f>InputForProCost!Y11</f>
        <v>3.2966774171383419</v>
      </c>
      <c r="F8" s="227">
        <f>InputForProCost!Z11</f>
        <v>0</v>
      </c>
      <c r="G8" s="227" t="str">
        <f>InputForProCost!AA11</f>
        <v>ResDHW</v>
      </c>
      <c r="H8" s="227">
        <f>InputForProCost!AB11</f>
        <v>14.77981521383153</v>
      </c>
      <c r="I8" s="227">
        <f>InputForProCost!AC11</f>
        <v>0</v>
      </c>
      <c r="J8" s="227">
        <f>InputForProCost!AD11</f>
        <v>0</v>
      </c>
      <c r="K8" s="227">
        <f>InputForProCost!AE11</f>
        <v>0</v>
      </c>
      <c r="L8" s="227">
        <f>InputForProCost!AF11</f>
        <v>0</v>
      </c>
      <c r="M8" s="227">
        <f>InputForProCost!AG11</f>
        <v>0</v>
      </c>
      <c r="N8" s="227">
        <f>InputForProCost!AH11</f>
        <v>0</v>
      </c>
      <c r="O8" s="227">
        <f>InputForProCost!AI11</f>
        <v>0</v>
      </c>
      <c r="P8" s="227" t="str">
        <f>InputForProCost!AJ11</f>
        <v>ResGASDHW</v>
      </c>
      <c r="R8" s="228"/>
      <c r="S8" s="229"/>
    </row>
    <row r="9" spans="1:105">
      <c r="A9" s="226" t="str">
        <f>InputForProCost!U12</f>
        <v>Commercial Showerhead Replacement_2_00gpm_Hospitality_ Gas Water Heating_Retail</v>
      </c>
      <c r="B9" s="226" t="str">
        <f>InputForProCost!V12</f>
        <v>On-site Savings, Costs, and Benefits</v>
      </c>
      <c r="C9" s="227">
        <f>InputForProCost!W12</f>
        <v>0</v>
      </c>
      <c r="D9" s="227">
        <f>InputForProCost!X12</f>
        <v>10</v>
      </c>
      <c r="E9" s="227">
        <f>InputForProCost!Y12</f>
        <v>3.2966774171383419</v>
      </c>
      <c r="F9" s="227">
        <f>InputForProCost!Z12</f>
        <v>0</v>
      </c>
      <c r="G9" s="227" t="str">
        <f>InputForProCost!AA12</f>
        <v>ResDHW</v>
      </c>
      <c r="H9" s="227">
        <f>InputForProCost!AB12</f>
        <v>14.77981521383153</v>
      </c>
      <c r="I9" s="227">
        <f>InputForProCost!AC12</f>
        <v>0</v>
      </c>
      <c r="J9" s="227">
        <f>InputForProCost!AD12</f>
        <v>0</v>
      </c>
      <c r="K9" s="227">
        <f>InputForProCost!AE12</f>
        <v>0</v>
      </c>
      <c r="L9" s="227">
        <f>InputForProCost!AF12</f>
        <v>0</v>
      </c>
      <c r="M9" s="227">
        <f>InputForProCost!AG12</f>
        <v>0</v>
      </c>
      <c r="N9" s="227">
        <f>InputForProCost!AH12</f>
        <v>0</v>
      </c>
      <c r="O9" s="227">
        <f>InputForProCost!AI12</f>
        <v>5.678586583002823</v>
      </c>
      <c r="P9" s="227" t="str">
        <f>InputForProCost!AJ12</f>
        <v>ResGASDHW</v>
      </c>
      <c r="R9" s="228"/>
      <c r="S9" s="229"/>
    </row>
    <row r="10" spans="1:105">
      <c r="A10" s="226" t="str">
        <f>InputForProCost!U13</f>
        <v>Commercial Showerhead Replacement_2_00gpm_Hospitality_ Any Water Heating_Retail</v>
      </c>
      <c r="B10" s="226" t="str">
        <f>InputForProCost!V13</f>
        <v>On-site Savings, Costs, and Benefits</v>
      </c>
      <c r="C10" s="227">
        <f>InputForProCost!W13</f>
        <v>16.553369613258493</v>
      </c>
      <c r="D10" s="227">
        <f>InputForProCost!X13</f>
        <v>10</v>
      </c>
      <c r="E10" s="227">
        <f>InputForProCost!Y13</f>
        <v>3.2966774171383419</v>
      </c>
      <c r="F10" s="227">
        <f>InputForProCost!Z13</f>
        <v>0</v>
      </c>
      <c r="G10" s="227" t="str">
        <f>InputForProCost!AA13</f>
        <v>ResDHW</v>
      </c>
      <c r="H10" s="227">
        <f>InputForProCost!AB13</f>
        <v>14.77981521383153</v>
      </c>
      <c r="I10" s="227">
        <f>InputForProCost!AC13</f>
        <v>0</v>
      </c>
      <c r="J10" s="227">
        <f>InputForProCost!AD13</f>
        <v>0</v>
      </c>
      <c r="K10" s="227">
        <f>InputForProCost!AE13</f>
        <v>0</v>
      </c>
      <c r="L10" s="227">
        <f>InputForProCost!AF13</f>
        <v>0</v>
      </c>
      <c r="M10" s="227">
        <f>InputForProCost!AG13</f>
        <v>0</v>
      </c>
      <c r="N10" s="227">
        <f>InputForProCost!AH13</f>
        <v>0</v>
      </c>
      <c r="O10" s="227">
        <f>InputForProCost!AI13</f>
        <v>4.9403703272124559</v>
      </c>
      <c r="P10" s="227" t="str">
        <f>InputForProCost!AJ13</f>
        <v>ResGASDHW</v>
      </c>
      <c r="R10" s="228"/>
      <c r="S10" s="229"/>
    </row>
    <row r="11" spans="1:105">
      <c r="A11" s="226" t="str">
        <f>InputForProCost!U14</f>
        <v>Commercial Showerhead Replacement_1_75gpm_Hospitality_ Electric Water Heating_Retail</v>
      </c>
      <c r="B11" s="226" t="str">
        <f>InputForProCost!V14</f>
        <v>On-site Savings, Costs, and Benefits</v>
      </c>
      <c r="C11" s="227">
        <f>InputForProCost!W14</f>
        <v>127.39908038355711</v>
      </c>
      <c r="D11" s="227">
        <f>InputForProCost!X14</f>
        <v>10</v>
      </c>
      <c r="E11" s="227">
        <f>InputForProCost!Y14</f>
        <v>3.2966774171383419</v>
      </c>
      <c r="F11" s="227">
        <f>InputForProCost!Z14</f>
        <v>0</v>
      </c>
      <c r="G11" s="227" t="str">
        <f>InputForProCost!AA14</f>
        <v>ResDHW</v>
      </c>
      <c r="H11" s="227">
        <f>InputForProCost!AB14</f>
        <v>15.588086358337947</v>
      </c>
      <c r="I11" s="227">
        <f>InputForProCost!AC14</f>
        <v>0</v>
      </c>
      <c r="J11" s="227">
        <f>InputForProCost!AD14</f>
        <v>0</v>
      </c>
      <c r="K11" s="227">
        <f>InputForProCost!AE14</f>
        <v>0</v>
      </c>
      <c r="L11" s="227">
        <f>InputForProCost!AF14</f>
        <v>0</v>
      </c>
      <c r="M11" s="227">
        <f>InputForProCost!AG14</f>
        <v>0</v>
      </c>
      <c r="N11" s="227">
        <f>InputForProCost!AH14</f>
        <v>0</v>
      </c>
      <c r="O11" s="227">
        <f>InputForProCost!AI14</f>
        <v>0</v>
      </c>
      <c r="P11" s="227" t="str">
        <f>InputForProCost!AJ14</f>
        <v>ResGASDHW</v>
      </c>
      <c r="R11" s="228"/>
      <c r="S11" s="229"/>
    </row>
    <row r="12" spans="1:105">
      <c r="A12" s="226" t="str">
        <f>InputForProCost!U15</f>
        <v>Commercial Showerhead Replacement_1_75gpm_Hospitality_ Gas Water Heating_Retail</v>
      </c>
      <c r="B12" s="226" t="str">
        <f>InputForProCost!V15</f>
        <v>On-site Savings, Costs, and Benefits</v>
      </c>
      <c r="C12" s="227">
        <f>InputForProCost!W15</f>
        <v>0</v>
      </c>
      <c r="D12" s="227">
        <f>InputForProCost!X15</f>
        <v>10</v>
      </c>
      <c r="E12" s="227">
        <f>InputForProCost!Y15</f>
        <v>3.2966774171383419</v>
      </c>
      <c r="F12" s="227">
        <f>InputForProCost!Z15</f>
        <v>0</v>
      </c>
      <c r="G12" s="227" t="str">
        <f>InputForProCost!AA15</f>
        <v>ResDHW</v>
      </c>
      <c r="H12" s="227">
        <f>InputForProCost!AB15</f>
        <v>15.588086358337947</v>
      </c>
      <c r="I12" s="227">
        <f>InputForProCost!AC15</f>
        <v>0</v>
      </c>
      <c r="J12" s="227">
        <f>InputForProCost!AD15</f>
        <v>0</v>
      </c>
      <c r="K12" s="227">
        <f>InputForProCost!AE15</f>
        <v>0</v>
      </c>
      <c r="L12" s="227">
        <f>InputForProCost!AF15</f>
        <v>0</v>
      </c>
      <c r="M12" s="227">
        <f>InputForProCost!AG15</f>
        <v>0</v>
      </c>
      <c r="N12" s="227">
        <f>InputForProCost!AH15</f>
        <v>0</v>
      </c>
      <c r="O12" s="227">
        <f>InputForProCost!AI15</f>
        <v>5.6815062014055009</v>
      </c>
      <c r="P12" s="227" t="str">
        <f>InputForProCost!AJ15</f>
        <v>ResGASDHW</v>
      </c>
      <c r="R12" s="228"/>
      <c r="S12" s="229"/>
    </row>
    <row r="13" spans="1:105">
      <c r="A13" s="226" t="str">
        <f>InputForProCost!U16</f>
        <v>Commercial Showerhead Replacement_1_75gpm_Hospitality_ Any Water Heating_Retail</v>
      </c>
      <c r="B13" s="226" t="str">
        <f>InputForProCost!V16</f>
        <v>On-site Savings, Costs, and Benefits</v>
      </c>
      <c r="C13" s="227">
        <f>InputForProCost!W16</f>
        <v>16.561880449862425</v>
      </c>
      <c r="D13" s="227">
        <f>InputForProCost!X16</f>
        <v>10</v>
      </c>
      <c r="E13" s="227">
        <f>InputForProCost!Y16</f>
        <v>3.2966774171383419</v>
      </c>
      <c r="F13" s="227">
        <f>InputForProCost!Z16</f>
        <v>0</v>
      </c>
      <c r="G13" s="227" t="str">
        <f>InputForProCost!AA16</f>
        <v>ResDHW</v>
      </c>
      <c r="H13" s="227">
        <f>InputForProCost!AB16</f>
        <v>15.588086358337947</v>
      </c>
      <c r="I13" s="227">
        <f>InputForProCost!AC16</f>
        <v>0</v>
      </c>
      <c r="J13" s="227">
        <f>InputForProCost!AD16</f>
        <v>0</v>
      </c>
      <c r="K13" s="227">
        <f>InputForProCost!AE16</f>
        <v>0</v>
      </c>
      <c r="L13" s="227">
        <f>InputForProCost!AF16</f>
        <v>0</v>
      </c>
      <c r="M13" s="227">
        <f>InputForProCost!AG16</f>
        <v>0</v>
      </c>
      <c r="N13" s="227">
        <f>InputForProCost!AH16</f>
        <v>0</v>
      </c>
      <c r="O13" s="227">
        <f>InputForProCost!AI16</f>
        <v>4.9429103952227855</v>
      </c>
      <c r="P13" s="227" t="str">
        <f>InputForProCost!AJ16</f>
        <v>ResGASDHW</v>
      </c>
      <c r="R13" s="228"/>
      <c r="S13" s="229"/>
    </row>
    <row r="14" spans="1:105">
      <c r="A14" s="226" t="str">
        <f>InputForProCost!U17</f>
        <v>Commercial Showerhead Replacement_1_50gpm_Hospitality_ Electric Water Heating_Retail</v>
      </c>
      <c r="B14" s="226" t="str">
        <f>InputForProCost!V17</f>
        <v>On-site Savings, Costs, and Benefits</v>
      </c>
      <c r="C14" s="227">
        <f>InputForProCost!W17</f>
        <v>196.58914809177173</v>
      </c>
      <c r="D14" s="227">
        <f>InputForProCost!X17</f>
        <v>10</v>
      </c>
      <c r="E14" s="227">
        <f>InputForProCost!Y17</f>
        <v>3.2966774171383419</v>
      </c>
      <c r="F14" s="227">
        <f>InputForProCost!Z17</f>
        <v>0</v>
      </c>
      <c r="G14" s="227" t="str">
        <f>InputForProCost!AA17</f>
        <v>ResDHW</v>
      </c>
      <c r="H14" s="227">
        <f>InputForProCost!AB17</f>
        <v>22.631592046179534</v>
      </c>
      <c r="I14" s="227">
        <f>InputForProCost!AC17</f>
        <v>0</v>
      </c>
      <c r="J14" s="227">
        <f>InputForProCost!AD17</f>
        <v>0</v>
      </c>
      <c r="K14" s="227">
        <f>InputForProCost!AE17</f>
        <v>0</v>
      </c>
      <c r="L14" s="227">
        <f>InputForProCost!AF17</f>
        <v>0</v>
      </c>
      <c r="M14" s="227">
        <f>InputForProCost!AG17</f>
        <v>0</v>
      </c>
      <c r="N14" s="227">
        <f>InputForProCost!AH17</f>
        <v>0</v>
      </c>
      <c r="O14" s="227">
        <f>InputForProCost!AI17</f>
        <v>0</v>
      </c>
      <c r="P14" s="227" t="str">
        <f>InputForProCost!AJ17</f>
        <v>ResGASDHW</v>
      </c>
      <c r="R14" s="228"/>
      <c r="S14" s="229"/>
    </row>
    <row r="15" spans="1:105">
      <c r="A15" s="226" t="str">
        <f>InputForProCost!U18</f>
        <v>Commercial Showerhead Replacement_1_50gpm_Hospitality_ Gas Water Heating_Retail</v>
      </c>
      <c r="B15" s="226" t="str">
        <f>InputForProCost!V18</f>
        <v>On-site Savings, Costs, and Benefits</v>
      </c>
      <c r="C15" s="227">
        <f>InputForProCost!W18</f>
        <v>0</v>
      </c>
      <c r="D15" s="227">
        <f>InputForProCost!X18</f>
        <v>10</v>
      </c>
      <c r="E15" s="227">
        <f>InputForProCost!Y18</f>
        <v>3.2966774171383419</v>
      </c>
      <c r="F15" s="227">
        <f>InputForProCost!Z18</f>
        <v>0</v>
      </c>
      <c r="G15" s="227" t="str">
        <f>InputForProCost!AA18</f>
        <v>ResDHW</v>
      </c>
      <c r="H15" s="227">
        <f>InputForProCost!AB18</f>
        <v>22.631592046179534</v>
      </c>
      <c r="I15" s="227">
        <f>InputForProCost!AC18</f>
        <v>0</v>
      </c>
      <c r="J15" s="227">
        <f>InputForProCost!AD18</f>
        <v>0</v>
      </c>
      <c r="K15" s="227">
        <f>InputForProCost!AE18</f>
        <v>0</v>
      </c>
      <c r="L15" s="227">
        <f>InputForProCost!AF18</f>
        <v>0</v>
      </c>
      <c r="M15" s="227">
        <f>InputForProCost!AG18</f>
        <v>0</v>
      </c>
      <c r="N15" s="227">
        <f>InputForProCost!AH18</f>
        <v>0</v>
      </c>
      <c r="O15" s="227">
        <f>InputForProCost!AI18</f>
        <v>8.76711559180597</v>
      </c>
      <c r="P15" s="227" t="str">
        <f>InputForProCost!AJ18</f>
        <v>ResGASDHW</v>
      </c>
      <c r="R15" s="228"/>
      <c r="S15" s="229"/>
    </row>
    <row r="16" spans="1:105">
      <c r="A16" s="226" t="str">
        <f>InputForProCost!U19</f>
        <v>Commercial Showerhead Replacement_1_50gpm_Hospitality_ Any Water Heating_Retail</v>
      </c>
      <c r="B16" s="226" t="str">
        <f>InputForProCost!V19</f>
        <v>On-site Savings, Costs, and Benefits</v>
      </c>
      <c r="C16" s="227">
        <f>InputForProCost!W19</f>
        <v>25.556589251930326</v>
      </c>
      <c r="D16" s="227">
        <f>InputForProCost!X19</f>
        <v>10</v>
      </c>
      <c r="E16" s="227">
        <f>InputForProCost!Y19</f>
        <v>3.2966774171383419</v>
      </c>
      <c r="F16" s="227">
        <f>InputForProCost!Z19</f>
        <v>0</v>
      </c>
      <c r="G16" s="227" t="str">
        <f>InputForProCost!AA19</f>
        <v>ResDHW</v>
      </c>
      <c r="H16" s="227">
        <f>InputForProCost!AB19</f>
        <v>22.631592046179534</v>
      </c>
      <c r="I16" s="227">
        <f>InputForProCost!AC19</f>
        <v>0</v>
      </c>
      <c r="J16" s="227">
        <f>InputForProCost!AD19</f>
        <v>0</v>
      </c>
      <c r="K16" s="227">
        <f>InputForProCost!AE19</f>
        <v>0</v>
      </c>
      <c r="L16" s="227">
        <f>InputForProCost!AF19</f>
        <v>0</v>
      </c>
      <c r="M16" s="227">
        <f>InputForProCost!AG19</f>
        <v>0</v>
      </c>
      <c r="N16" s="227">
        <f>InputForProCost!AH19</f>
        <v>0</v>
      </c>
      <c r="O16" s="227">
        <f>InputForProCost!AI19</f>
        <v>7.6273905648711935</v>
      </c>
      <c r="P16" s="227" t="str">
        <f>InputForProCost!AJ19</f>
        <v>ResGASDHW</v>
      </c>
      <c r="R16" s="228"/>
      <c r="S16" s="229"/>
    </row>
    <row r="17" spans="1:19">
      <c r="A17" s="226" t="str">
        <f>InputForProCost!U20</f>
        <v>Commercial Showerhead Replacement_2_00gpm_Hospitality_ Electric Water Heating_Direct Install</v>
      </c>
      <c r="B17" s="226" t="str">
        <f>InputForProCost!V20</f>
        <v>On-site Savings, Costs, and Benefits</v>
      </c>
      <c r="C17" s="227">
        <f>InputForProCost!W20</f>
        <v>143.25031396089079</v>
      </c>
      <c r="D17" s="227">
        <f>InputForProCost!X20</f>
        <v>10</v>
      </c>
      <c r="E17" s="227">
        <f>InputForProCost!Y20</f>
        <v>11.336666666666666</v>
      </c>
      <c r="F17" s="227">
        <f>InputForProCost!Z20</f>
        <v>0</v>
      </c>
      <c r="G17" s="227" t="str">
        <f>InputForProCost!AA20</f>
        <v>ResDHW</v>
      </c>
      <c r="H17" s="227">
        <f>InputForProCost!AB20</f>
        <v>16.627292115560472</v>
      </c>
      <c r="I17" s="227">
        <f>InputForProCost!AC20</f>
        <v>0</v>
      </c>
      <c r="J17" s="227">
        <f>InputForProCost!AD20</f>
        <v>0</v>
      </c>
      <c r="K17" s="227">
        <f>InputForProCost!AE20</f>
        <v>0</v>
      </c>
      <c r="L17" s="227">
        <f>InputForProCost!AF20</f>
        <v>0</v>
      </c>
      <c r="M17" s="227">
        <f>InputForProCost!AG20</f>
        <v>0</v>
      </c>
      <c r="N17" s="227">
        <f>InputForProCost!AH20</f>
        <v>0</v>
      </c>
      <c r="O17" s="227">
        <f>InputForProCost!AI20</f>
        <v>0</v>
      </c>
      <c r="P17" s="227" t="str">
        <f>InputForProCost!AJ20</f>
        <v>ResGASDHW</v>
      </c>
      <c r="R17" s="228"/>
      <c r="S17" s="229"/>
    </row>
    <row r="18" spans="1:19">
      <c r="A18" s="226" t="str">
        <f>InputForProCost!U21</f>
        <v>Commercial Showerhead Replacement_2_00gpm_Hospitality_ Gas Water Heating_Direct Install</v>
      </c>
      <c r="B18" s="226" t="str">
        <f>InputForProCost!V21</f>
        <v>On-site Savings, Costs, and Benefits</v>
      </c>
      <c r="C18" s="227">
        <f>InputForProCost!W21</f>
        <v>0</v>
      </c>
      <c r="D18" s="227">
        <f>InputForProCost!X21</f>
        <v>10</v>
      </c>
      <c r="E18" s="227">
        <f>InputForProCost!Y21</f>
        <v>11.336666666666666</v>
      </c>
      <c r="F18" s="227">
        <f>InputForProCost!Z21</f>
        <v>0</v>
      </c>
      <c r="G18" s="227" t="str">
        <f>InputForProCost!AA21</f>
        <v>ResDHW</v>
      </c>
      <c r="H18" s="227">
        <f>InputForProCost!AB21</f>
        <v>16.627292115560472</v>
      </c>
      <c r="I18" s="227">
        <f>InputForProCost!AC21</f>
        <v>0</v>
      </c>
      <c r="J18" s="227">
        <f>InputForProCost!AD21</f>
        <v>0</v>
      </c>
      <c r="K18" s="227">
        <f>InputForProCost!AE21</f>
        <v>0</v>
      </c>
      <c r="L18" s="227">
        <f>InputForProCost!AF21</f>
        <v>0</v>
      </c>
      <c r="M18" s="227">
        <f>InputForProCost!AG21</f>
        <v>0</v>
      </c>
      <c r="N18" s="227">
        <f>InputForProCost!AH21</f>
        <v>0</v>
      </c>
      <c r="O18" s="227">
        <f>InputForProCost!AI21</f>
        <v>6.3884099058781763</v>
      </c>
      <c r="P18" s="227" t="str">
        <f>InputForProCost!AJ21</f>
        <v>ResGASDHW</v>
      </c>
      <c r="R18" s="228"/>
      <c r="S18" s="229"/>
    </row>
    <row r="19" spans="1:19">
      <c r="A19" s="226" t="str">
        <f>InputForProCost!U22</f>
        <v>Commercial Showerhead Replacement_2_00gpm_Hospitality_ Any Water Heating_Direct Install</v>
      </c>
      <c r="B19" s="226" t="str">
        <f>InputForProCost!V22</f>
        <v>On-site Savings, Costs, and Benefits</v>
      </c>
      <c r="C19" s="227">
        <f>InputForProCost!W22</f>
        <v>18.622540814915801</v>
      </c>
      <c r="D19" s="227">
        <f>InputForProCost!X22</f>
        <v>10</v>
      </c>
      <c r="E19" s="227">
        <f>InputForProCost!Y22</f>
        <v>11.336666666666666</v>
      </c>
      <c r="F19" s="227">
        <f>InputForProCost!Z22</f>
        <v>0</v>
      </c>
      <c r="G19" s="227" t="str">
        <f>InputForProCost!AA22</f>
        <v>ResDHW</v>
      </c>
      <c r="H19" s="227">
        <f>InputForProCost!AB22</f>
        <v>16.627292115560472</v>
      </c>
      <c r="I19" s="227">
        <f>InputForProCost!AC22</f>
        <v>0</v>
      </c>
      <c r="J19" s="227">
        <f>InputForProCost!AD22</f>
        <v>0</v>
      </c>
      <c r="K19" s="227">
        <f>InputForProCost!AE22</f>
        <v>0</v>
      </c>
      <c r="L19" s="227">
        <f>InputForProCost!AF22</f>
        <v>0</v>
      </c>
      <c r="M19" s="227">
        <f>InputForProCost!AG22</f>
        <v>0</v>
      </c>
      <c r="N19" s="227">
        <f>InputForProCost!AH22</f>
        <v>0</v>
      </c>
      <c r="O19" s="227">
        <f>InputForProCost!AI22</f>
        <v>5.5579166181140129</v>
      </c>
      <c r="P19" s="227" t="str">
        <f>InputForProCost!AJ22</f>
        <v>ResGASDHW</v>
      </c>
      <c r="R19" s="228"/>
      <c r="S19" s="229"/>
    </row>
    <row r="20" spans="1:19">
      <c r="A20" s="226" t="str">
        <f>InputForProCost!U23</f>
        <v>Commercial Showerhead Replacement_1_75gpm_Hospitality_ Electric Water Heating_Direct Install</v>
      </c>
      <c r="B20" s="226" t="str">
        <f>InputForProCost!V23</f>
        <v>On-site Savings, Costs, and Benefits</v>
      </c>
      <c r="C20" s="227">
        <f>InputForProCost!W23</f>
        <v>152.87889646026852</v>
      </c>
      <c r="D20" s="227">
        <f>InputForProCost!X23</f>
        <v>10</v>
      </c>
      <c r="E20" s="227">
        <f>InputForProCost!Y23</f>
        <v>11.336666666666666</v>
      </c>
      <c r="F20" s="227">
        <f>InputForProCost!Z23</f>
        <v>0</v>
      </c>
      <c r="G20" s="227" t="str">
        <f>InputForProCost!AA23</f>
        <v>ResDHW</v>
      </c>
      <c r="H20" s="227">
        <f>InputForProCost!AB23</f>
        <v>18.705703630005537</v>
      </c>
      <c r="I20" s="227">
        <f>InputForProCost!AC23</f>
        <v>0</v>
      </c>
      <c r="J20" s="227">
        <f>InputForProCost!AD23</f>
        <v>0</v>
      </c>
      <c r="K20" s="227">
        <f>InputForProCost!AE23</f>
        <v>0</v>
      </c>
      <c r="L20" s="227">
        <f>InputForProCost!AF23</f>
        <v>0</v>
      </c>
      <c r="M20" s="227">
        <f>InputForProCost!AG23</f>
        <v>0</v>
      </c>
      <c r="N20" s="227">
        <f>InputForProCost!AH23</f>
        <v>0</v>
      </c>
      <c r="O20" s="227">
        <f>InputForProCost!AI23</f>
        <v>0</v>
      </c>
      <c r="P20" s="227" t="str">
        <f>InputForProCost!AJ23</f>
        <v>ResGASDHW</v>
      </c>
      <c r="R20" s="228"/>
      <c r="S20" s="229"/>
    </row>
    <row r="21" spans="1:19">
      <c r="A21" s="226" t="str">
        <f>InputForProCost!U24</f>
        <v>Commercial Showerhead Replacement_1_75gpm_Hospitality_ Gas Water Heating_Direct Install</v>
      </c>
      <c r="B21" s="226" t="str">
        <f>InputForProCost!V24</f>
        <v>On-site Savings, Costs, and Benefits</v>
      </c>
      <c r="C21" s="227">
        <f>InputForProCost!W24</f>
        <v>0</v>
      </c>
      <c r="D21" s="227">
        <f>InputForProCost!X24</f>
        <v>10</v>
      </c>
      <c r="E21" s="227">
        <f>InputForProCost!Y24</f>
        <v>11.336666666666666</v>
      </c>
      <c r="F21" s="227">
        <f>InputForProCost!Z24</f>
        <v>0</v>
      </c>
      <c r="G21" s="227" t="str">
        <f>InputForProCost!AA24</f>
        <v>ResDHW</v>
      </c>
      <c r="H21" s="227">
        <f>InputForProCost!AB24</f>
        <v>18.705703630005537</v>
      </c>
      <c r="I21" s="227">
        <f>InputForProCost!AC24</f>
        <v>0</v>
      </c>
      <c r="J21" s="227">
        <f>InputForProCost!AD24</f>
        <v>0</v>
      </c>
      <c r="K21" s="227">
        <f>InputForProCost!AE24</f>
        <v>0</v>
      </c>
      <c r="L21" s="227">
        <f>InputForProCost!AF24</f>
        <v>0</v>
      </c>
      <c r="M21" s="227">
        <f>InputForProCost!AG24</f>
        <v>0</v>
      </c>
      <c r="N21" s="227">
        <f>InputForProCost!AH24</f>
        <v>0</v>
      </c>
      <c r="O21" s="227">
        <f>InputForProCost!AI24</f>
        <v>6.8178074416866012</v>
      </c>
      <c r="P21" s="227" t="str">
        <f>InputForProCost!AJ24</f>
        <v>ResGASDHW</v>
      </c>
      <c r="R21" s="228"/>
      <c r="S21" s="229"/>
    </row>
    <row r="22" spans="1:19">
      <c r="A22" s="226" t="str">
        <f>InputForProCost!U25</f>
        <v>Commercial Showerhead Replacement_1_75gpm_Hospitality_ Any Water Heating_Direct Install</v>
      </c>
      <c r="B22" s="226" t="str">
        <f>InputForProCost!V25</f>
        <v>On-site Savings, Costs, and Benefits</v>
      </c>
      <c r="C22" s="227">
        <f>InputForProCost!W25</f>
        <v>19.87425653983491</v>
      </c>
      <c r="D22" s="227">
        <f>InputForProCost!X25</f>
        <v>10</v>
      </c>
      <c r="E22" s="227">
        <f>InputForProCost!Y25</f>
        <v>11.336666666666666</v>
      </c>
      <c r="F22" s="227">
        <f>InputForProCost!Z25</f>
        <v>0</v>
      </c>
      <c r="G22" s="227" t="str">
        <f>InputForProCost!AA25</f>
        <v>ResDHW</v>
      </c>
      <c r="H22" s="227">
        <f>InputForProCost!AB25</f>
        <v>18.705703630005537</v>
      </c>
      <c r="I22" s="227">
        <f>InputForProCost!AC25</f>
        <v>0</v>
      </c>
      <c r="J22" s="227">
        <f>InputForProCost!AD25</f>
        <v>0</v>
      </c>
      <c r="K22" s="227">
        <f>InputForProCost!AE25</f>
        <v>0</v>
      </c>
      <c r="L22" s="227">
        <f>InputForProCost!AF25</f>
        <v>0</v>
      </c>
      <c r="M22" s="227">
        <f>InputForProCost!AG25</f>
        <v>0</v>
      </c>
      <c r="N22" s="227">
        <f>InputForProCost!AH25</f>
        <v>0</v>
      </c>
      <c r="O22" s="227">
        <f>InputForProCost!AI25</f>
        <v>5.9314924742673432</v>
      </c>
      <c r="P22" s="227" t="str">
        <f>InputForProCost!AJ25</f>
        <v>ResGASDHW</v>
      </c>
      <c r="R22" s="228"/>
      <c r="S22" s="229"/>
    </row>
    <row r="23" spans="1:19">
      <c r="A23" s="226" t="str">
        <f>InputForProCost!U26</f>
        <v>Commercial Showerhead Replacement_1_50gpm_Hospitality_ Electric Water Heating_Direct Install</v>
      </c>
      <c r="B23" s="226" t="str">
        <f>InputForProCost!V26</f>
        <v>On-site Savings, Costs, and Benefits</v>
      </c>
      <c r="C23" s="227">
        <f>InputForProCost!W26</f>
        <v>252.75747611799227</v>
      </c>
      <c r="D23" s="227">
        <f>InputForProCost!X26</f>
        <v>10</v>
      </c>
      <c r="E23" s="227">
        <f>InputForProCost!Y26</f>
        <v>11.336666666666666</v>
      </c>
      <c r="F23" s="227">
        <f>InputForProCost!Z26</f>
        <v>0</v>
      </c>
      <c r="G23" s="227" t="str">
        <f>InputForProCost!AA26</f>
        <v>ResDHW</v>
      </c>
      <c r="H23" s="227">
        <f>InputForProCost!AB26</f>
        <v>29.097761202230835</v>
      </c>
      <c r="I23" s="227">
        <f>InputForProCost!AC26</f>
        <v>0</v>
      </c>
      <c r="J23" s="227">
        <f>InputForProCost!AD26</f>
        <v>0</v>
      </c>
      <c r="K23" s="227">
        <f>InputForProCost!AE26</f>
        <v>0</v>
      </c>
      <c r="L23" s="227">
        <f>InputForProCost!AF26</f>
        <v>0</v>
      </c>
      <c r="M23" s="227">
        <f>InputForProCost!AG26</f>
        <v>0</v>
      </c>
      <c r="N23" s="227">
        <f>InputForProCost!AH26</f>
        <v>0</v>
      </c>
      <c r="O23" s="227">
        <f>InputForProCost!AI26</f>
        <v>0</v>
      </c>
      <c r="P23" s="227" t="str">
        <f>InputForProCost!AJ26</f>
        <v>ResGASDHW</v>
      </c>
      <c r="R23" s="228"/>
      <c r="S23" s="229"/>
    </row>
    <row r="24" spans="1:19">
      <c r="A24" s="226" t="str">
        <f>InputForProCost!U27</f>
        <v>Commercial Showerhead Replacement_1_50gpm_Hospitality_ Gas Water Heating_Direct Install</v>
      </c>
      <c r="B24" s="226" t="str">
        <f>InputForProCost!V27</f>
        <v>On-site Savings, Costs, and Benefits</v>
      </c>
      <c r="C24" s="227">
        <f>InputForProCost!W27</f>
        <v>0</v>
      </c>
      <c r="D24" s="227">
        <f>InputForProCost!X27</f>
        <v>10</v>
      </c>
      <c r="E24" s="227">
        <f>InputForProCost!Y27</f>
        <v>11.336666666666666</v>
      </c>
      <c r="F24" s="227">
        <f>InputForProCost!Z27</f>
        <v>0</v>
      </c>
      <c r="G24" s="227" t="str">
        <f>InputForProCost!AA27</f>
        <v>ResDHW</v>
      </c>
      <c r="H24" s="227">
        <f>InputForProCost!AB27</f>
        <v>29.097761202230835</v>
      </c>
      <c r="I24" s="227">
        <f>InputForProCost!AC27</f>
        <v>0</v>
      </c>
      <c r="J24" s="227">
        <f>InputForProCost!AD27</f>
        <v>0</v>
      </c>
      <c r="K24" s="227">
        <f>InputForProCost!AE27</f>
        <v>0</v>
      </c>
      <c r="L24" s="227">
        <f>InputForProCost!AF27</f>
        <v>0</v>
      </c>
      <c r="M24" s="227">
        <f>InputForProCost!AG27</f>
        <v>0</v>
      </c>
      <c r="N24" s="227">
        <f>InputForProCost!AH27</f>
        <v>0</v>
      </c>
      <c r="O24" s="227">
        <f>InputForProCost!AI27</f>
        <v>11.272005760893391</v>
      </c>
      <c r="P24" s="227" t="str">
        <f>InputForProCost!AJ27</f>
        <v>ResGASDHW</v>
      </c>
      <c r="R24" s="228"/>
      <c r="S24" s="229"/>
    </row>
    <row r="25" spans="1:19">
      <c r="A25" s="226" t="str">
        <f>InputForProCost!U28</f>
        <v>Commercial Showerhead Replacement_1_50gpm_Hospitality_ Any Water Heating_Direct Install</v>
      </c>
      <c r="B25" s="226" t="str">
        <f>InputForProCost!V28</f>
        <v>On-site Savings, Costs, and Benefits</v>
      </c>
      <c r="C25" s="227">
        <f>InputForProCost!W28</f>
        <v>32.858471895338994</v>
      </c>
      <c r="D25" s="227">
        <f>InputForProCost!X28</f>
        <v>10</v>
      </c>
      <c r="E25" s="227">
        <f>InputForProCost!Y28</f>
        <v>11.336666666666666</v>
      </c>
      <c r="F25" s="227">
        <f>InputForProCost!Z28</f>
        <v>0</v>
      </c>
      <c r="G25" s="227" t="str">
        <f>InputForProCost!AA28</f>
        <v>ResDHW</v>
      </c>
      <c r="H25" s="227">
        <f>InputForProCost!AB28</f>
        <v>29.097761202230835</v>
      </c>
      <c r="I25" s="227">
        <f>InputForProCost!AC28</f>
        <v>0</v>
      </c>
      <c r="J25" s="227">
        <f>InputForProCost!AD28</f>
        <v>0</v>
      </c>
      <c r="K25" s="227">
        <f>InputForProCost!AE28</f>
        <v>0</v>
      </c>
      <c r="L25" s="227">
        <f>InputForProCost!AF28</f>
        <v>0</v>
      </c>
      <c r="M25" s="227">
        <f>InputForProCost!AG28</f>
        <v>0</v>
      </c>
      <c r="N25" s="227">
        <f>InputForProCost!AH28</f>
        <v>0</v>
      </c>
      <c r="O25" s="227">
        <f>InputForProCost!AI28</f>
        <v>9.8066450119772508</v>
      </c>
      <c r="P25" s="227" t="str">
        <f>InputForProCost!AJ28</f>
        <v>ResGASDHW</v>
      </c>
      <c r="R25" s="228"/>
      <c r="S25" s="229"/>
    </row>
    <row r="26" spans="1:19">
      <c r="A26" s="226" t="str">
        <f>InputForProCost!U29</f>
        <v>Commercial Showerhead Replacement_2_00gpm_Hospitality_ Electric Water Heating_Mail-by-Request</v>
      </c>
      <c r="B26" s="226" t="str">
        <f>InputForProCost!V29</f>
        <v>On-site Savings, Costs, and Benefits</v>
      </c>
      <c r="C26" s="227">
        <f>InputForProCost!W29</f>
        <v>95.500209307260519</v>
      </c>
      <c r="D26" s="227">
        <f>InputForProCost!X29</f>
        <v>10</v>
      </c>
      <c r="E26" s="227">
        <f>InputForProCost!Y29</f>
        <v>8.1096944444444432</v>
      </c>
      <c r="F26" s="227">
        <f>InputForProCost!Z29</f>
        <v>0</v>
      </c>
      <c r="G26" s="227" t="str">
        <f>InputForProCost!AA29</f>
        <v>ResDHW</v>
      </c>
      <c r="H26" s="227">
        <f>InputForProCost!AB29</f>
        <v>11.084861410373646</v>
      </c>
      <c r="I26" s="227">
        <f>InputForProCost!AC29</f>
        <v>0</v>
      </c>
      <c r="J26" s="227">
        <f>InputForProCost!AD29</f>
        <v>0</v>
      </c>
      <c r="K26" s="227">
        <f>InputForProCost!AE29</f>
        <v>0</v>
      </c>
      <c r="L26" s="227">
        <f>InputForProCost!AF29</f>
        <v>0</v>
      </c>
      <c r="M26" s="227">
        <f>InputForProCost!AG29</f>
        <v>0</v>
      </c>
      <c r="N26" s="227">
        <f>InputForProCost!AH29</f>
        <v>0</v>
      </c>
      <c r="O26" s="227">
        <f>InputForProCost!AI29</f>
        <v>0</v>
      </c>
      <c r="P26" s="227" t="str">
        <f>InputForProCost!AJ29</f>
        <v>ResGASDHW</v>
      </c>
      <c r="R26" s="228"/>
      <c r="S26" s="229"/>
    </row>
    <row r="27" spans="1:19">
      <c r="A27" s="226" t="str">
        <f>InputForProCost!U30</f>
        <v>Commercial Showerhead Replacement_2_00gpm_Hospitality_ Gas Water Heating_Mail-by-Request</v>
      </c>
      <c r="B27" s="226" t="str">
        <f>InputForProCost!V30</f>
        <v>On-site Savings, Costs, and Benefits</v>
      </c>
      <c r="C27" s="227">
        <f>InputForProCost!W30</f>
        <v>0</v>
      </c>
      <c r="D27" s="227">
        <f>InputForProCost!X30</f>
        <v>10</v>
      </c>
      <c r="E27" s="227">
        <f>InputForProCost!Y30</f>
        <v>8.1096944444444432</v>
      </c>
      <c r="F27" s="227">
        <f>InputForProCost!Z30</f>
        <v>0</v>
      </c>
      <c r="G27" s="227" t="str">
        <f>InputForProCost!AA30</f>
        <v>ResDHW</v>
      </c>
      <c r="H27" s="227">
        <f>InputForProCost!AB30</f>
        <v>11.084861410373646</v>
      </c>
      <c r="I27" s="227">
        <f>InputForProCost!AC30</f>
        <v>0</v>
      </c>
      <c r="J27" s="227">
        <f>InputForProCost!AD30</f>
        <v>0</v>
      </c>
      <c r="K27" s="227">
        <f>InputForProCost!AE30</f>
        <v>0</v>
      </c>
      <c r="L27" s="227">
        <f>InputForProCost!AF30</f>
        <v>0</v>
      </c>
      <c r="M27" s="227">
        <f>InputForProCost!AG30</f>
        <v>0</v>
      </c>
      <c r="N27" s="227">
        <f>InputForProCost!AH30</f>
        <v>0</v>
      </c>
      <c r="O27" s="227">
        <f>InputForProCost!AI30</f>
        <v>4.2589399372521166</v>
      </c>
      <c r="P27" s="227" t="str">
        <f>InputForProCost!AJ30</f>
        <v>ResGASDHW</v>
      </c>
      <c r="R27" s="228"/>
      <c r="S27" s="229"/>
    </row>
    <row r="28" spans="1:19">
      <c r="A28" s="226" t="str">
        <f>InputForProCost!U31</f>
        <v>Commercial Showerhead Replacement_2_00gpm_Hospitality_ Any Water Heating_Mail-by-Request</v>
      </c>
      <c r="B28" s="226" t="str">
        <f>InputForProCost!V31</f>
        <v>On-site Savings, Costs, and Benefits</v>
      </c>
      <c r="C28" s="227">
        <f>InputForProCost!W31</f>
        <v>12.415027209943867</v>
      </c>
      <c r="D28" s="227">
        <f>InputForProCost!X31</f>
        <v>10</v>
      </c>
      <c r="E28" s="227">
        <f>InputForProCost!Y31</f>
        <v>8.1096944444444432</v>
      </c>
      <c r="F28" s="227">
        <f>InputForProCost!Z31</f>
        <v>0</v>
      </c>
      <c r="G28" s="227" t="str">
        <f>InputForProCost!AA31</f>
        <v>ResDHW</v>
      </c>
      <c r="H28" s="227">
        <f>InputForProCost!AB31</f>
        <v>11.084861410373646</v>
      </c>
      <c r="I28" s="227">
        <f>InputForProCost!AC31</f>
        <v>0</v>
      </c>
      <c r="J28" s="227">
        <f>InputForProCost!AD31</f>
        <v>0</v>
      </c>
      <c r="K28" s="227">
        <f>InputForProCost!AE31</f>
        <v>0</v>
      </c>
      <c r="L28" s="227">
        <f>InputForProCost!AF31</f>
        <v>0</v>
      </c>
      <c r="M28" s="227">
        <f>InputForProCost!AG31</f>
        <v>0</v>
      </c>
      <c r="N28" s="227">
        <f>InputForProCost!AH31</f>
        <v>0</v>
      </c>
      <c r="O28" s="227">
        <f>InputForProCost!AI31</f>
        <v>3.7052777454093415</v>
      </c>
      <c r="P28" s="227" t="str">
        <f>InputForProCost!AJ31</f>
        <v>ResGASDHW</v>
      </c>
      <c r="R28" s="228"/>
      <c r="S28" s="229"/>
    </row>
    <row r="29" spans="1:19">
      <c r="A29" s="226" t="str">
        <f>InputForProCost!U32</f>
        <v>Commercial Showerhead Replacement_1_75gpm_Hospitality_ Electric Water Heating_Mail-by-Request</v>
      </c>
      <c r="B29" s="226" t="str">
        <f>InputForProCost!V32</f>
        <v>On-site Savings, Costs, and Benefits</v>
      </c>
      <c r="C29" s="227">
        <f>InputForProCost!W32</f>
        <v>101.91926430684568</v>
      </c>
      <c r="D29" s="227">
        <f>InputForProCost!X32</f>
        <v>10</v>
      </c>
      <c r="E29" s="227">
        <f>InputForProCost!Y32</f>
        <v>8.1096944444444432</v>
      </c>
      <c r="F29" s="227">
        <f>InputForProCost!Z32</f>
        <v>0</v>
      </c>
      <c r="G29" s="227" t="str">
        <f>InputForProCost!AA32</f>
        <v>ResDHW</v>
      </c>
      <c r="H29" s="227">
        <f>InputForProCost!AB32</f>
        <v>12.470469086670358</v>
      </c>
      <c r="I29" s="227">
        <f>InputForProCost!AC32</f>
        <v>0</v>
      </c>
      <c r="J29" s="227">
        <f>InputForProCost!AD32</f>
        <v>0</v>
      </c>
      <c r="K29" s="227">
        <f>InputForProCost!AE32</f>
        <v>0</v>
      </c>
      <c r="L29" s="227">
        <f>InputForProCost!AF32</f>
        <v>0</v>
      </c>
      <c r="M29" s="227">
        <f>InputForProCost!AG32</f>
        <v>0</v>
      </c>
      <c r="N29" s="227">
        <f>InputForProCost!AH32</f>
        <v>0</v>
      </c>
      <c r="O29" s="227">
        <f>InputForProCost!AI32</f>
        <v>0</v>
      </c>
      <c r="P29" s="227" t="str">
        <f>InputForProCost!AJ32</f>
        <v>ResGASDHW</v>
      </c>
      <c r="R29" s="228"/>
      <c r="S29" s="229"/>
    </row>
    <row r="30" spans="1:19">
      <c r="A30" s="226" t="str">
        <f>InputForProCost!U33</f>
        <v>Commercial Showerhead Replacement_1_75gpm_Hospitality_ Gas Water Heating_Mail-by-Request</v>
      </c>
      <c r="B30" s="226" t="str">
        <f>InputForProCost!V33</f>
        <v>On-site Savings, Costs, and Benefits</v>
      </c>
      <c r="C30" s="227">
        <f>InputForProCost!W33</f>
        <v>0</v>
      </c>
      <c r="D30" s="227">
        <f>InputForProCost!X33</f>
        <v>10</v>
      </c>
      <c r="E30" s="227">
        <f>InputForProCost!Y33</f>
        <v>8.1096944444444432</v>
      </c>
      <c r="F30" s="227">
        <f>InputForProCost!Z33</f>
        <v>0</v>
      </c>
      <c r="G30" s="227" t="str">
        <f>InputForProCost!AA33</f>
        <v>ResDHW</v>
      </c>
      <c r="H30" s="227">
        <f>InputForProCost!AB33</f>
        <v>12.470469086670358</v>
      </c>
      <c r="I30" s="227">
        <f>InputForProCost!AC33</f>
        <v>0</v>
      </c>
      <c r="J30" s="227">
        <f>InputForProCost!AD33</f>
        <v>0</v>
      </c>
      <c r="K30" s="227">
        <f>InputForProCost!AE33</f>
        <v>0</v>
      </c>
      <c r="L30" s="227">
        <f>InputForProCost!AF33</f>
        <v>0</v>
      </c>
      <c r="M30" s="227">
        <f>InputForProCost!AG33</f>
        <v>0</v>
      </c>
      <c r="N30" s="227">
        <f>InputForProCost!AH33</f>
        <v>0</v>
      </c>
      <c r="O30" s="227">
        <f>InputForProCost!AI33</f>
        <v>4.5452049611244005</v>
      </c>
      <c r="P30" s="227" t="str">
        <f>InputForProCost!AJ33</f>
        <v>ResGASDHW</v>
      </c>
      <c r="R30" s="228"/>
      <c r="S30" s="229"/>
    </row>
    <row r="31" spans="1:19">
      <c r="A31" s="226" t="str">
        <f>InputForProCost!U34</f>
        <v>Commercial Showerhead Replacement_1_75gpm_Hospitality_ Any Water Heating_Mail-by-Request</v>
      </c>
      <c r="B31" s="226" t="str">
        <f>InputForProCost!V34</f>
        <v>On-site Savings, Costs, and Benefits</v>
      </c>
      <c r="C31" s="227">
        <f>InputForProCost!W34</f>
        <v>13.24950435988994</v>
      </c>
      <c r="D31" s="227">
        <f>InputForProCost!X34</f>
        <v>10</v>
      </c>
      <c r="E31" s="227">
        <f>InputForProCost!Y34</f>
        <v>8.1096944444444432</v>
      </c>
      <c r="F31" s="227">
        <f>InputForProCost!Z34</f>
        <v>0</v>
      </c>
      <c r="G31" s="227" t="str">
        <f>InputForProCost!AA34</f>
        <v>ResDHW</v>
      </c>
      <c r="H31" s="227">
        <f>InputForProCost!AB34</f>
        <v>12.470469086670358</v>
      </c>
      <c r="I31" s="227">
        <f>InputForProCost!AC34</f>
        <v>0</v>
      </c>
      <c r="J31" s="227">
        <f>InputForProCost!AD34</f>
        <v>0</v>
      </c>
      <c r="K31" s="227">
        <f>InputForProCost!AE34</f>
        <v>0</v>
      </c>
      <c r="L31" s="227">
        <f>InputForProCost!AF34</f>
        <v>0</v>
      </c>
      <c r="M31" s="227">
        <f>InputForProCost!AG34</f>
        <v>0</v>
      </c>
      <c r="N31" s="227">
        <f>InputForProCost!AH34</f>
        <v>0</v>
      </c>
      <c r="O31" s="227">
        <f>InputForProCost!AI34</f>
        <v>3.9543283161782283</v>
      </c>
      <c r="P31" s="227" t="str">
        <f>InputForProCost!AJ34</f>
        <v>ResGASDHW</v>
      </c>
      <c r="R31" s="228"/>
      <c r="S31" s="229"/>
    </row>
    <row r="32" spans="1:19">
      <c r="A32" s="226" t="str">
        <f>InputForProCost!U35</f>
        <v>Commercial Showerhead Replacement_1_50gpm_Hospitality_ Electric Water Heating_Mail-by-Request</v>
      </c>
      <c r="B32" s="226" t="str">
        <f>InputForProCost!V35</f>
        <v>On-site Savings, Costs, and Benefits</v>
      </c>
      <c r="C32" s="227">
        <f>InputForProCost!W35</f>
        <v>168.50498407866149</v>
      </c>
      <c r="D32" s="227">
        <f>InputForProCost!X35</f>
        <v>10</v>
      </c>
      <c r="E32" s="227">
        <f>InputForProCost!Y35</f>
        <v>8.1096944444444432</v>
      </c>
      <c r="F32" s="227">
        <f>InputForProCost!Z35</f>
        <v>0</v>
      </c>
      <c r="G32" s="227" t="str">
        <f>InputForProCost!AA35</f>
        <v>ResDHW</v>
      </c>
      <c r="H32" s="227">
        <f>InputForProCost!AB35</f>
        <v>19.398507468153888</v>
      </c>
      <c r="I32" s="227">
        <f>InputForProCost!AC35</f>
        <v>0</v>
      </c>
      <c r="J32" s="227">
        <f>InputForProCost!AD35</f>
        <v>0</v>
      </c>
      <c r="K32" s="227">
        <f>InputForProCost!AE35</f>
        <v>0</v>
      </c>
      <c r="L32" s="227">
        <f>InputForProCost!AF35</f>
        <v>0</v>
      </c>
      <c r="M32" s="227">
        <f>InputForProCost!AG35</f>
        <v>0</v>
      </c>
      <c r="N32" s="227">
        <f>InputForProCost!AH35</f>
        <v>0</v>
      </c>
      <c r="O32" s="227">
        <f>InputForProCost!AI35</f>
        <v>0</v>
      </c>
      <c r="P32" s="227" t="str">
        <f>InputForProCost!AJ35</f>
        <v>ResGASDHW</v>
      </c>
      <c r="R32" s="228"/>
      <c r="S32" s="229"/>
    </row>
    <row r="33" spans="1:19">
      <c r="A33" s="226" t="str">
        <f>InputForProCost!U36</f>
        <v>Commercial Showerhead Replacement_1_50gpm_Hospitality_ Gas Water Heating_Mail-by-Request</v>
      </c>
      <c r="B33" s="226" t="str">
        <f>InputForProCost!V36</f>
        <v>On-site Savings, Costs, and Benefits</v>
      </c>
      <c r="C33" s="227">
        <f>InputForProCost!W36</f>
        <v>0</v>
      </c>
      <c r="D33" s="227">
        <f>InputForProCost!X36</f>
        <v>10</v>
      </c>
      <c r="E33" s="227">
        <f>InputForProCost!Y36</f>
        <v>8.1096944444444432</v>
      </c>
      <c r="F33" s="227">
        <f>InputForProCost!Z36</f>
        <v>0</v>
      </c>
      <c r="G33" s="227" t="str">
        <f>InputForProCost!AA36</f>
        <v>ResDHW</v>
      </c>
      <c r="H33" s="227">
        <f>InputForProCost!AB36</f>
        <v>19.398507468153888</v>
      </c>
      <c r="I33" s="227">
        <f>InputForProCost!AC36</f>
        <v>0</v>
      </c>
      <c r="J33" s="227">
        <f>InputForProCost!AD36</f>
        <v>0</v>
      </c>
      <c r="K33" s="227">
        <f>InputForProCost!AE36</f>
        <v>0</v>
      </c>
      <c r="L33" s="227">
        <f>InputForProCost!AF36</f>
        <v>0</v>
      </c>
      <c r="M33" s="227">
        <f>InputForProCost!AG36</f>
        <v>0</v>
      </c>
      <c r="N33" s="227">
        <f>InputForProCost!AH36</f>
        <v>0</v>
      </c>
      <c r="O33" s="227">
        <f>InputForProCost!AI36</f>
        <v>7.5146705072622604</v>
      </c>
      <c r="P33" s="227" t="str">
        <f>InputForProCost!AJ36</f>
        <v>ResGASDHW</v>
      </c>
      <c r="R33" s="228"/>
      <c r="S33" s="229"/>
    </row>
    <row r="34" spans="1:19">
      <c r="A34" s="226" t="str">
        <f>InputForProCost!U37</f>
        <v>Commercial Showerhead Replacement_1_50gpm_Hospitality_ Any Water Heating_Mail-by-Request</v>
      </c>
      <c r="B34" s="226" t="str">
        <f>InputForProCost!V37</f>
        <v>On-site Savings, Costs, and Benefits</v>
      </c>
      <c r="C34" s="227">
        <f>InputForProCost!W37</f>
        <v>21.905647930225992</v>
      </c>
      <c r="D34" s="227">
        <f>InputForProCost!X37</f>
        <v>10</v>
      </c>
      <c r="E34" s="227">
        <f>InputForProCost!Y37</f>
        <v>8.1096944444444432</v>
      </c>
      <c r="F34" s="227">
        <f>InputForProCost!Z37</f>
        <v>0</v>
      </c>
      <c r="G34" s="227" t="str">
        <f>InputForProCost!AA37</f>
        <v>ResDHW</v>
      </c>
      <c r="H34" s="227">
        <f>InputForProCost!AB37</f>
        <v>19.398507468153888</v>
      </c>
      <c r="I34" s="227">
        <f>InputForProCost!AC37</f>
        <v>0</v>
      </c>
      <c r="J34" s="227">
        <f>InputForProCost!AD37</f>
        <v>0</v>
      </c>
      <c r="K34" s="227">
        <f>InputForProCost!AE37</f>
        <v>0</v>
      </c>
      <c r="L34" s="227">
        <f>InputForProCost!AF37</f>
        <v>0</v>
      </c>
      <c r="M34" s="227">
        <f>InputForProCost!AG37</f>
        <v>0</v>
      </c>
      <c r="N34" s="227">
        <f>InputForProCost!AH37</f>
        <v>0</v>
      </c>
      <c r="O34" s="227">
        <f>InputForProCost!AI37</f>
        <v>6.5377633413181666</v>
      </c>
      <c r="P34" s="227" t="str">
        <f>InputForProCost!AJ37</f>
        <v>ResGASDHW</v>
      </c>
      <c r="R34" s="228"/>
      <c r="S34" s="229"/>
    </row>
    <row r="35" spans="1:19">
      <c r="A35" s="226" t="str">
        <f>InputForProCost!U38</f>
        <v>Commercial Showerhead Replacement_2_00gpm_Health Care_ Electric Water Heating_Retail</v>
      </c>
      <c r="B35" s="226" t="str">
        <f>InputForProCost!V38</f>
        <v>On-site Savings, Costs, and Benefits</v>
      </c>
      <c r="C35" s="227">
        <f>InputForProCost!W38</f>
        <v>91.74064478266537</v>
      </c>
      <c r="D35" s="227">
        <f>InputForProCost!X38</f>
        <v>10</v>
      </c>
      <c r="E35" s="227">
        <f>InputForProCost!Y38</f>
        <v>3.2966774171383419</v>
      </c>
      <c r="F35" s="227">
        <f>InputForProCost!Z38</f>
        <v>0</v>
      </c>
      <c r="G35" s="227" t="str">
        <f>InputForProCost!AA38</f>
        <v>ResDHW</v>
      </c>
      <c r="H35" s="227">
        <f>InputForProCost!AB38</f>
        <v>10.648482767637768</v>
      </c>
      <c r="I35" s="227">
        <f>InputForProCost!AC38</f>
        <v>0</v>
      </c>
      <c r="J35" s="227">
        <f>InputForProCost!AD38</f>
        <v>0</v>
      </c>
      <c r="K35" s="227">
        <f>InputForProCost!AE38</f>
        <v>0</v>
      </c>
      <c r="L35" s="227">
        <f>InputForProCost!AF38</f>
        <v>0</v>
      </c>
      <c r="M35" s="227">
        <f>InputForProCost!AG38</f>
        <v>0</v>
      </c>
      <c r="N35" s="227">
        <f>InputForProCost!AH38</f>
        <v>0</v>
      </c>
      <c r="O35" s="227">
        <f>InputForProCost!AI38</f>
        <v>0</v>
      </c>
      <c r="P35" s="227" t="str">
        <f>InputForProCost!AJ38</f>
        <v>ResGASDHW</v>
      </c>
      <c r="R35" s="228"/>
      <c r="S35" s="229"/>
    </row>
    <row r="36" spans="1:19">
      <c r="A36" s="226" t="str">
        <f>InputForProCost!U39</f>
        <v>Commercial Showerhead Replacement_2_00gpm_Health Care_ Gas Water Heating_Retail</v>
      </c>
      <c r="B36" s="226" t="str">
        <f>InputForProCost!V39</f>
        <v>On-site Savings, Costs, and Benefits</v>
      </c>
      <c r="C36" s="227">
        <f>InputForProCost!W39</f>
        <v>0</v>
      </c>
      <c r="D36" s="227">
        <f>InputForProCost!X39</f>
        <v>10</v>
      </c>
      <c r="E36" s="227">
        <f>InputForProCost!Y39</f>
        <v>3.2966774171383419</v>
      </c>
      <c r="F36" s="227">
        <f>InputForProCost!Z39</f>
        <v>0</v>
      </c>
      <c r="G36" s="227" t="str">
        <f>InputForProCost!AA39</f>
        <v>ResDHW</v>
      </c>
      <c r="H36" s="227">
        <f>InputForProCost!AB39</f>
        <v>10.648482767637768</v>
      </c>
      <c r="I36" s="227">
        <f>InputForProCost!AC39</f>
        <v>0</v>
      </c>
      <c r="J36" s="227">
        <f>InputForProCost!AD39</f>
        <v>0</v>
      </c>
      <c r="K36" s="227">
        <f>InputForProCost!AE39</f>
        <v>0</v>
      </c>
      <c r="L36" s="227">
        <f>InputForProCost!AF39</f>
        <v>0</v>
      </c>
      <c r="M36" s="227">
        <f>InputForProCost!AG39</f>
        <v>0</v>
      </c>
      <c r="N36" s="227">
        <f>InputForProCost!AH39</f>
        <v>0</v>
      </c>
      <c r="O36" s="227">
        <f>InputForProCost!AI39</f>
        <v>4.0912779015705159</v>
      </c>
      <c r="P36" s="227" t="str">
        <f>InputForProCost!AJ39</f>
        <v>ResGASDHW</v>
      </c>
      <c r="R36" s="228"/>
      <c r="S36" s="229"/>
    </row>
    <row r="37" spans="1:19">
      <c r="A37" s="226" t="str">
        <f>InputForProCost!U40</f>
        <v>Commercial Showerhead Replacement_2_00gpm_Health Care_ Any Water Heating_Retail</v>
      </c>
      <c r="B37" s="226" t="str">
        <f>InputForProCost!V40</f>
        <v>On-site Savings, Costs, and Benefits</v>
      </c>
      <c r="C37" s="227">
        <f>InputForProCost!W40</f>
        <v>27.017619888494949</v>
      </c>
      <c r="D37" s="227">
        <f>InputForProCost!X40</f>
        <v>10</v>
      </c>
      <c r="E37" s="227">
        <f>InputForProCost!Y40</f>
        <v>3.2966774171383419</v>
      </c>
      <c r="F37" s="227">
        <f>InputForProCost!Z40</f>
        <v>0</v>
      </c>
      <c r="G37" s="227" t="str">
        <f>InputForProCost!AA40</f>
        <v>ResDHW</v>
      </c>
      <c r="H37" s="227">
        <f>InputForProCost!AB40</f>
        <v>10.648482767637768</v>
      </c>
      <c r="I37" s="227">
        <f>InputForProCost!AC40</f>
        <v>0</v>
      </c>
      <c r="J37" s="227">
        <f>InputForProCost!AD40</f>
        <v>0</v>
      </c>
      <c r="K37" s="227">
        <f>InputForProCost!AE40</f>
        <v>0</v>
      </c>
      <c r="L37" s="227">
        <f>InputForProCost!AF40</f>
        <v>0</v>
      </c>
      <c r="M37" s="227">
        <f>InputForProCost!AG40</f>
        <v>0</v>
      </c>
      <c r="N37" s="227">
        <f>InputForProCost!AH40</f>
        <v>0</v>
      </c>
      <c r="O37" s="227">
        <f>InputForProCost!AI40</f>
        <v>2.886396559557999</v>
      </c>
      <c r="P37" s="227" t="str">
        <f>InputForProCost!AJ40</f>
        <v>ResGASDHW</v>
      </c>
      <c r="R37" s="228"/>
      <c r="S37" s="229"/>
    </row>
    <row r="38" spans="1:19">
      <c r="A38" s="226" t="str">
        <f>InputForProCost!U41</f>
        <v>Commercial Showerhead Replacement_1_75gpm_Health Care_ Electric Water Heating_Retail</v>
      </c>
      <c r="B38" s="226" t="str">
        <f>InputForProCost!V41</f>
        <v>On-site Savings, Costs, and Benefits</v>
      </c>
      <c r="C38" s="227">
        <f>InputForProCost!W41</f>
        <v>91.787812800774333</v>
      </c>
      <c r="D38" s="227">
        <f>InputForProCost!X41</f>
        <v>10</v>
      </c>
      <c r="E38" s="227">
        <f>InputForProCost!Y41</f>
        <v>3.2966774171383419</v>
      </c>
      <c r="F38" s="227">
        <f>InputForProCost!Z41</f>
        <v>0</v>
      </c>
      <c r="G38" s="227" t="str">
        <f>InputForProCost!AA41</f>
        <v>ResDHW</v>
      </c>
      <c r="H38" s="227">
        <f>InputForProCost!AB41</f>
        <v>11.230821668992958</v>
      </c>
      <c r="I38" s="227">
        <f>InputForProCost!AC41</f>
        <v>0</v>
      </c>
      <c r="J38" s="227">
        <f>InputForProCost!AD41</f>
        <v>0</v>
      </c>
      <c r="K38" s="227">
        <f>InputForProCost!AE41</f>
        <v>0</v>
      </c>
      <c r="L38" s="227">
        <f>InputForProCost!AF41</f>
        <v>0</v>
      </c>
      <c r="M38" s="227">
        <f>InputForProCost!AG41</f>
        <v>0</v>
      </c>
      <c r="N38" s="227">
        <f>InputForProCost!AH41</f>
        <v>0</v>
      </c>
      <c r="O38" s="227">
        <f>InputForProCost!AI41</f>
        <v>0</v>
      </c>
      <c r="P38" s="227" t="str">
        <f>InputForProCost!AJ41</f>
        <v>ResGASDHW</v>
      </c>
      <c r="R38" s="228"/>
      <c r="S38" s="229"/>
    </row>
    <row r="39" spans="1:19">
      <c r="A39" s="226" t="str">
        <f>InputForProCost!U42</f>
        <v>Commercial Showerhead Replacement_1_75gpm_Health Care_ Gas Water Heating_Retail</v>
      </c>
      <c r="B39" s="226" t="str">
        <f>InputForProCost!V42</f>
        <v>On-site Savings, Costs, and Benefits</v>
      </c>
      <c r="C39" s="227">
        <f>InputForProCost!W42</f>
        <v>0</v>
      </c>
      <c r="D39" s="227">
        <f>InputForProCost!X42</f>
        <v>10</v>
      </c>
      <c r="E39" s="227">
        <f>InputForProCost!Y42</f>
        <v>3.2966774171383419</v>
      </c>
      <c r="F39" s="227">
        <f>InputForProCost!Z42</f>
        <v>0</v>
      </c>
      <c r="G39" s="227" t="str">
        <f>InputForProCost!AA42</f>
        <v>ResDHW</v>
      </c>
      <c r="H39" s="227">
        <f>InputForProCost!AB42</f>
        <v>11.230821668992958</v>
      </c>
      <c r="I39" s="227">
        <f>InputForProCost!AC42</f>
        <v>0</v>
      </c>
      <c r="J39" s="227">
        <f>InputForProCost!AD42</f>
        <v>0</v>
      </c>
      <c r="K39" s="227">
        <f>InputForProCost!AE42</f>
        <v>0</v>
      </c>
      <c r="L39" s="227">
        <f>InputForProCost!AF42</f>
        <v>0</v>
      </c>
      <c r="M39" s="227">
        <f>InputForProCost!AG42</f>
        <v>0</v>
      </c>
      <c r="N39" s="227">
        <f>InputForProCost!AH42</f>
        <v>0</v>
      </c>
      <c r="O39" s="227">
        <f>InputForProCost!AI42</f>
        <v>4.0933814127307784</v>
      </c>
      <c r="P39" s="227" t="str">
        <f>InputForProCost!AJ42</f>
        <v>ResGASDHW</v>
      </c>
      <c r="R39" s="228"/>
      <c r="S39" s="229"/>
    </row>
    <row r="40" spans="1:19">
      <c r="A40" s="226" t="str">
        <f>InputForProCost!U43</f>
        <v>Commercial Showerhead Replacement_1_75gpm_Health Care_ Any Water Heating_Retail</v>
      </c>
      <c r="B40" s="226" t="str">
        <f>InputForProCost!V43</f>
        <v>On-site Savings, Costs, and Benefits</v>
      </c>
      <c r="C40" s="227">
        <f>InputForProCost!W43</f>
        <v>27.03151086982804</v>
      </c>
      <c r="D40" s="227">
        <f>InputForProCost!X43</f>
        <v>10</v>
      </c>
      <c r="E40" s="227">
        <f>InputForProCost!Y43</f>
        <v>3.2966774171383419</v>
      </c>
      <c r="F40" s="227">
        <f>InputForProCost!Z43</f>
        <v>0</v>
      </c>
      <c r="G40" s="227" t="str">
        <f>InputForProCost!AA43</f>
        <v>ResDHW</v>
      </c>
      <c r="H40" s="227">
        <f>InputForProCost!AB43</f>
        <v>11.230821668992958</v>
      </c>
      <c r="I40" s="227">
        <f>InputForProCost!AC43</f>
        <v>0</v>
      </c>
      <c r="J40" s="227">
        <f>InputForProCost!AD43</f>
        <v>0</v>
      </c>
      <c r="K40" s="227">
        <f>InputForProCost!AE43</f>
        <v>0</v>
      </c>
      <c r="L40" s="227">
        <f>InputForProCost!AF43</f>
        <v>0</v>
      </c>
      <c r="M40" s="227">
        <f>InputForProCost!AG43</f>
        <v>0</v>
      </c>
      <c r="N40" s="227">
        <f>InputForProCost!AH43</f>
        <v>0</v>
      </c>
      <c r="O40" s="227">
        <f>InputForProCost!AI43</f>
        <v>2.8878805866815642</v>
      </c>
      <c r="P40" s="227" t="str">
        <f>InputForProCost!AJ43</f>
        <v>ResGASDHW</v>
      </c>
      <c r="R40" s="228"/>
      <c r="S40" s="229"/>
    </row>
    <row r="41" spans="1:19">
      <c r="A41" s="226" t="str">
        <f>InputForProCost!U44</f>
        <v>Commercial Showerhead Replacement_1_50gpm_Health Care_ Electric Water Heating_Retail</v>
      </c>
      <c r="B41" s="226" t="str">
        <f>InputForProCost!V44</f>
        <v>On-site Savings, Costs, and Benefits</v>
      </c>
      <c r="C41" s="227">
        <f>InputForProCost!W44</f>
        <v>141.63750530525959</v>
      </c>
      <c r="D41" s="227">
        <f>InputForProCost!X44</f>
        <v>10</v>
      </c>
      <c r="E41" s="227">
        <f>InputForProCost!Y44</f>
        <v>3.2966774171383419</v>
      </c>
      <c r="F41" s="227">
        <f>InputForProCost!Z44</f>
        <v>0</v>
      </c>
      <c r="G41" s="227" t="str">
        <f>InputForProCost!AA44</f>
        <v>ResDHW</v>
      </c>
      <c r="H41" s="227">
        <f>InputForProCost!AB44</f>
        <v>16.305489237945334</v>
      </c>
      <c r="I41" s="227">
        <f>InputForProCost!AC44</f>
        <v>0</v>
      </c>
      <c r="J41" s="227">
        <f>InputForProCost!AD44</f>
        <v>0</v>
      </c>
      <c r="K41" s="227">
        <f>InputForProCost!AE44</f>
        <v>0</v>
      </c>
      <c r="L41" s="227">
        <f>InputForProCost!AF44</f>
        <v>0</v>
      </c>
      <c r="M41" s="227">
        <f>InputForProCost!AG44</f>
        <v>0</v>
      </c>
      <c r="N41" s="227">
        <f>InputForProCost!AH44</f>
        <v>0</v>
      </c>
      <c r="O41" s="227">
        <f>InputForProCost!AI44</f>
        <v>0</v>
      </c>
      <c r="P41" s="227" t="str">
        <f>InputForProCost!AJ44</f>
        <v>ResGASDHW</v>
      </c>
      <c r="R41" s="228"/>
      <c r="S41" s="229"/>
    </row>
    <row r="42" spans="1:19">
      <c r="A42" s="226" t="str">
        <f>InputForProCost!U45</f>
        <v>Commercial Showerhead Replacement_1_50gpm_Health Care_ Gas Water Heating_Retail</v>
      </c>
      <c r="B42" s="226" t="str">
        <f>InputForProCost!V45</f>
        <v>On-site Savings, Costs, and Benefits</v>
      </c>
      <c r="C42" s="227">
        <f>InputForProCost!W45</f>
        <v>0</v>
      </c>
      <c r="D42" s="227">
        <f>InputForProCost!X45</f>
        <v>10</v>
      </c>
      <c r="E42" s="227">
        <f>InputForProCost!Y45</f>
        <v>3.2966774171383419</v>
      </c>
      <c r="F42" s="227">
        <f>InputForProCost!Z45</f>
        <v>0</v>
      </c>
      <c r="G42" s="227" t="str">
        <f>InputForProCost!AA45</f>
        <v>ResDHW</v>
      </c>
      <c r="H42" s="227">
        <f>InputForProCost!AB45</f>
        <v>16.305489237945334</v>
      </c>
      <c r="I42" s="227">
        <f>InputForProCost!AC45</f>
        <v>0</v>
      </c>
      <c r="J42" s="227">
        <f>InputForProCost!AD45</f>
        <v>0</v>
      </c>
      <c r="K42" s="227">
        <f>InputForProCost!AE45</f>
        <v>0</v>
      </c>
      <c r="L42" s="227">
        <f>InputForProCost!AF45</f>
        <v>0</v>
      </c>
      <c r="M42" s="227">
        <f>InputForProCost!AG45</f>
        <v>0</v>
      </c>
      <c r="N42" s="227">
        <f>InputForProCost!AH45</f>
        <v>0</v>
      </c>
      <c r="O42" s="227">
        <f>InputForProCost!AI45</f>
        <v>6.3164848782322842</v>
      </c>
      <c r="P42" s="227" t="str">
        <f>InputForProCost!AJ45</f>
        <v>ResGASDHW</v>
      </c>
      <c r="R42" s="228"/>
      <c r="S42" s="229"/>
    </row>
    <row r="43" spans="1:19">
      <c r="A43" s="226" t="str">
        <f>InputForProCost!U46</f>
        <v>Commercial Showerhead Replacement_1_50gpm_Health Care_ Any Water Heating_Retail</v>
      </c>
      <c r="B43" s="226" t="str">
        <f>InputForProCost!V46</f>
        <v>On-site Savings, Costs, and Benefits</v>
      </c>
      <c r="C43" s="227">
        <f>InputForProCost!W46</f>
        <v>41.712245312398956</v>
      </c>
      <c r="D43" s="227">
        <f>InputForProCost!X46</f>
        <v>10</v>
      </c>
      <c r="E43" s="227">
        <f>InputForProCost!Y46</f>
        <v>3.2966774171383419</v>
      </c>
      <c r="F43" s="227">
        <f>InputForProCost!Z46</f>
        <v>0</v>
      </c>
      <c r="G43" s="227" t="str">
        <f>InputForProCost!AA46</f>
        <v>ResDHW</v>
      </c>
      <c r="H43" s="227">
        <f>InputForProCost!AB46</f>
        <v>16.305489237945334</v>
      </c>
      <c r="I43" s="227">
        <f>InputForProCost!AC46</f>
        <v>0</v>
      </c>
      <c r="J43" s="227">
        <f>InputForProCost!AD46</f>
        <v>0</v>
      </c>
      <c r="K43" s="227">
        <f>InputForProCost!AE46</f>
        <v>0</v>
      </c>
      <c r="L43" s="227">
        <f>InputForProCost!AF46</f>
        <v>0</v>
      </c>
      <c r="M43" s="227">
        <f>InputForProCost!AG46</f>
        <v>0</v>
      </c>
      <c r="N43" s="227">
        <f>InputForProCost!AH46</f>
        <v>0</v>
      </c>
      <c r="O43" s="227">
        <f>InputForProCost!AI46</f>
        <v>4.4562800815928769</v>
      </c>
      <c r="P43" s="227" t="str">
        <f>InputForProCost!AJ46</f>
        <v>ResGASDHW</v>
      </c>
      <c r="R43" s="228"/>
      <c r="S43" s="229"/>
    </row>
    <row r="44" spans="1:19">
      <c r="A44" s="226" t="str">
        <f>InputForProCost!U47</f>
        <v>Commercial Showerhead Replacement_2_00gpm_Health Care_ Electric Water Heating_Direct Install</v>
      </c>
      <c r="B44" s="226" t="str">
        <f>InputForProCost!V47</f>
        <v>On-site Savings, Costs, and Benefits</v>
      </c>
      <c r="C44" s="227">
        <f>InputForProCost!W47</f>
        <v>103.20822538049855</v>
      </c>
      <c r="D44" s="227">
        <f>InputForProCost!X47</f>
        <v>10</v>
      </c>
      <c r="E44" s="227">
        <f>InputForProCost!Y47</f>
        <v>11.336666666666666</v>
      </c>
      <c r="F44" s="227">
        <f>InputForProCost!Z47</f>
        <v>0</v>
      </c>
      <c r="G44" s="227" t="str">
        <f>InputForProCost!AA47</f>
        <v>ResDHW</v>
      </c>
      <c r="H44" s="227">
        <f>InputForProCost!AB47</f>
        <v>11.97954311359249</v>
      </c>
      <c r="I44" s="227">
        <f>InputForProCost!AC47</f>
        <v>0</v>
      </c>
      <c r="J44" s="227">
        <f>InputForProCost!AD47</f>
        <v>0</v>
      </c>
      <c r="K44" s="227">
        <f>InputForProCost!AE47</f>
        <v>0</v>
      </c>
      <c r="L44" s="227">
        <f>InputForProCost!AF47</f>
        <v>0</v>
      </c>
      <c r="M44" s="227">
        <f>InputForProCost!AG47</f>
        <v>0</v>
      </c>
      <c r="N44" s="227">
        <f>InputForProCost!AH47</f>
        <v>0</v>
      </c>
      <c r="O44" s="227">
        <f>InputForProCost!AI47</f>
        <v>0</v>
      </c>
      <c r="P44" s="227" t="str">
        <f>InputForProCost!AJ47</f>
        <v>ResGASDHW</v>
      </c>
      <c r="R44" s="228"/>
      <c r="S44" s="229"/>
    </row>
    <row r="45" spans="1:19">
      <c r="A45" s="226" t="str">
        <f>InputForProCost!U48</f>
        <v>Commercial Showerhead Replacement_2_00gpm_Health Care_ Gas Water Heating_Direct Install</v>
      </c>
      <c r="B45" s="226" t="str">
        <f>InputForProCost!V48</f>
        <v>On-site Savings, Costs, and Benefits</v>
      </c>
      <c r="C45" s="227">
        <f>InputForProCost!W48</f>
        <v>0</v>
      </c>
      <c r="D45" s="227">
        <f>InputForProCost!X48</f>
        <v>10</v>
      </c>
      <c r="E45" s="227">
        <f>InputForProCost!Y48</f>
        <v>11.336666666666666</v>
      </c>
      <c r="F45" s="227">
        <f>InputForProCost!Z48</f>
        <v>0</v>
      </c>
      <c r="G45" s="227" t="str">
        <f>InputForProCost!AA48</f>
        <v>ResDHW</v>
      </c>
      <c r="H45" s="227">
        <f>InputForProCost!AB48</f>
        <v>11.97954311359249</v>
      </c>
      <c r="I45" s="227">
        <f>InputForProCost!AC48</f>
        <v>0</v>
      </c>
      <c r="J45" s="227">
        <f>InputForProCost!AD48</f>
        <v>0</v>
      </c>
      <c r="K45" s="227">
        <f>InputForProCost!AE48</f>
        <v>0</v>
      </c>
      <c r="L45" s="227">
        <f>InputForProCost!AF48</f>
        <v>0</v>
      </c>
      <c r="M45" s="227">
        <f>InputForProCost!AG48</f>
        <v>0</v>
      </c>
      <c r="N45" s="227">
        <f>InputForProCost!AH48</f>
        <v>0</v>
      </c>
      <c r="O45" s="227">
        <f>InputForProCost!AI48</f>
        <v>4.6026876392668301</v>
      </c>
      <c r="P45" s="227" t="str">
        <f>InputForProCost!AJ48</f>
        <v>ResGASDHW</v>
      </c>
      <c r="R45" s="228"/>
      <c r="S45" s="229"/>
    </row>
    <row r="46" spans="1:19">
      <c r="A46" s="226" t="str">
        <f>InputForProCost!U49</f>
        <v>Commercial Showerhead Replacement_2_00gpm_Health Care_ Any Water Heating_Direct Install</v>
      </c>
      <c r="B46" s="226" t="str">
        <f>InputForProCost!V49</f>
        <v>On-site Savings, Costs, and Benefits</v>
      </c>
      <c r="C46" s="227">
        <f>InputForProCost!W49</f>
        <v>30.394822374556817</v>
      </c>
      <c r="D46" s="227">
        <f>InputForProCost!X49</f>
        <v>10</v>
      </c>
      <c r="E46" s="227">
        <f>InputForProCost!Y49</f>
        <v>11.336666666666666</v>
      </c>
      <c r="F46" s="227">
        <f>InputForProCost!Z49</f>
        <v>0</v>
      </c>
      <c r="G46" s="227" t="str">
        <f>InputForProCost!AA49</f>
        <v>ResDHW</v>
      </c>
      <c r="H46" s="227">
        <f>InputForProCost!AB49</f>
        <v>11.97954311359249</v>
      </c>
      <c r="I46" s="227">
        <f>InputForProCost!AC49</f>
        <v>0</v>
      </c>
      <c r="J46" s="227">
        <f>InputForProCost!AD49</f>
        <v>0</v>
      </c>
      <c r="K46" s="227">
        <f>InputForProCost!AE49</f>
        <v>0</v>
      </c>
      <c r="L46" s="227">
        <f>InputForProCost!AF49</f>
        <v>0</v>
      </c>
      <c r="M46" s="227">
        <f>InputForProCost!AG49</f>
        <v>0</v>
      </c>
      <c r="N46" s="227">
        <f>InputForProCost!AH49</f>
        <v>0</v>
      </c>
      <c r="O46" s="227">
        <f>InputForProCost!AI49</f>
        <v>3.2471961295027487</v>
      </c>
      <c r="P46" s="227" t="str">
        <f>InputForProCost!AJ49</f>
        <v>ResGASDHW</v>
      </c>
      <c r="R46" s="228"/>
      <c r="S46" s="229"/>
    </row>
    <row r="47" spans="1:19">
      <c r="A47" s="226" t="str">
        <f>InputForProCost!U50</f>
        <v>Commercial Showerhead Replacement_1_75gpm_Health Care_ Electric Water Heating_Direct Install</v>
      </c>
      <c r="B47" s="226" t="str">
        <f>InputForProCost!V50</f>
        <v>On-site Savings, Costs, and Benefits</v>
      </c>
      <c r="C47" s="227">
        <f>InputForProCost!W50</f>
        <v>110.14537536092921</v>
      </c>
      <c r="D47" s="227">
        <f>InputForProCost!X50</f>
        <v>10</v>
      </c>
      <c r="E47" s="227">
        <f>InputForProCost!Y50</f>
        <v>11.336666666666666</v>
      </c>
      <c r="F47" s="227">
        <f>InputForProCost!Z50</f>
        <v>0</v>
      </c>
      <c r="G47" s="227" t="str">
        <f>InputForProCost!AA50</f>
        <v>ResDHW</v>
      </c>
      <c r="H47" s="227">
        <f>InputForProCost!AB50</f>
        <v>13.47698600279155</v>
      </c>
      <c r="I47" s="227">
        <f>InputForProCost!AC50</f>
        <v>0</v>
      </c>
      <c r="J47" s="227">
        <f>InputForProCost!AD50</f>
        <v>0</v>
      </c>
      <c r="K47" s="227">
        <f>InputForProCost!AE50</f>
        <v>0</v>
      </c>
      <c r="L47" s="227">
        <f>InputForProCost!AF50</f>
        <v>0</v>
      </c>
      <c r="M47" s="227">
        <f>InputForProCost!AG50</f>
        <v>0</v>
      </c>
      <c r="N47" s="227">
        <f>InputForProCost!AH50</f>
        <v>0</v>
      </c>
      <c r="O47" s="227">
        <f>InputForProCost!AI50</f>
        <v>0</v>
      </c>
      <c r="P47" s="227" t="str">
        <f>InputForProCost!AJ50</f>
        <v>ResGASDHW</v>
      </c>
      <c r="R47" s="228"/>
      <c r="S47" s="229"/>
    </row>
    <row r="48" spans="1:19">
      <c r="A48" s="226" t="str">
        <f>InputForProCost!U51</f>
        <v>Commercial Showerhead Replacement_1_75gpm_Health Care_ Gas Water Heating_Direct Install</v>
      </c>
      <c r="B48" s="226" t="str">
        <f>InputForProCost!V51</f>
        <v>On-site Savings, Costs, and Benefits</v>
      </c>
      <c r="C48" s="227">
        <f>InputForProCost!W51</f>
        <v>0</v>
      </c>
      <c r="D48" s="227">
        <f>InputForProCost!X51</f>
        <v>10</v>
      </c>
      <c r="E48" s="227">
        <f>InputForProCost!Y51</f>
        <v>11.336666666666666</v>
      </c>
      <c r="F48" s="227">
        <f>InputForProCost!Z51</f>
        <v>0</v>
      </c>
      <c r="G48" s="227" t="str">
        <f>InputForProCost!AA51</f>
        <v>ResDHW</v>
      </c>
      <c r="H48" s="227">
        <f>InputForProCost!AB51</f>
        <v>13.47698600279155</v>
      </c>
      <c r="I48" s="227">
        <f>InputForProCost!AC51</f>
        <v>0</v>
      </c>
      <c r="J48" s="227">
        <f>InputForProCost!AD51</f>
        <v>0</v>
      </c>
      <c r="K48" s="227">
        <f>InputForProCost!AE51</f>
        <v>0</v>
      </c>
      <c r="L48" s="227">
        <f>InputForProCost!AF51</f>
        <v>0</v>
      </c>
      <c r="M48" s="227">
        <f>InputForProCost!AG51</f>
        <v>0</v>
      </c>
      <c r="N48" s="227">
        <f>InputForProCost!AH51</f>
        <v>0</v>
      </c>
      <c r="O48" s="227">
        <f>InputForProCost!AI51</f>
        <v>4.9120576952769346</v>
      </c>
      <c r="P48" s="227" t="str">
        <f>InputForProCost!AJ51</f>
        <v>ResGASDHW</v>
      </c>
      <c r="R48" s="228"/>
      <c r="S48" s="229"/>
    </row>
    <row r="49" spans="1:19">
      <c r="A49" s="226" t="str">
        <f>InputForProCost!U52</f>
        <v>Commercial Showerhead Replacement_1_75gpm_Health Care_ Any Water Heating_Direct Install</v>
      </c>
      <c r="B49" s="226" t="str">
        <f>InputForProCost!V52</f>
        <v>On-site Savings, Costs, and Benefits</v>
      </c>
      <c r="C49" s="227">
        <f>InputForProCost!W52</f>
        <v>32.437813043793653</v>
      </c>
      <c r="D49" s="227">
        <f>InputForProCost!X52</f>
        <v>10</v>
      </c>
      <c r="E49" s="227">
        <f>InputForProCost!Y52</f>
        <v>11.336666666666666</v>
      </c>
      <c r="F49" s="227">
        <f>InputForProCost!Z52</f>
        <v>0</v>
      </c>
      <c r="G49" s="227" t="str">
        <f>InputForProCost!AA52</f>
        <v>ResDHW</v>
      </c>
      <c r="H49" s="227">
        <f>InputForProCost!AB52</f>
        <v>13.47698600279155</v>
      </c>
      <c r="I49" s="227">
        <f>InputForProCost!AC52</f>
        <v>0</v>
      </c>
      <c r="J49" s="227">
        <f>InputForProCost!AD52</f>
        <v>0</v>
      </c>
      <c r="K49" s="227">
        <f>InputForProCost!AE52</f>
        <v>0</v>
      </c>
      <c r="L49" s="227">
        <f>InputForProCost!AF52</f>
        <v>0</v>
      </c>
      <c r="M49" s="227">
        <f>InputForProCost!AG52</f>
        <v>0</v>
      </c>
      <c r="N49" s="227">
        <f>InputForProCost!AH52</f>
        <v>0</v>
      </c>
      <c r="O49" s="227">
        <f>InputForProCost!AI52</f>
        <v>3.4654567040178774</v>
      </c>
      <c r="P49" s="227" t="str">
        <f>InputForProCost!AJ52</f>
        <v>ResGASDHW</v>
      </c>
      <c r="R49" s="228"/>
      <c r="S49" s="229"/>
    </row>
    <row r="50" spans="1:19">
      <c r="A50" s="226" t="str">
        <f>InputForProCost!U53</f>
        <v>Commercial Showerhead Replacement_1_50gpm_Health Care_ Electric Water Heating_Direct Install</v>
      </c>
      <c r="B50" s="226" t="str">
        <f>InputForProCost!V53</f>
        <v>On-site Savings, Costs, and Benefits</v>
      </c>
      <c r="C50" s="227">
        <f>InputForProCost!W53</f>
        <v>182.10536396390523</v>
      </c>
      <c r="D50" s="227">
        <f>InputForProCost!X53</f>
        <v>10</v>
      </c>
      <c r="E50" s="227">
        <f>InputForProCost!Y53</f>
        <v>11.336666666666666</v>
      </c>
      <c r="F50" s="227">
        <f>InputForProCost!Z53</f>
        <v>0</v>
      </c>
      <c r="G50" s="227" t="str">
        <f>InputForProCost!AA53</f>
        <v>ResDHW</v>
      </c>
      <c r="H50" s="227">
        <f>InputForProCost!AB53</f>
        <v>20.964200448786858</v>
      </c>
      <c r="I50" s="227">
        <f>InputForProCost!AC53</f>
        <v>0</v>
      </c>
      <c r="J50" s="227">
        <f>InputForProCost!AD53</f>
        <v>0</v>
      </c>
      <c r="K50" s="227">
        <f>InputForProCost!AE53</f>
        <v>0</v>
      </c>
      <c r="L50" s="227">
        <f>InputForProCost!AF53</f>
        <v>0</v>
      </c>
      <c r="M50" s="227">
        <f>InputForProCost!AG53</f>
        <v>0</v>
      </c>
      <c r="N50" s="227">
        <f>InputForProCost!AH53</f>
        <v>0</v>
      </c>
      <c r="O50" s="227">
        <f>InputForProCost!AI53</f>
        <v>0</v>
      </c>
      <c r="P50" s="227" t="str">
        <f>InputForProCost!AJ53</f>
        <v>ResGASDHW</v>
      </c>
      <c r="R50" s="228"/>
      <c r="S50" s="229"/>
    </row>
    <row r="51" spans="1:19">
      <c r="A51" s="226" t="str">
        <f>InputForProCost!U54</f>
        <v>Commercial Showerhead Replacement_1_50gpm_Health Care_ Gas Water Heating_Direct Install</v>
      </c>
      <c r="B51" s="226" t="str">
        <f>InputForProCost!V54</f>
        <v>On-site Savings, Costs, and Benefits</v>
      </c>
      <c r="C51" s="227">
        <f>InputForProCost!W54</f>
        <v>0</v>
      </c>
      <c r="D51" s="227">
        <f>InputForProCost!X54</f>
        <v>10</v>
      </c>
      <c r="E51" s="227">
        <f>InputForProCost!Y54</f>
        <v>11.336666666666666</v>
      </c>
      <c r="F51" s="227">
        <f>InputForProCost!Z54</f>
        <v>0</v>
      </c>
      <c r="G51" s="227" t="str">
        <f>InputForProCost!AA54</f>
        <v>ResDHW</v>
      </c>
      <c r="H51" s="227">
        <f>InputForProCost!AB54</f>
        <v>20.964200448786858</v>
      </c>
      <c r="I51" s="227">
        <f>InputForProCost!AC54</f>
        <v>0</v>
      </c>
      <c r="J51" s="227">
        <f>InputForProCost!AD54</f>
        <v>0</v>
      </c>
      <c r="K51" s="227">
        <f>InputForProCost!AE54</f>
        <v>0</v>
      </c>
      <c r="L51" s="227">
        <f>InputForProCost!AF54</f>
        <v>0</v>
      </c>
      <c r="M51" s="227">
        <f>InputForProCost!AG54</f>
        <v>0</v>
      </c>
      <c r="N51" s="227">
        <f>InputForProCost!AH54</f>
        <v>0</v>
      </c>
      <c r="O51" s="227">
        <f>InputForProCost!AI54</f>
        <v>8.1211948434415095</v>
      </c>
      <c r="P51" s="227" t="str">
        <f>InputForProCost!AJ54</f>
        <v>ResGASDHW</v>
      </c>
      <c r="R51" s="228"/>
      <c r="S51" s="229"/>
    </row>
    <row r="52" spans="1:19">
      <c r="A52" s="226" t="str">
        <f>InputForProCost!U55</f>
        <v>Commercial Showerhead Replacement_1_50gpm_Health Care_ Any Water Heating_Direct Install</v>
      </c>
      <c r="B52" s="226" t="str">
        <f>InputForProCost!V55</f>
        <v>On-site Savings, Costs, and Benefits</v>
      </c>
      <c r="C52" s="227">
        <f>InputForProCost!W55</f>
        <v>53.630029687370083</v>
      </c>
      <c r="D52" s="227">
        <f>InputForProCost!X55</f>
        <v>10</v>
      </c>
      <c r="E52" s="227">
        <f>InputForProCost!Y55</f>
        <v>11.336666666666666</v>
      </c>
      <c r="F52" s="227">
        <f>InputForProCost!Z55</f>
        <v>0</v>
      </c>
      <c r="G52" s="227" t="str">
        <f>InputForProCost!AA55</f>
        <v>ResDHW</v>
      </c>
      <c r="H52" s="227">
        <f>InputForProCost!AB55</f>
        <v>20.964200448786858</v>
      </c>
      <c r="I52" s="227">
        <f>InputForProCost!AC55</f>
        <v>0</v>
      </c>
      <c r="J52" s="227">
        <f>InputForProCost!AD55</f>
        <v>0</v>
      </c>
      <c r="K52" s="227">
        <f>InputForProCost!AE55</f>
        <v>0</v>
      </c>
      <c r="L52" s="227">
        <f>InputForProCost!AF55</f>
        <v>0</v>
      </c>
      <c r="M52" s="227">
        <f>InputForProCost!AG55</f>
        <v>0</v>
      </c>
      <c r="N52" s="227">
        <f>InputForProCost!AH55</f>
        <v>0</v>
      </c>
      <c r="O52" s="227">
        <f>InputForProCost!AI55</f>
        <v>5.7295029620479854</v>
      </c>
      <c r="P52" s="227" t="str">
        <f>InputForProCost!AJ55</f>
        <v>ResGASDHW</v>
      </c>
      <c r="R52" s="228"/>
      <c r="S52" s="229"/>
    </row>
    <row r="53" spans="1:19">
      <c r="A53" s="226" t="str">
        <f>InputForProCost!U56</f>
        <v>Commercial Showerhead Replacement_2_00gpm_Health Care_ Electric Water Heating_Mail-by-Request</v>
      </c>
      <c r="B53" s="226" t="str">
        <f>InputForProCost!V56</f>
        <v>On-site Savings, Costs, and Benefits</v>
      </c>
      <c r="C53" s="227">
        <f>InputForProCost!W56</f>
        <v>68.805483586999017</v>
      </c>
      <c r="D53" s="227">
        <f>InputForProCost!X56</f>
        <v>10</v>
      </c>
      <c r="E53" s="227">
        <f>InputForProCost!Y56</f>
        <v>8.1096944444444432</v>
      </c>
      <c r="F53" s="227">
        <f>InputForProCost!Z56</f>
        <v>0</v>
      </c>
      <c r="G53" s="227" t="str">
        <f>InputForProCost!AA56</f>
        <v>ResDHW</v>
      </c>
      <c r="H53" s="227">
        <f>InputForProCost!AB56</f>
        <v>7.9863620757283256</v>
      </c>
      <c r="I53" s="227">
        <f>InputForProCost!AC56</f>
        <v>0</v>
      </c>
      <c r="J53" s="227">
        <f>InputForProCost!AD56</f>
        <v>0</v>
      </c>
      <c r="K53" s="227">
        <f>InputForProCost!AE56</f>
        <v>0</v>
      </c>
      <c r="L53" s="227">
        <f>InputForProCost!AF56</f>
        <v>0</v>
      </c>
      <c r="M53" s="227">
        <f>InputForProCost!AG56</f>
        <v>0</v>
      </c>
      <c r="N53" s="227">
        <f>InputForProCost!AH56</f>
        <v>0</v>
      </c>
      <c r="O53" s="227">
        <f>InputForProCost!AI56</f>
        <v>0</v>
      </c>
      <c r="P53" s="227" t="str">
        <f>InputForProCost!AJ56</f>
        <v>ResGASDHW</v>
      </c>
      <c r="R53" s="228"/>
      <c r="S53" s="229"/>
    </row>
    <row r="54" spans="1:19">
      <c r="A54" s="226" t="str">
        <f>InputForProCost!U57</f>
        <v>Commercial Showerhead Replacement_2_00gpm_Health Care_ Gas Water Heating_Mail-by-Request</v>
      </c>
      <c r="B54" s="226" t="str">
        <f>InputForProCost!V57</f>
        <v>On-site Savings, Costs, and Benefits</v>
      </c>
      <c r="C54" s="227">
        <f>InputForProCost!W57</f>
        <v>0</v>
      </c>
      <c r="D54" s="227">
        <f>InputForProCost!X57</f>
        <v>10</v>
      </c>
      <c r="E54" s="227">
        <f>InputForProCost!Y57</f>
        <v>8.1096944444444432</v>
      </c>
      <c r="F54" s="227">
        <f>InputForProCost!Z57</f>
        <v>0</v>
      </c>
      <c r="G54" s="227" t="str">
        <f>InputForProCost!AA57</f>
        <v>ResDHW</v>
      </c>
      <c r="H54" s="227">
        <f>InputForProCost!AB57</f>
        <v>7.9863620757283256</v>
      </c>
      <c r="I54" s="227">
        <f>InputForProCost!AC57</f>
        <v>0</v>
      </c>
      <c r="J54" s="227">
        <f>InputForProCost!AD57</f>
        <v>0</v>
      </c>
      <c r="K54" s="227">
        <f>InputForProCost!AE57</f>
        <v>0</v>
      </c>
      <c r="L54" s="227">
        <f>InputForProCost!AF57</f>
        <v>0</v>
      </c>
      <c r="M54" s="227">
        <f>InputForProCost!AG57</f>
        <v>0</v>
      </c>
      <c r="N54" s="227">
        <f>InputForProCost!AH57</f>
        <v>0</v>
      </c>
      <c r="O54" s="227">
        <f>InputForProCost!AI57</f>
        <v>3.0684584261778864</v>
      </c>
      <c r="P54" s="227" t="str">
        <f>InputForProCost!AJ57</f>
        <v>ResGASDHW</v>
      </c>
      <c r="R54" s="228"/>
      <c r="S54" s="229"/>
    </row>
    <row r="55" spans="1:19">
      <c r="A55" s="226" t="str">
        <f>InputForProCost!U58</f>
        <v>Commercial Showerhead Replacement_2_00gpm_Health Care_ Any Water Heating_Mail-by-Request</v>
      </c>
      <c r="B55" s="226" t="str">
        <f>InputForProCost!V58</f>
        <v>On-site Savings, Costs, and Benefits</v>
      </c>
      <c r="C55" s="227">
        <f>InputForProCost!W58</f>
        <v>20.263214916371211</v>
      </c>
      <c r="D55" s="227">
        <f>InputForProCost!X58</f>
        <v>10</v>
      </c>
      <c r="E55" s="227">
        <f>InputForProCost!Y58</f>
        <v>8.1096944444444432</v>
      </c>
      <c r="F55" s="227">
        <f>InputForProCost!Z58</f>
        <v>0</v>
      </c>
      <c r="G55" s="227" t="str">
        <f>InputForProCost!AA58</f>
        <v>ResDHW</v>
      </c>
      <c r="H55" s="227">
        <f>InputForProCost!AB58</f>
        <v>7.9863620757283256</v>
      </c>
      <c r="I55" s="227">
        <f>InputForProCost!AC58</f>
        <v>0</v>
      </c>
      <c r="J55" s="227">
        <f>InputForProCost!AD58</f>
        <v>0</v>
      </c>
      <c r="K55" s="227">
        <f>InputForProCost!AE58</f>
        <v>0</v>
      </c>
      <c r="L55" s="227">
        <f>InputForProCost!AF58</f>
        <v>0</v>
      </c>
      <c r="M55" s="227">
        <f>InputForProCost!AG58</f>
        <v>0</v>
      </c>
      <c r="N55" s="227">
        <f>InputForProCost!AH58</f>
        <v>0</v>
      </c>
      <c r="O55" s="227">
        <f>InputForProCost!AI58</f>
        <v>2.1647974196684991</v>
      </c>
      <c r="P55" s="227" t="str">
        <f>InputForProCost!AJ58</f>
        <v>ResGASDHW</v>
      </c>
      <c r="R55" s="228"/>
      <c r="S55" s="229"/>
    </row>
    <row r="56" spans="1:19">
      <c r="A56" s="226" t="str">
        <f>InputForProCost!U59</f>
        <v>Commercial Showerhead Replacement_1_75gpm_Health Care_ Electric Water Heating_Mail-by-Request</v>
      </c>
      <c r="B56" s="226" t="str">
        <f>InputForProCost!V59</f>
        <v>On-site Savings, Costs, and Benefits</v>
      </c>
      <c r="C56" s="227">
        <f>InputForProCost!W59</f>
        <v>73.430250240619458</v>
      </c>
      <c r="D56" s="227">
        <f>InputForProCost!X59</f>
        <v>10</v>
      </c>
      <c r="E56" s="227">
        <f>InputForProCost!Y59</f>
        <v>8.1096944444444432</v>
      </c>
      <c r="F56" s="227">
        <f>InputForProCost!Z59</f>
        <v>0</v>
      </c>
      <c r="G56" s="227" t="str">
        <f>InputForProCost!AA59</f>
        <v>ResDHW</v>
      </c>
      <c r="H56" s="227">
        <f>InputForProCost!AB59</f>
        <v>8.9846573351943668</v>
      </c>
      <c r="I56" s="227">
        <f>InputForProCost!AC59</f>
        <v>0</v>
      </c>
      <c r="J56" s="227">
        <f>InputForProCost!AD59</f>
        <v>0</v>
      </c>
      <c r="K56" s="227">
        <f>InputForProCost!AE59</f>
        <v>0</v>
      </c>
      <c r="L56" s="227">
        <f>InputForProCost!AF59</f>
        <v>0</v>
      </c>
      <c r="M56" s="227">
        <f>InputForProCost!AG59</f>
        <v>0</v>
      </c>
      <c r="N56" s="227">
        <f>InputForProCost!AH59</f>
        <v>0</v>
      </c>
      <c r="O56" s="227">
        <f>InputForProCost!AI59</f>
        <v>0</v>
      </c>
      <c r="P56" s="227" t="str">
        <f>InputForProCost!AJ59</f>
        <v>ResGASDHW</v>
      </c>
      <c r="R56" s="228"/>
      <c r="S56" s="229"/>
    </row>
    <row r="57" spans="1:19">
      <c r="A57" s="226" t="str">
        <f>InputForProCost!U60</f>
        <v>Commercial Showerhead Replacement_1_75gpm_Health Care_ Gas Water Heating_Mail-by-Request</v>
      </c>
      <c r="B57" s="226" t="str">
        <f>InputForProCost!V60</f>
        <v>On-site Savings, Costs, and Benefits</v>
      </c>
      <c r="C57" s="227">
        <f>InputForProCost!W60</f>
        <v>0</v>
      </c>
      <c r="D57" s="227">
        <f>InputForProCost!X60</f>
        <v>10</v>
      </c>
      <c r="E57" s="227">
        <f>InputForProCost!Y60</f>
        <v>8.1096944444444432</v>
      </c>
      <c r="F57" s="227">
        <f>InputForProCost!Z60</f>
        <v>0</v>
      </c>
      <c r="G57" s="227" t="str">
        <f>InputForProCost!AA60</f>
        <v>ResDHW</v>
      </c>
      <c r="H57" s="227">
        <f>InputForProCost!AB60</f>
        <v>8.9846573351943668</v>
      </c>
      <c r="I57" s="227">
        <f>InputForProCost!AC60</f>
        <v>0</v>
      </c>
      <c r="J57" s="227">
        <f>InputForProCost!AD60</f>
        <v>0</v>
      </c>
      <c r="K57" s="227">
        <f>InputForProCost!AE60</f>
        <v>0</v>
      </c>
      <c r="L57" s="227">
        <f>InputForProCost!AF60</f>
        <v>0</v>
      </c>
      <c r="M57" s="227">
        <f>InputForProCost!AG60</f>
        <v>0</v>
      </c>
      <c r="N57" s="227">
        <f>InputForProCost!AH60</f>
        <v>0</v>
      </c>
      <c r="O57" s="227">
        <f>InputForProCost!AI60</f>
        <v>3.2747051301846226</v>
      </c>
      <c r="P57" s="227" t="str">
        <f>InputForProCost!AJ60</f>
        <v>ResGASDHW</v>
      </c>
      <c r="R57" s="228"/>
      <c r="S57" s="229"/>
    </row>
    <row r="58" spans="1:19">
      <c r="A58" s="226" t="str">
        <f>InputForProCost!U61</f>
        <v>Commercial Showerhead Replacement_1_75gpm_Health Care_ Any Water Heating_Mail-by-Request</v>
      </c>
      <c r="B58" s="226" t="str">
        <f>InputForProCost!V61</f>
        <v>On-site Savings, Costs, and Benefits</v>
      </c>
      <c r="C58" s="227">
        <f>InputForProCost!W61</f>
        <v>21.625208695862433</v>
      </c>
      <c r="D58" s="227">
        <f>InputForProCost!X61</f>
        <v>10</v>
      </c>
      <c r="E58" s="227">
        <f>InputForProCost!Y61</f>
        <v>8.1096944444444432</v>
      </c>
      <c r="F58" s="227">
        <f>InputForProCost!Z61</f>
        <v>0</v>
      </c>
      <c r="G58" s="227" t="str">
        <f>InputForProCost!AA61</f>
        <v>ResDHW</v>
      </c>
      <c r="H58" s="227">
        <f>InputForProCost!AB61</f>
        <v>8.9846573351943668</v>
      </c>
      <c r="I58" s="227">
        <f>InputForProCost!AC61</f>
        <v>0</v>
      </c>
      <c r="J58" s="227">
        <f>InputForProCost!AD61</f>
        <v>0</v>
      </c>
      <c r="K58" s="227">
        <f>InputForProCost!AE61</f>
        <v>0</v>
      </c>
      <c r="L58" s="227">
        <f>InputForProCost!AF61</f>
        <v>0</v>
      </c>
      <c r="M58" s="227">
        <f>InputForProCost!AG61</f>
        <v>0</v>
      </c>
      <c r="N58" s="227">
        <f>InputForProCost!AH61</f>
        <v>0</v>
      </c>
      <c r="O58" s="227">
        <f>InputForProCost!AI61</f>
        <v>2.3103044693452515</v>
      </c>
      <c r="P58" s="227" t="str">
        <f>InputForProCost!AJ61</f>
        <v>ResGASDHW</v>
      </c>
      <c r="R58" s="228"/>
      <c r="S58" s="229"/>
    </row>
    <row r="59" spans="1:19">
      <c r="A59" s="226" t="str">
        <f>InputForProCost!U62</f>
        <v>Commercial Showerhead Replacement_1_50gpm_Health Care_ Electric Water Heating_Mail-by-Request</v>
      </c>
      <c r="B59" s="226" t="str">
        <f>InputForProCost!V62</f>
        <v>On-site Savings, Costs, and Benefits</v>
      </c>
      <c r="C59" s="227">
        <f>InputForProCost!W62</f>
        <v>121.4035759759368</v>
      </c>
      <c r="D59" s="227">
        <f>InputForProCost!X62</f>
        <v>10</v>
      </c>
      <c r="E59" s="227">
        <f>InputForProCost!Y62</f>
        <v>8.1096944444444432</v>
      </c>
      <c r="F59" s="227">
        <f>InputForProCost!Z62</f>
        <v>0</v>
      </c>
      <c r="G59" s="227" t="str">
        <f>InputForProCost!AA62</f>
        <v>ResDHW</v>
      </c>
      <c r="H59" s="227">
        <f>InputForProCost!AB62</f>
        <v>13.976133632524572</v>
      </c>
      <c r="I59" s="227">
        <f>InputForProCost!AC62</f>
        <v>0</v>
      </c>
      <c r="J59" s="227">
        <f>InputForProCost!AD62</f>
        <v>0</v>
      </c>
      <c r="K59" s="227">
        <f>InputForProCost!AE62</f>
        <v>0</v>
      </c>
      <c r="L59" s="227">
        <f>InputForProCost!AF62</f>
        <v>0</v>
      </c>
      <c r="M59" s="227">
        <f>InputForProCost!AG62</f>
        <v>0</v>
      </c>
      <c r="N59" s="227">
        <f>InputForProCost!AH62</f>
        <v>0</v>
      </c>
      <c r="O59" s="227">
        <f>InputForProCost!AI62</f>
        <v>0</v>
      </c>
      <c r="P59" s="227" t="str">
        <f>InputForProCost!AJ62</f>
        <v>ResGASDHW</v>
      </c>
      <c r="R59" s="228"/>
      <c r="S59" s="229"/>
    </row>
    <row r="60" spans="1:19">
      <c r="A60" s="226" t="str">
        <f>InputForProCost!U63</f>
        <v>Commercial Showerhead Replacement_1_50gpm_Health Care_ Gas Water Heating_Mail-by-Request</v>
      </c>
      <c r="B60" s="226" t="str">
        <f>InputForProCost!V63</f>
        <v>On-site Savings, Costs, and Benefits</v>
      </c>
      <c r="C60" s="227">
        <f>InputForProCost!W63</f>
        <v>0</v>
      </c>
      <c r="D60" s="227">
        <f>InputForProCost!X63</f>
        <v>10</v>
      </c>
      <c r="E60" s="227">
        <f>InputForProCost!Y63</f>
        <v>8.1096944444444432</v>
      </c>
      <c r="F60" s="227">
        <f>InputForProCost!Z63</f>
        <v>0</v>
      </c>
      <c r="G60" s="227" t="str">
        <f>InputForProCost!AA63</f>
        <v>ResDHW</v>
      </c>
      <c r="H60" s="227">
        <f>InputForProCost!AB63</f>
        <v>13.976133632524572</v>
      </c>
      <c r="I60" s="227">
        <f>InputForProCost!AC63</f>
        <v>0</v>
      </c>
      <c r="J60" s="227">
        <f>InputForProCost!AD63</f>
        <v>0</v>
      </c>
      <c r="K60" s="227">
        <f>InputForProCost!AE63</f>
        <v>0</v>
      </c>
      <c r="L60" s="227">
        <f>InputForProCost!AF63</f>
        <v>0</v>
      </c>
      <c r="M60" s="227">
        <f>InputForProCost!AG63</f>
        <v>0</v>
      </c>
      <c r="N60" s="227">
        <f>InputForProCost!AH63</f>
        <v>0</v>
      </c>
      <c r="O60" s="227">
        <f>InputForProCost!AI63</f>
        <v>5.4141298956276724</v>
      </c>
      <c r="P60" s="227" t="str">
        <f>InputForProCost!AJ63</f>
        <v>ResGASDHW</v>
      </c>
      <c r="R60" s="228"/>
      <c r="S60" s="229"/>
    </row>
    <row r="61" spans="1:19">
      <c r="A61" s="226" t="str">
        <f>InputForProCost!U64</f>
        <v>Commercial Showerhead Replacement_1_50gpm_Health Care_ Any Water Heating_Mail-by-Request</v>
      </c>
      <c r="B61" s="226" t="str">
        <f>InputForProCost!V64</f>
        <v>On-site Savings, Costs, and Benefits</v>
      </c>
      <c r="C61" s="227">
        <f>InputForProCost!W64</f>
        <v>35.753353124913389</v>
      </c>
      <c r="D61" s="227">
        <f>InputForProCost!X64</f>
        <v>10</v>
      </c>
      <c r="E61" s="227">
        <f>InputForProCost!Y64</f>
        <v>8.1096944444444432</v>
      </c>
      <c r="F61" s="227">
        <f>InputForProCost!Z64</f>
        <v>0</v>
      </c>
      <c r="G61" s="227" t="str">
        <f>InputForProCost!AA64</f>
        <v>ResDHW</v>
      </c>
      <c r="H61" s="227">
        <f>InputForProCost!AB64</f>
        <v>13.976133632524572</v>
      </c>
      <c r="I61" s="227">
        <f>InputForProCost!AC64</f>
        <v>0</v>
      </c>
      <c r="J61" s="227">
        <f>InputForProCost!AD64</f>
        <v>0</v>
      </c>
      <c r="K61" s="227">
        <f>InputForProCost!AE64</f>
        <v>0</v>
      </c>
      <c r="L61" s="227">
        <f>InputForProCost!AF64</f>
        <v>0</v>
      </c>
      <c r="M61" s="227">
        <f>InputForProCost!AG64</f>
        <v>0</v>
      </c>
      <c r="N61" s="227">
        <f>InputForProCost!AH64</f>
        <v>0</v>
      </c>
      <c r="O61" s="227">
        <f>InputForProCost!AI64</f>
        <v>3.8196686413653231</v>
      </c>
      <c r="P61" s="227" t="str">
        <f>InputForProCost!AJ64</f>
        <v>ResGASDHW</v>
      </c>
      <c r="R61" s="228"/>
      <c r="S61" s="229"/>
    </row>
    <row r="62" spans="1:19">
      <c r="A62" s="226" t="str">
        <f>InputForProCost!U65</f>
        <v>Commercial Showerhead Replacement_2_00gpm_Commercial - Employee Shower_ Electric Water Heating_Retail</v>
      </c>
      <c r="B62" s="226" t="str">
        <f>InputForProCost!V65</f>
        <v>On-site Savings, Costs, and Benefits</v>
      </c>
      <c r="C62" s="227">
        <f>InputForProCost!W65</f>
        <v>68.732003374446776</v>
      </c>
      <c r="D62" s="227">
        <f>InputForProCost!X65</f>
        <v>10</v>
      </c>
      <c r="E62" s="227">
        <f>InputForProCost!Y65</f>
        <v>3.2966774171383419</v>
      </c>
      <c r="F62" s="227">
        <f>InputForProCost!Z65</f>
        <v>0</v>
      </c>
      <c r="G62" s="227" t="str">
        <f>InputForProCost!AA65</f>
        <v>ResDHW</v>
      </c>
      <c r="H62" s="227">
        <f>InputForProCost!AB65</f>
        <v>7.9778331104155313</v>
      </c>
      <c r="I62" s="227">
        <f>InputForProCost!AC65</f>
        <v>0</v>
      </c>
      <c r="J62" s="227">
        <f>InputForProCost!AD65</f>
        <v>0</v>
      </c>
      <c r="K62" s="227">
        <f>InputForProCost!AE65</f>
        <v>0</v>
      </c>
      <c r="L62" s="227">
        <f>InputForProCost!AF65</f>
        <v>0</v>
      </c>
      <c r="M62" s="227">
        <f>InputForProCost!AG65</f>
        <v>0</v>
      </c>
      <c r="N62" s="227">
        <f>InputForProCost!AH65</f>
        <v>0</v>
      </c>
      <c r="O62" s="227">
        <f>InputForProCost!AI65</f>
        <v>0</v>
      </c>
      <c r="P62" s="227" t="str">
        <f>InputForProCost!AJ65</f>
        <v>ResGASDHW</v>
      </c>
      <c r="R62" s="228"/>
      <c r="S62" s="229"/>
    </row>
    <row r="63" spans="1:19">
      <c r="A63" s="226" t="str">
        <f>InputForProCost!U66</f>
        <v>Commercial Showerhead Replacement_2_00gpm_Commercial - Employee Shower_ Gas Water Heating_Retail</v>
      </c>
      <c r="B63" s="226" t="str">
        <f>InputForProCost!V66</f>
        <v>On-site Savings, Costs, and Benefits</v>
      </c>
      <c r="C63" s="227">
        <f>InputForProCost!W66</f>
        <v>0</v>
      </c>
      <c r="D63" s="227">
        <f>InputForProCost!X66</f>
        <v>10</v>
      </c>
      <c r="E63" s="227">
        <f>InputForProCost!Y66</f>
        <v>3.2966774171383419</v>
      </c>
      <c r="F63" s="227">
        <f>InputForProCost!Z66</f>
        <v>0</v>
      </c>
      <c r="G63" s="227" t="str">
        <f>InputForProCost!AA66</f>
        <v>ResDHW</v>
      </c>
      <c r="H63" s="227">
        <f>InputForProCost!AB66</f>
        <v>7.9778331104155313</v>
      </c>
      <c r="I63" s="227">
        <f>InputForProCost!AC66</f>
        <v>0</v>
      </c>
      <c r="J63" s="227">
        <f>InputForProCost!AD66</f>
        <v>0</v>
      </c>
      <c r="K63" s="227">
        <f>InputForProCost!AE66</f>
        <v>0</v>
      </c>
      <c r="L63" s="227">
        <f>InputForProCost!AF66</f>
        <v>0</v>
      </c>
      <c r="M63" s="227">
        <f>InputForProCost!AG66</f>
        <v>0</v>
      </c>
      <c r="N63" s="227">
        <f>InputForProCost!AH66</f>
        <v>0</v>
      </c>
      <c r="O63" s="227">
        <f>InputForProCost!AI66</f>
        <v>3.0651814929218575</v>
      </c>
      <c r="P63" s="227" t="str">
        <f>InputForProCost!AJ66</f>
        <v>ResGASDHW</v>
      </c>
      <c r="R63" s="228"/>
      <c r="S63" s="229"/>
    </row>
    <row r="64" spans="1:19">
      <c r="A64" s="226" t="str">
        <f>InputForProCost!U67</f>
        <v>Commercial Showerhead Replacement_2_00gpm_Commercial - Employee Shower_ Any Water Heating_Retail</v>
      </c>
      <c r="B64" s="226" t="str">
        <f>InputForProCost!V67</f>
        <v>On-site Savings, Costs, and Benefits</v>
      </c>
      <c r="C64" s="227">
        <f>InputForProCost!W67</f>
        <v>33.678681653478918</v>
      </c>
      <c r="D64" s="227">
        <f>InputForProCost!X67</f>
        <v>10</v>
      </c>
      <c r="E64" s="227">
        <f>InputForProCost!Y67</f>
        <v>3.2966774171383419</v>
      </c>
      <c r="F64" s="227">
        <f>InputForProCost!Z67</f>
        <v>0</v>
      </c>
      <c r="G64" s="227" t="str">
        <f>InputForProCost!AA67</f>
        <v>ResDHW</v>
      </c>
      <c r="H64" s="227">
        <f>InputForProCost!AB67</f>
        <v>7.9778331104155313</v>
      </c>
      <c r="I64" s="227">
        <f>InputForProCost!AC67</f>
        <v>0</v>
      </c>
      <c r="J64" s="227">
        <f>InputForProCost!AD67</f>
        <v>0</v>
      </c>
      <c r="K64" s="227">
        <f>InputForProCost!AE67</f>
        <v>0</v>
      </c>
      <c r="L64" s="227">
        <f>InputForProCost!AF67</f>
        <v>0</v>
      </c>
      <c r="M64" s="227">
        <f>InputForProCost!AG67</f>
        <v>0</v>
      </c>
      <c r="N64" s="227">
        <f>InputForProCost!AH67</f>
        <v>0</v>
      </c>
      <c r="O64" s="227">
        <f>InputForProCost!AI67</f>
        <v>1.5632425613901473</v>
      </c>
      <c r="P64" s="227" t="str">
        <f>InputForProCost!AJ67</f>
        <v>ResGASDHW</v>
      </c>
      <c r="R64" s="228"/>
      <c r="S64" s="229"/>
    </row>
    <row r="65" spans="1:19">
      <c r="A65" s="226" t="str">
        <f>InputForProCost!U68</f>
        <v>Commercial Showerhead Replacement_1_75gpm_Commercial - Employee Shower_ Electric Water Heating_Retail</v>
      </c>
      <c r="B65" s="226" t="str">
        <f>InputForProCost!V68</f>
        <v>On-site Savings, Costs, and Benefits</v>
      </c>
      <c r="C65" s="227">
        <f>InputForProCost!W68</f>
        <v>68.767341608525214</v>
      </c>
      <c r="D65" s="227">
        <f>InputForProCost!X68</f>
        <v>10</v>
      </c>
      <c r="E65" s="227">
        <f>InputForProCost!Y68</f>
        <v>3.2966774171383419</v>
      </c>
      <c r="F65" s="227">
        <f>InputForProCost!Z68</f>
        <v>0</v>
      </c>
      <c r="G65" s="227" t="str">
        <f>InputForProCost!AA68</f>
        <v>ResDHW</v>
      </c>
      <c r="H65" s="227">
        <f>InputForProCost!AB68</f>
        <v>8.4141208586413789</v>
      </c>
      <c r="I65" s="227">
        <f>InputForProCost!AC68</f>
        <v>0</v>
      </c>
      <c r="J65" s="227">
        <f>InputForProCost!AD68</f>
        <v>0</v>
      </c>
      <c r="K65" s="227">
        <f>InputForProCost!AE68</f>
        <v>0</v>
      </c>
      <c r="L65" s="227">
        <f>InputForProCost!AF68</f>
        <v>0</v>
      </c>
      <c r="M65" s="227">
        <f>InputForProCost!AG68</f>
        <v>0</v>
      </c>
      <c r="N65" s="227">
        <f>InputForProCost!AH68</f>
        <v>0</v>
      </c>
      <c r="O65" s="227">
        <f>InputForProCost!AI68</f>
        <v>0</v>
      </c>
      <c r="P65" s="227" t="str">
        <f>InputForProCost!AJ68</f>
        <v>ResGASDHW</v>
      </c>
      <c r="R65" s="228"/>
      <c r="S65" s="229"/>
    </row>
    <row r="66" spans="1:19">
      <c r="A66" s="226" t="str">
        <f>InputForProCost!U69</f>
        <v>Commercial Showerhead Replacement_1_75gpm_Commercial - Employee Shower_ Gas Water Heating_Retail</v>
      </c>
      <c r="B66" s="226" t="str">
        <f>InputForProCost!V69</f>
        <v>On-site Savings, Costs, and Benefits</v>
      </c>
      <c r="C66" s="227">
        <f>InputForProCost!W69</f>
        <v>0</v>
      </c>
      <c r="D66" s="227">
        <f>InputForProCost!X69</f>
        <v>10</v>
      </c>
      <c r="E66" s="227">
        <f>InputForProCost!Y69</f>
        <v>3.2966774171383419</v>
      </c>
      <c r="F66" s="227">
        <f>InputForProCost!Z69</f>
        <v>0</v>
      </c>
      <c r="G66" s="227" t="str">
        <f>InputForProCost!AA69</f>
        <v>ResDHW</v>
      </c>
      <c r="H66" s="227">
        <f>InputForProCost!AB69</f>
        <v>8.4141208586413789</v>
      </c>
      <c r="I66" s="227">
        <f>InputForProCost!AC69</f>
        <v>0</v>
      </c>
      <c r="J66" s="227">
        <f>InputForProCost!AD69</f>
        <v>0</v>
      </c>
      <c r="K66" s="227">
        <f>InputForProCost!AE69</f>
        <v>0</v>
      </c>
      <c r="L66" s="227">
        <f>InputForProCost!AF69</f>
        <v>0</v>
      </c>
      <c r="M66" s="227">
        <f>InputForProCost!AG69</f>
        <v>0</v>
      </c>
      <c r="N66" s="227">
        <f>InputForProCost!AH69</f>
        <v>0</v>
      </c>
      <c r="O66" s="227">
        <f>InputForProCost!AI69</f>
        <v>3.0667574414723386</v>
      </c>
      <c r="P66" s="227" t="str">
        <f>InputForProCost!AJ69</f>
        <v>ResGASDHW</v>
      </c>
      <c r="R66" s="228"/>
      <c r="S66" s="229"/>
    </row>
    <row r="67" spans="1:19">
      <c r="A67" s="226" t="str">
        <f>InputForProCost!U70</f>
        <v>Commercial Showerhead Replacement_1_75gpm_Commercial - Employee Shower_ Any Water Heating_Retail</v>
      </c>
      <c r="B67" s="226" t="str">
        <f>InputForProCost!V70</f>
        <v>On-site Savings, Costs, and Benefits</v>
      </c>
      <c r="C67" s="227">
        <f>InputForProCost!W70</f>
        <v>33.695997388177354</v>
      </c>
      <c r="D67" s="227">
        <f>InputForProCost!X70</f>
        <v>10</v>
      </c>
      <c r="E67" s="227">
        <f>InputForProCost!Y70</f>
        <v>3.2966774171383419</v>
      </c>
      <c r="F67" s="227">
        <f>InputForProCost!Z70</f>
        <v>0</v>
      </c>
      <c r="G67" s="227" t="str">
        <f>InputForProCost!AA70</f>
        <v>ResDHW</v>
      </c>
      <c r="H67" s="227">
        <f>InputForProCost!AB70</f>
        <v>8.4141208586413789</v>
      </c>
      <c r="I67" s="227">
        <f>InputForProCost!AC70</f>
        <v>0</v>
      </c>
      <c r="J67" s="227">
        <f>InputForProCost!AD70</f>
        <v>0</v>
      </c>
      <c r="K67" s="227">
        <f>InputForProCost!AE70</f>
        <v>0</v>
      </c>
      <c r="L67" s="227">
        <f>InputForProCost!AF70</f>
        <v>0</v>
      </c>
      <c r="M67" s="227">
        <f>InputForProCost!AG70</f>
        <v>0</v>
      </c>
      <c r="N67" s="227">
        <f>InputForProCost!AH70</f>
        <v>0</v>
      </c>
      <c r="O67" s="227">
        <f>InputForProCost!AI70</f>
        <v>1.5640462951508927</v>
      </c>
      <c r="P67" s="227" t="str">
        <f>InputForProCost!AJ70</f>
        <v>ResGASDHW</v>
      </c>
      <c r="R67" s="228"/>
      <c r="S67" s="229"/>
    </row>
    <row r="68" spans="1:19">
      <c r="A68" s="226" t="str">
        <f>InputForProCost!U71</f>
        <v>Commercial Showerhead Replacement_1_50gpm_Commercial - Employee Shower_ Electric Water Heating_Retail</v>
      </c>
      <c r="B68" s="226" t="str">
        <f>InputForProCost!V71</f>
        <v>On-site Savings, Costs, and Benefits</v>
      </c>
      <c r="C68" s="227">
        <f>InputForProCost!W71</f>
        <v>106.1146835805626</v>
      </c>
      <c r="D68" s="227">
        <f>InputForProCost!X71</f>
        <v>10</v>
      </c>
      <c r="E68" s="227">
        <f>InputForProCost!Y71</f>
        <v>3.2966774171383419</v>
      </c>
      <c r="F68" s="227">
        <f>InputForProCost!Z71</f>
        <v>0</v>
      </c>
      <c r="G68" s="227" t="str">
        <f>InputForProCost!AA71</f>
        <v>ResDHW</v>
      </c>
      <c r="H68" s="227">
        <f>InputForProCost!AB71</f>
        <v>12.216056950323779</v>
      </c>
      <c r="I68" s="227">
        <f>InputForProCost!AC71</f>
        <v>0</v>
      </c>
      <c r="J68" s="227">
        <f>InputForProCost!AD71</f>
        <v>0</v>
      </c>
      <c r="K68" s="227">
        <f>InputForProCost!AE71</f>
        <v>0</v>
      </c>
      <c r="L68" s="227">
        <f>InputForProCost!AF71</f>
        <v>0</v>
      </c>
      <c r="M68" s="227">
        <f>InputForProCost!AG71</f>
        <v>0</v>
      </c>
      <c r="N68" s="227">
        <f>InputForProCost!AH71</f>
        <v>0</v>
      </c>
      <c r="O68" s="227">
        <f>InputForProCost!AI71</f>
        <v>0</v>
      </c>
      <c r="P68" s="227" t="str">
        <f>InputForProCost!AJ71</f>
        <v>ResGASDHW</v>
      </c>
      <c r="R68" s="228"/>
      <c r="S68" s="229"/>
    </row>
    <row r="69" spans="1:19">
      <c r="A69" s="226" t="str">
        <f>InputForProCost!U72</f>
        <v>Commercial Showerhead Replacement_1_50gpm_Commercial - Employee Shower_ Gas Water Heating_Retail</v>
      </c>
      <c r="B69" s="226" t="str">
        <f>InputForProCost!V72</f>
        <v>On-site Savings, Costs, and Benefits</v>
      </c>
      <c r="C69" s="227">
        <f>InputForProCost!W72</f>
        <v>0</v>
      </c>
      <c r="D69" s="227">
        <f>InputForProCost!X72</f>
        <v>10</v>
      </c>
      <c r="E69" s="227">
        <f>InputForProCost!Y72</f>
        <v>3.2966774171383419</v>
      </c>
      <c r="F69" s="227">
        <f>InputForProCost!Z72</f>
        <v>0</v>
      </c>
      <c r="G69" s="227" t="str">
        <f>InputForProCost!AA72</f>
        <v>ResDHW</v>
      </c>
      <c r="H69" s="227">
        <f>InputForProCost!AB72</f>
        <v>12.216056950323779</v>
      </c>
      <c r="I69" s="227">
        <f>InputForProCost!AC72</f>
        <v>0</v>
      </c>
      <c r="J69" s="227">
        <f>InputForProCost!AD72</f>
        <v>0</v>
      </c>
      <c r="K69" s="227">
        <f>InputForProCost!AE72</f>
        <v>0</v>
      </c>
      <c r="L69" s="227">
        <f>InputForProCost!AF72</f>
        <v>0</v>
      </c>
      <c r="M69" s="227">
        <f>InputForProCost!AG72</f>
        <v>0</v>
      </c>
      <c r="N69" s="227">
        <f>InputForProCost!AH72</f>
        <v>0</v>
      </c>
      <c r="O69" s="227">
        <f>InputForProCost!AI72</f>
        <v>4.7323044327167834</v>
      </c>
      <c r="P69" s="227" t="str">
        <f>InputForProCost!AJ72</f>
        <v>ResGASDHW</v>
      </c>
      <c r="R69" s="228"/>
      <c r="S69" s="229"/>
    </row>
    <row r="70" spans="1:19">
      <c r="A70" s="226" t="str">
        <f>InputForProCost!U73</f>
        <v>Commercial Showerhead Replacement_1_50gpm_Commercial - Employee Shower_ Any Water Heating_Retail</v>
      </c>
      <c r="B70" s="226" t="str">
        <f>InputForProCost!V73</f>
        <v>On-site Savings, Costs, and Benefits</v>
      </c>
      <c r="C70" s="227">
        <f>InputForProCost!W73</f>
        <v>51.996194954475676</v>
      </c>
      <c r="D70" s="227">
        <f>InputForProCost!X73</f>
        <v>10</v>
      </c>
      <c r="E70" s="227">
        <f>InputForProCost!Y73</f>
        <v>3.2966774171383419</v>
      </c>
      <c r="F70" s="227">
        <f>InputForProCost!Z73</f>
        <v>0</v>
      </c>
      <c r="G70" s="227" t="str">
        <f>InputForProCost!AA73</f>
        <v>ResDHW</v>
      </c>
      <c r="H70" s="227">
        <f>InputForProCost!AB73</f>
        <v>12.216056950323779</v>
      </c>
      <c r="I70" s="227">
        <f>InputForProCost!AC73</f>
        <v>0</v>
      </c>
      <c r="J70" s="227">
        <f>InputForProCost!AD73</f>
        <v>0</v>
      </c>
      <c r="K70" s="227">
        <f>InputForProCost!AE73</f>
        <v>0</v>
      </c>
      <c r="L70" s="227">
        <f>InputForProCost!AF73</f>
        <v>0</v>
      </c>
      <c r="M70" s="227">
        <f>InputForProCost!AG73</f>
        <v>0</v>
      </c>
      <c r="N70" s="227">
        <f>InputForProCost!AH73</f>
        <v>0</v>
      </c>
      <c r="O70" s="227">
        <f>InputForProCost!AI73</f>
        <v>2.4134752606855594</v>
      </c>
      <c r="P70" s="227" t="str">
        <f>InputForProCost!AJ73</f>
        <v>ResGASDHW</v>
      </c>
      <c r="R70" s="228"/>
      <c r="S70" s="229"/>
    </row>
    <row r="71" spans="1:19">
      <c r="A71" s="226" t="str">
        <f>InputForProCost!U74</f>
        <v>Commercial Showerhead Replacement_2_00gpm_Commercial - Employee Shower_ Electric Water Heating_Direct Install</v>
      </c>
      <c r="B71" s="226" t="str">
        <f>InputForProCost!V74</f>
        <v>On-site Savings, Costs, and Benefits</v>
      </c>
      <c r="C71" s="227">
        <f>InputForProCost!W74</f>
        <v>77.323503796252623</v>
      </c>
      <c r="D71" s="227">
        <f>InputForProCost!X74</f>
        <v>10</v>
      </c>
      <c r="E71" s="227">
        <f>InputForProCost!Y74</f>
        <v>11.336666666666666</v>
      </c>
      <c r="F71" s="227">
        <f>InputForProCost!Z74</f>
        <v>0</v>
      </c>
      <c r="G71" s="227" t="str">
        <f>InputForProCost!AA74</f>
        <v>ResDHW</v>
      </c>
      <c r="H71" s="227">
        <f>InputForProCost!AB74</f>
        <v>8.9750622492174728</v>
      </c>
      <c r="I71" s="227">
        <f>InputForProCost!AC74</f>
        <v>0</v>
      </c>
      <c r="J71" s="227">
        <f>InputForProCost!AD74</f>
        <v>0</v>
      </c>
      <c r="K71" s="227">
        <f>InputForProCost!AE74</f>
        <v>0</v>
      </c>
      <c r="L71" s="227">
        <f>InputForProCost!AF74</f>
        <v>0</v>
      </c>
      <c r="M71" s="227">
        <f>InputForProCost!AG74</f>
        <v>0</v>
      </c>
      <c r="N71" s="227">
        <f>InputForProCost!AH74</f>
        <v>0</v>
      </c>
      <c r="O71" s="227">
        <f>InputForProCost!AI74</f>
        <v>0</v>
      </c>
      <c r="P71" s="227" t="str">
        <f>InputForProCost!AJ74</f>
        <v>ResGASDHW</v>
      </c>
      <c r="R71" s="228"/>
      <c r="S71" s="229"/>
    </row>
    <row r="72" spans="1:19">
      <c r="A72" s="226" t="str">
        <f>InputForProCost!U75</f>
        <v>Commercial Showerhead Replacement_2_00gpm_Commercial - Employee Shower_ Gas Water Heating_Direct Install</v>
      </c>
      <c r="B72" s="226" t="str">
        <f>InputForProCost!V75</f>
        <v>On-site Savings, Costs, and Benefits</v>
      </c>
      <c r="C72" s="227">
        <f>InputForProCost!W75</f>
        <v>0</v>
      </c>
      <c r="D72" s="227">
        <f>InputForProCost!X75</f>
        <v>10</v>
      </c>
      <c r="E72" s="227">
        <f>InputForProCost!Y75</f>
        <v>11.336666666666666</v>
      </c>
      <c r="F72" s="227">
        <f>InputForProCost!Z75</f>
        <v>0</v>
      </c>
      <c r="G72" s="227" t="str">
        <f>InputForProCost!AA75</f>
        <v>ResDHW</v>
      </c>
      <c r="H72" s="227">
        <f>InputForProCost!AB75</f>
        <v>8.9750622492174728</v>
      </c>
      <c r="I72" s="227">
        <f>InputForProCost!AC75</f>
        <v>0</v>
      </c>
      <c r="J72" s="227">
        <f>InputForProCost!AD75</f>
        <v>0</v>
      </c>
      <c r="K72" s="227">
        <f>InputForProCost!AE75</f>
        <v>0</v>
      </c>
      <c r="L72" s="227">
        <f>InputForProCost!AF75</f>
        <v>0</v>
      </c>
      <c r="M72" s="227">
        <f>InputForProCost!AG75</f>
        <v>0</v>
      </c>
      <c r="N72" s="227">
        <f>InputForProCost!AH75</f>
        <v>0</v>
      </c>
      <c r="O72" s="227">
        <f>InputForProCost!AI75</f>
        <v>3.4483291795370898</v>
      </c>
      <c r="P72" s="227" t="str">
        <f>InputForProCost!AJ75</f>
        <v>ResGASDHW</v>
      </c>
      <c r="R72" s="228"/>
      <c r="S72" s="229"/>
    </row>
    <row r="73" spans="1:19">
      <c r="A73" s="226" t="str">
        <f>InputForProCost!U76</f>
        <v>Commercial Showerhead Replacement_2_00gpm_Commercial - Employee Shower_ Any Water Heating_Direct Install</v>
      </c>
      <c r="B73" s="226" t="str">
        <f>InputForProCost!V76</f>
        <v>On-site Savings, Costs, and Benefits</v>
      </c>
      <c r="C73" s="227">
        <f>InputForProCost!W76</f>
        <v>37.888516860163783</v>
      </c>
      <c r="D73" s="227">
        <f>InputForProCost!X76</f>
        <v>10</v>
      </c>
      <c r="E73" s="227">
        <f>InputForProCost!Y76</f>
        <v>11.336666666666666</v>
      </c>
      <c r="F73" s="227">
        <f>InputForProCost!Z76</f>
        <v>0</v>
      </c>
      <c r="G73" s="227" t="str">
        <f>InputForProCost!AA76</f>
        <v>ResDHW</v>
      </c>
      <c r="H73" s="227">
        <f>InputForProCost!AB76</f>
        <v>8.9750622492174728</v>
      </c>
      <c r="I73" s="227">
        <f>InputForProCost!AC76</f>
        <v>0</v>
      </c>
      <c r="J73" s="227">
        <f>InputForProCost!AD76</f>
        <v>0</v>
      </c>
      <c r="K73" s="227">
        <f>InputForProCost!AE76</f>
        <v>0</v>
      </c>
      <c r="L73" s="227">
        <f>InputForProCost!AF76</f>
        <v>0</v>
      </c>
      <c r="M73" s="227">
        <f>InputForProCost!AG76</f>
        <v>0</v>
      </c>
      <c r="N73" s="227">
        <f>InputForProCost!AH76</f>
        <v>0</v>
      </c>
      <c r="O73" s="227">
        <f>InputForProCost!AI76</f>
        <v>1.7586478815639159</v>
      </c>
      <c r="P73" s="227" t="str">
        <f>InputForProCost!AJ76</f>
        <v>ResGASDHW</v>
      </c>
      <c r="R73" s="228"/>
      <c r="S73" s="229"/>
    </row>
    <row r="74" spans="1:19">
      <c r="A74" s="226" t="str">
        <f>InputForProCost!U77</f>
        <v>Commercial Showerhead Replacement_1_75gpm_Commercial - Employee Shower_ Electric Water Heating_Direct Install</v>
      </c>
      <c r="B74" s="226" t="str">
        <f>InputForProCost!V77</f>
        <v>On-site Savings, Costs, and Benefits</v>
      </c>
      <c r="C74" s="227">
        <f>InputForProCost!W77</f>
        <v>82.520809930230257</v>
      </c>
      <c r="D74" s="227">
        <f>InputForProCost!X77</f>
        <v>10</v>
      </c>
      <c r="E74" s="227">
        <f>InputForProCost!Y77</f>
        <v>11.336666666666666</v>
      </c>
      <c r="F74" s="227">
        <f>InputForProCost!Z77</f>
        <v>0</v>
      </c>
      <c r="G74" s="227" t="str">
        <f>InputForProCost!AA77</f>
        <v>ResDHW</v>
      </c>
      <c r="H74" s="227">
        <f>InputForProCost!AB77</f>
        <v>10.096945030369655</v>
      </c>
      <c r="I74" s="227">
        <f>InputForProCost!AC77</f>
        <v>0</v>
      </c>
      <c r="J74" s="227">
        <f>InputForProCost!AD77</f>
        <v>0</v>
      </c>
      <c r="K74" s="227">
        <f>InputForProCost!AE77</f>
        <v>0</v>
      </c>
      <c r="L74" s="227">
        <f>InputForProCost!AF77</f>
        <v>0</v>
      </c>
      <c r="M74" s="227">
        <f>InputForProCost!AG77</f>
        <v>0</v>
      </c>
      <c r="N74" s="227">
        <f>InputForProCost!AH77</f>
        <v>0</v>
      </c>
      <c r="O74" s="227">
        <f>InputForProCost!AI77</f>
        <v>0</v>
      </c>
      <c r="P74" s="227" t="str">
        <f>InputForProCost!AJ77</f>
        <v>ResGASDHW</v>
      </c>
      <c r="R74" s="228"/>
      <c r="S74" s="229"/>
    </row>
    <row r="75" spans="1:19">
      <c r="A75" s="226" t="str">
        <f>InputForProCost!U78</f>
        <v>Commercial Showerhead Replacement_1_75gpm_Commercial - Employee Shower_ Gas Water Heating_Direct Install</v>
      </c>
      <c r="B75" s="226" t="str">
        <f>InputForProCost!V78</f>
        <v>On-site Savings, Costs, and Benefits</v>
      </c>
      <c r="C75" s="227">
        <f>InputForProCost!W78</f>
        <v>0</v>
      </c>
      <c r="D75" s="227">
        <f>InputForProCost!X78</f>
        <v>10</v>
      </c>
      <c r="E75" s="227">
        <f>InputForProCost!Y78</f>
        <v>11.336666666666666</v>
      </c>
      <c r="F75" s="227">
        <f>InputForProCost!Z78</f>
        <v>0</v>
      </c>
      <c r="G75" s="227" t="str">
        <f>InputForProCost!AA78</f>
        <v>ResDHW</v>
      </c>
      <c r="H75" s="227">
        <f>InputForProCost!AB78</f>
        <v>10.096945030369655</v>
      </c>
      <c r="I75" s="227">
        <f>InputForProCost!AC78</f>
        <v>0</v>
      </c>
      <c r="J75" s="227">
        <f>InputForProCost!AD78</f>
        <v>0</v>
      </c>
      <c r="K75" s="227">
        <f>InputForProCost!AE78</f>
        <v>0</v>
      </c>
      <c r="L75" s="227">
        <f>InputForProCost!AF78</f>
        <v>0</v>
      </c>
      <c r="M75" s="227">
        <f>InputForProCost!AG78</f>
        <v>0</v>
      </c>
      <c r="N75" s="227">
        <f>InputForProCost!AH78</f>
        <v>0</v>
      </c>
      <c r="O75" s="227">
        <f>InputForProCost!AI78</f>
        <v>3.6801089297668064</v>
      </c>
      <c r="P75" s="227" t="str">
        <f>InputForProCost!AJ78</f>
        <v>ResGASDHW</v>
      </c>
      <c r="R75" s="228"/>
      <c r="S75" s="229"/>
    </row>
    <row r="76" spans="1:19">
      <c r="A76" s="226" t="str">
        <f>InputForProCost!U79</f>
        <v>Commercial Showerhead Replacement_1_75gpm_Commercial - Employee Shower_ Any Water Heating_Direct Install</v>
      </c>
      <c r="B76" s="226" t="str">
        <f>InputForProCost!V79</f>
        <v>On-site Savings, Costs, and Benefits</v>
      </c>
      <c r="C76" s="227">
        <f>InputForProCost!W79</f>
        <v>40.43519686581282</v>
      </c>
      <c r="D76" s="227">
        <f>InputForProCost!X79</f>
        <v>10</v>
      </c>
      <c r="E76" s="227">
        <f>InputForProCost!Y79</f>
        <v>11.336666666666666</v>
      </c>
      <c r="F76" s="227">
        <f>InputForProCost!Z79</f>
        <v>0</v>
      </c>
      <c r="G76" s="227" t="str">
        <f>InputForProCost!AA79</f>
        <v>ResDHW</v>
      </c>
      <c r="H76" s="227">
        <f>InputForProCost!AB79</f>
        <v>10.096945030369655</v>
      </c>
      <c r="I76" s="227">
        <f>InputForProCost!AC79</f>
        <v>0</v>
      </c>
      <c r="J76" s="227">
        <f>InputForProCost!AD79</f>
        <v>0</v>
      </c>
      <c r="K76" s="227">
        <f>InputForProCost!AE79</f>
        <v>0</v>
      </c>
      <c r="L76" s="227">
        <f>InputForProCost!AF79</f>
        <v>0</v>
      </c>
      <c r="M76" s="227">
        <f>InputForProCost!AG79</f>
        <v>0</v>
      </c>
      <c r="N76" s="227">
        <f>InputForProCost!AH79</f>
        <v>0</v>
      </c>
      <c r="O76" s="227">
        <f>InputForProCost!AI79</f>
        <v>1.8768555541810712</v>
      </c>
      <c r="P76" s="227" t="str">
        <f>InputForProCost!AJ79</f>
        <v>ResGASDHW</v>
      </c>
      <c r="R76" s="228"/>
      <c r="S76" s="229"/>
    </row>
    <row r="77" spans="1:19">
      <c r="A77" s="226" t="str">
        <f>InputForProCost!U80</f>
        <v>Commercial Showerhead Replacement_1_50gpm_Commercial - Employee Shower_ Electric Water Heating_Direct Install</v>
      </c>
      <c r="B77" s="226" t="str">
        <f>InputForProCost!V80</f>
        <v>On-site Savings, Costs, and Benefits</v>
      </c>
      <c r="C77" s="227">
        <f>InputForProCost!W80</f>
        <v>136.43316460358051</v>
      </c>
      <c r="D77" s="227">
        <f>InputForProCost!X80</f>
        <v>10</v>
      </c>
      <c r="E77" s="227">
        <f>InputForProCost!Y80</f>
        <v>11.336666666666666</v>
      </c>
      <c r="F77" s="227">
        <f>InputForProCost!Z80</f>
        <v>0</v>
      </c>
      <c r="G77" s="227" t="str">
        <f>InputForProCost!AA80</f>
        <v>ResDHW</v>
      </c>
      <c r="H77" s="227">
        <f>InputForProCost!AB80</f>
        <v>15.706358936130574</v>
      </c>
      <c r="I77" s="227">
        <f>InputForProCost!AC80</f>
        <v>0</v>
      </c>
      <c r="J77" s="227">
        <f>InputForProCost!AD80</f>
        <v>0</v>
      </c>
      <c r="K77" s="227">
        <f>InputForProCost!AE80</f>
        <v>0</v>
      </c>
      <c r="L77" s="227">
        <f>InputForProCost!AF80</f>
        <v>0</v>
      </c>
      <c r="M77" s="227">
        <f>InputForProCost!AG80</f>
        <v>0</v>
      </c>
      <c r="N77" s="227">
        <f>InputForProCost!AH80</f>
        <v>0</v>
      </c>
      <c r="O77" s="227">
        <f>InputForProCost!AI80</f>
        <v>0</v>
      </c>
      <c r="P77" s="227" t="str">
        <f>InputForProCost!AJ80</f>
        <v>ResGASDHW</v>
      </c>
      <c r="R77" s="228"/>
      <c r="S77" s="229"/>
    </row>
    <row r="78" spans="1:19">
      <c r="A78" s="226" t="str">
        <f>InputForProCost!U81</f>
        <v>Commercial Showerhead Replacement_1_50gpm_Commercial - Employee Shower_ Gas Water Heating_Direct Install</v>
      </c>
      <c r="B78" s="226" t="str">
        <f>InputForProCost!V81</f>
        <v>On-site Savings, Costs, and Benefits</v>
      </c>
      <c r="C78" s="227">
        <f>InputForProCost!W81</f>
        <v>0</v>
      </c>
      <c r="D78" s="227">
        <f>InputForProCost!X81</f>
        <v>10</v>
      </c>
      <c r="E78" s="227">
        <f>InputForProCost!Y81</f>
        <v>11.336666666666666</v>
      </c>
      <c r="F78" s="227">
        <f>InputForProCost!Z81</f>
        <v>0</v>
      </c>
      <c r="G78" s="227" t="str">
        <f>InputForProCost!AA81</f>
        <v>ResDHW</v>
      </c>
      <c r="H78" s="227">
        <f>InputForProCost!AB81</f>
        <v>15.706358936130574</v>
      </c>
      <c r="I78" s="227">
        <f>InputForProCost!AC81</f>
        <v>0</v>
      </c>
      <c r="J78" s="227">
        <f>InputForProCost!AD81</f>
        <v>0</v>
      </c>
      <c r="K78" s="227">
        <f>InputForProCost!AE81</f>
        <v>0</v>
      </c>
      <c r="L78" s="227">
        <f>InputForProCost!AF81</f>
        <v>0</v>
      </c>
      <c r="M78" s="227">
        <f>InputForProCost!AG81</f>
        <v>0</v>
      </c>
      <c r="N78" s="227">
        <f>InputForProCost!AH81</f>
        <v>0</v>
      </c>
      <c r="O78" s="227">
        <f>InputForProCost!AI81</f>
        <v>6.0843914134930079</v>
      </c>
      <c r="P78" s="227" t="str">
        <f>InputForProCost!AJ81</f>
        <v>ResGASDHW</v>
      </c>
      <c r="R78" s="228"/>
      <c r="S78" s="229"/>
    </row>
    <row r="79" spans="1:19">
      <c r="A79" s="226" t="str">
        <f>InputForProCost!U82</f>
        <v>Commercial Showerhead Replacement_1_50gpm_Commercial - Employee Shower_ Any Water Heating_Direct Install</v>
      </c>
      <c r="B79" s="226" t="str">
        <f>InputForProCost!V82</f>
        <v>On-site Savings, Costs, and Benefits</v>
      </c>
      <c r="C79" s="227">
        <f>InputForProCost!W82</f>
        <v>66.852250655754446</v>
      </c>
      <c r="D79" s="227">
        <f>InputForProCost!X82</f>
        <v>10</v>
      </c>
      <c r="E79" s="227">
        <f>InputForProCost!Y82</f>
        <v>11.336666666666666</v>
      </c>
      <c r="F79" s="227">
        <f>InputForProCost!Z82</f>
        <v>0</v>
      </c>
      <c r="G79" s="227" t="str">
        <f>InputForProCost!AA82</f>
        <v>ResDHW</v>
      </c>
      <c r="H79" s="227">
        <f>InputForProCost!AB82</f>
        <v>15.706358936130574</v>
      </c>
      <c r="I79" s="227">
        <f>InputForProCost!AC82</f>
        <v>0</v>
      </c>
      <c r="J79" s="227">
        <f>InputForProCost!AD82</f>
        <v>0</v>
      </c>
      <c r="K79" s="227">
        <f>InputForProCost!AE82</f>
        <v>0</v>
      </c>
      <c r="L79" s="227">
        <f>InputForProCost!AF82</f>
        <v>0</v>
      </c>
      <c r="M79" s="227">
        <f>InputForProCost!AG82</f>
        <v>0</v>
      </c>
      <c r="N79" s="227">
        <f>InputForProCost!AH82</f>
        <v>0</v>
      </c>
      <c r="O79" s="227">
        <f>InputForProCost!AI82</f>
        <v>3.1030396208814341</v>
      </c>
      <c r="P79" s="227" t="str">
        <f>InputForProCost!AJ82</f>
        <v>ResGASDHW</v>
      </c>
      <c r="R79" s="228"/>
      <c r="S79" s="229"/>
    </row>
    <row r="80" spans="1:19">
      <c r="A80" s="226" t="str">
        <f>InputForProCost!U83</f>
        <v>Commercial Showerhead Replacement_2_00gpm_Commercial - Employee Shower_ Electric Water Heating_Mail-by-Request</v>
      </c>
      <c r="B80" s="226" t="str">
        <f>InputForProCost!V83</f>
        <v>On-site Savings, Costs, and Benefits</v>
      </c>
      <c r="C80" s="227">
        <f>InputForProCost!W83</f>
        <v>51.549002530835082</v>
      </c>
      <c r="D80" s="227">
        <f>InputForProCost!X83</f>
        <v>10</v>
      </c>
      <c r="E80" s="227">
        <f>InputForProCost!Y83</f>
        <v>8.1096944444444432</v>
      </c>
      <c r="F80" s="227">
        <f>InputForProCost!Z83</f>
        <v>0</v>
      </c>
      <c r="G80" s="227" t="str">
        <f>InputForProCost!AA83</f>
        <v>ResDHW</v>
      </c>
      <c r="H80" s="227">
        <f>InputForProCost!AB83</f>
        <v>5.9833748328116485</v>
      </c>
      <c r="I80" s="227">
        <f>InputForProCost!AC83</f>
        <v>0</v>
      </c>
      <c r="J80" s="227">
        <f>InputForProCost!AD83</f>
        <v>0</v>
      </c>
      <c r="K80" s="227">
        <f>InputForProCost!AE83</f>
        <v>0</v>
      </c>
      <c r="L80" s="227">
        <f>InputForProCost!AF83</f>
        <v>0</v>
      </c>
      <c r="M80" s="227">
        <f>InputForProCost!AG83</f>
        <v>0</v>
      </c>
      <c r="N80" s="227">
        <f>InputForProCost!AH83</f>
        <v>0</v>
      </c>
      <c r="O80" s="227">
        <f>InputForProCost!AI83</f>
        <v>0</v>
      </c>
      <c r="P80" s="227" t="str">
        <f>InputForProCost!AJ83</f>
        <v>ResGASDHW</v>
      </c>
      <c r="R80" s="228"/>
      <c r="S80" s="229"/>
    </row>
    <row r="81" spans="1:19">
      <c r="A81" s="226" t="str">
        <f>InputForProCost!U84</f>
        <v>Commercial Showerhead Replacement_2_00gpm_Commercial - Employee Shower_ Gas Water Heating_Mail-by-Request</v>
      </c>
      <c r="B81" s="226" t="str">
        <f>InputForProCost!V84</f>
        <v>On-site Savings, Costs, and Benefits</v>
      </c>
      <c r="C81" s="227">
        <f>InputForProCost!W84</f>
        <v>0</v>
      </c>
      <c r="D81" s="227">
        <f>InputForProCost!X84</f>
        <v>10</v>
      </c>
      <c r="E81" s="227">
        <f>InputForProCost!Y84</f>
        <v>8.1096944444444432</v>
      </c>
      <c r="F81" s="227">
        <f>InputForProCost!Z84</f>
        <v>0</v>
      </c>
      <c r="G81" s="227" t="str">
        <f>InputForProCost!AA84</f>
        <v>ResDHW</v>
      </c>
      <c r="H81" s="227">
        <f>InputForProCost!AB84</f>
        <v>5.9833748328116485</v>
      </c>
      <c r="I81" s="227">
        <f>InputForProCost!AC84</f>
        <v>0</v>
      </c>
      <c r="J81" s="227">
        <f>InputForProCost!AD84</f>
        <v>0</v>
      </c>
      <c r="K81" s="227">
        <f>InputForProCost!AE84</f>
        <v>0</v>
      </c>
      <c r="L81" s="227">
        <f>InputForProCost!AF84</f>
        <v>0</v>
      </c>
      <c r="M81" s="227">
        <f>InputForProCost!AG84</f>
        <v>0</v>
      </c>
      <c r="N81" s="227">
        <f>InputForProCost!AH84</f>
        <v>0</v>
      </c>
      <c r="O81" s="227">
        <f>InputForProCost!AI84</f>
        <v>2.2988861196913928</v>
      </c>
      <c r="P81" s="227" t="str">
        <f>InputForProCost!AJ84</f>
        <v>ResGASDHW</v>
      </c>
      <c r="R81" s="228"/>
      <c r="S81" s="229"/>
    </row>
    <row r="82" spans="1:19">
      <c r="A82" s="226" t="str">
        <f>InputForProCost!U85</f>
        <v>Commercial Showerhead Replacement_2_00gpm_Commercial - Employee Shower_ Any Water Heating_Mail-by-Request</v>
      </c>
      <c r="B82" s="226" t="str">
        <f>InputForProCost!V85</f>
        <v>On-site Savings, Costs, and Benefits</v>
      </c>
      <c r="C82" s="227">
        <f>InputForProCost!W85</f>
        <v>25.259011240109189</v>
      </c>
      <c r="D82" s="227">
        <f>InputForProCost!X85</f>
        <v>10</v>
      </c>
      <c r="E82" s="227">
        <f>InputForProCost!Y85</f>
        <v>8.1096944444444432</v>
      </c>
      <c r="F82" s="227">
        <f>InputForProCost!Z85</f>
        <v>0</v>
      </c>
      <c r="G82" s="227" t="str">
        <f>InputForProCost!AA85</f>
        <v>ResDHW</v>
      </c>
      <c r="H82" s="227">
        <f>InputForProCost!AB85</f>
        <v>5.9833748328116485</v>
      </c>
      <c r="I82" s="227">
        <f>InputForProCost!AC85</f>
        <v>0</v>
      </c>
      <c r="J82" s="227">
        <f>InputForProCost!AD85</f>
        <v>0</v>
      </c>
      <c r="K82" s="227">
        <f>InputForProCost!AE85</f>
        <v>0</v>
      </c>
      <c r="L82" s="227">
        <f>InputForProCost!AF85</f>
        <v>0</v>
      </c>
      <c r="M82" s="227">
        <f>InputForProCost!AG85</f>
        <v>0</v>
      </c>
      <c r="N82" s="227">
        <f>InputForProCost!AH85</f>
        <v>0</v>
      </c>
      <c r="O82" s="227">
        <f>InputForProCost!AI85</f>
        <v>1.1724319210426104</v>
      </c>
      <c r="P82" s="227" t="str">
        <f>InputForProCost!AJ85</f>
        <v>ResGASDHW</v>
      </c>
      <c r="R82" s="228"/>
      <c r="S82" s="229"/>
    </row>
    <row r="83" spans="1:19">
      <c r="A83" s="226" t="str">
        <f>InputForProCost!U86</f>
        <v>Commercial Showerhead Replacement_1_75gpm_Commercial - Employee Shower_ Electric Water Heating_Mail-by-Request</v>
      </c>
      <c r="B83" s="226" t="str">
        <f>InputForProCost!V86</f>
        <v>On-site Savings, Costs, and Benefits</v>
      </c>
      <c r="C83" s="227">
        <f>InputForProCost!W86</f>
        <v>55.013873286820171</v>
      </c>
      <c r="D83" s="227">
        <f>InputForProCost!X86</f>
        <v>10</v>
      </c>
      <c r="E83" s="227">
        <f>InputForProCost!Y86</f>
        <v>8.1096944444444432</v>
      </c>
      <c r="F83" s="227">
        <f>InputForProCost!Z86</f>
        <v>0</v>
      </c>
      <c r="G83" s="227" t="str">
        <f>InputForProCost!AA86</f>
        <v>ResDHW</v>
      </c>
      <c r="H83" s="227">
        <f>InputForProCost!AB86</f>
        <v>6.7312966869131037</v>
      </c>
      <c r="I83" s="227">
        <f>InputForProCost!AC86</f>
        <v>0</v>
      </c>
      <c r="J83" s="227">
        <f>InputForProCost!AD86</f>
        <v>0</v>
      </c>
      <c r="K83" s="227">
        <f>InputForProCost!AE86</f>
        <v>0</v>
      </c>
      <c r="L83" s="227">
        <f>InputForProCost!AF86</f>
        <v>0</v>
      </c>
      <c r="M83" s="227">
        <f>InputForProCost!AG86</f>
        <v>0</v>
      </c>
      <c r="N83" s="227">
        <f>InputForProCost!AH86</f>
        <v>0</v>
      </c>
      <c r="O83" s="227">
        <f>InputForProCost!AI86</f>
        <v>0</v>
      </c>
      <c r="P83" s="227" t="str">
        <f>InputForProCost!AJ86</f>
        <v>ResGASDHW</v>
      </c>
      <c r="R83" s="228"/>
      <c r="S83" s="229"/>
    </row>
    <row r="84" spans="1:19">
      <c r="A84" s="226" t="str">
        <f>InputForProCost!U87</f>
        <v>Commercial Showerhead Replacement_1_75gpm_Commercial - Employee Shower_ Gas Water Heating_Mail-by-Request</v>
      </c>
      <c r="B84" s="226" t="str">
        <f>InputForProCost!V87</f>
        <v>On-site Savings, Costs, and Benefits</v>
      </c>
      <c r="C84" s="227">
        <f>InputForProCost!W87</f>
        <v>0</v>
      </c>
      <c r="D84" s="227">
        <f>InputForProCost!X87</f>
        <v>10</v>
      </c>
      <c r="E84" s="227">
        <f>InputForProCost!Y87</f>
        <v>8.1096944444444432</v>
      </c>
      <c r="F84" s="227">
        <f>InputForProCost!Z87</f>
        <v>0</v>
      </c>
      <c r="G84" s="227" t="str">
        <f>InputForProCost!AA87</f>
        <v>ResDHW</v>
      </c>
      <c r="H84" s="227">
        <f>InputForProCost!AB87</f>
        <v>6.7312966869131037</v>
      </c>
      <c r="I84" s="227">
        <f>InputForProCost!AC87</f>
        <v>0</v>
      </c>
      <c r="J84" s="227">
        <f>InputForProCost!AD87</f>
        <v>0</v>
      </c>
      <c r="K84" s="227">
        <f>InputForProCost!AE87</f>
        <v>0</v>
      </c>
      <c r="L84" s="227">
        <f>InputForProCost!AF87</f>
        <v>0</v>
      </c>
      <c r="M84" s="227">
        <f>InputForProCost!AG87</f>
        <v>0</v>
      </c>
      <c r="N84" s="227">
        <f>InputForProCost!AH87</f>
        <v>0</v>
      </c>
      <c r="O84" s="227">
        <f>InputForProCost!AI87</f>
        <v>2.4534059531778709</v>
      </c>
      <c r="P84" s="227" t="str">
        <f>InputForProCost!AJ87</f>
        <v>ResGASDHW</v>
      </c>
      <c r="R84" s="228"/>
      <c r="S84" s="229"/>
    </row>
    <row r="85" spans="1:19">
      <c r="A85" s="226" t="str">
        <f>InputForProCost!U88</f>
        <v>Commercial Showerhead Replacement_1_75gpm_Commercial - Employee Shower_ Any Water Heating_Mail-by-Request</v>
      </c>
      <c r="B85" s="226" t="str">
        <f>InputForProCost!V88</f>
        <v>On-site Savings, Costs, and Benefits</v>
      </c>
      <c r="C85" s="227">
        <f>InputForProCost!W88</f>
        <v>26.95679791054188</v>
      </c>
      <c r="D85" s="227">
        <f>InputForProCost!X88</f>
        <v>10</v>
      </c>
      <c r="E85" s="227">
        <f>InputForProCost!Y88</f>
        <v>8.1096944444444432</v>
      </c>
      <c r="F85" s="227">
        <f>InputForProCost!Z88</f>
        <v>0</v>
      </c>
      <c r="G85" s="227" t="str">
        <f>InputForProCost!AA88</f>
        <v>ResDHW</v>
      </c>
      <c r="H85" s="227">
        <f>InputForProCost!AB88</f>
        <v>6.7312966869131037</v>
      </c>
      <c r="I85" s="227">
        <f>InputForProCost!AC88</f>
        <v>0</v>
      </c>
      <c r="J85" s="227">
        <f>InputForProCost!AD88</f>
        <v>0</v>
      </c>
      <c r="K85" s="227">
        <f>InputForProCost!AE88</f>
        <v>0</v>
      </c>
      <c r="L85" s="227">
        <f>InputForProCost!AF88</f>
        <v>0</v>
      </c>
      <c r="M85" s="227">
        <f>InputForProCost!AG88</f>
        <v>0</v>
      </c>
      <c r="N85" s="227">
        <f>InputForProCost!AH88</f>
        <v>0</v>
      </c>
      <c r="O85" s="227">
        <f>InputForProCost!AI88</f>
        <v>1.2512370361207141</v>
      </c>
      <c r="P85" s="227" t="str">
        <f>InputForProCost!AJ88</f>
        <v>ResGASDHW</v>
      </c>
      <c r="R85" s="228"/>
      <c r="S85" s="229"/>
    </row>
    <row r="86" spans="1:19">
      <c r="A86" s="226" t="str">
        <f>InputForProCost!U89</f>
        <v>Commercial Showerhead Replacement_1_50gpm_Commercial - Employee Shower_ Electric Water Heating_Mail-by-Request</v>
      </c>
      <c r="B86" s="226" t="str">
        <f>InputForProCost!V89</f>
        <v>On-site Savings, Costs, and Benefits</v>
      </c>
      <c r="C86" s="227">
        <f>InputForProCost!W89</f>
        <v>90.955443069053658</v>
      </c>
      <c r="D86" s="227">
        <f>InputForProCost!X89</f>
        <v>10</v>
      </c>
      <c r="E86" s="227">
        <f>InputForProCost!Y89</f>
        <v>8.1096944444444432</v>
      </c>
      <c r="F86" s="227">
        <f>InputForProCost!Z89</f>
        <v>0</v>
      </c>
      <c r="G86" s="227" t="str">
        <f>InputForProCost!AA89</f>
        <v>ResDHW</v>
      </c>
      <c r="H86" s="227">
        <f>InputForProCost!AB89</f>
        <v>10.470905957420383</v>
      </c>
      <c r="I86" s="227">
        <f>InputForProCost!AC89</f>
        <v>0</v>
      </c>
      <c r="J86" s="227">
        <f>InputForProCost!AD89</f>
        <v>0</v>
      </c>
      <c r="K86" s="227">
        <f>InputForProCost!AE89</f>
        <v>0</v>
      </c>
      <c r="L86" s="227">
        <f>InputForProCost!AF89</f>
        <v>0</v>
      </c>
      <c r="M86" s="227">
        <f>InputForProCost!AG89</f>
        <v>0</v>
      </c>
      <c r="N86" s="227">
        <f>InputForProCost!AH89</f>
        <v>0</v>
      </c>
      <c r="O86" s="227">
        <f>InputForProCost!AI89</f>
        <v>0</v>
      </c>
      <c r="P86" s="227" t="str">
        <f>InputForProCost!AJ89</f>
        <v>ResGASDHW</v>
      </c>
      <c r="R86" s="228"/>
      <c r="S86" s="229"/>
    </row>
    <row r="87" spans="1:19">
      <c r="A87" s="226" t="str">
        <f>InputForProCost!U90</f>
        <v>Commercial Showerhead Replacement_1_50gpm_Commercial - Employee Shower_ Gas Water Heating_Mail-by-Request</v>
      </c>
      <c r="B87" s="226" t="str">
        <f>InputForProCost!V90</f>
        <v>On-site Savings, Costs, and Benefits</v>
      </c>
      <c r="C87" s="227">
        <f>InputForProCost!W90</f>
        <v>0</v>
      </c>
      <c r="D87" s="227">
        <f>InputForProCost!X90</f>
        <v>10</v>
      </c>
      <c r="E87" s="227">
        <f>InputForProCost!Y90</f>
        <v>8.1096944444444432</v>
      </c>
      <c r="F87" s="227">
        <f>InputForProCost!Z90</f>
        <v>0</v>
      </c>
      <c r="G87" s="227" t="str">
        <f>InputForProCost!AA90</f>
        <v>ResDHW</v>
      </c>
      <c r="H87" s="227">
        <f>InputForProCost!AB90</f>
        <v>10.470905957420383</v>
      </c>
      <c r="I87" s="227">
        <f>InputForProCost!AC90</f>
        <v>0</v>
      </c>
      <c r="J87" s="227">
        <f>InputForProCost!AD90</f>
        <v>0</v>
      </c>
      <c r="K87" s="227">
        <f>InputForProCost!AE90</f>
        <v>0</v>
      </c>
      <c r="L87" s="227">
        <f>InputForProCost!AF90</f>
        <v>0</v>
      </c>
      <c r="M87" s="227">
        <f>InputForProCost!AG90</f>
        <v>0</v>
      </c>
      <c r="N87" s="227">
        <f>InputForProCost!AH90</f>
        <v>0</v>
      </c>
      <c r="O87" s="227">
        <f>InputForProCost!AI90</f>
        <v>4.0562609423286711</v>
      </c>
      <c r="P87" s="227" t="str">
        <f>InputForProCost!AJ90</f>
        <v>ResGASDHW</v>
      </c>
      <c r="R87" s="228"/>
      <c r="S87" s="229"/>
    </row>
    <row r="88" spans="1:19">
      <c r="A88" s="226" t="str">
        <f>InputForProCost!U91</f>
        <v>Commercial Showerhead Replacement_1_50gpm_Commercial - Employee Shower_ Any Water Heating_Mail-by-Request</v>
      </c>
      <c r="B88" s="226" t="str">
        <f>InputForProCost!V91</f>
        <v>On-site Savings, Costs, and Benefits</v>
      </c>
      <c r="C88" s="227">
        <f>InputForProCost!W91</f>
        <v>44.568167103836295</v>
      </c>
      <c r="D88" s="227">
        <f>InputForProCost!X91</f>
        <v>10</v>
      </c>
      <c r="E88" s="227">
        <f>InputForProCost!Y91</f>
        <v>8.1096944444444432</v>
      </c>
      <c r="F88" s="227">
        <f>InputForProCost!Z91</f>
        <v>0</v>
      </c>
      <c r="G88" s="227" t="str">
        <f>InputForProCost!AA91</f>
        <v>ResDHW</v>
      </c>
      <c r="H88" s="227">
        <f>InputForProCost!AB91</f>
        <v>10.470905957420383</v>
      </c>
      <c r="I88" s="227">
        <f>InputForProCost!AC91</f>
        <v>0</v>
      </c>
      <c r="J88" s="227">
        <f>InputForProCost!AD91</f>
        <v>0</v>
      </c>
      <c r="K88" s="227">
        <f>InputForProCost!AE91</f>
        <v>0</v>
      </c>
      <c r="L88" s="227">
        <f>InputForProCost!AF91</f>
        <v>0</v>
      </c>
      <c r="M88" s="227">
        <f>InputForProCost!AG91</f>
        <v>0</v>
      </c>
      <c r="N88" s="227">
        <f>InputForProCost!AH91</f>
        <v>0</v>
      </c>
      <c r="O88" s="227">
        <f>InputForProCost!AI91</f>
        <v>2.0686930805876225</v>
      </c>
      <c r="P88" s="227" t="str">
        <f>InputForProCost!AJ91</f>
        <v>ResGASDHW</v>
      </c>
      <c r="R88" s="228"/>
      <c r="S88" s="229"/>
    </row>
    <row r="89" spans="1:19">
      <c r="A89" s="226" t="str">
        <f>InputForProCost!U92</f>
        <v>Commercial Showerhead Replacement_2_00gpm_School_ Electric Water Heating_Retail</v>
      </c>
      <c r="B89" s="226" t="str">
        <f>InputForProCost!V92</f>
        <v>On-site Savings, Costs, and Benefits</v>
      </c>
      <c r="C89" s="227">
        <f>InputForProCost!W92</f>
        <v>74.660458019959066</v>
      </c>
      <c r="D89" s="227">
        <f>InputForProCost!X92</f>
        <v>10</v>
      </c>
      <c r="E89" s="227">
        <f>InputForProCost!Y92</f>
        <v>3.2966774171383419</v>
      </c>
      <c r="F89" s="227">
        <f>InputForProCost!Z92</f>
        <v>0</v>
      </c>
      <c r="G89" s="227" t="str">
        <f>InputForProCost!AA92</f>
        <v>ResDHW</v>
      </c>
      <c r="H89" s="227">
        <f>InputForProCost!AB92</f>
        <v>8.6659582841704452</v>
      </c>
      <c r="I89" s="227">
        <f>InputForProCost!AC92</f>
        <v>0</v>
      </c>
      <c r="J89" s="227">
        <f>InputForProCost!AD92</f>
        <v>0</v>
      </c>
      <c r="K89" s="227">
        <f>InputForProCost!AE92</f>
        <v>0</v>
      </c>
      <c r="L89" s="227">
        <f>InputForProCost!AF92</f>
        <v>0</v>
      </c>
      <c r="M89" s="227">
        <f>InputForProCost!AG92</f>
        <v>0</v>
      </c>
      <c r="N89" s="227">
        <f>InputForProCost!AH92</f>
        <v>0</v>
      </c>
      <c r="O89" s="227">
        <f>InputForProCost!AI92</f>
        <v>0</v>
      </c>
      <c r="P89" s="227" t="str">
        <f>InputForProCost!AJ92</f>
        <v>ResGASDHW</v>
      </c>
      <c r="R89" s="228"/>
      <c r="S89" s="229"/>
    </row>
    <row r="90" spans="1:19">
      <c r="A90" s="226" t="str">
        <f>InputForProCost!U93</f>
        <v>Commercial Showerhead Replacement_2_00gpm_School_ Gas Water Heating_Retail</v>
      </c>
      <c r="B90" s="226" t="str">
        <f>InputForProCost!V93</f>
        <v>On-site Savings, Costs, and Benefits</v>
      </c>
      <c r="C90" s="227">
        <f>InputForProCost!W93</f>
        <v>0</v>
      </c>
      <c r="D90" s="227">
        <f>InputForProCost!X93</f>
        <v>10</v>
      </c>
      <c r="E90" s="227">
        <f>InputForProCost!Y93</f>
        <v>3.2966774171383419</v>
      </c>
      <c r="F90" s="227">
        <f>InputForProCost!Z93</f>
        <v>0</v>
      </c>
      <c r="G90" s="227" t="str">
        <f>InputForProCost!AA93</f>
        <v>ResDHW</v>
      </c>
      <c r="H90" s="227">
        <f>InputForProCost!AB93</f>
        <v>8.6659582841704452</v>
      </c>
      <c r="I90" s="227">
        <f>InputForProCost!AC93</f>
        <v>0</v>
      </c>
      <c r="J90" s="227">
        <f>InputForProCost!AD93</f>
        <v>0</v>
      </c>
      <c r="K90" s="227">
        <f>InputForProCost!AE93</f>
        <v>0</v>
      </c>
      <c r="L90" s="227">
        <f>InputForProCost!AF93</f>
        <v>0</v>
      </c>
      <c r="M90" s="227">
        <f>InputForProCost!AG93</f>
        <v>0</v>
      </c>
      <c r="N90" s="227">
        <f>InputForProCost!AH93</f>
        <v>0</v>
      </c>
      <c r="O90" s="227">
        <f>InputForProCost!AI93</f>
        <v>3.3295676386602908</v>
      </c>
      <c r="P90" s="227" t="str">
        <f>InputForProCost!AJ93</f>
        <v>ResGASDHW</v>
      </c>
      <c r="R90" s="228"/>
      <c r="S90" s="229"/>
    </row>
    <row r="91" spans="1:19">
      <c r="A91" s="226" t="str">
        <f>InputForProCost!U94</f>
        <v>Commercial Showerhead Replacement_2_00gpm_School_ Any Water Heating_Retail</v>
      </c>
      <c r="B91" s="226" t="str">
        <f>InputForProCost!V94</f>
        <v>On-site Savings, Costs, and Benefits</v>
      </c>
      <c r="C91" s="227">
        <f>InputForProCost!W94</f>
        <v>8.9592549623950877</v>
      </c>
      <c r="D91" s="227">
        <f>InputForProCost!X94</f>
        <v>10</v>
      </c>
      <c r="E91" s="227">
        <f>InputForProCost!Y94</f>
        <v>3.2966774171383419</v>
      </c>
      <c r="F91" s="227">
        <f>InputForProCost!Z94</f>
        <v>0</v>
      </c>
      <c r="G91" s="227" t="str">
        <f>InputForProCost!AA94</f>
        <v>ResDHW</v>
      </c>
      <c r="H91" s="227">
        <f>InputForProCost!AB94</f>
        <v>8.6659582841704452</v>
      </c>
      <c r="I91" s="227">
        <f>InputForProCost!AC94</f>
        <v>0</v>
      </c>
      <c r="J91" s="227">
        <f>InputForProCost!AD94</f>
        <v>0</v>
      </c>
      <c r="K91" s="227">
        <f>InputForProCost!AE94</f>
        <v>0</v>
      </c>
      <c r="L91" s="227">
        <f>InputForProCost!AF94</f>
        <v>0</v>
      </c>
      <c r="M91" s="227">
        <f>InputForProCost!AG94</f>
        <v>0</v>
      </c>
      <c r="N91" s="227">
        <f>InputForProCost!AH94</f>
        <v>0</v>
      </c>
      <c r="O91" s="227">
        <f>InputForProCost!AI94</f>
        <v>2.9300195220210559</v>
      </c>
      <c r="P91" s="227" t="str">
        <f>InputForProCost!AJ94</f>
        <v>ResGASDHW</v>
      </c>
      <c r="R91" s="228"/>
      <c r="S91" s="229"/>
    </row>
    <row r="92" spans="1:19">
      <c r="A92" s="226" t="str">
        <f>InputForProCost!U95</f>
        <v>Commercial Showerhead Replacement_1_75gpm_School_ Electric Water Heating_Retail</v>
      </c>
      <c r="B92" s="226" t="str">
        <f>InputForProCost!V95</f>
        <v>On-site Savings, Costs, and Benefits</v>
      </c>
      <c r="C92" s="227">
        <f>InputForProCost!W95</f>
        <v>74.698844340921312</v>
      </c>
      <c r="D92" s="227">
        <f>InputForProCost!X95</f>
        <v>10</v>
      </c>
      <c r="E92" s="227">
        <f>InputForProCost!Y95</f>
        <v>3.2966774171383419</v>
      </c>
      <c r="F92" s="227">
        <f>InputForProCost!Z95</f>
        <v>0</v>
      </c>
      <c r="G92" s="227" t="str">
        <f>InputForProCost!AA95</f>
        <v>ResDHW</v>
      </c>
      <c r="H92" s="227">
        <f>InputForProCost!AB95</f>
        <v>9.1398778778360139</v>
      </c>
      <c r="I92" s="227">
        <f>InputForProCost!AC95</f>
        <v>0</v>
      </c>
      <c r="J92" s="227">
        <f>InputForProCost!AD95</f>
        <v>0</v>
      </c>
      <c r="K92" s="227">
        <f>InputForProCost!AE95</f>
        <v>0</v>
      </c>
      <c r="L92" s="227">
        <f>InputForProCost!AF95</f>
        <v>0</v>
      </c>
      <c r="M92" s="227">
        <f>InputForProCost!AG95</f>
        <v>0</v>
      </c>
      <c r="N92" s="227">
        <f>InputForProCost!AH95</f>
        <v>0</v>
      </c>
      <c r="O92" s="227">
        <f>InputForProCost!AI95</f>
        <v>0</v>
      </c>
      <c r="P92" s="227" t="str">
        <f>InputForProCost!AJ95</f>
        <v>ResGASDHW</v>
      </c>
      <c r="R92" s="228"/>
      <c r="S92" s="229"/>
    </row>
    <row r="93" spans="1:19">
      <c r="A93" s="226" t="str">
        <f>InputForProCost!U96</f>
        <v>Commercial Showerhead Replacement_1_75gpm_School_ Gas Water Heating_Retail</v>
      </c>
      <c r="B93" s="226" t="str">
        <f>InputForProCost!V96</f>
        <v>On-site Savings, Costs, and Benefits</v>
      </c>
      <c r="C93" s="227">
        <f>InputForProCost!W96</f>
        <v>0</v>
      </c>
      <c r="D93" s="227">
        <f>InputForProCost!X96</f>
        <v>10</v>
      </c>
      <c r="E93" s="227">
        <f>InputForProCost!Y96</f>
        <v>3.2966774171383419</v>
      </c>
      <c r="F93" s="227">
        <f>InputForProCost!Z96</f>
        <v>0</v>
      </c>
      <c r="G93" s="227" t="str">
        <f>InputForProCost!AA96</f>
        <v>ResDHW</v>
      </c>
      <c r="H93" s="227">
        <f>InputForProCost!AB96</f>
        <v>9.1398778778360139</v>
      </c>
      <c r="I93" s="227">
        <f>InputForProCost!AC96</f>
        <v>0</v>
      </c>
      <c r="J93" s="227">
        <f>InputForProCost!AD96</f>
        <v>0</v>
      </c>
      <c r="K93" s="227">
        <f>InputForProCost!AE96</f>
        <v>0</v>
      </c>
      <c r="L93" s="227">
        <f>InputForProCost!AF96</f>
        <v>0</v>
      </c>
      <c r="M93" s="227">
        <f>InputForProCost!AG96</f>
        <v>0</v>
      </c>
      <c r="N93" s="227">
        <f>InputForProCost!AH96</f>
        <v>0</v>
      </c>
      <c r="O93" s="227">
        <f>InputForProCost!AI96</f>
        <v>3.3312795200956931</v>
      </c>
      <c r="P93" s="227" t="str">
        <f>InputForProCost!AJ96</f>
        <v>ResGASDHW</v>
      </c>
      <c r="R93" s="228"/>
      <c r="S93" s="229"/>
    </row>
    <row r="94" spans="1:19">
      <c r="A94" s="226" t="str">
        <f>InputForProCost!U97</f>
        <v>Commercial Showerhead Replacement_1_75gpm_School_ Any Water Heating_Retail</v>
      </c>
      <c r="B94" s="226" t="str">
        <f>InputForProCost!V97</f>
        <v>On-site Savings, Costs, and Benefits</v>
      </c>
      <c r="C94" s="227">
        <f>InputForProCost!W97</f>
        <v>8.9638613209105564</v>
      </c>
      <c r="D94" s="227">
        <f>InputForProCost!X97</f>
        <v>10</v>
      </c>
      <c r="E94" s="227">
        <f>InputForProCost!Y97</f>
        <v>3.2966774171383419</v>
      </c>
      <c r="F94" s="227">
        <f>InputForProCost!Z97</f>
        <v>0</v>
      </c>
      <c r="G94" s="227" t="str">
        <f>InputForProCost!AA97</f>
        <v>ResDHW</v>
      </c>
      <c r="H94" s="227">
        <f>InputForProCost!AB97</f>
        <v>9.1398778778360139</v>
      </c>
      <c r="I94" s="227">
        <f>InputForProCost!AC97</f>
        <v>0</v>
      </c>
      <c r="J94" s="227">
        <f>InputForProCost!AD97</f>
        <v>0</v>
      </c>
      <c r="K94" s="227">
        <f>InputForProCost!AE97</f>
        <v>0</v>
      </c>
      <c r="L94" s="227">
        <f>InputForProCost!AF97</f>
        <v>0</v>
      </c>
      <c r="M94" s="227">
        <f>InputForProCost!AG97</f>
        <v>0</v>
      </c>
      <c r="N94" s="227">
        <f>InputForProCost!AH97</f>
        <v>0</v>
      </c>
      <c r="O94" s="227">
        <f>InputForProCost!AI97</f>
        <v>2.9315259776842097</v>
      </c>
      <c r="P94" s="227" t="str">
        <f>InputForProCost!AJ97</f>
        <v>ResGASDHW</v>
      </c>
      <c r="R94" s="228"/>
      <c r="S94" s="229"/>
    </row>
    <row r="95" spans="1:19">
      <c r="A95" s="226" t="str">
        <f>InputForProCost!U98</f>
        <v>Commercial Showerhead Replacement_1_50gpm_School_ Electric Water Heating_Retail</v>
      </c>
      <c r="B95" s="226" t="str">
        <f>InputForProCost!V98</f>
        <v>On-site Savings, Costs, and Benefits</v>
      </c>
      <c r="C95" s="227">
        <f>InputForProCost!W98</f>
        <v>115.26756808769652</v>
      </c>
      <c r="D95" s="227">
        <f>InputForProCost!X98</f>
        <v>10</v>
      </c>
      <c r="E95" s="227">
        <f>InputForProCost!Y98</f>
        <v>3.2966774171383419</v>
      </c>
      <c r="F95" s="227">
        <f>InputForProCost!Z98</f>
        <v>0</v>
      </c>
      <c r="G95" s="227" t="str">
        <f>InputForProCost!AA98</f>
        <v>ResDHW</v>
      </c>
      <c r="H95" s="227">
        <f>InputForProCost!AB98</f>
        <v>13.269748622635992</v>
      </c>
      <c r="I95" s="227">
        <f>InputForProCost!AC98</f>
        <v>0</v>
      </c>
      <c r="J95" s="227">
        <f>InputForProCost!AD98</f>
        <v>0</v>
      </c>
      <c r="K95" s="227">
        <f>InputForProCost!AE98</f>
        <v>0</v>
      </c>
      <c r="L95" s="227">
        <f>InputForProCost!AF98</f>
        <v>0</v>
      </c>
      <c r="M95" s="227">
        <f>InputForProCost!AG98</f>
        <v>0</v>
      </c>
      <c r="N95" s="227">
        <f>InputForProCost!AH98</f>
        <v>0</v>
      </c>
      <c r="O95" s="227">
        <f>InputForProCost!AI98</f>
        <v>0</v>
      </c>
      <c r="P95" s="227" t="str">
        <f>InputForProCost!AJ98</f>
        <v>ResGASDHW</v>
      </c>
      <c r="R95" s="228"/>
      <c r="S95" s="229"/>
    </row>
    <row r="96" spans="1:19">
      <c r="A96" s="226" t="str">
        <f>InputForProCost!U99</f>
        <v>Commercial Showerhead Replacement_1_50gpm_School_ Gas Water Heating_Retail</v>
      </c>
      <c r="B96" s="226" t="str">
        <f>InputForProCost!V99</f>
        <v>On-site Savings, Costs, and Benefits</v>
      </c>
      <c r="C96" s="227">
        <f>InputForProCost!W99</f>
        <v>0</v>
      </c>
      <c r="D96" s="227">
        <f>InputForProCost!X99</f>
        <v>10</v>
      </c>
      <c r="E96" s="227">
        <f>InputForProCost!Y99</f>
        <v>3.2966774171383419</v>
      </c>
      <c r="F96" s="227">
        <f>InputForProCost!Z99</f>
        <v>0</v>
      </c>
      <c r="G96" s="227" t="str">
        <f>InputForProCost!AA99</f>
        <v>ResDHW</v>
      </c>
      <c r="H96" s="227">
        <f>InputForProCost!AB99</f>
        <v>13.269748622635992</v>
      </c>
      <c r="I96" s="227">
        <f>InputForProCost!AC99</f>
        <v>0</v>
      </c>
      <c r="J96" s="227">
        <f>InputForProCost!AD99</f>
        <v>0</v>
      </c>
      <c r="K96" s="227">
        <f>InputForProCost!AE99</f>
        <v>0</v>
      </c>
      <c r="L96" s="227">
        <f>InputForProCost!AF99</f>
        <v>0</v>
      </c>
      <c r="M96" s="227">
        <f>InputForProCost!AG99</f>
        <v>0</v>
      </c>
      <c r="N96" s="227">
        <f>InputForProCost!AH99</f>
        <v>0</v>
      </c>
      <c r="O96" s="227">
        <f>InputForProCost!AI99</f>
        <v>5.1404876780861253</v>
      </c>
      <c r="P96" s="227" t="str">
        <f>InputForProCost!AJ99</f>
        <v>ResGASDHW</v>
      </c>
      <c r="R96" s="228"/>
      <c r="S96" s="229"/>
    </row>
    <row r="97" spans="1:19">
      <c r="A97" s="226" t="str">
        <f>InputForProCost!U100</f>
        <v>Commercial Showerhead Replacement_1_50gpm_School_ Any Water Heating_Retail</v>
      </c>
      <c r="B97" s="226" t="str">
        <f>InputForProCost!V100</f>
        <v>On-site Savings, Costs, and Benefits</v>
      </c>
      <c r="C97" s="227">
        <f>InputForProCost!W100</f>
        <v>13.832108170523583</v>
      </c>
      <c r="D97" s="227">
        <f>InputForProCost!X100</f>
        <v>10</v>
      </c>
      <c r="E97" s="227">
        <f>InputForProCost!Y100</f>
        <v>3.2966774171383419</v>
      </c>
      <c r="F97" s="227">
        <f>InputForProCost!Z100</f>
        <v>0</v>
      </c>
      <c r="G97" s="227" t="str">
        <f>InputForProCost!AA100</f>
        <v>ResDHW</v>
      </c>
      <c r="H97" s="227">
        <f>InputForProCost!AB100</f>
        <v>13.269748622635992</v>
      </c>
      <c r="I97" s="227">
        <f>InputForProCost!AC100</f>
        <v>0</v>
      </c>
      <c r="J97" s="227">
        <f>InputForProCost!AD100</f>
        <v>0</v>
      </c>
      <c r="K97" s="227">
        <f>InputForProCost!AE100</f>
        <v>0</v>
      </c>
      <c r="L97" s="227">
        <f>InputForProCost!AF100</f>
        <v>0</v>
      </c>
      <c r="M97" s="227">
        <f>InputForProCost!AG100</f>
        <v>0</v>
      </c>
      <c r="N97" s="227">
        <f>InputForProCost!AH100</f>
        <v>0</v>
      </c>
      <c r="O97" s="227">
        <f>InputForProCost!AI100</f>
        <v>4.5236291567157902</v>
      </c>
      <c r="P97" s="227" t="str">
        <f>InputForProCost!AJ100</f>
        <v>ResGASDHW</v>
      </c>
      <c r="R97" s="228"/>
      <c r="S97" s="229"/>
    </row>
    <row r="98" spans="1:19">
      <c r="A98" s="226" t="str">
        <f>InputForProCost!U101</f>
        <v>Commercial Showerhead Replacement_2_00gpm_School_ Electric Water Heating_Direct Install</v>
      </c>
      <c r="B98" s="226" t="str">
        <f>InputForProCost!V101</f>
        <v>On-site Savings, Costs, and Benefits</v>
      </c>
      <c r="C98" s="227">
        <f>InputForProCost!W101</f>
        <v>83.993015272453945</v>
      </c>
      <c r="D98" s="227">
        <f>InputForProCost!X101</f>
        <v>10</v>
      </c>
      <c r="E98" s="227">
        <f>InputForProCost!Y101</f>
        <v>11.336666666666666</v>
      </c>
      <c r="F98" s="227">
        <f>InputForProCost!Z101</f>
        <v>0</v>
      </c>
      <c r="G98" s="227" t="str">
        <f>InputForProCost!AA101</f>
        <v>ResDHW</v>
      </c>
      <c r="H98" s="227">
        <f>InputForProCost!AB101</f>
        <v>9.7492030696917507</v>
      </c>
      <c r="I98" s="227">
        <f>InputForProCost!AC101</f>
        <v>0</v>
      </c>
      <c r="J98" s="227">
        <f>InputForProCost!AD101</f>
        <v>0</v>
      </c>
      <c r="K98" s="227">
        <f>InputForProCost!AE101</f>
        <v>0</v>
      </c>
      <c r="L98" s="227">
        <f>InputForProCost!AF101</f>
        <v>0</v>
      </c>
      <c r="M98" s="227">
        <f>InputForProCost!AG101</f>
        <v>0</v>
      </c>
      <c r="N98" s="227">
        <f>InputForProCost!AH101</f>
        <v>0</v>
      </c>
      <c r="O98" s="227">
        <f>InputForProCost!AI101</f>
        <v>0</v>
      </c>
      <c r="P98" s="227" t="str">
        <f>InputForProCost!AJ101</f>
        <v>ResGASDHW</v>
      </c>
      <c r="R98" s="228"/>
      <c r="S98" s="229"/>
    </row>
    <row r="99" spans="1:19">
      <c r="A99" s="226" t="str">
        <f>InputForProCost!U102</f>
        <v>Commercial Showerhead Replacement_2_00gpm_School_ Gas Water Heating_Direct Install</v>
      </c>
      <c r="B99" s="226" t="str">
        <f>InputForProCost!V102</f>
        <v>On-site Savings, Costs, and Benefits</v>
      </c>
      <c r="C99" s="227">
        <f>InputForProCost!W102</f>
        <v>0</v>
      </c>
      <c r="D99" s="227">
        <f>InputForProCost!X102</f>
        <v>10</v>
      </c>
      <c r="E99" s="227">
        <f>InputForProCost!Y102</f>
        <v>11.336666666666666</v>
      </c>
      <c r="F99" s="227">
        <f>InputForProCost!Z102</f>
        <v>0</v>
      </c>
      <c r="G99" s="227" t="str">
        <f>InputForProCost!AA102</f>
        <v>ResDHW</v>
      </c>
      <c r="H99" s="227">
        <f>InputForProCost!AB102</f>
        <v>9.7492030696917507</v>
      </c>
      <c r="I99" s="227">
        <f>InputForProCost!AC102</f>
        <v>0</v>
      </c>
      <c r="J99" s="227">
        <f>InputForProCost!AD102</f>
        <v>0</v>
      </c>
      <c r="K99" s="227">
        <f>InputForProCost!AE102</f>
        <v>0</v>
      </c>
      <c r="L99" s="227">
        <f>InputForProCost!AF102</f>
        <v>0</v>
      </c>
      <c r="M99" s="227">
        <f>InputForProCost!AG102</f>
        <v>0</v>
      </c>
      <c r="N99" s="227">
        <f>InputForProCost!AH102</f>
        <v>0</v>
      </c>
      <c r="O99" s="227">
        <f>InputForProCost!AI102</f>
        <v>3.7457635934928271</v>
      </c>
      <c r="P99" s="227" t="str">
        <f>InputForProCost!AJ102</f>
        <v>ResGASDHW</v>
      </c>
      <c r="R99" s="228"/>
      <c r="S99" s="229"/>
    </row>
    <row r="100" spans="1:19">
      <c r="A100" s="226" t="str">
        <f>InputForProCost!U103</f>
        <v>Commercial Showerhead Replacement_2_00gpm_School_ Any Water Heating_Direct Install</v>
      </c>
      <c r="B100" s="226" t="str">
        <f>InputForProCost!V103</f>
        <v>On-site Savings, Costs, and Benefits</v>
      </c>
      <c r="C100" s="227">
        <f>InputForProCost!W103</f>
        <v>10.079161832694474</v>
      </c>
      <c r="D100" s="227">
        <f>InputForProCost!X103</f>
        <v>10</v>
      </c>
      <c r="E100" s="227">
        <f>InputForProCost!Y103</f>
        <v>11.336666666666666</v>
      </c>
      <c r="F100" s="227">
        <f>InputForProCost!Z103</f>
        <v>0</v>
      </c>
      <c r="G100" s="227" t="str">
        <f>InputForProCost!AA103</f>
        <v>ResDHW</v>
      </c>
      <c r="H100" s="227">
        <f>InputForProCost!AB103</f>
        <v>9.7492030696917507</v>
      </c>
      <c r="I100" s="227">
        <f>InputForProCost!AC103</f>
        <v>0</v>
      </c>
      <c r="J100" s="227">
        <f>InputForProCost!AD103</f>
        <v>0</v>
      </c>
      <c r="K100" s="227">
        <f>InputForProCost!AE103</f>
        <v>0</v>
      </c>
      <c r="L100" s="227">
        <f>InputForProCost!AF103</f>
        <v>0</v>
      </c>
      <c r="M100" s="227">
        <f>InputForProCost!AG103</f>
        <v>0</v>
      </c>
      <c r="N100" s="227">
        <f>InputForProCost!AH103</f>
        <v>0</v>
      </c>
      <c r="O100" s="227">
        <f>InputForProCost!AI103</f>
        <v>3.2962719622736878</v>
      </c>
      <c r="P100" s="227" t="str">
        <f>InputForProCost!AJ103</f>
        <v>ResGASDHW</v>
      </c>
      <c r="R100" s="228"/>
      <c r="S100" s="229"/>
    </row>
    <row r="101" spans="1:19">
      <c r="A101" s="226" t="str">
        <f>InputForProCost!U104</f>
        <v>Commercial Showerhead Replacement_1_75gpm_School_ Electric Water Heating_Direct Install</v>
      </c>
      <c r="B101" s="226" t="str">
        <f>InputForProCost!V104</f>
        <v>On-site Savings, Costs, and Benefits</v>
      </c>
      <c r="C101" s="227">
        <f>InputForProCost!W104</f>
        <v>89.638613209105571</v>
      </c>
      <c r="D101" s="227">
        <f>InputForProCost!X104</f>
        <v>10</v>
      </c>
      <c r="E101" s="227">
        <f>InputForProCost!Y104</f>
        <v>11.336666666666666</v>
      </c>
      <c r="F101" s="227">
        <f>InputForProCost!Z104</f>
        <v>0</v>
      </c>
      <c r="G101" s="227" t="str">
        <f>InputForProCost!AA104</f>
        <v>ResDHW</v>
      </c>
      <c r="H101" s="227">
        <f>InputForProCost!AB104</f>
        <v>10.967853453403217</v>
      </c>
      <c r="I101" s="227">
        <f>InputForProCost!AC104</f>
        <v>0</v>
      </c>
      <c r="J101" s="227">
        <f>InputForProCost!AD104</f>
        <v>0</v>
      </c>
      <c r="K101" s="227">
        <f>InputForProCost!AE104</f>
        <v>0</v>
      </c>
      <c r="L101" s="227">
        <f>InputForProCost!AF104</f>
        <v>0</v>
      </c>
      <c r="M101" s="227">
        <f>InputForProCost!AG104</f>
        <v>0</v>
      </c>
      <c r="N101" s="227">
        <f>InputForProCost!AH104</f>
        <v>0</v>
      </c>
      <c r="O101" s="227">
        <f>InputForProCost!AI104</f>
        <v>0</v>
      </c>
      <c r="P101" s="227" t="str">
        <f>InputForProCost!AJ104</f>
        <v>ResGASDHW</v>
      </c>
      <c r="R101" s="228"/>
      <c r="S101" s="229"/>
    </row>
    <row r="102" spans="1:19">
      <c r="A102" s="226" t="str">
        <f>InputForProCost!U105</f>
        <v>Commercial Showerhead Replacement_1_75gpm_School_ Gas Water Heating_Direct Install</v>
      </c>
      <c r="B102" s="226" t="str">
        <f>InputForProCost!V105</f>
        <v>On-site Savings, Costs, and Benefits</v>
      </c>
      <c r="C102" s="227">
        <f>InputForProCost!W105</f>
        <v>0</v>
      </c>
      <c r="D102" s="227">
        <f>InputForProCost!X105</f>
        <v>10</v>
      </c>
      <c r="E102" s="227">
        <f>InputForProCost!Y105</f>
        <v>11.336666666666666</v>
      </c>
      <c r="F102" s="227">
        <f>InputForProCost!Z105</f>
        <v>0</v>
      </c>
      <c r="G102" s="227" t="str">
        <f>InputForProCost!AA105</f>
        <v>ResDHW</v>
      </c>
      <c r="H102" s="227">
        <f>InputForProCost!AB105</f>
        <v>10.967853453403217</v>
      </c>
      <c r="I102" s="227">
        <f>InputForProCost!AC105</f>
        <v>0</v>
      </c>
      <c r="J102" s="227">
        <f>InputForProCost!AD105</f>
        <v>0</v>
      </c>
      <c r="K102" s="227">
        <f>InputForProCost!AE105</f>
        <v>0</v>
      </c>
      <c r="L102" s="227">
        <f>InputForProCost!AF105</f>
        <v>0</v>
      </c>
      <c r="M102" s="227">
        <f>InputForProCost!AG105</f>
        <v>0</v>
      </c>
      <c r="N102" s="227">
        <f>InputForProCost!AH105</f>
        <v>0</v>
      </c>
      <c r="O102" s="227">
        <f>InputForProCost!AI105</f>
        <v>3.9975354241148318</v>
      </c>
      <c r="P102" s="227" t="str">
        <f>InputForProCost!AJ105</f>
        <v>ResGASDHW</v>
      </c>
      <c r="R102" s="228"/>
      <c r="S102" s="229"/>
    </row>
    <row r="103" spans="1:19">
      <c r="A103" s="226" t="str">
        <f>InputForProCost!U106</f>
        <v>Commercial Showerhead Replacement_1_75gpm_School_ Any Water Heating_Direct Install</v>
      </c>
      <c r="B103" s="226" t="str">
        <f>InputForProCost!V106</f>
        <v>On-site Savings, Costs, and Benefits</v>
      </c>
      <c r="C103" s="227">
        <f>InputForProCost!W106</f>
        <v>10.756633585092668</v>
      </c>
      <c r="D103" s="227">
        <f>InputForProCost!X106</f>
        <v>10</v>
      </c>
      <c r="E103" s="227">
        <f>InputForProCost!Y106</f>
        <v>11.336666666666666</v>
      </c>
      <c r="F103" s="227">
        <f>InputForProCost!Z106</f>
        <v>0</v>
      </c>
      <c r="G103" s="227" t="str">
        <f>InputForProCost!AA106</f>
        <v>ResDHW</v>
      </c>
      <c r="H103" s="227">
        <f>InputForProCost!AB106</f>
        <v>10.967853453403217</v>
      </c>
      <c r="I103" s="227">
        <f>InputForProCost!AC106</f>
        <v>0</v>
      </c>
      <c r="J103" s="227">
        <f>InputForProCost!AD106</f>
        <v>0</v>
      </c>
      <c r="K103" s="227">
        <f>InputForProCost!AE106</f>
        <v>0</v>
      </c>
      <c r="L103" s="227">
        <f>InputForProCost!AF106</f>
        <v>0</v>
      </c>
      <c r="M103" s="227">
        <f>InputForProCost!AG106</f>
        <v>0</v>
      </c>
      <c r="N103" s="227">
        <f>InputForProCost!AH106</f>
        <v>0</v>
      </c>
      <c r="O103" s="227">
        <f>InputForProCost!AI106</f>
        <v>3.5178311732210519</v>
      </c>
      <c r="P103" s="227" t="str">
        <f>InputForProCost!AJ106</f>
        <v>ResGASDHW</v>
      </c>
      <c r="R103" s="228"/>
      <c r="S103" s="229"/>
    </row>
    <row r="104" spans="1:19">
      <c r="A104" s="226" t="str">
        <f>InputForProCost!U107</f>
        <v>Commercial Showerhead Replacement_1_50gpm_School_ Electric Water Heating_Direct Install</v>
      </c>
      <c r="B104" s="226" t="str">
        <f>InputForProCost!V107</f>
        <v>On-site Savings, Costs, and Benefits</v>
      </c>
      <c r="C104" s="227">
        <f>InputForProCost!W107</f>
        <v>148.20115896989554</v>
      </c>
      <c r="D104" s="227">
        <f>InputForProCost!X107</f>
        <v>10</v>
      </c>
      <c r="E104" s="227">
        <f>InputForProCost!Y107</f>
        <v>11.336666666666666</v>
      </c>
      <c r="F104" s="227">
        <f>InputForProCost!Z107</f>
        <v>0</v>
      </c>
      <c r="G104" s="227" t="str">
        <f>InputForProCost!AA107</f>
        <v>ResDHW</v>
      </c>
      <c r="H104" s="227">
        <f>InputForProCost!AB107</f>
        <v>17.061105371960561</v>
      </c>
      <c r="I104" s="227">
        <f>InputForProCost!AC107</f>
        <v>0</v>
      </c>
      <c r="J104" s="227">
        <f>InputForProCost!AD107</f>
        <v>0</v>
      </c>
      <c r="K104" s="227">
        <f>InputForProCost!AE107</f>
        <v>0</v>
      </c>
      <c r="L104" s="227">
        <f>InputForProCost!AF107</f>
        <v>0</v>
      </c>
      <c r="M104" s="227">
        <f>InputForProCost!AG107</f>
        <v>0</v>
      </c>
      <c r="N104" s="227">
        <f>InputForProCost!AH107</f>
        <v>0</v>
      </c>
      <c r="O104" s="227">
        <f>InputForProCost!AI107</f>
        <v>0</v>
      </c>
      <c r="P104" s="227" t="str">
        <f>InputForProCost!AJ107</f>
        <v>ResGASDHW</v>
      </c>
      <c r="R104" s="228"/>
      <c r="S104" s="229"/>
    </row>
    <row r="105" spans="1:19">
      <c r="A105" s="226" t="str">
        <f>InputForProCost!U108</f>
        <v>Commercial Showerhead Replacement_1_50gpm_School_ Gas Water Heating_Direct Install</v>
      </c>
      <c r="B105" s="226" t="str">
        <f>InputForProCost!V108</f>
        <v>On-site Savings, Costs, and Benefits</v>
      </c>
      <c r="C105" s="227">
        <f>InputForProCost!W108</f>
        <v>0</v>
      </c>
      <c r="D105" s="227">
        <f>InputForProCost!X108</f>
        <v>10</v>
      </c>
      <c r="E105" s="227">
        <f>InputForProCost!Y108</f>
        <v>11.336666666666666</v>
      </c>
      <c r="F105" s="227">
        <f>InputForProCost!Z108</f>
        <v>0</v>
      </c>
      <c r="G105" s="227" t="str">
        <f>InputForProCost!AA108</f>
        <v>ResDHW</v>
      </c>
      <c r="H105" s="227">
        <f>InputForProCost!AB108</f>
        <v>17.061105371960561</v>
      </c>
      <c r="I105" s="227">
        <f>InputForProCost!AC108</f>
        <v>0</v>
      </c>
      <c r="J105" s="227">
        <f>InputForProCost!AD108</f>
        <v>0</v>
      </c>
      <c r="K105" s="227">
        <f>InputForProCost!AE108</f>
        <v>0</v>
      </c>
      <c r="L105" s="227">
        <f>InputForProCost!AF108</f>
        <v>0</v>
      </c>
      <c r="M105" s="227">
        <f>InputForProCost!AG108</f>
        <v>0</v>
      </c>
      <c r="N105" s="227">
        <f>InputForProCost!AH108</f>
        <v>0</v>
      </c>
      <c r="O105" s="227">
        <f>InputForProCost!AI108</f>
        <v>6.6091984432535904</v>
      </c>
      <c r="P105" s="227" t="str">
        <f>InputForProCost!AJ108</f>
        <v>ResGASDHW</v>
      </c>
      <c r="R105" s="228"/>
      <c r="S105" s="229"/>
    </row>
    <row r="106" spans="1:19">
      <c r="A106" s="226" t="str">
        <f>InputForProCost!U109</f>
        <v>Commercial Showerhead Replacement_1_50gpm_School_ Any Water Heating_Direct Install</v>
      </c>
      <c r="B106" s="226" t="str">
        <f>InputForProCost!V109</f>
        <v>On-site Savings, Costs, and Benefits</v>
      </c>
      <c r="C106" s="227">
        <f>InputForProCost!W109</f>
        <v>17.784139076387465</v>
      </c>
      <c r="D106" s="227">
        <f>InputForProCost!X109</f>
        <v>10</v>
      </c>
      <c r="E106" s="227">
        <f>InputForProCost!Y109</f>
        <v>11.336666666666666</v>
      </c>
      <c r="F106" s="227">
        <f>InputForProCost!Z109</f>
        <v>0</v>
      </c>
      <c r="G106" s="227" t="str">
        <f>InputForProCost!AA109</f>
        <v>ResDHW</v>
      </c>
      <c r="H106" s="227">
        <f>InputForProCost!AB109</f>
        <v>17.061105371960561</v>
      </c>
      <c r="I106" s="227">
        <f>InputForProCost!AC109</f>
        <v>0</v>
      </c>
      <c r="J106" s="227">
        <f>InputForProCost!AD109</f>
        <v>0</v>
      </c>
      <c r="K106" s="227">
        <f>InputForProCost!AE109</f>
        <v>0</v>
      </c>
      <c r="L106" s="227">
        <f>InputForProCost!AF109</f>
        <v>0</v>
      </c>
      <c r="M106" s="227">
        <f>InputForProCost!AG109</f>
        <v>0</v>
      </c>
      <c r="N106" s="227">
        <f>InputForProCost!AH109</f>
        <v>0</v>
      </c>
      <c r="O106" s="227">
        <f>InputForProCost!AI109</f>
        <v>5.8160946300631595</v>
      </c>
      <c r="P106" s="227" t="str">
        <f>InputForProCost!AJ109</f>
        <v>ResGASDHW</v>
      </c>
      <c r="R106" s="228"/>
      <c r="S106" s="229"/>
    </row>
    <row r="107" spans="1:19">
      <c r="A107" s="226" t="str">
        <f>InputForProCost!U110</f>
        <v>Commercial Showerhead Replacement_2_00gpm_School_ Electric Water Heating_Mail-by-Request</v>
      </c>
      <c r="B107" s="226" t="str">
        <f>InputForProCost!V110</f>
        <v>On-site Savings, Costs, and Benefits</v>
      </c>
      <c r="C107" s="227">
        <f>InputForProCost!W110</f>
        <v>55.995343514969292</v>
      </c>
      <c r="D107" s="227">
        <f>InputForProCost!X110</f>
        <v>10</v>
      </c>
      <c r="E107" s="227">
        <f>InputForProCost!Y110</f>
        <v>8.1096944444444432</v>
      </c>
      <c r="F107" s="227">
        <f>InputForProCost!Z110</f>
        <v>0</v>
      </c>
      <c r="G107" s="227" t="str">
        <f>InputForProCost!AA110</f>
        <v>ResDHW</v>
      </c>
      <c r="H107" s="227">
        <f>InputForProCost!AB110</f>
        <v>6.4994687131278335</v>
      </c>
      <c r="I107" s="227">
        <f>InputForProCost!AC110</f>
        <v>0</v>
      </c>
      <c r="J107" s="227">
        <f>InputForProCost!AD110</f>
        <v>0</v>
      </c>
      <c r="K107" s="227">
        <f>InputForProCost!AE110</f>
        <v>0</v>
      </c>
      <c r="L107" s="227">
        <f>InputForProCost!AF110</f>
        <v>0</v>
      </c>
      <c r="M107" s="227">
        <f>InputForProCost!AG110</f>
        <v>0</v>
      </c>
      <c r="N107" s="227">
        <f>InputForProCost!AH110</f>
        <v>0</v>
      </c>
      <c r="O107" s="227">
        <f>InputForProCost!AI110</f>
        <v>0</v>
      </c>
      <c r="P107" s="227" t="str">
        <f>InputForProCost!AJ110</f>
        <v>ResGASDHW</v>
      </c>
      <c r="R107" s="228"/>
      <c r="S107" s="229"/>
    </row>
    <row r="108" spans="1:19">
      <c r="A108" s="226" t="str">
        <f>InputForProCost!U111</f>
        <v>Commercial Showerhead Replacement_2_00gpm_School_ Gas Water Heating_Mail-by-Request</v>
      </c>
      <c r="B108" s="226" t="str">
        <f>InputForProCost!V111</f>
        <v>On-site Savings, Costs, and Benefits</v>
      </c>
      <c r="C108" s="227">
        <f>InputForProCost!W111</f>
        <v>0</v>
      </c>
      <c r="D108" s="227">
        <f>InputForProCost!X111</f>
        <v>10</v>
      </c>
      <c r="E108" s="227">
        <f>InputForProCost!Y111</f>
        <v>8.1096944444444432</v>
      </c>
      <c r="F108" s="227">
        <f>InputForProCost!Z111</f>
        <v>0</v>
      </c>
      <c r="G108" s="227" t="str">
        <f>InputForProCost!AA111</f>
        <v>ResDHW</v>
      </c>
      <c r="H108" s="227">
        <f>InputForProCost!AB111</f>
        <v>6.4994687131278335</v>
      </c>
      <c r="I108" s="227">
        <f>InputForProCost!AC111</f>
        <v>0</v>
      </c>
      <c r="J108" s="227">
        <f>InputForProCost!AD111</f>
        <v>0</v>
      </c>
      <c r="K108" s="227">
        <f>InputForProCost!AE111</f>
        <v>0</v>
      </c>
      <c r="L108" s="227">
        <f>InputForProCost!AF111</f>
        <v>0</v>
      </c>
      <c r="M108" s="227">
        <f>InputForProCost!AG111</f>
        <v>0</v>
      </c>
      <c r="N108" s="227">
        <f>InputForProCost!AH111</f>
        <v>0</v>
      </c>
      <c r="O108" s="227">
        <f>InputForProCost!AI111</f>
        <v>2.4971757289952179</v>
      </c>
      <c r="P108" s="227" t="str">
        <f>InputForProCost!AJ111</f>
        <v>ResGASDHW</v>
      </c>
      <c r="R108" s="228"/>
      <c r="S108" s="229"/>
    </row>
    <row r="109" spans="1:19">
      <c r="A109" s="226" t="str">
        <f>InputForProCost!U112</f>
        <v>Commercial Showerhead Replacement_2_00gpm_School_ Any Water Heating_Mail-by-Request</v>
      </c>
      <c r="B109" s="226" t="str">
        <f>InputForProCost!V112</f>
        <v>On-site Savings, Costs, and Benefits</v>
      </c>
      <c r="C109" s="227">
        <f>InputForProCost!W112</f>
        <v>6.7194412217963153</v>
      </c>
      <c r="D109" s="227">
        <f>InputForProCost!X112</f>
        <v>10</v>
      </c>
      <c r="E109" s="227">
        <f>InputForProCost!Y112</f>
        <v>8.1096944444444432</v>
      </c>
      <c r="F109" s="227">
        <f>InputForProCost!Z112</f>
        <v>0</v>
      </c>
      <c r="G109" s="227" t="str">
        <f>InputForProCost!AA112</f>
        <v>ResDHW</v>
      </c>
      <c r="H109" s="227">
        <f>InputForProCost!AB112</f>
        <v>6.4994687131278335</v>
      </c>
      <c r="I109" s="227">
        <f>InputForProCost!AC112</f>
        <v>0</v>
      </c>
      <c r="J109" s="227">
        <f>InputForProCost!AD112</f>
        <v>0</v>
      </c>
      <c r="K109" s="227">
        <f>InputForProCost!AE112</f>
        <v>0</v>
      </c>
      <c r="L109" s="227">
        <f>InputForProCost!AF112</f>
        <v>0</v>
      </c>
      <c r="M109" s="227">
        <f>InputForProCost!AG112</f>
        <v>0</v>
      </c>
      <c r="N109" s="227">
        <f>InputForProCost!AH112</f>
        <v>0</v>
      </c>
      <c r="O109" s="227">
        <f>InputForProCost!AI112</f>
        <v>2.1975146415157916</v>
      </c>
      <c r="P109" s="227" t="str">
        <f>InputForProCost!AJ112</f>
        <v>ResGASDHW</v>
      </c>
      <c r="R109" s="228"/>
      <c r="S109" s="229"/>
    </row>
    <row r="110" spans="1:19">
      <c r="A110" s="226" t="str">
        <f>InputForProCost!U113</f>
        <v>Commercial Showerhead Replacement_1_75gpm_School_ Electric Water Heating_Mail-by-Request</v>
      </c>
      <c r="B110" s="226" t="str">
        <f>InputForProCost!V113</f>
        <v>On-site Savings, Costs, and Benefits</v>
      </c>
      <c r="C110" s="227">
        <f>InputForProCost!W113</f>
        <v>59.759075472737045</v>
      </c>
      <c r="D110" s="227">
        <f>InputForProCost!X113</f>
        <v>10</v>
      </c>
      <c r="E110" s="227">
        <f>InputForProCost!Y113</f>
        <v>8.1096944444444432</v>
      </c>
      <c r="F110" s="227">
        <f>InputForProCost!Z113</f>
        <v>0</v>
      </c>
      <c r="G110" s="227" t="str">
        <f>InputForProCost!AA113</f>
        <v>ResDHW</v>
      </c>
      <c r="H110" s="227">
        <f>InputForProCost!AB113</f>
        <v>7.3119023022688108</v>
      </c>
      <c r="I110" s="227">
        <f>InputForProCost!AC113</f>
        <v>0</v>
      </c>
      <c r="J110" s="227">
        <f>InputForProCost!AD113</f>
        <v>0</v>
      </c>
      <c r="K110" s="227">
        <f>InputForProCost!AE113</f>
        <v>0</v>
      </c>
      <c r="L110" s="227">
        <f>InputForProCost!AF113</f>
        <v>0</v>
      </c>
      <c r="M110" s="227">
        <f>InputForProCost!AG113</f>
        <v>0</v>
      </c>
      <c r="N110" s="227">
        <f>InputForProCost!AH113</f>
        <v>0</v>
      </c>
      <c r="O110" s="227">
        <f>InputForProCost!AI113</f>
        <v>0</v>
      </c>
      <c r="P110" s="227" t="str">
        <f>InputForProCost!AJ113</f>
        <v>ResGASDHW</v>
      </c>
      <c r="R110" s="228"/>
      <c r="S110" s="229"/>
    </row>
    <row r="111" spans="1:19">
      <c r="A111" s="226" t="str">
        <f>InputForProCost!U114</f>
        <v>Commercial Showerhead Replacement_1_75gpm_School_ Gas Water Heating_Mail-by-Request</v>
      </c>
      <c r="B111" s="226" t="str">
        <f>InputForProCost!V114</f>
        <v>On-site Savings, Costs, and Benefits</v>
      </c>
      <c r="C111" s="227">
        <f>InputForProCost!W114</f>
        <v>0</v>
      </c>
      <c r="D111" s="227">
        <f>InputForProCost!X114</f>
        <v>10</v>
      </c>
      <c r="E111" s="227">
        <f>InputForProCost!Y114</f>
        <v>8.1096944444444432</v>
      </c>
      <c r="F111" s="227">
        <f>InputForProCost!Z114</f>
        <v>0</v>
      </c>
      <c r="G111" s="227" t="str">
        <f>InputForProCost!AA114</f>
        <v>ResDHW</v>
      </c>
      <c r="H111" s="227">
        <f>InputForProCost!AB114</f>
        <v>7.3119023022688108</v>
      </c>
      <c r="I111" s="227">
        <f>InputForProCost!AC114</f>
        <v>0</v>
      </c>
      <c r="J111" s="227">
        <f>InputForProCost!AD114</f>
        <v>0</v>
      </c>
      <c r="K111" s="227">
        <f>InputForProCost!AE114</f>
        <v>0</v>
      </c>
      <c r="L111" s="227">
        <f>InputForProCost!AF114</f>
        <v>0</v>
      </c>
      <c r="M111" s="227">
        <f>InputForProCost!AG114</f>
        <v>0</v>
      </c>
      <c r="N111" s="227">
        <f>InputForProCost!AH114</f>
        <v>0</v>
      </c>
      <c r="O111" s="227">
        <f>InputForProCost!AI114</f>
        <v>2.6650236160765544</v>
      </c>
      <c r="P111" s="227" t="str">
        <f>InputForProCost!AJ114</f>
        <v>ResGASDHW</v>
      </c>
      <c r="R111" s="228"/>
      <c r="S111" s="229"/>
    </row>
    <row r="112" spans="1:19">
      <c r="A112" s="226" t="str">
        <f>InputForProCost!U115</f>
        <v>Commercial Showerhead Replacement_1_75gpm_School_ Any Water Heating_Mail-by-Request</v>
      </c>
      <c r="B112" s="226" t="str">
        <f>InputForProCost!V115</f>
        <v>On-site Savings, Costs, and Benefits</v>
      </c>
      <c r="C112" s="227">
        <f>InputForProCost!W115</f>
        <v>7.1710890567284453</v>
      </c>
      <c r="D112" s="227">
        <f>InputForProCost!X115</f>
        <v>10</v>
      </c>
      <c r="E112" s="227">
        <f>InputForProCost!Y115</f>
        <v>8.1096944444444432</v>
      </c>
      <c r="F112" s="227">
        <f>InputForProCost!Z115</f>
        <v>0</v>
      </c>
      <c r="G112" s="227" t="str">
        <f>InputForProCost!AA115</f>
        <v>ResDHW</v>
      </c>
      <c r="H112" s="227">
        <f>InputForProCost!AB115</f>
        <v>7.3119023022688108</v>
      </c>
      <c r="I112" s="227">
        <f>InputForProCost!AC115</f>
        <v>0</v>
      </c>
      <c r="J112" s="227">
        <f>InputForProCost!AD115</f>
        <v>0</v>
      </c>
      <c r="K112" s="227">
        <f>InputForProCost!AE115</f>
        <v>0</v>
      </c>
      <c r="L112" s="227">
        <f>InputForProCost!AF115</f>
        <v>0</v>
      </c>
      <c r="M112" s="227">
        <f>InputForProCost!AG115</f>
        <v>0</v>
      </c>
      <c r="N112" s="227">
        <f>InputForProCost!AH115</f>
        <v>0</v>
      </c>
      <c r="O112" s="227">
        <f>InputForProCost!AI115</f>
        <v>2.3452207821473681</v>
      </c>
      <c r="P112" s="227" t="str">
        <f>InputForProCost!AJ115</f>
        <v>ResGASDHW</v>
      </c>
      <c r="R112" s="228"/>
      <c r="S112" s="229"/>
    </row>
    <row r="113" spans="1:19">
      <c r="A113" s="226" t="str">
        <f>InputForProCost!U116</f>
        <v>Commercial Showerhead Replacement_1_50gpm_School_ Electric Water Heating_Mail-by-Request</v>
      </c>
      <c r="B113" s="226" t="str">
        <f>InputForProCost!V116</f>
        <v>On-site Savings, Costs, and Benefits</v>
      </c>
      <c r="C113" s="227">
        <f>InputForProCost!W116</f>
        <v>98.800772646597025</v>
      </c>
      <c r="D113" s="227">
        <f>InputForProCost!X116</f>
        <v>10</v>
      </c>
      <c r="E113" s="227">
        <f>InputForProCost!Y116</f>
        <v>8.1096944444444432</v>
      </c>
      <c r="F113" s="227">
        <f>InputForProCost!Z116</f>
        <v>0</v>
      </c>
      <c r="G113" s="227" t="str">
        <f>InputForProCost!AA116</f>
        <v>ResDHW</v>
      </c>
      <c r="H113" s="227">
        <f>InputForProCost!AB116</f>
        <v>11.374070247973707</v>
      </c>
      <c r="I113" s="227">
        <f>InputForProCost!AC116</f>
        <v>0</v>
      </c>
      <c r="J113" s="227">
        <f>InputForProCost!AD116</f>
        <v>0</v>
      </c>
      <c r="K113" s="227">
        <f>InputForProCost!AE116</f>
        <v>0</v>
      </c>
      <c r="L113" s="227">
        <f>InputForProCost!AF116</f>
        <v>0</v>
      </c>
      <c r="M113" s="227">
        <f>InputForProCost!AG116</f>
        <v>0</v>
      </c>
      <c r="N113" s="227">
        <f>InputForProCost!AH116</f>
        <v>0</v>
      </c>
      <c r="O113" s="227">
        <f>InputForProCost!AI116</f>
        <v>0</v>
      </c>
      <c r="P113" s="227" t="str">
        <f>InputForProCost!AJ116</f>
        <v>ResGASDHW</v>
      </c>
      <c r="R113" s="228"/>
      <c r="S113" s="229"/>
    </row>
    <row r="114" spans="1:19">
      <c r="A114" s="226" t="str">
        <f>InputForProCost!U117</f>
        <v>Commercial Showerhead Replacement_1_50gpm_School_ Gas Water Heating_Mail-by-Request</v>
      </c>
      <c r="B114" s="226" t="str">
        <f>InputForProCost!V117</f>
        <v>On-site Savings, Costs, and Benefits</v>
      </c>
      <c r="C114" s="227">
        <f>InputForProCost!W117</f>
        <v>0</v>
      </c>
      <c r="D114" s="227">
        <f>InputForProCost!X117</f>
        <v>10</v>
      </c>
      <c r="E114" s="227">
        <f>InputForProCost!Y117</f>
        <v>8.1096944444444432</v>
      </c>
      <c r="F114" s="227">
        <f>InputForProCost!Z117</f>
        <v>0</v>
      </c>
      <c r="G114" s="227" t="str">
        <f>InputForProCost!AA117</f>
        <v>ResDHW</v>
      </c>
      <c r="H114" s="227">
        <f>InputForProCost!AB117</f>
        <v>11.374070247973707</v>
      </c>
      <c r="I114" s="227">
        <f>InputForProCost!AC117</f>
        <v>0</v>
      </c>
      <c r="J114" s="227">
        <f>InputForProCost!AD117</f>
        <v>0</v>
      </c>
      <c r="K114" s="227">
        <f>InputForProCost!AE117</f>
        <v>0</v>
      </c>
      <c r="L114" s="227">
        <f>InputForProCost!AF117</f>
        <v>0</v>
      </c>
      <c r="M114" s="227">
        <f>InputForProCost!AG117</f>
        <v>0</v>
      </c>
      <c r="N114" s="227">
        <f>InputForProCost!AH117</f>
        <v>0</v>
      </c>
      <c r="O114" s="227">
        <f>InputForProCost!AI117</f>
        <v>4.4061322955023927</v>
      </c>
      <c r="P114" s="227" t="str">
        <f>InputForProCost!AJ117</f>
        <v>ResGASDHW</v>
      </c>
      <c r="R114" s="228"/>
      <c r="S114" s="229"/>
    </row>
    <row r="115" spans="1:19">
      <c r="A115" s="226" t="str">
        <f>InputForProCost!U118</f>
        <v>Commercial Showerhead Replacement_1_50gpm_School_ Any Water Heating_Mail-by-Request</v>
      </c>
      <c r="B115" s="226" t="str">
        <f>InputForProCost!V118</f>
        <v>On-site Savings, Costs, and Benefits</v>
      </c>
      <c r="C115" s="227">
        <f>InputForProCost!W118</f>
        <v>11.856092717591642</v>
      </c>
      <c r="D115" s="227">
        <f>InputForProCost!X118</f>
        <v>10</v>
      </c>
      <c r="E115" s="227">
        <f>InputForProCost!Y118</f>
        <v>8.1096944444444432</v>
      </c>
      <c r="F115" s="227">
        <f>InputForProCost!Z118</f>
        <v>0</v>
      </c>
      <c r="G115" s="227" t="str">
        <f>InputForProCost!AA118</f>
        <v>ResDHW</v>
      </c>
      <c r="H115" s="227">
        <f>InputForProCost!AB118</f>
        <v>11.374070247973707</v>
      </c>
      <c r="I115" s="227">
        <f>InputForProCost!AC118</f>
        <v>0</v>
      </c>
      <c r="J115" s="227">
        <f>InputForProCost!AD118</f>
        <v>0</v>
      </c>
      <c r="K115" s="227">
        <f>InputForProCost!AE118</f>
        <v>0</v>
      </c>
      <c r="L115" s="227">
        <f>InputForProCost!AF118</f>
        <v>0</v>
      </c>
      <c r="M115" s="227">
        <f>InputForProCost!AG118</f>
        <v>0</v>
      </c>
      <c r="N115" s="227">
        <f>InputForProCost!AH118</f>
        <v>0</v>
      </c>
      <c r="O115" s="227">
        <f>InputForProCost!AI118</f>
        <v>3.8773964200421056</v>
      </c>
      <c r="P115" s="227" t="str">
        <f>InputForProCost!AJ118</f>
        <v>ResGASDHW</v>
      </c>
      <c r="R115" s="228"/>
      <c r="S115" s="229"/>
    </row>
    <row r="116" spans="1:19">
      <c r="A116" s="226" t="str">
        <f>InputForProCost!U119</f>
        <v>Commercial Showerhead Replacement_2_00gpm_Any Commercial Except Fitness Center_ Electric Water Heating_Retail</v>
      </c>
      <c r="B116" s="226" t="str">
        <f>InputForProCost!V119</f>
        <v>On-site Savings, Costs, and Benefits</v>
      </c>
      <c r="C116" s="227">
        <f>InputForProCost!W119</f>
        <v>109.9210398043876</v>
      </c>
      <c r="D116" s="227">
        <f>InputForProCost!X119</f>
        <v>10</v>
      </c>
      <c r="E116" s="227">
        <f>InputForProCost!Y119</f>
        <v>3.2966774171383419</v>
      </c>
      <c r="F116" s="227">
        <f>InputForProCost!Z119</f>
        <v>0</v>
      </c>
      <c r="G116" s="227" t="str">
        <f>InputForProCost!AA119</f>
        <v>ResDHW</v>
      </c>
      <c r="H116" s="227">
        <f>InputForProCost!AB119</f>
        <v>12.758710176179342</v>
      </c>
      <c r="I116" s="227">
        <f>InputForProCost!AC119</f>
        <v>0</v>
      </c>
      <c r="J116" s="227">
        <f>InputForProCost!AD119</f>
        <v>0</v>
      </c>
      <c r="K116" s="227">
        <f>InputForProCost!AE119</f>
        <v>0</v>
      </c>
      <c r="L116" s="227">
        <f>InputForProCost!AF119</f>
        <v>0</v>
      </c>
      <c r="M116" s="227">
        <f>InputForProCost!AG119</f>
        <v>0</v>
      </c>
      <c r="N116" s="227">
        <f>InputForProCost!AH119</f>
        <v>0</v>
      </c>
      <c r="O116" s="227">
        <f>InputForProCost!AI119</f>
        <v>0</v>
      </c>
      <c r="P116" s="227" t="str">
        <f>InputForProCost!AJ119</f>
        <v>ResGASDHW</v>
      </c>
      <c r="R116" s="228"/>
      <c r="S116" s="229"/>
    </row>
    <row r="117" spans="1:19">
      <c r="A117" s="226" t="str">
        <f>InputForProCost!U120</f>
        <v>Commercial Showerhead Replacement_2_00gpm_Any Commercial Except Fitness Center_ Gas Water Heating_Retail</v>
      </c>
      <c r="B117" s="226" t="str">
        <f>InputForProCost!V120</f>
        <v>On-site Savings, Costs, and Benefits</v>
      </c>
      <c r="C117" s="227">
        <f>InputForProCost!W120</f>
        <v>0</v>
      </c>
      <c r="D117" s="227">
        <f>InputForProCost!X120</f>
        <v>10</v>
      </c>
      <c r="E117" s="227">
        <f>InputForProCost!Y120</f>
        <v>3.2966774171383419</v>
      </c>
      <c r="F117" s="227">
        <f>InputForProCost!Z120</f>
        <v>0</v>
      </c>
      <c r="G117" s="227" t="str">
        <f>InputForProCost!AA120</f>
        <v>ResDHW</v>
      </c>
      <c r="H117" s="227">
        <f>InputForProCost!AB120</f>
        <v>12.758710176179342</v>
      </c>
      <c r="I117" s="227">
        <f>InputForProCost!AC120</f>
        <v>0</v>
      </c>
      <c r="J117" s="227">
        <f>InputForProCost!AD120</f>
        <v>0</v>
      </c>
      <c r="K117" s="227">
        <f>InputForProCost!AE120</f>
        <v>0</v>
      </c>
      <c r="L117" s="227">
        <f>InputForProCost!AF120</f>
        <v>0</v>
      </c>
      <c r="M117" s="227">
        <f>InputForProCost!AG120</f>
        <v>0</v>
      </c>
      <c r="N117" s="227">
        <f>InputForProCost!AH120</f>
        <v>0</v>
      </c>
      <c r="O117" s="227">
        <f>InputForProCost!AI120</f>
        <v>4.9020531971922594</v>
      </c>
      <c r="P117" s="227" t="str">
        <f>InputForProCost!AJ120</f>
        <v>ResGASDHW</v>
      </c>
      <c r="R117" s="228"/>
      <c r="S117" s="229"/>
    </row>
    <row r="118" spans="1:19">
      <c r="A118" s="226" t="str">
        <f>InputForProCost!U121</f>
        <v>Commercial Showerhead Replacement_2_00gpm_Any Commercial Except Fitness Center_ Any Water Heating_Retail</v>
      </c>
      <c r="B118" s="226" t="str">
        <f>InputForProCost!V121</f>
        <v>On-site Savings, Costs, and Benefits</v>
      </c>
      <c r="C118" s="227">
        <f>InputForProCost!W121</f>
        <v>24.743821199013933</v>
      </c>
      <c r="D118" s="227">
        <f>InputForProCost!X121</f>
        <v>10</v>
      </c>
      <c r="E118" s="227">
        <f>InputForProCost!Y121</f>
        <v>3.2966774171383419</v>
      </c>
      <c r="F118" s="227">
        <f>InputForProCost!Z121</f>
        <v>0</v>
      </c>
      <c r="G118" s="227" t="str">
        <f>InputForProCost!AA121</f>
        <v>ResDHW</v>
      </c>
      <c r="H118" s="227">
        <f>InputForProCost!AB121</f>
        <v>12.758710176179342</v>
      </c>
      <c r="I118" s="227">
        <f>InputForProCost!AC121</f>
        <v>0</v>
      </c>
      <c r="J118" s="227">
        <f>InputForProCost!AD121</f>
        <v>0</v>
      </c>
      <c r="K118" s="227">
        <f>InputForProCost!AE121</f>
        <v>0</v>
      </c>
      <c r="L118" s="227">
        <f>InputForProCost!AF121</f>
        <v>0</v>
      </c>
      <c r="M118" s="227">
        <f>InputForProCost!AG121</f>
        <v>0</v>
      </c>
      <c r="N118" s="227">
        <f>InputForProCost!AH121</f>
        <v>0</v>
      </c>
      <c r="O118" s="227">
        <f>InputForProCost!AI121</f>
        <v>3.7985744816048346</v>
      </c>
      <c r="P118" s="227" t="str">
        <f>InputForProCost!AJ121</f>
        <v>ResGASDHW</v>
      </c>
      <c r="R118" s="228"/>
      <c r="S118" s="229"/>
    </row>
    <row r="119" spans="1:19">
      <c r="A119" s="226" t="str">
        <f>InputForProCost!U122</f>
        <v>Commercial Showerhead Replacement_1_75gpm_Any Commercial Except Fitness Center_ Electric Water Heating_Retail</v>
      </c>
      <c r="B119" s="226" t="str">
        <f>InputForProCost!V122</f>
        <v>On-site Savings, Costs, and Benefits</v>
      </c>
      <c r="C119" s="227">
        <f>InputForProCost!W122</f>
        <v>109.97755518651024</v>
      </c>
      <c r="D119" s="227">
        <f>InputForProCost!X122</f>
        <v>10</v>
      </c>
      <c r="E119" s="227">
        <f>InputForProCost!Y122</f>
        <v>3.2966774171383419</v>
      </c>
      <c r="F119" s="227">
        <f>InputForProCost!Z122</f>
        <v>0</v>
      </c>
      <c r="G119" s="227" t="str">
        <f>InputForProCost!AA122</f>
        <v>ResDHW</v>
      </c>
      <c r="H119" s="227">
        <f>InputForProCost!AB122</f>
        <v>13.456452138939159</v>
      </c>
      <c r="I119" s="227">
        <f>InputForProCost!AC122</f>
        <v>0</v>
      </c>
      <c r="J119" s="227">
        <f>InputForProCost!AD122</f>
        <v>0</v>
      </c>
      <c r="K119" s="227">
        <f>InputForProCost!AE122</f>
        <v>0</v>
      </c>
      <c r="L119" s="227">
        <f>InputForProCost!AF122</f>
        <v>0</v>
      </c>
      <c r="M119" s="227">
        <f>InputForProCost!AG122</f>
        <v>0</v>
      </c>
      <c r="N119" s="227">
        <f>InputForProCost!AH122</f>
        <v>0</v>
      </c>
      <c r="O119" s="227">
        <f>InputForProCost!AI122</f>
        <v>0</v>
      </c>
      <c r="P119" s="227" t="str">
        <f>InputForProCost!AJ122</f>
        <v>ResGASDHW</v>
      </c>
      <c r="R119" s="228"/>
      <c r="S119" s="229"/>
    </row>
    <row r="120" spans="1:19">
      <c r="A120" s="226" t="str">
        <f>InputForProCost!U123</f>
        <v>Commercial Showerhead Replacement_1_75gpm_Any Commercial Except Fitness Center_ Gas Water Heating_Retail</v>
      </c>
      <c r="B120" s="226" t="str">
        <f>InputForProCost!V123</f>
        <v>On-site Savings, Costs, and Benefits</v>
      </c>
      <c r="C120" s="227">
        <f>InputForProCost!W123</f>
        <v>0</v>
      </c>
      <c r="D120" s="227">
        <f>InputForProCost!X123</f>
        <v>10</v>
      </c>
      <c r="E120" s="227">
        <f>InputForProCost!Y123</f>
        <v>3.2966774171383419</v>
      </c>
      <c r="F120" s="227">
        <f>InputForProCost!Z123</f>
        <v>0</v>
      </c>
      <c r="G120" s="227" t="str">
        <f>InputForProCost!AA123</f>
        <v>ResDHW</v>
      </c>
      <c r="H120" s="227">
        <f>InputForProCost!AB123</f>
        <v>13.456452138939159</v>
      </c>
      <c r="I120" s="227">
        <f>InputForProCost!AC123</f>
        <v>0</v>
      </c>
      <c r="J120" s="227">
        <f>InputForProCost!AD123</f>
        <v>0</v>
      </c>
      <c r="K120" s="227">
        <f>InputForProCost!AE123</f>
        <v>0</v>
      </c>
      <c r="L120" s="227">
        <f>InputForProCost!AF123</f>
        <v>0</v>
      </c>
      <c r="M120" s="227">
        <f>InputForProCost!AG123</f>
        <v>0</v>
      </c>
      <c r="N120" s="227">
        <f>InputForProCost!AH123</f>
        <v>0</v>
      </c>
      <c r="O120" s="227">
        <f>InputForProCost!AI123</f>
        <v>4.9045735646316224</v>
      </c>
      <c r="P120" s="227" t="str">
        <f>InputForProCost!AJ123</f>
        <v>ResGASDHW</v>
      </c>
      <c r="R120" s="228"/>
      <c r="S120" s="229"/>
    </row>
    <row r="121" spans="1:19">
      <c r="A121" s="226" t="str">
        <f>InputForProCost!U124</f>
        <v>Commercial Showerhead Replacement_1_75gpm_Any Commercial Except Fitness Center_ Any Water Heating_Retail</v>
      </c>
      <c r="B121" s="226" t="str">
        <f>InputForProCost!V124</f>
        <v>On-site Savings, Costs, and Benefits</v>
      </c>
      <c r="C121" s="227">
        <f>InputForProCost!W124</f>
        <v>24.756543117517658</v>
      </c>
      <c r="D121" s="227">
        <f>InputForProCost!X124</f>
        <v>10</v>
      </c>
      <c r="E121" s="227">
        <f>InputForProCost!Y124</f>
        <v>3.2966774171383419</v>
      </c>
      <c r="F121" s="227">
        <f>InputForProCost!Z124</f>
        <v>0</v>
      </c>
      <c r="G121" s="227" t="str">
        <f>InputForProCost!AA124</f>
        <v>ResDHW</v>
      </c>
      <c r="H121" s="227">
        <f>InputForProCost!AB124</f>
        <v>13.456452138939159</v>
      </c>
      <c r="I121" s="227">
        <f>InputForProCost!AC124</f>
        <v>0</v>
      </c>
      <c r="J121" s="227">
        <f>InputForProCost!AD124</f>
        <v>0</v>
      </c>
      <c r="K121" s="227">
        <f>InputForProCost!AE124</f>
        <v>0</v>
      </c>
      <c r="L121" s="227">
        <f>InputForProCost!AF124</f>
        <v>0</v>
      </c>
      <c r="M121" s="227">
        <f>InputForProCost!AG124</f>
        <v>0</v>
      </c>
      <c r="N121" s="227">
        <f>InputForProCost!AH124</f>
        <v>0</v>
      </c>
      <c r="O121" s="227">
        <f>InputForProCost!AI124</f>
        <v>3.8005275006877191</v>
      </c>
      <c r="P121" s="227" t="str">
        <f>InputForProCost!AJ124</f>
        <v>ResGASDHW</v>
      </c>
      <c r="R121" s="228"/>
      <c r="S121" s="229"/>
    </row>
    <row r="122" spans="1:19">
      <c r="A122" s="226" t="str">
        <f>InputForProCost!U125</f>
        <v>Commercial Showerhead Replacement_1_50gpm_Any Commercial Except Fitness Center_ Electric Water Heating_Retail</v>
      </c>
      <c r="B122" s="226" t="str">
        <f>InputForProCost!V125</f>
        <v>On-site Savings, Costs, and Benefits</v>
      </c>
      <c r="C122" s="227">
        <f>InputForProCost!W125</f>
        <v>169.70604354631041</v>
      </c>
      <c r="D122" s="227">
        <f>InputForProCost!X125</f>
        <v>10</v>
      </c>
      <c r="E122" s="227">
        <f>InputForProCost!Y125</f>
        <v>3.2966774171383419</v>
      </c>
      <c r="F122" s="227">
        <f>InputForProCost!Z125</f>
        <v>0</v>
      </c>
      <c r="G122" s="227" t="str">
        <f>InputForProCost!AA125</f>
        <v>ResDHW</v>
      </c>
      <c r="H122" s="227">
        <f>InputForProCost!AB125</f>
        <v>19.53677495727462</v>
      </c>
      <c r="I122" s="227">
        <f>InputForProCost!AC125</f>
        <v>0</v>
      </c>
      <c r="J122" s="227">
        <f>InputForProCost!AD125</f>
        <v>0</v>
      </c>
      <c r="K122" s="227">
        <f>InputForProCost!AE125</f>
        <v>0</v>
      </c>
      <c r="L122" s="227">
        <f>InputForProCost!AF125</f>
        <v>0</v>
      </c>
      <c r="M122" s="227">
        <f>InputForProCost!AG125</f>
        <v>0</v>
      </c>
      <c r="N122" s="227">
        <f>InputForProCost!AH125</f>
        <v>0</v>
      </c>
      <c r="O122" s="227">
        <f>InputForProCost!AI125</f>
        <v>0</v>
      </c>
      <c r="P122" s="227" t="str">
        <f>InputForProCost!AJ125</f>
        <v>ResGASDHW</v>
      </c>
      <c r="R122" s="228"/>
      <c r="S122" s="229"/>
    </row>
    <row r="123" spans="1:19">
      <c r="A123" s="226" t="str">
        <f>InputForProCost!U126</f>
        <v>Commercial Showerhead Replacement_1_50gpm_Any Commercial Except Fitness Center_ Gas Water Heating_Retail</v>
      </c>
      <c r="B123" s="226" t="str">
        <f>InputForProCost!V126</f>
        <v>On-site Savings, Costs, and Benefits</v>
      </c>
      <c r="C123" s="227">
        <f>InputForProCost!W126</f>
        <v>0</v>
      </c>
      <c r="D123" s="227">
        <f>InputForProCost!X126</f>
        <v>10</v>
      </c>
      <c r="E123" s="227">
        <f>InputForProCost!Y126</f>
        <v>3.2966774171383419</v>
      </c>
      <c r="F123" s="227">
        <f>InputForProCost!Z126</f>
        <v>0</v>
      </c>
      <c r="G123" s="227" t="str">
        <f>InputForProCost!AA126</f>
        <v>ResDHW</v>
      </c>
      <c r="H123" s="227">
        <f>InputForProCost!AB126</f>
        <v>19.53677495727462</v>
      </c>
      <c r="I123" s="227">
        <f>InputForProCost!AC126</f>
        <v>0</v>
      </c>
      <c r="J123" s="227">
        <f>InputForProCost!AD126</f>
        <v>0</v>
      </c>
      <c r="K123" s="227">
        <f>InputForProCost!AE126</f>
        <v>0</v>
      </c>
      <c r="L123" s="227">
        <f>InputForProCost!AF126</f>
        <v>0</v>
      </c>
      <c r="M123" s="227">
        <f>InputForProCost!AG126</f>
        <v>0</v>
      </c>
      <c r="N123" s="227">
        <f>InputForProCost!AH126</f>
        <v>0</v>
      </c>
      <c r="O123" s="227">
        <f>InputForProCost!AI126</f>
        <v>7.5682331137831262</v>
      </c>
      <c r="P123" s="227" t="str">
        <f>InputForProCost!AJ126</f>
        <v>ResGASDHW</v>
      </c>
      <c r="R123" s="228"/>
      <c r="S123" s="229"/>
    </row>
    <row r="124" spans="1:19">
      <c r="A124" s="226" t="str">
        <f>InputForProCost!U127</f>
        <v>Commercial Showerhead Replacement_1_50gpm_Any Commercial Except Fitness Center_ Any Water Heating_Retail</v>
      </c>
      <c r="B124" s="226" t="str">
        <f>InputForProCost!V127</f>
        <v>On-site Savings, Costs, and Benefits</v>
      </c>
      <c r="C124" s="227">
        <f>InputForProCost!W127</f>
        <v>38.201749231764111</v>
      </c>
      <c r="D124" s="227">
        <f>InputForProCost!X127</f>
        <v>10</v>
      </c>
      <c r="E124" s="227">
        <f>InputForProCost!Y127</f>
        <v>3.2966774171383419</v>
      </c>
      <c r="F124" s="227">
        <f>InputForProCost!Z127</f>
        <v>0</v>
      </c>
      <c r="G124" s="227" t="str">
        <f>InputForProCost!AA127</f>
        <v>ResDHW</v>
      </c>
      <c r="H124" s="227">
        <f>InputForProCost!AB127</f>
        <v>19.53677495727462</v>
      </c>
      <c r="I124" s="227">
        <f>InputForProCost!AC127</f>
        <v>0</v>
      </c>
      <c r="J124" s="227">
        <f>InputForProCost!AD127</f>
        <v>0</v>
      </c>
      <c r="K124" s="227">
        <f>InputForProCost!AE127</f>
        <v>0</v>
      </c>
      <c r="L124" s="227">
        <f>InputForProCost!AF127</f>
        <v>0</v>
      </c>
      <c r="M124" s="227">
        <f>InputForProCost!AG127</f>
        <v>0</v>
      </c>
      <c r="N124" s="227">
        <f>InputForProCost!AH127</f>
        <v>0</v>
      </c>
      <c r="O124" s="227">
        <f>InputForProCost!AI127</f>
        <v>5.8645828636293684</v>
      </c>
      <c r="P124" s="227" t="str">
        <f>InputForProCost!AJ127</f>
        <v>ResGASDHW</v>
      </c>
      <c r="R124" s="228"/>
      <c r="S124" s="229"/>
    </row>
    <row r="125" spans="1:19">
      <c r="A125" s="226" t="str">
        <f>InputForProCost!U128</f>
        <v>Commercial Showerhead Replacement_2_00gpm_Any Commercial Except Fitness Center_ Electric Water Heating_Direct Install</v>
      </c>
      <c r="B125" s="226" t="str">
        <f>InputForProCost!V128</f>
        <v>On-site Savings, Costs, and Benefits</v>
      </c>
      <c r="C125" s="227">
        <f>InputForProCost!W128</f>
        <v>123.66116977993606</v>
      </c>
      <c r="D125" s="227">
        <f>InputForProCost!X128</f>
        <v>10</v>
      </c>
      <c r="E125" s="227">
        <f>InputForProCost!Y128</f>
        <v>11.336666666666666</v>
      </c>
      <c r="F125" s="227">
        <f>InputForProCost!Z128</f>
        <v>0</v>
      </c>
      <c r="G125" s="227" t="str">
        <f>InputForProCost!AA128</f>
        <v>ResDHW</v>
      </c>
      <c r="H125" s="227">
        <f>InputForProCost!AB128</f>
        <v>14.353548948201761</v>
      </c>
      <c r="I125" s="227">
        <f>InputForProCost!AC128</f>
        <v>0</v>
      </c>
      <c r="J125" s="227">
        <f>InputForProCost!AD128</f>
        <v>0</v>
      </c>
      <c r="K125" s="227">
        <f>InputForProCost!AE128</f>
        <v>0</v>
      </c>
      <c r="L125" s="227">
        <f>InputForProCost!AF128</f>
        <v>0</v>
      </c>
      <c r="M125" s="227">
        <f>InputForProCost!AG128</f>
        <v>0</v>
      </c>
      <c r="N125" s="227">
        <f>InputForProCost!AH128</f>
        <v>0</v>
      </c>
      <c r="O125" s="227">
        <f>InputForProCost!AI128</f>
        <v>0</v>
      </c>
      <c r="P125" s="227" t="str">
        <f>InputForProCost!AJ128</f>
        <v>ResGASDHW</v>
      </c>
      <c r="R125" s="228"/>
      <c r="S125" s="229"/>
    </row>
    <row r="126" spans="1:19">
      <c r="A126" s="226" t="str">
        <f>InputForProCost!U129</f>
        <v>Commercial Showerhead Replacement_2_00gpm_Any Commercial Except Fitness Center_ Gas Water Heating_Direct Install</v>
      </c>
      <c r="B126" s="226" t="str">
        <f>InputForProCost!V129</f>
        <v>On-site Savings, Costs, and Benefits</v>
      </c>
      <c r="C126" s="227">
        <f>InputForProCost!W129</f>
        <v>0</v>
      </c>
      <c r="D126" s="227">
        <f>InputForProCost!X129</f>
        <v>10</v>
      </c>
      <c r="E126" s="227">
        <f>InputForProCost!Y129</f>
        <v>11.336666666666666</v>
      </c>
      <c r="F126" s="227">
        <f>InputForProCost!Z129</f>
        <v>0</v>
      </c>
      <c r="G126" s="227" t="str">
        <f>InputForProCost!AA129</f>
        <v>ResDHW</v>
      </c>
      <c r="H126" s="227">
        <f>InputForProCost!AB129</f>
        <v>14.353548948201761</v>
      </c>
      <c r="I126" s="227">
        <f>InputForProCost!AC129</f>
        <v>0</v>
      </c>
      <c r="J126" s="227">
        <f>InputForProCost!AD129</f>
        <v>0</v>
      </c>
      <c r="K126" s="227">
        <f>InputForProCost!AE129</f>
        <v>0</v>
      </c>
      <c r="L126" s="227">
        <f>InputForProCost!AF129</f>
        <v>0</v>
      </c>
      <c r="M126" s="227">
        <f>InputForProCost!AG129</f>
        <v>0</v>
      </c>
      <c r="N126" s="227">
        <f>InputForProCost!AH129</f>
        <v>0</v>
      </c>
      <c r="O126" s="227">
        <f>InputForProCost!AI129</f>
        <v>5.5148098468412918</v>
      </c>
      <c r="P126" s="227" t="str">
        <f>InputForProCost!AJ129</f>
        <v>ResGASDHW</v>
      </c>
      <c r="R126" s="228"/>
      <c r="S126" s="229"/>
    </row>
    <row r="127" spans="1:19">
      <c r="A127" s="226" t="str">
        <f>InputForProCost!U130</f>
        <v>Commercial Showerhead Replacement_2_00gpm_Any Commercial Except Fitness Center_ Any Water Heating_Direct Install</v>
      </c>
      <c r="B127" s="226" t="str">
        <f>InputForProCost!V130</f>
        <v>On-site Savings, Costs, and Benefits</v>
      </c>
      <c r="C127" s="227">
        <f>InputForProCost!W130</f>
        <v>27.836798848890673</v>
      </c>
      <c r="D127" s="227">
        <f>InputForProCost!X130</f>
        <v>10</v>
      </c>
      <c r="E127" s="227">
        <f>InputForProCost!Y130</f>
        <v>11.336666666666666</v>
      </c>
      <c r="F127" s="227">
        <f>InputForProCost!Z130</f>
        <v>0</v>
      </c>
      <c r="G127" s="227" t="str">
        <f>InputForProCost!AA130</f>
        <v>ResDHW</v>
      </c>
      <c r="H127" s="227">
        <f>InputForProCost!AB130</f>
        <v>14.353548948201761</v>
      </c>
      <c r="I127" s="227">
        <f>InputForProCost!AC130</f>
        <v>0</v>
      </c>
      <c r="J127" s="227">
        <f>InputForProCost!AD130</f>
        <v>0</v>
      </c>
      <c r="K127" s="227">
        <f>InputForProCost!AE130</f>
        <v>0</v>
      </c>
      <c r="L127" s="227">
        <f>InputForProCost!AF130</f>
        <v>0</v>
      </c>
      <c r="M127" s="227">
        <f>InputForProCost!AG130</f>
        <v>0</v>
      </c>
      <c r="N127" s="227">
        <f>InputForProCost!AH130</f>
        <v>0</v>
      </c>
      <c r="O127" s="227">
        <f>InputForProCost!AI130</f>
        <v>4.2733962918054393</v>
      </c>
      <c r="P127" s="227" t="str">
        <f>InputForProCost!AJ130</f>
        <v>ResGASDHW</v>
      </c>
      <c r="R127" s="228"/>
      <c r="S127" s="229"/>
    </row>
    <row r="128" spans="1:19">
      <c r="A128" s="226" t="str">
        <f>InputForProCost!U131</f>
        <v>Commercial Showerhead Replacement_1_75gpm_Any Commercial Except Fitness Center_ Electric Water Heating_Direct Install</v>
      </c>
      <c r="B128" s="226" t="str">
        <f>InputForProCost!V131</f>
        <v>On-site Savings, Costs, and Benefits</v>
      </c>
      <c r="C128" s="227">
        <f>InputForProCost!W131</f>
        <v>131.97306622381231</v>
      </c>
      <c r="D128" s="227">
        <f>InputForProCost!X131</f>
        <v>10</v>
      </c>
      <c r="E128" s="227">
        <f>InputForProCost!Y131</f>
        <v>11.336666666666666</v>
      </c>
      <c r="F128" s="227">
        <f>InputForProCost!Z131</f>
        <v>0</v>
      </c>
      <c r="G128" s="227" t="str">
        <f>InputForProCost!AA131</f>
        <v>ResDHW</v>
      </c>
      <c r="H128" s="227">
        <f>InputForProCost!AB131</f>
        <v>16.147742566726993</v>
      </c>
      <c r="I128" s="227">
        <f>InputForProCost!AC131</f>
        <v>0</v>
      </c>
      <c r="J128" s="227">
        <f>InputForProCost!AD131</f>
        <v>0</v>
      </c>
      <c r="K128" s="227">
        <f>InputForProCost!AE131</f>
        <v>0</v>
      </c>
      <c r="L128" s="227">
        <f>InputForProCost!AF131</f>
        <v>0</v>
      </c>
      <c r="M128" s="227">
        <f>InputForProCost!AG131</f>
        <v>0</v>
      </c>
      <c r="N128" s="227">
        <f>InputForProCost!AH131</f>
        <v>0</v>
      </c>
      <c r="O128" s="227">
        <f>InputForProCost!AI131</f>
        <v>0</v>
      </c>
      <c r="P128" s="227" t="str">
        <f>InputForProCost!AJ131</f>
        <v>ResGASDHW</v>
      </c>
      <c r="R128" s="228"/>
      <c r="S128" s="229"/>
    </row>
    <row r="129" spans="1:19">
      <c r="A129" s="226" t="str">
        <f>InputForProCost!U132</f>
        <v>Commercial Showerhead Replacement_1_75gpm_Any Commercial Except Fitness Center_ Gas Water Heating_Direct Install</v>
      </c>
      <c r="B129" s="226" t="str">
        <f>InputForProCost!V132</f>
        <v>On-site Savings, Costs, and Benefits</v>
      </c>
      <c r="C129" s="227">
        <f>InputForProCost!W132</f>
        <v>0</v>
      </c>
      <c r="D129" s="227">
        <f>InputForProCost!X132</f>
        <v>10</v>
      </c>
      <c r="E129" s="227">
        <f>InputForProCost!Y132</f>
        <v>11.336666666666666</v>
      </c>
      <c r="F129" s="227">
        <f>InputForProCost!Z132</f>
        <v>0</v>
      </c>
      <c r="G129" s="227" t="str">
        <f>InputForProCost!AA132</f>
        <v>ResDHW</v>
      </c>
      <c r="H129" s="227">
        <f>InputForProCost!AB132</f>
        <v>16.147742566726993</v>
      </c>
      <c r="I129" s="227">
        <f>InputForProCost!AC132</f>
        <v>0</v>
      </c>
      <c r="J129" s="227">
        <f>InputForProCost!AD132</f>
        <v>0</v>
      </c>
      <c r="K129" s="227">
        <f>InputForProCost!AE132</f>
        <v>0</v>
      </c>
      <c r="L129" s="227">
        <f>InputForProCost!AF132</f>
        <v>0</v>
      </c>
      <c r="M129" s="227">
        <f>InputForProCost!AG132</f>
        <v>0</v>
      </c>
      <c r="N129" s="227">
        <f>InputForProCost!AH132</f>
        <v>0</v>
      </c>
      <c r="O129" s="227">
        <f>InputForProCost!AI132</f>
        <v>5.8854882775579469</v>
      </c>
      <c r="P129" s="227" t="str">
        <f>InputForProCost!AJ132</f>
        <v>ResGASDHW</v>
      </c>
      <c r="R129" s="228"/>
      <c r="S129" s="229"/>
    </row>
    <row r="130" spans="1:19">
      <c r="A130" s="226" t="str">
        <f>InputForProCost!U133</f>
        <v>Commercial Showerhead Replacement_1_75gpm_Any Commercial Except Fitness Center_ Any Water Heating_Direct Install</v>
      </c>
      <c r="B130" s="226" t="str">
        <f>InputForProCost!V133</f>
        <v>On-site Savings, Costs, and Benefits</v>
      </c>
      <c r="C130" s="227">
        <f>InputForProCost!W133</f>
        <v>29.707851741021194</v>
      </c>
      <c r="D130" s="227">
        <f>InputForProCost!X133</f>
        <v>10</v>
      </c>
      <c r="E130" s="227">
        <f>InputForProCost!Y133</f>
        <v>11.336666666666666</v>
      </c>
      <c r="F130" s="227">
        <f>InputForProCost!Z133</f>
        <v>0</v>
      </c>
      <c r="G130" s="227" t="str">
        <f>InputForProCost!AA133</f>
        <v>ResDHW</v>
      </c>
      <c r="H130" s="227">
        <f>InputForProCost!AB133</f>
        <v>16.147742566726993</v>
      </c>
      <c r="I130" s="227">
        <f>InputForProCost!AC133</f>
        <v>0</v>
      </c>
      <c r="J130" s="227">
        <f>InputForProCost!AD133</f>
        <v>0</v>
      </c>
      <c r="K130" s="227">
        <f>InputForProCost!AE133</f>
        <v>0</v>
      </c>
      <c r="L130" s="227">
        <f>InputForProCost!AF133</f>
        <v>0</v>
      </c>
      <c r="M130" s="227">
        <f>InputForProCost!AG133</f>
        <v>0</v>
      </c>
      <c r="N130" s="227">
        <f>InputForProCost!AH133</f>
        <v>0</v>
      </c>
      <c r="O130" s="227">
        <f>InputForProCost!AI133</f>
        <v>4.5606330008252627</v>
      </c>
      <c r="P130" s="227" t="str">
        <f>InputForProCost!AJ133</f>
        <v>ResGASDHW</v>
      </c>
      <c r="R130" s="228"/>
      <c r="S130" s="229"/>
    </row>
    <row r="131" spans="1:19">
      <c r="A131" s="226" t="str">
        <f>InputForProCost!U134</f>
        <v>Commercial Showerhead Replacement_1_50gpm_Any Commercial Except Fitness Center_ Electric Water Heating_Direct Install</v>
      </c>
      <c r="B131" s="226" t="str">
        <f>InputForProCost!V134</f>
        <v>On-site Savings, Costs, and Benefits</v>
      </c>
      <c r="C131" s="227">
        <f>InputForProCost!W134</f>
        <v>218.19348455954196</v>
      </c>
      <c r="D131" s="227">
        <f>InputForProCost!X134</f>
        <v>10</v>
      </c>
      <c r="E131" s="227">
        <f>InputForProCost!Y134</f>
        <v>11.336666666666666</v>
      </c>
      <c r="F131" s="227">
        <f>InputForProCost!Z134</f>
        <v>0</v>
      </c>
      <c r="G131" s="227" t="str">
        <f>InputForProCost!AA134</f>
        <v>ResDHW</v>
      </c>
      <c r="H131" s="227">
        <f>InputForProCost!AB134</f>
        <v>25.118710659353084</v>
      </c>
      <c r="I131" s="227">
        <f>InputForProCost!AC134</f>
        <v>0</v>
      </c>
      <c r="J131" s="227">
        <f>InputForProCost!AD134</f>
        <v>0</v>
      </c>
      <c r="K131" s="227">
        <f>InputForProCost!AE134</f>
        <v>0</v>
      </c>
      <c r="L131" s="227">
        <f>InputForProCost!AF134</f>
        <v>0</v>
      </c>
      <c r="M131" s="227">
        <f>InputForProCost!AG134</f>
        <v>0</v>
      </c>
      <c r="N131" s="227">
        <f>InputForProCost!AH134</f>
        <v>0</v>
      </c>
      <c r="O131" s="227">
        <f>InputForProCost!AI134</f>
        <v>0</v>
      </c>
      <c r="P131" s="227" t="str">
        <f>InputForProCost!AJ134</f>
        <v>ResGASDHW</v>
      </c>
      <c r="R131" s="228"/>
      <c r="S131" s="229"/>
    </row>
    <row r="132" spans="1:19">
      <c r="A132" s="226" t="str">
        <f>InputForProCost!U135</f>
        <v>Commercial Showerhead Replacement_1_50gpm_Any Commercial Except Fitness Center_ Gas Water Heating_Direct Install</v>
      </c>
      <c r="B132" s="226" t="str">
        <f>InputForProCost!V135</f>
        <v>On-site Savings, Costs, and Benefits</v>
      </c>
      <c r="C132" s="227">
        <f>InputForProCost!W135</f>
        <v>0</v>
      </c>
      <c r="D132" s="227">
        <f>InputForProCost!X135</f>
        <v>10</v>
      </c>
      <c r="E132" s="227">
        <f>InputForProCost!Y135</f>
        <v>11.336666666666666</v>
      </c>
      <c r="F132" s="227">
        <f>InputForProCost!Z135</f>
        <v>0</v>
      </c>
      <c r="G132" s="227" t="str">
        <f>InputForProCost!AA135</f>
        <v>ResDHW</v>
      </c>
      <c r="H132" s="227">
        <f>InputForProCost!AB135</f>
        <v>25.118710659353084</v>
      </c>
      <c r="I132" s="227">
        <f>InputForProCost!AC135</f>
        <v>0</v>
      </c>
      <c r="J132" s="227">
        <f>InputForProCost!AD135</f>
        <v>0</v>
      </c>
      <c r="K132" s="227">
        <f>InputForProCost!AE135</f>
        <v>0</v>
      </c>
      <c r="L132" s="227">
        <f>InputForProCost!AF135</f>
        <v>0</v>
      </c>
      <c r="M132" s="227">
        <f>InputForProCost!AG135</f>
        <v>0</v>
      </c>
      <c r="N132" s="227">
        <f>InputForProCost!AH135</f>
        <v>0</v>
      </c>
      <c r="O132" s="227">
        <f>InputForProCost!AI135</f>
        <v>9.7305854320068779</v>
      </c>
      <c r="P132" s="227" t="str">
        <f>InputForProCost!AJ135</f>
        <v>ResGASDHW</v>
      </c>
      <c r="R132" s="228"/>
      <c r="S132" s="229"/>
    </row>
    <row r="133" spans="1:19">
      <c r="A133" s="226" t="str">
        <f>InputForProCost!U136</f>
        <v>Commercial Showerhead Replacement_1_50gpm_Any Commercial Except Fitness Center_ Any Water Heating_Direct Install</v>
      </c>
      <c r="B133" s="226" t="str">
        <f>InputForProCost!V136</f>
        <v>On-site Savings, Costs, and Benefits</v>
      </c>
      <c r="C133" s="227">
        <f>InputForProCost!W136</f>
        <v>49.116534726553866</v>
      </c>
      <c r="D133" s="227">
        <f>InputForProCost!X136</f>
        <v>10</v>
      </c>
      <c r="E133" s="227">
        <f>InputForProCost!Y136</f>
        <v>11.336666666666666</v>
      </c>
      <c r="F133" s="227">
        <f>InputForProCost!Z136</f>
        <v>0</v>
      </c>
      <c r="G133" s="227" t="str">
        <f>InputForProCost!AA136</f>
        <v>ResDHW</v>
      </c>
      <c r="H133" s="227">
        <f>InputForProCost!AB136</f>
        <v>25.118710659353084</v>
      </c>
      <c r="I133" s="227">
        <f>InputForProCost!AC136</f>
        <v>0</v>
      </c>
      <c r="J133" s="227">
        <f>InputForProCost!AD136</f>
        <v>0</v>
      </c>
      <c r="K133" s="227">
        <f>InputForProCost!AE136</f>
        <v>0</v>
      </c>
      <c r="L133" s="227">
        <f>InputForProCost!AF136</f>
        <v>0</v>
      </c>
      <c r="M133" s="227">
        <f>InputForProCost!AG136</f>
        <v>0</v>
      </c>
      <c r="N133" s="227">
        <f>InputForProCost!AH136</f>
        <v>0</v>
      </c>
      <c r="O133" s="227">
        <f>InputForProCost!AI136</f>
        <v>7.5401779675234746</v>
      </c>
      <c r="P133" s="227" t="str">
        <f>InputForProCost!AJ136</f>
        <v>ResGASDHW</v>
      </c>
      <c r="R133" s="228"/>
      <c r="S133" s="229"/>
    </row>
    <row r="134" spans="1:19">
      <c r="A134" s="226" t="str">
        <f>InputForProCost!U137</f>
        <v>Commercial Showerhead Replacement_2_00gpm_Any Commercial Except Fitness Center_ Electric Water Heating_Mail-by-Request</v>
      </c>
      <c r="B134" s="226" t="str">
        <f>InputForProCost!V137</f>
        <v>On-site Savings, Costs, and Benefits</v>
      </c>
      <c r="C134" s="227">
        <f>InputForProCost!W137</f>
        <v>82.440779853290692</v>
      </c>
      <c r="D134" s="227">
        <f>InputForProCost!X137</f>
        <v>10</v>
      </c>
      <c r="E134" s="227">
        <f>InputForProCost!Y137</f>
        <v>8.1096944444444432</v>
      </c>
      <c r="F134" s="227">
        <f>InputForProCost!Z137</f>
        <v>0</v>
      </c>
      <c r="G134" s="227" t="str">
        <f>InputForProCost!AA137</f>
        <v>ResDHW</v>
      </c>
      <c r="H134" s="227">
        <f>InputForProCost!AB137</f>
        <v>9.5690326321345065</v>
      </c>
      <c r="I134" s="227">
        <f>InputForProCost!AC137</f>
        <v>0</v>
      </c>
      <c r="J134" s="227">
        <f>InputForProCost!AD137</f>
        <v>0</v>
      </c>
      <c r="K134" s="227">
        <f>InputForProCost!AE137</f>
        <v>0</v>
      </c>
      <c r="L134" s="227">
        <f>InputForProCost!AF137</f>
        <v>0</v>
      </c>
      <c r="M134" s="227">
        <f>InputForProCost!AG137</f>
        <v>0</v>
      </c>
      <c r="N134" s="227">
        <f>InputForProCost!AH137</f>
        <v>0</v>
      </c>
      <c r="O134" s="227">
        <f>InputForProCost!AI137</f>
        <v>0</v>
      </c>
      <c r="P134" s="227" t="str">
        <f>InputForProCost!AJ137</f>
        <v>ResGASDHW</v>
      </c>
      <c r="R134" s="228"/>
      <c r="S134" s="229"/>
    </row>
    <row r="135" spans="1:19">
      <c r="A135" s="226" t="str">
        <f>InputForProCost!U138</f>
        <v>Commercial Showerhead Replacement_2_00gpm_Any Commercial Except Fitness Center_ Gas Water Heating_Mail-by-Request</v>
      </c>
      <c r="B135" s="226" t="str">
        <f>InputForProCost!V138</f>
        <v>On-site Savings, Costs, and Benefits</v>
      </c>
      <c r="C135" s="227">
        <f>InputForProCost!W138</f>
        <v>0</v>
      </c>
      <c r="D135" s="227">
        <f>InputForProCost!X138</f>
        <v>10</v>
      </c>
      <c r="E135" s="227">
        <f>InputForProCost!Y138</f>
        <v>8.1096944444444432</v>
      </c>
      <c r="F135" s="227">
        <f>InputForProCost!Z138</f>
        <v>0</v>
      </c>
      <c r="G135" s="227" t="str">
        <f>InputForProCost!AA138</f>
        <v>ResDHW</v>
      </c>
      <c r="H135" s="227">
        <f>InputForProCost!AB138</f>
        <v>9.5690326321345065</v>
      </c>
      <c r="I135" s="227">
        <f>InputForProCost!AC138</f>
        <v>0</v>
      </c>
      <c r="J135" s="227">
        <f>InputForProCost!AD138</f>
        <v>0</v>
      </c>
      <c r="K135" s="227">
        <f>InputForProCost!AE138</f>
        <v>0</v>
      </c>
      <c r="L135" s="227">
        <f>InputForProCost!AF138</f>
        <v>0</v>
      </c>
      <c r="M135" s="227">
        <f>InputForProCost!AG138</f>
        <v>0</v>
      </c>
      <c r="N135" s="227">
        <f>InputForProCost!AH138</f>
        <v>0</v>
      </c>
      <c r="O135" s="227">
        <f>InputForProCost!AI138</f>
        <v>3.6765398978941946</v>
      </c>
      <c r="P135" s="227" t="str">
        <f>InputForProCost!AJ138</f>
        <v>ResGASDHW</v>
      </c>
      <c r="R135" s="228"/>
      <c r="S135" s="229"/>
    </row>
    <row r="136" spans="1:19">
      <c r="A136" s="226" t="str">
        <f>InputForProCost!U139</f>
        <v>Commercial Showerhead Replacement_2_00gpm_Any Commercial Except Fitness Center_ Any Water Heating_Mail-by-Request</v>
      </c>
      <c r="B136" s="226" t="str">
        <f>InputForProCost!V139</f>
        <v>On-site Savings, Costs, and Benefits</v>
      </c>
      <c r="C136" s="227">
        <f>InputForProCost!W139</f>
        <v>18.557865899260449</v>
      </c>
      <c r="D136" s="227">
        <f>InputForProCost!X139</f>
        <v>10</v>
      </c>
      <c r="E136" s="227">
        <f>InputForProCost!Y139</f>
        <v>8.1096944444444432</v>
      </c>
      <c r="F136" s="227">
        <f>InputForProCost!Z139</f>
        <v>0</v>
      </c>
      <c r="G136" s="227" t="str">
        <f>InputForProCost!AA139</f>
        <v>ResDHW</v>
      </c>
      <c r="H136" s="227">
        <f>InputForProCost!AB139</f>
        <v>9.5690326321345065</v>
      </c>
      <c r="I136" s="227">
        <f>InputForProCost!AC139</f>
        <v>0</v>
      </c>
      <c r="J136" s="227">
        <f>InputForProCost!AD139</f>
        <v>0</v>
      </c>
      <c r="K136" s="227">
        <f>InputForProCost!AE139</f>
        <v>0</v>
      </c>
      <c r="L136" s="227">
        <f>InputForProCost!AF139</f>
        <v>0</v>
      </c>
      <c r="M136" s="227">
        <f>InputForProCost!AG139</f>
        <v>0</v>
      </c>
      <c r="N136" s="227">
        <f>InputForProCost!AH139</f>
        <v>0</v>
      </c>
      <c r="O136" s="227">
        <f>InputForProCost!AI139</f>
        <v>2.8489308612036259</v>
      </c>
      <c r="P136" s="227" t="str">
        <f>InputForProCost!AJ139</f>
        <v>ResGASDHW</v>
      </c>
      <c r="R136" s="228"/>
      <c r="S136" s="229"/>
    </row>
    <row r="137" spans="1:19">
      <c r="A137" s="226" t="str">
        <f>InputForProCost!U140</f>
        <v>Commercial Showerhead Replacement_1_75gpm_Any Commercial Except Fitness Center_ Electric Water Heating_Mail-by-Request</v>
      </c>
      <c r="B137" s="226" t="str">
        <f>InputForProCost!V140</f>
        <v>On-site Savings, Costs, and Benefits</v>
      </c>
      <c r="C137" s="227">
        <f>InputForProCost!W140</f>
        <v>87.982044149208193</v>
      </c>
      <c r="D137" s="227">
        <f>InputForProCost!X140</f>
        <v>10</v>
      </c>
      <c r="E137" s="227">
        <f>InputForProCost!Y140</f>
        <v>8.1096944444444432</v>
      </c>
      <c r="F137" s="227">
        <f>InputForProCost!Z140</f>
        <v>0</v>
      </c>
      <c r="G137" s="227" t="str">
        <f>InputForProCost!AA140</f>
        <v>ResDHW</v>
      </c>
      <c r="H137" s="227">
        <f>InputForProCost!AB140</f>
        <v>10.765161711151327</v>
      </c>
      <c r="I137" s="227">
        <f>InputForProCost!AC140</f>
        <v>0</v>
      </c>
      <c r="J137" s="227">
        <f>InputForProCost!AD140</f>
        <v>0</v>
      </c>
      <c r="K137" s="227">
        <f>InputForProCost!AE140</f>
        <v>0</v>
      </c>
      <c r="L137" s="227">
        <f>InputForProCost!AF140</f>
        <v>0</v>
      </c>
      <c r="M137" s="227">
        <f>InputForProCost!AG140</f>
        <v>0</v>
      </c>
      <c r="N137" s="227">
        <f>InputForProCost!AH140</f>
        <v>0</v>
      </c>
      <c r="O137" s="227">
        <f>InputForProCost!AI140</f>
        <v>0</v>
      </c>
      <c r="P137" s="227" t="str">
        <f>InputForProCost!AJ140</f>
        <v>ResGASDHW</v>
      </c>
      <c r="R137" s="228"/>
      <c r="S137" s="229"/>
    </row>
    <row r="138" spans="1:19">
      <c r="A138" s="226" t="str">
        <f>InputForProCost!U141</f>
        <v>Commercial Showerhead Replacement_1_75gpm_Any Commercial Except Fitness Center_ Gas Water Heating_Mail-by-Request</v>
      </c>
      <c r="B138" s="226" t="str">
        <f>InputForProCost!V141</f>
        <v>On-site Savings, Costs, and Benefits</v>
      </c>
      <c r="C138" s="227">
        <f>InputForProCost!W141</f>
        <v>0</v>
      </c>
      <c r="D138" s="227">
        <f>InputForProCost!X141</f>
        <v>10</v>
      </c>
      <c r="E138" s="227">
        <f>InputForProCost!Y141</f>
        <v>8.1096944444444432</v>
      </c>
      <c r="F138" s="227">
        <f>InputForProCost!Z141</f>
        <v>0</v>
      </c>
      <c r="G138" s="227" t="str">
        <f>InputForProCost!AA141</f>
        <v>ResDHW</v>
      </c>
      <c r="H138" s="227">
        <f>InputForProCost!AB141</f>
        <v>10.765161711151327</v>
      </c>
      <c r="I138" s="227">
        <f>InputForProCost!AC141</f>
        <v>0</v>
      </c>
      <c r="J138" s="227">
        <f>InputForProCost!AD141</f>
        <v>0</v>
      </c>
      <c r="K138" s="227">
        <f>InputForProCost!AE141</f>
        <v>0</v>
      </c>
      <c r="L138" s="227">
        <f>InputForProCost!AF141</f>
        <v>0</v>
      </c>
      <c r="M138" s="227">
        <f>InputForProCost!AG141</f>
        <v>0</v>
      </c>
      <c r="N138" s="227">
        <f>InputForProCost!AH141</f>
        <v>0</v>
      </c>
      <c r="O138" s="227">
        <f>InputForProCost!AI141</f>
        <v>3.9236588517052979</v>
      </c>
      <c r="P138" s="227" t="str">
        <f>InputForProCost!AJ141</f>
        <v>ResGASDHW</v>
      </c>
      <c r="R138" s="228"/>
      <c r="S138" s="229"/>
    </row>
    <row r="139" spans="1:19">
      <c r="A139" s="226" t="str">
        <f>InputForProCost!U142</f>
        <v>Commercial Showerhead Replacement_1_75gpm_Any Commercial Except Fitness Center_ Any Water Heating_Mail-by-Request</v>
      </c>
      <c r="B139" s="226" t="str">
        <f>InputForProCost!V142</f>
        <v>On-site Savings, Costs, and Benefits</v>
      </c>
      <c r="C139" s="227">
        <f>InputForProCost!W142</f>
        <v>19.805234494014126</v>
      </c>
      <c r="D139" s="227">
        <f>InputForProCost!X142</f>
        <v>10</v>
      </c>
      <c r="E139" s="227">
        <f>InputForProCost!Y142</f>
        <v>8.1096944444444432</v>
      </c>
      <c r="F139" s="227">
        <f>InputForProCost!Z142</f>
        <v>0</v>
      </c>
      <c r="G139" s="227" t="str">
        <f>InputForProCost!AA142</f>
        <v>ResDHW</v>
      </c>
      <c r="H139" s="227">
        <f>InputForProCost!AB142</f>
        <v>10.765161711151327</v>
      </c>
      <c r="I139" s="227">
        <f>InputForProCost!AC142</f>
        <v>0</v>
      </c>
      <c r="J139" s="227">
        <f>InputForProCost!AD142</f>
        <v>0</v>
      </c>
      <c r="K139" s="227">
        <f>InputForProCost!AE142</f>
        <v>0</v>
      </c>
      <c r="L139" s="227">
        <f>InputForProCost!AF142</f>
        <v>0</v>
      </c>
      <c r="M139" s="227">
        <f>InputForProCost!AG142</f>
        <v>0</v>
      </c>
      <c r="N139" s="227">
        <f>InputForProCost!AH142</f>
        <v>0</v>
      </c>
      <c r="O139" s="227">
        <f>InputForProCost!AI142</f>
        <v>3.0404220005501754</v>
      </c>
      <c r="P139" s="227" t="str">
        <f>InputForProCost!AJ142</f>
        <v>ResGASDHW</v>
      </c>
      <c r="R139" s="228"/>
      <c r="S139" s="229"/>
    </row>
    <row r="140" spans="1:19">
      <c r="A140" s="226" t="str">
        <f>InputForProCost!U143</f>
        <v>Commercial Showerhead Replacement_1_50gpm_Any Commercial Except Fitness Center_ Electric Water Heating_Mail-by-Request</v>
      </c>
      <c r="B140" s="226" t="str">
        <f>InputForProCost!V143</f>
        <v>On-site Savings, Costs, and Benefits</v>
      </c>
      <c r="C140" s="227">
        <f>InputForProCost!W143</f>
        <v>145.46232303969464</v>
      </c>
      <c r="D140" s="227">
        <f>InputForProCost!X143</f>
        <v>10</v>
      </c>
      <c r="E140" s="227">
        <f>InputForProCost!Y143</f>
        <v>8.1096944444444432</v>
      </c>
      <c r="F140" s="227">
        <f>InputForProCost!Z143</f>
        <v>0</v>
      </c>
      <c r="G140" s="227" t="str">
        <f>InputForProCost!AA143</f>
        <v>ResDHW</v>
      </c>
      <c r="H140" s="227">
        <f>InputForProCost!AB143</f>
        <v>16.745807106235389</v>
      </c>
      <c r="I140" s="227">
        <f>InputForProCost!AC143</f>
        <v>0</v>
      </c>
      <c r="J140" s="227">
        <f>InputForProCost!AD143</f>
        <v>0</v>
      </c>
      <c r="K140" s="227">
        <f>InputForProCost!AE143</f>
        <v>0</v>
      </c>
      <c r="L140" s="227">
        <f>InputForProCost!AF143</f>
        <v>0</v>
      </c>
      <c r="M140" s="227">
        <f>InputForProCost!AG143</f>
        <v>0</v>
      </c>
      <c r="N140" s="227">
        <f>InputForProCost!AH143</f>
        <v>0</v>
      </c>
      <c r="O140" s="227">
        <f>InputForProCost!AI143</f>
        <v>0</v>
      </c>
      <c r="P140" s="227" t="str">
        <f>InputForProCost!AJ143</f>
        <v>ResGASDHW</v>
      </c>
      <c r="R140" s="228"/>
      <c r="S140" s="229"/>
    </row>
    <row r="141" spans="1:19">
      <c r="A141" s="226" t="str">
        <f>InputForProCost!U144</f>
        <v>Commercial Showerhead Replacement_1_50gpm_Any Commercial Except Fitness Center_ Gas Water Heating_Mail-by-Request</v>
      </c>
      <c r="B141" s="226" t="str">
        <f>InputForProCost!V144</f>
        <v>On-site Savings, Costs, and Benefits</v>
      </c>
      <c r="C141" s="227">
        <f>InputForProCost!W144</f>
        <v>0</v>
      </c>
      <c r="D141" s="227">
        <f>InputForProCost!X144</f>
        <v>10</v>
      </c>
      <c r="E141" s="227">
        <f>InputForProCost!Y144</f>
        <v>8.1096944444444432</v>
      </c>
      <c r="F141" s="227">
        <f>InputForProCost!Z144</f>
        <v>0</v>
      </c>
      <c r="G141" s="227" t="str">
        <f>InputForProCost!AA144</f>
        <v>ResDHW</v>
      </c>
      <c r="H141" s="227">
        <f>InputForProCost!AB144</f>
        <v>16.745807106235389</v>
      </c>
      <c r="I141" s="227">
        <f>InputForProCost!AC144</f>
        <v>0</v>
      </c>
      <c r="J141" s="227">
        <f>InputForProCost!AD144</f>
        <v>0</v>
      </c>
      <c r="K141" s="227">
        <f>InputForProCost!AE144</f>
        <v>0</v>
      </c>
      <c r="L141" s="227">
        <f>InputForProCost!AF144</f>
        <v>0</v>
      </c>
      <c r="M141" s="227">
        <f>InputForProCost!AG144</f>
        <v>0</v>
      </c>
      <c r="N141" s="227">
        <f>InputForProCost!AH144</f>
        <v>0</v>
      </c>
      <c r="O141" s="227">
        <f>InputForProCost!AI144</f>
        <v>6.4870569546712513</v>
      </c>
      <c r="P141" s="227" t="str">
        <f>InputForProCost!AJ144</f>
        <v>ResGASDHW</v>
      </c>
      <c r="R141" s="228"/>
      <c r="S141" s="229"/>
    </row>
    <row r="142" spans="1:19">
      <c r="A142" s="226" t="str">
        <f>InputForProCost!U145</f>
        <v>Commercial Showerhead Replacement_1_50gpm_Any Commercial Except Fitness Center_ Any Water Heating_Mail-by-Request</v>
      </c>
      <c r="B142" s="226" t="str">
        <f>InputForProCost!V145</f>
        <v>On-site Savings, Costs, and Benefits</v>
      </c>
      <c r="C142" s="227">
        <f>InputForProCost!W145</f>
        <v>32.744356484369241</v>
      </c>
      <c r="D142" s="227">
        <f>InputForProCost!X145</f>
        <v>10</v>
      </c>
      <c r="E142" s="227">
        <f>InputForProCost!Y145</f>
        <v>8.1096944444444432</v>
      </c>
      <c r="F142" s="227">
        <f>InputForProCost!Z145</f>
        <v>0</v>
      </c>
      <c r="G142" s="227" t="str">
        <f>InputForProCost!AA145</f>
        <v>ResDHW</v>
      </c>
      <c r="H142" s="227">
        <f>InputForProCost!AB145</f>
        <v>16.745807106235389</v>
      </c>
      <c r="I142" s="227">
        <f>InputForProCost!AC145</f>
        <v>0</v>
      </c>
      <c r="J142" s="227">
        <f>InputForProCost!AD145</f>
        <v>0</v>
      </c>
      <c r="K142" s="227">
        <f>InputForProCost!AE145</f>
        <v>0</v>
      </c>
      <c r="L142" s="227">
        <f>InputForProCost!AF145</f>
        <v>0</v>
      </c>
      <c r="M142" s="227">
        <f>InputForProCost!AG145</f>
        <v>0</v>
      </c>
      <c r="N142" s="227">
        <f>InputForProCost!AH145</f>
        <v>0</v>
      </c>
      <c r="O142" s="227">
        <f>InputForProCost!AI145</f>
        <v>5.0267853116823158</v>
      </c>
      <c r="P142" s="227" t="str">
        <f>InputForProCost!AJ145</f>
        <v>ResGASDHW</v>
      </c>
      <c r="R142" s="228"/>
      <c r="S142" s="229"/>
    </row>
    <row r="143" spans="1:19">
      <c r="A143" s="226" t="str">
        <f>InputForProCost!U146</f>
        <v>Commercial Showerhead Replacement_2_00gpm_Fitness Center_ Electric Water Heating_Retail</v>
      </c>
      <c r="B143" s="226" t="str">
        <f>InputForProCost!V146</f>
        <v>On-site Savings, Costs, and Benefits</v>
      </c>
      <c r="C143" s="227">
        <f>InputForProCost!W146</f>
        <v>2064.5481497692804</v>
      </c>
      <c r="D143" s="227">
        <f>InputForProCost!X146</f>
        <v>10</v>
      </c>
      <c r="E143" s="227">
        <f>InputForProCost!Y146</f>
        <v>3.2966774171383419</v>
      </c>
      <c r="F143" s="227">
        <f>InputForProCost!Z146</f>
        <v>0</v>
      </c>
      <c r="G143" s="227" t="str">
        <f>InputForProCost!AA146</f>
        <v>ResDHW</v>
      </c>
      <c r="H143" s="227">
        <f>InputForProCost!AB146</f>
        <v>239.63539222835968</v>
      </c>
      <c r="I143" s="227">
        <f>InputForProCost!AC146</f>
        <v>0</v>
      </c>
      <c r="J143" s="227">
        <f>InputForProCost!AD146</f>
        <v>0</v>
      </c>
      <c r="K143" s="227">
        <f>InputForProCost!AE146</f>
        <v>0</v>
      </c>
      <c r="L143" s="227">
        <f>InputForProCost!AF146</f>
        <v>0</v>
      </c>
      <c r="M143" s="227">
        <f>InputForProCost!AG146</f>
        <v>0</v>
      </c>
      <c r="N143" s="227">
        <f>InputForProCost!AH146</f>
        <v>0</v>
      </c>
      <c r="O143" s="227">
        <f>InputForProCost!AI146</f>
        <v>0</v>
      </c>
      <c r="P143" s="227" t="str">
        <f>InputForProCost!AJ146</f>
        <v>ResGASDHW</v>
      </c>
      <c r="R143" s="228"/>
      <c r="S143" s="229"/>
    </row>
    <row r="144" spans="1:19">
      <c r="A144" s="226" t="str">
        <f>InputForProCost!U147</f>
        <v>Commercial Showerhead Replacement_2_00gpm_Fitness Center_ Gas Water Heating_Retail</v>
      </c>
      <c r="B144" s="226" t="str">
        <f>InputForProCost!V147</f>
        <v>On-site Savings, Costs, and Benefits</v>
      </c>
      <c r="C144" s="227">
        <f>InputForProCost!W147</f>
        <v>0</v>
      </c>
      <c r="D144" s="227">
        <f>InputForProCost!X147</f>
        <v>10</v>
      </c>
      <c r="E144" s="227">
        <f>InputForProCost!Y147</f>
        <v>3.2966774171383419</v>
      </c>
      <c r="F144" s="227">
        <f>InputForProCost!Z147</f>
        <v>0</v>
      </c>
      <c r="G144" s="227" t="str">
        <f>InputForProCost!AA147</f>
        <v>ResDHW</v>
      </c>
      <c r="H144" s="227">
        <f>InputForProCost!AB147</f>
        <v>239.63539222835968</v>
      </c>
      <c r="I144" s="227">
        <f>InputForProCost!AC147</f>
        <v>0</v>
      </c>
      <c r="J144" s="227">
        <f>InputForProCost!AD147</f>
        <v>0</v>
      </c>
      <c r="K144" s="227">
        <f>InputForProCost!AE147</f>
        <v>0</v>
      </c>
      <c r="L144" s="227">
        <f>InputForProCost!AF147</f>
        <v>0</v>
      </c>
      <c r="M144" s="227">
        <f>InputForProCost!AG147</f>
        <v>0</v>
      </c>
      <c r="N144" s="227">
        <f>InputForProCost!AH147</f>
        <v>0</v>
      </c>
      <c r="O144" s="227">
        <f>InputForProCost!AI147</f>
        <v>92.070861741701819</v>
      </c>
      <c r="P144" s="227" t="str">
        <f>InputForProCost!AJ147</f>
        <v>ResGASDHW</v>
      </c>
      <c r="R144" s="228"/>
      <c r="S144" s="229"/>
    </row>
    <row r="145" spans="1:19">
      <c r="A145" s="226" t="str">
        <f>InputForProCost!U148</f>
        <v>Commercial Showerhead Replacement_2_00gpm_Fitness Center_ Any Water Heating_Retail</v>
      </c>
      <c r="B145" s="226" t="str">
        <f>InputForProCost!V148</f>
        <v>On-site Savings, Costs, and Benefits</v>
      </c>
      <c r="C145" s="227">
        <f>InputForProCost!W148</f>
        <v>653.77358076027213</v>
      </c>
      <c r="D145" s="227">
        <f>InputForProCost!X148</f>
        <v>10</v>
      </c>
      <c r="E145" s="227">
        <f>InputForProCost!Y148</f>
        <v>3.2966774171383419</v>
      </c>
      <c r="F145" s="227">
        <f>InputForProCost!Z148</f>
        <v>0</v>
      </c>
      <c r="G145" s="227" t="str">
        <f>InputForProCost!AA148</f>
        <v>ResDHW</v>
      </c>
      <c r="H145" s="227">
        <f>InputForProCost!AB148</f>
        <v>239.63539222835968</v>
      </c>
      <c r="I145" s="227">
        <f>InputForProCost!AC148</f>
        <v>0</v>
      </c>
      <c r="J145" s="227">
        <f>InputForProCost!AD148</f>
        <v>0</v>
      </c>
      <c r="K145" s="227">
        <f>InputForProCost!AE148</f>
        <v>0</v>
      </c>
      <c r="L145" s="227">
        <f>InputForProCost!AF148</f>
        <v>0</v>
      </c>
      <c r="M145" s="227">
        <f>InputForProCost!AG148</f>
        <v>0</v>
      </c>
      <c r="N145" s="227">
        <f>InputForProCost!AH148</f>
        <v>0</v>
      </c>
      <c r="O145" s="227">
        <f>InputForProCost!AI148</f>
        <v>62.915088856829577</v>
      </c>
      <c r="P145" s="227" t="str">
        <f>InputForProCost!AJ148</f>
        <v>ResGASDHW</v>
      </c>
      <c r="R145" s="228"/>
      <c r="S145" s="229"/>
    </row>
    <row r="146" spans="1:19">
      <c r="A146" s="226" t="str">
        <f>InputForProCost!U149</f>
        <v>Commercial Showerhead Replacement_1_75gpm_Fitness Center_ Electric Water Heating_Retail</v>
      </c>
      <c r="B146" s="226" t="str">
        <f>InputForProCost!V149</f>
        <v>On-site Savings, Costs, and Benefits</v>
      </c>
      <c r="C146" s="227">
        <f>InputForProCost!W149</f>
        <v>2065.6096274245328</v>
      </c>
      <c r="D146" s="227">
        <f>InputForProCost!X149</f>
        <v>10</v>
      </c>
      <c r="E146" s="227">
        <f>InputForProCost!Y149</f>
        <v>3.2966774171383419</v>
      </c>
      <c r="F146" s="227">
        <f>InputForProCost!Z149</f>
        <v>0</v>
      </c>
      <c r="G146" s="227" t="str">
        <f>InputForProCost!AA149</f>
        <v>ResDHW</v>
      </c>
      <c r="H146" s="227">
        <f>InputForProCost!AB149</f>
        <v>252.74045274084807</v>
      </c>
      <c r="I146" s="227">
        <f>InputForProCost!AC149</f>
        <v>0</v>
      </c>
      <c r="J146" s="227">
        <f>InputForProCost!AD149</f>
        <v>0</v>
      </c>
      <c r="K146" s="227">
        <f>InputForProCost!AE149</f>
        <v>0</v>
      </c>
      <c r="L146" s="227">
        <f>InputForProCost!AF149</f>
        <v>0</v>
      </c>
      <c r="M146" s="227">
        <f>InputForProCost!AG149</f>
        <v>0</v>
      </c>
      <c r="N146" s="227">
        <f>InputForProCost!AH149</f>
        <v>0</v>
      </c>
      <c r="O146" s="227">
        <f>InputForProCost!AI149</f>
        <v>0</v>
      </c>
      <c r="P146" s="227" t="str">
        <f>InputForProCost!AJ149</f>
        <v>ResGASDHW</v>
      </c>
      <c r="R146" s="228"/>
      <c r="S146" s="229"/>
    </row>
    <row r="147" spans="1:19">
      <c r="A147" s="226" t="str">
        <f>InputForProCost!U150</f>
        <v>Commercial Showerhead Replacement_1_75gpm_Fitness Center_ Gas Water Heating_Retail</v>
      </c>
      <c r="B147" s="226" t="str">
        <f>InputForProCost!V150</f>
        <v>On-site Savings, Costs, and Benefits</v>
      </c>
      <c r="C147" s="227">
        <f>InputForProCost!W150</f>
        <v>0</v>
      </c>
      <c r="D147" s="227">
        <f>InputForProCost!X150</f>
        <v>10</v>
      </c>
      <c r="E147" s="227">
        <f>InputForProCost!Y150</f>
        <v>3.2966774171383419</v>
      </c>
      <c r="F147" s="227">
        <f>InputForProCost!Z150</f>
        <v>0</v>
      </c>
      <c r="G147" s="227" t="str">
        <f>InputForProCost!AA150</f>
        <v>ResDHW</v>
      </c>
      <c r="H147" s="227">
        <f>InputForProCost!AB150</f>
        <v>252.74045274084807</v>
      </c>
      <c r="I147" s="227">
        <f>InputForProCost!AC150</f>
        <v>0</v>
      </c>
      <c r="J147" s="227">
        <f>InputForProCost!AD150</f>
        <v>0</v>
      </c>
      <c r="K147" s="227">
        <f>InputForProCost!AE150</f>
        <v>0</v>
      </c>
      <c r="L147" s="227">
        <f>InputForProCost!AF150</f>
        <v>0</v>
      </c>
      <c r="M147" s="227">
        <f>InputForProCost!AG150</f>
        <v>0</v>
      </c>
      <c r="N147" s="227">
        <f>InputForProCost!AH150</f>
        <v>0</v>
      </c>
      <c r="O147" s="227">
        <f>InputForProCost!AI150</f>
        <v>92.118199539296626</v>
      </c>
      <c r="P147" s="227" t="str">
        <f>InputForProCost!AJ150</f>
        <v>ResGASDHW</v>
      </c>
      <c r="R147" s="228"/>
      <c r="S147" s="229"/>
    </row>
    <row r="148" spans="1:19">
      <c r="A148" s="226" t="str">
        <f>InputForProCost!U151</f>
        <v>Commercial Showerhead Replacement_1_75gpm_Fitness Center_ Any Water Heating_Retail</v>
      </c>
      <c r="B148" s="226" t="str">
        <f>InputForProCost!V151</f>
        <v>On-site Savings, Costs, and Benefits</v>
      </c>
      <c r="C148" s="227">
        <f>InputForProCost!W151</f>
        <v>654.10971535110207</v>
      </c>
      <c r="D148" s="227">
        <f>InputForProCost!X151</f>
        <v>10</v>
      </c>
      <c r="E148" s="227">
        <f>InputForProCost!Y151</f>
        <v>3.2966774171383419</v>
      </c>
      <c r="F148" s="227">
        <f>InputForProCost!Z151</f>
        <v>0</v>
      </c>
      <c r="G148" s="227" t="str">
        <f>InputForProCost!AA151</f>
        <v>ResDHW</v>
      </c>
      <c r="H148" s="227">
        <f>InputForProCost!AB151</f>
        <v>252.74045274084807</v>
      </c>
      <c r="I148" s="227">
        <f>InputForProCost!AC151</f>
        <v>0</v>
      </c>
      <c r="J148" s="227">
        <f>InputForProCost!AD151</f>
        <v>0</v>
      </c>
      <c r="K148" s="227">
        <f>InputForProCost!AE151</f>
        <v>0</v>
      </c>
      <c r="L148" s="227">
        <f>InputForProCost!AF151</f>
        <v>0</v>
      </c>
      <c r="M148" s="227">
        <f>InputForProCost!AG151</f>
        <v>0</v>
      </c>
      <c r="N148" s="227">
        <f>InputForProCost!AH151</f>
        <v>0</v>
      </c>
      <c r="O148" s="227">
        <f>InputForProCost!AI151</f>
        <v>62.947436351852694</v>
      </c>
      <c r="P148" s="227" t="str">
        <f>InputForProCost!AJ151</f>
        <v>ResGASDHW</v>
      </c>
      <c r="R148" s="228"/>
      <c r="S148" s="229"/>
    </row>
    <row r="149" spans="1:19">
      <c r="A149" s="226" t="str">
        <f>InputForProCost!U152</f>
        <v>Commercial Showerhead Replacement_1_50gpm_Fitness Center_ Electric Water Heating_Retail</v>
      </c>
      <c r="B149" s="226" t="str">
        <f>InputForProCost!V152</f>
        <v>On-site Savings, Costs, and Benefits</v>
      </c>
      <c r="C149" s="227">
        <f>InputForProCost!W152</f>
        <v>3187.4361708341003</v>
      </c>
      <c r="D149" s="227">
        <f>InputForProCost!X152</f>
        <v>10</v>
      </c>
      <c r="E149" s="227">
        <f>InputForProCost!Y152</f>
        <v>3.2966774171383419</v>
      </c>
      <c r="F149" s="227">
        <f>InputForProCost!Z152</f>
        <v>0</v>
      </c>
      <c r="G149" s="227" t="str">
        <f>InputForProCost!AA152</f>
        <v>ResDHW</v>
      </c>
      <c r="H149" s="227">
        <f>InputForProCost!AB152</f>
        <v>366.94169434967563</v>
      </c>
      <c r="I149" s="227">
        <f>InputForProCost!AC152</f>
        <v>0</v>
      </c>
      <c r="J149" s="227">
        <f>InputForProCost!AD152</f>
        <v>0</v>
      </c>
      <c r="K149" s="227">
        <f>InputForProCost!AE152</f>
        <v>0</v>
      </c>
      <c r="L149" s="227">
        <f>InputForProCost!AF152</f>
        <v>0</v>
      </c>
      <c r="M149" s="227">
        <f>InputForProCost!AG152</f>
        <v>0</v>
      </c>
      <c r="N149" s="227">
        <f>InputForProCost!AH152</f>
        <v>0</v>
      </c>
      <c r="O149" s="227">
        <f>InputForProCost!AI152</f>
        <v>0</v>
      </c>
      <c r="P149" s="227" t="str">
        <f>InputForProCost!AJ152</f>
        <v>ResGASDHW</v>
      </c>
      <c r="R149" s="228"/>
      <c r="S149" s="229"/>
    </row>
    <row r="150" spans="1:19">
      <c r="A150" s="226" t="str">
        <f>InputForProCost!U153</f>
        <v>Commercial Showerhead Replacement_1_50gpm_Fitness Center_ Gas Water Heating_Retail</v>
      </c>
      <c r="B150" s="226" t="str">
        <f>InputForProCost!V153</f>
        <v>On-site Savings, Costs, and Benefits</v>
      </c>
      <c r="C150" s="227">
        <f>InputForProCost!W153</f>
        <v>0</v>
      </c>
      <c r="D150" s="227">
        <f>InputForProCost!X153</f>
        <v>10</v>
      </c>
      <c r="E150" s="227">
        <f>InputForProCost!Y153</f>
        <v>3.2966774171383419</v>
      </c>
      <c r="F150" s="227">
        <f>InputForProCost!Z153</f>
        <v>0</v>
      </c>
      <c r="G150" s="227" t="str">
        <f>InputForProCost!AA153</f>
        <v>ResDHW</v>
      </c>
      <c r="H150" s="227">
        <f>InputForProCost!AB153</f>
        <v>366.94169434967563</v>
      </c>
      <c r="I150" s="227">
        <f>InputForProCost!AC153</f>
        <v>0</v>
      </c>
      <c r="J150" s="227">
        <f>InputForProCost!AD153</f>
        <v>0</v>
      </c>
      <c r="K150" s="227">
        <f>InputForProCost!AE153</f>
        <v>0</v>
      </c>
      <c r="L150" s="227">
        <f>InputForProCost!AF153</f>
        <v>0</v>
      </c>
      <c r="M150" s="227">
        <f>InputForProCost!AG153</f>
        <v>0</v>
      </c>
      <c r="N150" s="227">
        <f>InputForProCost!AH153</f>
        <v>0</v>
      </c>
      <c r="O150" s="227">
        <f>InputForProCost!AI153</f>
        <v>142.14732411455836</v>
      </c>
      <c r="P150" s="227" t="str">
        <f>InputForProCost!AJ153</f>
        <v>ResGASDHW</v>
      </c>
      <c r="R150" s="228"/>
      <c r="S150" s="229"/>
    </row>
    <row r="151" spans="1:19">
      <c r="A151" s="226" t="str">
        <f>InputForProCost!U154</f>
        <v>Commercial Showerhead Replacement_1_50gpm_Fitness Center_ Any Water Heating_Retail</v>
      </c>
      <c r="B151" s="226" t="str">
        <f>InputForProCost!V154</f>
        <v>On-site Savings, Costs, and Benefits</v>
      </c>
      <c r="C151" s="227">
        <f>InputForProCost!W154</f>
        <v>1009.3547874307983</v>
      </c>
      <c r="D151" s="227">
        <f>InputForProCost!X154</f>
        <v>10</v>
      </c>
      <c r="E151" s="227">
        <f>InputForProCost!Y154</f>
        <v>3.2966774171383419</v>
      </c>
      <c r="F151" s="227">
        <f>InputForProCost!Z154</f>
        <v>0</v>
      </c>
      <c r="G151" s="227" t="str">
        <f>InputForProCost!AA154</f>
        <v>ResDHW</v>
      </c>
      <c r="H151" s="227">
        <f>InputForProCost!AB154</f>
        <v>366.94169434967563</v>
      </c>
      <c r="I151" s="227">
        <f>InputForProCost!AC154</f>
        <v>0</v>
      </c>
      <c r="J151" s="227">
        <f>InputForProCost!AD154</f>
        <v>0</v>
      </c>
      <c r="K151" s="227">
        <f>InputForProCost!AE154</f>
        <v>0</v>
      </c>
      <c r="L151" s="227">
        <f>InputForProCost!AF154</f>
        <v>0</v>
      </c>
      <c r="M151" s="227">
        <f>InputForProCost!AG154</f>
        <v>0</v>
      </c>
      <c r="N151" s="227">
        <f>InputForProCost!AH154</f>
        <v>0</v>
      </c>
      <c r="O151" s="227">
        <f>InputForProCost!AI154</f>
        <v>97.134004811614886</v>
      </c>
      <c r="P151" s="227" t="str">
        <f>InputForProCost!AJ154</f>
        <v>ResGASDHW</v>
      </c>
      <c r="R151" s="228"/>
      <c r="S151" s="229"/>
    </row>
    <row r="152" spans="1:19">
      <c r="A152" s="226" t="str">
        <f>InputForProCost!U155</f>
        <v>Commercial Showerhead Replacement_2_00gpm_Fitness Center_ Electric Water Heating_Direct Install</v>
      </c>
      <c r="B152" s="226" t="str">
        <f>InputForProCost!V155</f>
        <v>On-site Savings, Costs, and Benefits</v>
      </c>
      <c r="C152" s="227">
        <f>InputForProCost!W155</f>
        <v>2322.6166684904406</v>
      </c>
      <c r="D152" s="227">
        <f>InputForProCost!X155</f>
        <v>10</v>
      </c>
      <c r="E152" s="227">
        <f>InputForProCost!Y155</f>
        <v>11.336666666666666</v>
      </c>
      <c r="F152" s="227">
        <f>InputForProCost!Z155</f>
        <v>0</v>
      </c>
      <c r="G152" s="227" t="str">
        <f>InputForProCost!AA155</f>
        <v>ResDHW</v>
      </c>
      <c r="H152" s="227">
        <f>InputForProCost!AB155</f>
        <v>269.58981625690461</v>
      </c>
      <c r="I152" s="227">
        <f>InputForProCost!AC155</f>
        <v>0</v>
      </c>
      <c r="J152" s="227">
        <f>InputForProCost!AD155</f>
        <v>0</v>
      </c>
      <c r="K152" s="227">
        <f>InputForProCost!AE155</f>
        <v>0</v>
      </c>
      <c r="L152" s="227">
        <f>InputForProCost!AF155</f>
        <v>0</v>
      </c>
      <c r="M152" s="227">
        <f>InputForProCost!AG155</f>
        <v>0</v>
      </c>
      <c r="N152" s="227">
        <f>InputForProCost!AH155</f>
        <v>0</v>
      </c>
      <c r="O152" s="227">
        <f>InputForProCost!AI155</f>
        <v>0</v>
      </c>
      <c r="P152" s="227" t="str">
        <f>InputForProCost!AJ155</f>
        <v>ResGASDHW</v>
      </c>
      <c r="R152" s="228"/>
      <c r="S152" s="229"/>
    </row>
    <row r="153" spans="1:19">
      <c r="A153" s="226" t="str">
        <f>InputForProCost!U156</f>
        <v>Commercial Showerhead Replacement_2_00gpm_Fitness Center_ Gas Water Heating_Direct Install</v>
      </c>
      <c r="B153" s="226" t="str">
        <f>InputForProCost!V156</f>
        <v>On-site Savings, Costs, and Benefits</v>
      </c>
      <c r="C153" s="227">
        <f>InputForProCost!W156</f>
        <v>0</v>
      </c>
      <c r="D153" s="227">
        <f>InputForProCost!X156</f>
        <v>10</v>
      </c>
      <c r="E153" s="227">
        <f>InputForProCost!Y156</f>
        <v>11.336666666666666</v>
      </c>
      <c r="F153" s="227">
        <f>InputForProCost!Z156</f>
        <v>0</v>
      </c>
      <c r="G153" s="227" t="str">
        <f>InputForProCost!AA156</f>
        <v>ResDHW</v>
      </c>
      <c r="H153" s="227">
        <f>InputForProCost!AB156</f>
        <v>269.58981625690461</v>
      </c>
      <c r="I153" s="227">
        <f>InputForProCost!AC156</f>
        <v>0</v>
      </c>
      <c r="J153" s="227">
        <f>InputForProCost!AD156</f>
        <v>0</v>
      </c>
      <c r="K153" s="227">
        <f>InputForProCost!AE156</f>
        <v>0</v>
      </c>
      <c r="L153" s="227">
        <f>InputForProCost!AF156</f>
        <v>0</v>
      </c>
      <c r="M153" s="227">
        <f>InputForProCost!AG156</f>
        <v>0</v>
      </c>
      <c r="N153" s="227">
        <f>InputForProCost!AH156</f>
        <v>0</v>
      </c>
      <c r="O153" s="227">
        <f>InputForProCost!AI156</f>
        <v>103.57971945941453</v>
      </c>
      <c r="P153" s="227" t="str">
        <f>InputForProCost!AJ156</f>
        <v>ResGASDHW</v>
      </c>
      <c r="R153" s="228"/>
      <c r="S153" s="229"/>
    </row>
    <row r="154" spans="1:19">
      <c r="A154" s="226" t="str">
        <f>InputForProCost!U157</f>
        <v>Commercial Showerhead Replacement_2_00gpm_Fitness Center_ Any Water Heating_Direct Install</v>
      </c>
      <c r="B154" s="226" t="str">
        <f>InputForProCost!V157</f>
        <v>On-site Savings, Costs, and Benefits</v>
      </c>
      <c r="C154" s="227">
        <f>InputForProCost!W157</f>
        <v>735.49527835530603</v>
      </c>
      <c r="D154" s="227">
        <f>InputForProCost!X157</f>
        <v>10</v>
      </c>
      <c r="E154" s="227">
        <f>InputForProCost!Y157</f>
        <v>11.336666666666666</v>
      </c>
      <c r="F154" s="227">
        <f>InputForProCost!Z157</f>
        <v>0</v>
      </c>
      <c r="G154" s="227" t="str">
        <f>InputForProCost!AA157</f>
        <v>ResDHW</v>
      </c>
      <c r="H154" s="227">
        <f>InputForProCost!AB157</f>
        <v>269.58981625690461</v>
      </c>
      <c r="I154" s="227">
        <f>InputForProCost!AC157</f>
        <v>0</v>
      </c>
      <c r="J154" s="227">
        <f>InputForProCost!AD157</f>
        <v>0</v>
      </c>
      <c r="K154" s="227">
        <f>InputForProCost!AE157</f>
        <v>0</v>
      </c>
      <c r="L154" s="227">
        <f>InputForProCost!AF157</f>
        <v>0</v>
      </c>
      <c r="M154" s="227">
        <f>InputForProCost!AG157</f>
        <v>0</v>
      </c>
      <c r="N154" s="227">
        <f>InputForProCost!AH157</f>
        <v>0</v>
      </c>
      <c r="O154" s="227">
        <f>InputForProCost!AI157</f>
        <v>70.779474963933268</v>
      </c>
      <c r="P154" s="227" t="str">
        <f>InputForProCost!AJ157</f>
        <v>ResGASDHW</v>
      </c>
      <c r="R154" s="228"/>
      <c r="S154" s="229"/>
    </row>
    <row r="155" spans="1:19">
      <c r="A155" s="226" t="str">
        <f>InputForProCost!U158</f>
        <v>Commercial Showerhead Replacement_1_75gpm_Fitness Center_ Electric Water Heating_Direct Install</v>
      </c>
      <c r="B155" s="226" t="str">
        <f>InputForProCost!V158</f>
        <v>On-site Savings, Costs, and Benefits</v>
      </c>
      <c r="C155" s="227">
        <f>InputForProCost!W158</f>
        <v>2478.7315529094394</v>
      </c>
      <c r="D155" s="227">
        <f>InputForProCost!X158</f>
        <v>10</v>
      </c>
      <c r="E155" s="227">
        <f>InputForProCost!Y158</f>
        <v>11.336666666666666</v>
      </c>
      <c r="F155" s="227">
        <f>InputForProCost!Z158</f>
        <v>0</v>
      </c>
      <c r="G155" s="227" t="str">
        <f>InputForProCost!AA158</f>
        <v>ResDHW</v>
      </c>
      <c r="H155" s="227">
        <f>InputForProCost!AB158</f>
        <v>303.2885432890177</v>
      </c>
      <c r="I155" s="227">
        <f>InputForProCost!AC158</f>
        <v>0</v>
      </c>
      <c r="J155" s="227">
        <f>InputForProCost!AD158</f>
        <v>0</v>
      </c>
      <c r="K155" s="227">
        <f>InputForProCost!AE158</f>
        <v>0</v>
      </c>
      <c r="L155" s="227">
        <f>InputForProCost!AF158</f>
        <v>0</v>
      </c>
      <c r="M155" s="227">
        <f>InputForProCost!AG158</f>
        <v>0</v>
      </c>
      <c r="N155" s="227">
        <f>InputForProCost!AH158</f>
        <v>0</v>
      </c>
      <c r="O155" s="227">
        <f>InputForProCost!AI158</f>
        <v>0</v>
      </c>
      <c r="P155" s="227" t="str">
        <f>InputForProCost!AJ158</f>
        <v>ResGASDHW</v>
      </c>
      <c r="R155" s="228"/>
      <c r="S155" s="229"/>
    </row>
    <row r="156" spans="1:19">
      <c r="A156" s="226" t="str">
        <f>InputForProCost!U159</f>
        <v>Commercial Showerhead Replacement_1_75gpm_Fitness Center_ Gas Water Heating_Direct Install</v>
      </c>
      <c r="B156" s="226" t="str">
        <f>InputForProCost!V159</f>
        <v>On-site Savings, Costs, and Benefits</v>
      </c>
      <c r="C156" s="227">
        <f>InputForProCost!W159</f>
        <v>0</v>
      </c>
      <c r="D156" s="227">
        <f>InputForProCost!X159</f>
        <v>10</v>
      </c>
      <c r="E156" s="227">
        <f>InputForProCost!Y159</f>
        <v>11.336666666666666</v>
      </c>
      <c r="F156" s="227">
        <f>InputForProCost!Z159</f>
        <v>0</v>
      </c>
      <c r="G156" s="227" t="str">
        <f>InputForProCost!AA159</f>
        <v>ResDHW</v>
      </c>
      <c r="H156" s="227">
        <f>InputForProCost!AB159</f>
        <v>303.2885432890177</v>
      </c>
      <c r="I156" s="227">
        <f>InputForProCost!AC159</f>
        <v>0</v>
      </c>
      <c r="J156" s="227">
        <f>InputForProCost!AD159</f>
        <v>0</v>
      </c>
      <c r="K156" s="227">
        <f>InputForProCost!AE159</f>
        <v>0</v>
      </c>
      <c r="L156" s="227">
        <f>InputForProCost!AF159</f>
        <v>0</v>
      </c>
      <c r="M156" s="227">
        <f>InputForProCost!AG159</f>
        <v>0</v>
      </c>
      <c r="N156" s="227">
        <f>InputForProCost!AH159</f>
        <v>0</v>
      </c>
      <c r="O156" s="227">
        <f>InputForProCost!AI159</f>
        <v>110.54183944715595</v>
      </c>
      <c r="P156" s="227" t="str">
        <f>InputForProCost!AJ159</f>
        <v>ResGASDHW</v>
      </c>
      <c r="R156" s="228"/>
      <c r="S156" s="229"/>
    </row>
    <row r="157" spans="1:19">
      <c r="A157" s="226" t="str">
        <f>InputForProCost!U160</f>
        <v>Commercial Showerhead Replacement_1_75gpm_Fitness Center_ Any Water Heating_Direct Install</v>
      </c>
      <c r="B157" s="226" t="str">
        <f>InputForProCost!V160</f>
        <v>On-site Savings, Costs, and Benefits</v>
      </c>
      <c r="C157" s="227">
        <f>InputForProCost!W160</f>
        <v>784.93165842132248</v>
      </c>
      <c r="D157" s="227">
        <f>InputForProCost!X160</f>
        <v>10</v>
      </c>
      <c r="E157" s="227">
        <f>InputForProCost!Y160</f>
        <v>11.336666666666666</v>
      </c>
      <c r="F157" s="227">
        <f>InputForProCost!Z160</f>
        <v>0</v>
      </c>
      <c r="G157" s="227" t="str">
        <f>InputForProCost!AA160</f>
        <v>ResDHW</v>
      </c>
      <c r="H157" s="227">
        <f>InputForProCost!AB160</f>
        <v>303.2885432890177</v>
      </c>
      <c r="I157" s="227">
        <f>InputForProCost!AC160</f>
        <v>0</v>
      </c>
      <c r="J157" s="227">
        <f>InputForProCost!AD160</f>
        <v>0</v>
      </c>
      <c r="K157" s="227">
        <f>InputForProCost!AE160</f>
        <v>0</v>
      </c>
      <c r="L157" s="227">
        <f>InputForProCost!AF160</f>
        <v>0</v>
      </c>
      <c r="M157" s="227">
        <f>InputForProCost!AG160</f>
        <v>0</v>
      </c>
      <c r="N157" s="227">
        <f>InputForProCost!AH160</f>
        <v>0</v>
      </c>
      <c r="O157" s="227">
        <f>InputForProCost!AI160</f>
        <v>75.536923622223242</v>
      </c>
      <c r="P157" s="227" t="str">
        <f>InputForProCost!AJ160</f>
        <v>ResGASDHW</v>
      </c>
      <c r="R157" s="228"/>
      <c r="S157" s="229"/>
    </row>
    <row r="158" spans="1:19">
      <c r="A158" s="226" t="str">
        <f>InputForProCost!U161</f>
        <v>Commercial Showerhead Replacement_1_50gpm_Fitness Center_ Electric Water Heating_Direct Install</v>
      </c>
      <c r="B158" s="226" t="str">
        <f>InputForProCost!V161</f>
        <v>On-site Savings, Costs, and Benefits</v>
      </c>
      <c r="C158" s="227">
        <f>InputForProCost!W161</f>
        <v>4098.1322196438432</v>
      </c>
      <c r="D158" s="227">
        <f>InputForProCost!X161</f>
        <v>10</v>
      </c>
      <c r="E158" s="227">
        <f>InputForProCost!Y161</f>
        <v>11.336666666666666</v>
      </c>
      <c r="F158" s="227">
        <f>InputForProCost!Z161</f>
        <v>0</v>
      </c>
      <c r="G158" s="227" t="str">
        <f>InputForProCost!AA161</f>
        <v>ResDHW</v>
      </c>
      <c r="H158" s="227">
        <f>InputForProCost!AB161</f>
        <v>471.782178449583</v>
      </c>
      <c r="I158" s="227">
        <f>InputForProCost!AC161</f>
        <v>0</v>
      </c>
      <c r="J158" s="227">
        <f>InputForProCost!AD161</f>
        <v>0</v>
      </c>
      <c r="K158" s="227">
        <f>InputForProCost!AE161</f>
        <v>0</v>
      </c>
      <c r="L158" s="227">
        <f>InputForProCost!AF161</f>
        <v>0</v>
      </c>
      <c r="M158" s="227">
        <f>InputForProCost!AG161</f>
        <v>0</v>
      </c>
      <c r="N158" s="227">
        <f>InputForProCost!AH161</f>
        <v>0</v>
      </c>
      <c r="O158" s="227">
        <f>InputForProCost!AI161</f>
        <v>0</v>
      </c>
      <c r="P158" s="227" t="str">
        <f>InputForProCost!AJ161</f>
        <v>ResGASDHW</v>
      </c>
      <c r="R158" s="228"/>
      <c r="S158" s="229"/>
    </row>
    <row r="159" spans="1:19">
      <c r="A159" s="226" t="str">
        <f>InputForProCost!U162</f>
        <v>Commercial Showerhead Replacement_1_50gpm_Fitness Center_ Gas Water Heating_Direct Install</v>
      </c>
      <c r="B159" s="226" t="str">
        <f>InputForProCost!V162</f>
        <v>On-site Savings, Costs, and Benefits</v>
      </c>
      <c r="C159" s="227">
        <f>InputForProCost!W162</f>
        <v>0</v>
      </c>
      <c r="D159" s="227">
        <f>InputForProCost!X162</f>
        <v>10</v>
      </c>
      <c r="E159" s="227">
        <f>InputForProCost!Y162</f>
        <v>11.336666666666666</v>
      </c>
      <c r="F159" s="227">
        <f>InputForProCost!Z162</f>
        <v>0</v>
      </c>
      <c r="G159" s="227" t="str">
        <f>InputForProCost!AA162</f>
        <v>ResDHW</v>
      </c>
      <c r="H159" s="227">
        <f>InputForProCost!AB162</f>
        <v>471.782178449583</v>
      </c>
      <c r="I159" s="227">
        <f>InputForProCost!AC162</f>
        <v>0</v>
      </c>
      <c r="J159" s="227">
        <f>InputForProCost!AD162</f>
        <v>0</v>
      </c>
      <c r="K159" s="227">
        <f>InputForProCost!AE162</f>
        <v>0</v>
      </c>
      <c r="L159" s="227">
        <f>InputForProCost!AF162</f>
        <v>0</v>
      </c>
      <c r="M159" s="227">
        <f>InputForProCost!AG162</f>
        <v>0</v>
      </c>
      <c r="N159" s="227">
        <f>InputForProCost!AH162</f>
        <v>0</v>
      </c>
      <c r="O159" s="227">
        <f>InputForProCost!AI162</f>
        <v>182.76084529014648</v>
      </c>
      <c r="P159" s="227" t="str">
        <f>InputForProCost!AJ162</f>
        <v>ResGASDHW</v>
      </c>
      <c r="R159" s="228"/>
      <c r="S159" s="229"/>
    </row>
    <row r="160" spans="1:19">
      <c r="A160" s="226" t="str">
        <f>InputForProCost!U163</f>
        <v>Commercial Showerhead Replacement_1_50gpm_Fitness Center_ Any Water Heating_Direct Install</v>
      </c>
      <c r="B160" s="226" t="str">
        <f>InputForProCost!V163</f>
        <v>On-site Savings, Costs, and Benefits</v>
      </c>
      <c r="C160" s="227">
        <f>InputForProCost!W163</f>
        <v>1297.7418695538836</v>
      </c>
      <c r="D160" s="227">
        <f>InputForProCost!X163</f>
        <v>10</v>
      </c>
      <c r="E160" s="227">
        <f>InputForProCost!Y163</f>
        <v>11.336666666666666</v>
      </c>
      <c r="F160" s="227">
        <f>InputForProCost!Z163</f>
        <v>0</v>
      </c>
      <c r="G160" s="227" t="str">
        <f>InputForProCost!AA163</f>
        <v>ResDHW</v>
      </c>
      <c r="H160" s="227">
        <f>InputForProCost!AB163</f>
        <v>471.782178449583</v>
      </c>
      <c r="I160" s="227">
        <f>InputForProCost!AC163</f>
        <v>0</v>
      </c>
      <c r="J160" s="227">
        <f>InputForProCost!AD163</f>
        <v>0</v>
      </c>
      <c r="K160" s="227">
        <f>InputForProCost!AE163</f>
        <v>0</v>
      </c>
      <c r="L160" s="227">
        <f>InputForProCost!AF163</f>
        <v>0</v>
      </c>
      <c r="M160" s="227">
        <f>InputForProCost!AG163</f>
        <v>0</v>
      </c>
      <c r="N160" s="227">
        <f>InputForProCost!AH163</f>
        <v>0</v>
      </c>
      <c r="O160" s="227">
        <f>InputForProCost!AI163</f>
        <v>124.88657761493343</v>
      </c>
      <c r="P160" s="227" t="str">
        <f>InputForProCost!AJ163</f>
        <v>ResGASDHW</v>
      </c>
      <c r="R160" s="228"/>
      <c r="S160" s="229"/>
    </row>
    <row r="161" spans="1:19">
      <c r="A161" s="226" t="str">
        <f>InputForProCost!U164</f>
        <v>Commercial Showerhead Replacement_2_00gpm_Fitness Center_ Electric Water Heating_Mail-by-Request</v>
      </c>
      <c r="B161" s="226" t="str">
        <f>InputForProCost!V164</f>
        <v>On-site Savings, Costs, and Benefits</v>
      </c>
      <c r="C161" s="227">
        <f>InputForProCost!W164</f>
        <v>1548.4111123269602</v>
      </c>
      <c r="D161" s="227">
        <f>InputForProCost!X164</f>
        <v>10</v>
      </c>
      <c r="E161" s="227">
        <f>InputForProCost!Y164</f>
        <v>8.1096944444444432</v>
      </c>
      <c r="F161" s="227">
        <f>InputForProCost!Z164</f>
        <v>0</v>
      </c>
      <c r="G161" s="227" t="str">
        <f>InputForProCost!AA164</f>
        <v>ResDHW</v>
      </c>
      <c r="H161" s="227">
        <f>InputForProCost!AB164</f>
        <v>179.72654417126975</v>
      </c>
      <c r="I161" s="227">
        <f>InputForProCost!AC164</f>
        <v>0</v>
      </c>
      <c r="J161" s="227">
        <f>InputForProCost!AD164</f>
        <v>0</v>
      </c>
      <c r="K161" s="227">
        <f>InputForProCost!AE164</f>
        <v>0</v>
      </c>
      <c r="L161" s="227">
        <f>InputForProCost!AF164</f>
        <v>0</v>
      </c>
      <c r="M161" s="227">
        <f>InputForProCost!AG164</f>
        <v>0</v>
      </c>
      <c r="N161" s="227">
        <f>InputForProCost!AH164</f>
        <v>0</v>
      </c>
      <c r="O161" s="227">
        <f>InputForProCost!AI164</f>
        <v>0</v>
      </c>
      <c r="P161" s="227" t="str">
        <f>InputForProCost!AJ164</f>
        <v>ResGASDHW</v>
      </c>
      <c r="R161" s="228"/>
      <c r="S161" s="229"/>
    </row>
    <row r="162" spans="1:19">
      <c r="A162" s="226" t="str">
        <f>InputForProCost!U165</f>
        <v>Commercial Showerhead Replacement_2_00gpm_Fitness Center_ Gas Water Heating_Mail-by-Request</v>
      </c>
      <c r="B162" s="226" t="str">
        <f>InputForProCost!V165</f>
        <v>On-site Savings, Costs, and Benefits</v>
      </c>
      <c r="C162" s="227">
        <f>InputForProCost!W165</f>
        <v>0</v>
      </c>
      <c r="D162" s="227">
        <f>InputForProCost!X165</f>
        <v>10</v>
      </c>
      <c r="E162" s="227">
        <f>InputForProCost!Y165</f>
        <v>8.1096944444444432</v>
      </c>
      <c r="F162" s="227">
        <f>InputForProCost!Z165</f>
        <v>0</v>
      </c>
      <c r="G162" s="227" t="str">
        <f>InputForProCost!AA165</f>
        <v>ResDHW</v>
      </c>
      <c r="H162" s="227">
        <f>InputForProCost!AB165</f>
        <v>179.72654417126975</v>
      </c>
      <c r="I162" s="227">
        <f>InputForProCost!AC165</f>
        <v>0</v>
      </c>
      <c r="J162" s="227">
        <f>InputForProCost!AD165</f>
        <v>0</v>
      </c>
      <c r="K162" s="227">
        <f>InputForProCost!AE165</f>
        <v>0</v>
      </c>
      <c r="L162" s="227">
        <f>InputForProCost!AF165</f>
        <v>0</v>
      </c>
      <c r="M162" s="227">
        <f>InputForProCost!AG165</f>
        <v>0</v>
      </c>
      <c r="N162" s="227">
        <f>InputForProCost!AH165</f>
        <v>0</v>
      </c>
      <c r="O162" s="227">
        <f>InputForProCost!AI165</f>
        <v>69.053146306276361</v>
      </c>
      <c r="P162" s="227" t="str">
        <f>InputForProCost!AJ165</f>
        <v>ResGASDHW</v>
      </c>
      <c r="R162" s="228"/>
      <c r="S162" s="229"/>
    </row>
    <row r="163" spans="1:19">
      <c r="A163" s="226" t="str">
        <f>InputForProCost!U166</f>
        <v>Commercial Showerhead Replacement_2_00gpm_Fitness Center_ Any Water Heating_Mail-by-Request</v>
      </c>
      <c r="B163" s="226" t="str">
        <f>InputForProCost!V166</f>
        <v>On-site Savings, Costs, and Benefits</v>
      </c>
      <c r="C163" s="227">
        <f>InputForProCost!W166</f>
        <v>490.33018557020398</v>
      </c>
      <c r="D163" s="227">
        <f>InputForProCost!X166</f>
        <v>10</v>
      </c>
      <c r="E163" s="227">
        <f>InputForProCost!Y166</f>
        <v>8.1096944444444432</v>
      </c>
      <c r="F163" s="227">
        <f>InputForProCost!Z166</f>
        <v>0</v>
      </c>
      <c r="G163" s="227" t="str">
        <f>InputForProCost!AA166</f>
        <v>ResDHW</v>
      </c>
      <c r="H163" s="227">
        <f>InputForProCost!AB166</f>
        <v>179.72654417126975</v>
      </c>
      <c r="I163" s="227">
        <f>InputForProCost!AC166</f>
        <v>0</v>
      </c>
      <c r="J163" s="227">
        <f>InputForProCost!AD166</f>
        <v>0</v>
      </c>
      <c r="K163" s="227">
        <f>InputForProCost!AE166</f>
        <v>0</v>
      </c>
      <c r="L163" s="227">
        <f>InputForProCost!AF166</f>
        <v>0</v>
      </c>
      <c r="M163" s="227">
        <f>InputForProCost!AG166</f>
        <v>0</v>
      </c>
      <c r="N163" s="227">
        <f>InputForProCost!AH166</f>
        <v>0</v>
      </c>
      <c r="O163" s="227">
        <f>InputForProCost!AI166</f>
        <v>47.186316642622181</v>
      </c>
      <c r="P163" s="227" t="str">
        <f>InputForProCost!AJ166</f>
        <v>ResGASDHW</v>
      </c>
      <c r="R163" s="228"/>
      <c r="S163" s="229"/>
    </row>
    <row r="164" spans="1:19">
      <c r="A164" s="226" t="str">
        <f>InputForProCost!U167</f>
        <v>Commercial Showerhead Replacement_1_75gpm_Fitness Center_ Electric Water Heating_Mail-by-Request</v>
      </c>
      <c r="B164" s="226" t="str">
        <f>InputForProCost!V167</f>
        <v>On-site Savings, Costs, and Benefits</v>
      </c>
      <c r="C164" s="227">
        <f>InputForProCost!W167</f>
        <v>1652.4877019396263</v>
      </c>
      <c r="D164" s="227">
        <f>InputForProCost!X167</f>
        <v>10</v>
      </c>
      <c r="E164" s="227">
        <f>InputForProCost!Y167</f>
        <v>8.1096944444444432</v>
      </c>
      <c r="F164" s="227">
        <f>InputForProCost!Z167</f>
        <v>0</v>
      </c>
      <c r="G164" s="227" t="str">
        <f>InputForProCost!AA167</f>
        <v>ResDHW</v>
      </c>
      <c r="H164" s="227">
        <f>InputForProCost!AB167</f>
        <v>202.19236219267847</v>
      </c>
      <c r="I164" s="227">
        <f>InputForProCost!AC167</f>
        <v>0</v>
      </c>
      <c r="J164" s="227">
        <f>InputForProCost!AD167</f>
        <v>0</v>
      </c>
      <c r="K164" s="227">
        <f>InputForProCost!AE167</f>
        <v>0</v>
      </c>
      <c r="L164" s="227">
        <f>InputForProCost!AF167</f>
        <v>0</v>
      </c>
      <c r="M164" s="227">
        <f>InputForProCost!AG167</f>
        <v>0</v>
      </c>
      <c r="N164" s="227">
        <f>InputForProCost!AH167</f>
        <v>0</v>
      </c>
      <c r="O164" s="227">
        <f>InputForProCost!AI167</f>
        <v>0</v>
      </c>
      <c r="P164" s="227" t="str">
        <f>InputForProCost!AJ167</f>
        <v>ResGASDHW</v>
      </c>
      <c r="R164" s="228"/>
      <c r="S164" s="229"/>
    </row>
    <row r="165" spans="1:19">
      <c r="A165" s="226" t="str">
        <f>InputForProCost!U168</f>
        <v>Commercial Showerhead Replacement_1_75gpm_Fitness Center_ Gas Water Heating_Mail-by-Request</v>
      </c>
      <c r="B165" s="226" t="str">
        <f>InputForProCost!V168</f>
        <v>On-site Savings, Costs, and Benefits</v>
      </c>
      <c r="C165" s="227">
        <f>InputForProCost!W168</f>
        <v>0</v>
      </c>
      <c r="D165" s="227">
        <f>InputForProCost!X168</f>
        <v>10</v>
      </c>
      <c r="E165" s="227">
        <f>InputForProCost!Y168</f>
        <v>8.1096944444444432</v>
      </c>
      <c r="F165" s="227">
        <f>InputForProCost!Z168</f>
        <v>0</v>
      </c>
      <c r="G165" s="227" t="str">
        <f>InputForProCost!AA168</f>
        <v>ResDHW</v>
      </c>
      <c r="H165" s="227">
        <f>InputForProCost!AB168</f>
        <v>202.19236219267847</v>
      </c>
      <c r="I165" s="227">
        <f>InputForProCost!AC168</f>
        <v>0</v>
      </c>
      <c r="J165" s="227">
        <f>InputForProCost!AD168</f>
        <v>0</v>
      </c>
      <c r="K165" s="227">
        <f>InputForProCost!AE168</f>
        <v>0</v>
      </c>
      <c r="L165" s="227">
        <f>InputForProCost!AF168</f>
        <v>0</v>
      </c>
      <c r="M165" s="227">
        <f>InputForProCost!AG168</f>
        <v>0</v>
      </c>
      <c r="N165" s="227">
        <f>InputForProCost!AH168</f>
        <v>0</v>
      </c>
      <c r="O165" s="227">
        <f>InputForProCost!AI168</f>
        <v>73.694559631437301</v>
      </c>
      <c r="P165" s="227" t="str">
        <f>InputForProCost!AJ168</f>
        <v>ResGASDHW</v>
      </c>
      <c r="R165" s="228"/>
      <c r="S165" s="229"/>
    </row>
    <row r="166" spans="1:19">
      <c r="A166" s="226" t="str">
        <f>InputForProCost!U169</f>
        <v>Commercial Showerhead Replacement_1_75gpm_Fitness Center_ Any Water Heating_Mail-by-Request</v>
      </c>
      <c r="B166" s="226" t="str">
        <f>InputForProCost!V169</f>
        <v>On-site Savings, Costs, and Benefits</v>
      </c>
      <c r="C166" s="227">
        <f>InputForProCost!W169</f>
        <v>523.28777228088165</v>
      </c>
      <c r="D166" s="227">
        <f>InputForProCost!X169</f>
        <v>10</v>
      </c>
      <c r="E166" s="227">
        <f>InputForProCost!Y169</f>
        <v>8.1096944444444432</v>
      </c>
      <c r="F166" s="227">
        <f>InputForProCost!Z169</f>
        <v>0</v>
      </c>
      <c r="G166" s="227" t="str">
        <f>InputForProCost!AA169</f>
        <v>ResDHW</v>
      </c>
      <c r="H166" s="227">
        <f>InputForProCost!AB169</f>
        <v>202.19236219267847</v>
      </c>
      <c r="I166" s="227">
        <f>InputForProCost!AC169</f>
        <v>0</v>
      </c>
      <c r="J166" s="227">
        <f>InputForProCost!AD169</f>
        <v>0</v>
      </c>
      <c r="K166" s="227">
        <f>InputForProCost!AE169</f>
        <v>0</v>
      </c>
      <c r="L166" s="227">
        <f>InputForProCost!AF169</f>
        <v>0</v>
      </c>
      <c r="M166" s="227">
        <f>InputForProCost!AG169</f>
        <v>0</v>
      </c>
      <c r="N166" s="227">
        <f>InputForProCost!AH169</f>
        <v>0</v>
      </c>
      <c r="O166" s="227">
        <f>InputForProCost!AI169</f>
        <v>50.357949081482154</v>
      </c>
      <c r="P166" s="227" t="str">
        <f>InputForProCost!AJ169</f>
        <v>ResGASDHW</v>
      </c>
      <c r="R166" s="228"/>
      <c r="S166" s="229"/>
    </row>
    <row r="167" spans="1:19">
      <c r="A167" s="226" t="str">
        <f>InputForProCost!U170</f>
        <v>Commercial Showerhead Replacement_1_50gpm_Fitness Center_ Electric Water Heating_Mail-by-Request</v>
      </c>
      <c r="B167" s="226" t="str">
        <f>InputForProCost!V170</f>
        <v>On-site Savings, Costs, and Benefits</v>
      </c>
      <c r="C167" s="227">
        <f>InputForProCost!W170</f>
        <v>2732.0881464292288</v>
      </c>
      <c r="D167" s="227">
        <f>InputForProCost!X170</f>
        <v>10</v>
      </c>
      <c r="E167" s="227">
        <f>InputForProCost!Y170</f>
        <v>8.1096944444444432</v>
      </c>
      <c r="F167" s="227">
        <f>InputForProCost!Z170</f>
        <v>0</v>
      </c>
      <c r="G167" s="227" t="str">
        <f>InputForProCost!AA170</f>
        <v>ResDHW</v>
      </c>
      <c r="H167" s="227">
        <f>InputForProCost!AB170</f>
        <v>314.52145229972194</v>
      </c>
      <c r="I167" s="227">
        <f>InputForProCost!AC170</f>
        <v>0</v>
      </c>
      <c r="J167" s="227">
        <f>InputForProCost!AD170</f>
        <v>0</v>
      </c>
      <c r="K167" s="227">
        <f>InputForProCost!AE170</f>
        <v>0</v>
      </c>
      <c r="L167" s="227">
        <f>InputForProCost!AF170</f>
        <v>0</v>
      </c>
      <c r="M167" s="227">
        <f>InputForProCost!AG170</f>
        <v>0</v>
      </c>
      <c r="N167" s="227">
        <f>InputForProCost!AH170</f>
        <v>0</v>
      </c>
      <c r="O167" s="227">
        <f>InputForProCost!AI170</f>
        <v>0</v>
      </c>
      <c r="P167" s="227" t="str">
        <f>InputForProCost!AJ170</f>
        <v>ResGASDHW</v>
      </c>
      <c r="R167" s="228"/>
      <c r="S167" s="229"/>
    </row>
    <row r="168" spans="1:19">
      <c r="A168" s="226" t="str">
        <f>InputForProCost!U171</f>
        <v>Commercial Showerhead Replacement_1_50gpm_Fitness Center_ Gas Water Heating_Mail-by-Request</v>
      </c>
      <c r="B168" s="226" t="str">
        <f>InputForProCost!V171</f>
        <v>On-site Savings, Costs, and Benefits</v>
      </c>
      <c r="C168" s="227">
        <f>InputForProCost!W171</f>
        <v>0</v>
      </c>
      <c r="D168" s="227">
        <f>InputForProCost!X171</f>
        <v>10</v>
      </c>
      <c r="E168" s="227">
        <f>InputForProCost!Y171</f>
        <v>8.1096944444444432</v>
      </c>
      <c r="F168" s="227">
        <f>InputForProCost!Z171</f>
        <v>0</v>
      </c>
      <c r="G168" s="227" t="str">
        <f>InputForProCost!AA171</f>
        <v>ResDHW</v>
      </c>
      <c r="H168" s="227">
        <f>InputForProCost!AB171</f>
        <v>314.52145229972194</v>
      </c>
      <c r="I168" s="227">
        <f>InputForProCost!AC171</f>
        <v>0</v>
      </c>
      <c r="J168" s="227">
        <f>InputForProCost!AD171</f>
        <v>0</v>
      </c>
      <c r="K168" s="227">
        <f>InputForProCost!AE171</f>
        <v>0</v>
      </c>
      <c r="L168" s="227">
        <f>InputForProCost!AF171</f>
        <v>0</v>
      </c>
      <c r="M168" s="227">
        <f>InputForProCost!AG171</f>
        <v>0</v>
      </c>
      <c r="N168" s="227">
        <f>InputForProCost!AH171</f>
        <v>0</v>
      </c>
      <c r="O168" s="227">
        <f>InputForProCost!AI171</f>
        <v>121.84056352676431</v>
      </c>
      <c r="P168" s="227" t="str">
        <f>InputForProCost!AJ171</f>
        <v>ResGASDHW</v>
      </c>
      <c r="R168" s="228"/>
      <c r="S168" s="229"/>
    </row>
    <row r="169" spans="1:19">
      <c r="A169" s="226" t="str">
        <f>InputForProCost!U172</f>
        <v>Commercial Showerhead Replacement_1_50gpm_Fitness Center_ Any Water Heating_Mail-by-Request</v>
      </c>
      <c r="B169" s="226" t="str">
        <f>InputForProCost!V172</f>
        <v>On-site Savings, Costs, and Benefits</v>
      </c>
      <c r="C169" s="227">
        <f>InputForProCost!W172</f>
        <v>865.16124636925576</v>
      </c>
      <c r="D169" s="227">
        <f>InputForProCost!X172</f>
        <v>10</v>
      </c>
      <c r="E169" s="227">
        <f>InputForProCost!Y172</f>
        <v>8.1096944444444432</v>
      </c>
      <c r="F169" s="227">
        <f>InputForProCost!Z172</f>
        <v>0</v>
      </c>
      <c r="G169" s="227" t="str">
        <f>InputForProCost!AA172</f>
        <v>ResDHW</v>
      </c>
      <c r="H169" s="227">
        <f>InputForProCost!AB172</f>
        <v>314.52145229972194</v>
      </c>
      <c r="I169" s="227">
        <f>InputForProCost!AC172</f>
        <v>0</v>
      </c>
      <c r="J169" s="227">
        <f>InputForProCost!AD172</f>
        <v>0</v>
      </c>
      <c r="K169" s="227">
        <f>InputForProCost!AE172</f>
        <v>0</v>
      </c>
      <c r="L169" s="227">
        <f>InputForProCost!AF172</f>
        <v>0</v>
      </c>
      <c r="M169" s="227">
        <f>InputForProCost!AG172</f>
        <v>0</v>
      </c>
      <c r="N169" s="227">
        <f>InputForProCost!AH172</f>
        <v>0</v>
      </c>
      <c r="O169" s="227">
        <f>InputForProCost!AI172</f>
        <v>83.257718409955615</v>
      </c>
      <c r="P169" s="227" t="str">
        <f>InputForProCost!AJ172</f>
        <v>ResGASDHW</v>
      </c>
      <c r="R169" s="228"/>
      <c r="S169" s="229"/>
    </row>
    <row r="170" spans="1:19">
      <c r="A170" s="226" t="str">
        <f>InputForProCost!U173</f>
        <v>Commercial Showerhead Replacement_2_00gpm_Hospitality_ Electric Water Heating_Retail</v>
      </c>
      <c r="B170" s="226" t="str">
        <f>InputForProCost!V173</f>
        <v>Embedded Water Energy</v>
      </c>
      <c r="C170" s="227">
        <f>InputForProCost!W173</f>
        <v>5.9399149959648012</v>
      </c>
      <c r="D170" s="227">
        <f>InputForProCost!X173</f>
        <v>10</v>
      </c>
      <c r="E170" s="227">
        <f>InputForProCost!Y173</f>
        <v>0</v>
      </c>
      <c r="F170" s="227">
        <f>InputForProCost!Z173</f>
        <v>0</v>
      </c>
      <c r="G170" s="227" t="str">
        <f>InputForProCost!AA173</f>
        <v>FLAT</v>
      </c>
      <c r="H170" s="227">
        <f>InputForProCost!AB173</f>
        <v>0</v>
      </c>
      <c r="I170" s="227">
        <f>InputForProCost!AC173</f>
        <v>0</v>
      </c>
      <c r="J170" s="227">
        <f>InputForProCost!AD173</f>
        <v>0</v>
      </c>
      <c r="K170" s="227">
        <f>InputForProCost!AE173</f>
        <v>0</v>
      </c>
      <c r="L170" s="227">
        <f>InputForProCost!AF173</f>
        <v>0</v>
      </c>
      <c r="M170" s="227">
        <f>InputForProCost!AG173</f>
        <v>0</v>
      </c>
      <c r="N170" s="227">
        <f>InputForProCost!AH173</f>
        <v>0</v>
      </c>
      <c r="O170" s="227">
        <f>InputForProCost!AI173</f>
        <v>0</v>
      </c>
      <c r="P170" s="227" t="str">
        <f>InputForProCost!AJ173</f>
        <v>FLAT</v>
      </c>
      <c r="R170" s="228"/>
      <c r="S170" s="229"/>
    </row>
    <row r="171" spans="1:19">
      <c r="A171" s="226" t="str">
        <f>InputForProCost!U174</f>
        <v>Commercial Showerhead Replacement_2_00gpm_Hospitality_ Gas Water Heating_Retail</v>
      </c>
      <c r="B171" s="226" t="str">
        <f>InputForProCost!V174</f>
        <v>Embedded Water Energy</v>
      </c>
      <c r="C171" s="227">
        <f>InputForProCost!W174</f>
        <v>5.9399149959648012</v>
      </c>
      <c r="D171" s="227">
        <f>InputForProCost!X174</f>
        <v>10</v>
      </c>
      <c r="E171" s="227">
        <f>InputForProCost!Y174</f>
        <v>0</v>
      </c>
      <c r="F171" s="227">
        <f>InputForProCost!Z174</f>
        <v>0</v>
      </c>
      <c r="G171" s="227" t="str">
        <f>InputForProCost!AA174</f>
        <v>FLAT</v>
      </c>
      <c r="H171" s="227">
        <f>InputForProCost!AB174</f>
        <v>0</v>
      </c>
      <c r="I171" s="227">
        <f>InputForProCost!AC174</f>
        <v>0</v>
      </c>
      <c r="J171" s="227">
        <f>InputForProCost!AD174</f>
        <v>0</v>
      </c>
      <c r="K171" s="227">
        <f>InputForProCost!AE174</f>
        <v>0</v>
      </c>
      <c r="L171" s="227">
        <f>InputForProCost!AF174</f>
        <v>0</v>
      </c>
      <c r="M171" s="227">
        <f>InputForProCost!AG174</f>
        <v>0</v>
      </c>
      <c r="N171" s="227">
        <f>InputForProCost!AH174</f>
        <v>0</v>
      </c>
      <c r="O171" s="227">
        <f>InputForProCost!AI174</f>
        <v>0</v>
      </c>
      <c r="P171" s="227" t="str">
        <f>InputForProCost!AJ174</f>
        <v>FLAT</v>
      </c>
      <c r="R171" s="228"/>
      <c r="S171" s="229"/>
    </row>
    <row r="172" spans="1:19">
      <c r="A172" s="226" t="str">
        <f>InputForProCost!U175</f>
        <v>Commercial Showerhead Replacement_2_00gpm_Hospitality_ Any Water Heating_Retail</v>
      </c>
      <c r="B172" s="226" t="str">
        <f>InputForProCost!V175</f>
        <v>Embedded Water Energy</v>
      </c>
      <c r="C172" s="227">
        <f>InputForProCost!W175</f>
        <v>5.9399149959648012</v>
      </c>
      <c r="D172" s="227">
        <f>InputForProCost!X175</f>
        <v>10</v>
      </c>
      <c r="E172" s="227">
        <f>InputForProCost!Y175</f>
        <v>0</v>
      </c>
      <c r="F172" s="227">
        <f>InputForProCost!Z175</f>
        <v>0</v>
      </c>
      <c r="G172" s="227" t="str">
        <f>InputForProCost!AA175</f>
        <v>FLAT</v>
      </c>
      <c r="H172" s="227">
        <f>InputForProCost!AB175</f>
        <v>0</v>
      </c>
      <c r="I172" s="227">
        <f>InputForProCost!AC175</f>
        <v>0</v>
      </c>
      <c r="J172" s="227">
        <f>InputForProCost!AD175</f>
        <v>0</v>
      </c>
      <c r="K172" s="227">
        <f>InputForProCost!AE175</f>
        <v>0</v>
      </c>
      <c r="L172" s="227">
        <f>InputForProCost!AF175</f>
        <v>0</v>
      </c>
      <c r="M172" s="227">
        <f>InputForProCost!AG175</f>
        <v>0</v>
      </c>
      <c r="N172" s="227">
        <f>InputForProCost!AH175</f>
        <v>0</v>
      </c>
      <c r="O172" s="227">
        <f>InputForProCost!AI175</f>
        <v>0</v>
      </c>
      <c r="P172" s="227" t="str">
        <f>InputForProCost!AJ175</f>
        <v>FLAT</v>
      </c>
      <c r="R172" s="228"/>
      <c r="S172" s="229"/>
    </row>
    <row r="173" spans="1:19">
      <c r="A173" s="226" t="str">
        <f>InputForProCost!U176</f>
        <v>Commercial Showerhead Replacement_1_75gpm_Hospitality_ Electric Water Heating_Retail</v>
      </c>
      <c r="B173" s="226" t="str">
        <f>InputForProCost!V176</f>
        <v>Embedded Water Energy</v>
      </c>
      <c r="C173" s="227">
        <f>InputForProCost!W176</f>
        <v>6.2647540973066285</v>
      </c>
      <c r="D173" s="227">
        <f>InputForProCost!X176</f>
        <v>10</v>
      </c>
      <c r="E173" s="227">
        <f>InputForProCost!Y176</f>
        <v>0</v>
      </c>
      <c r="F173" s="227">
        <f>InputForProCost!Z176</f>
        <v>0</v>
      </c>
      <c r="G173" s="227" t="str">
        <f>InputForProCost!AA176</f>
        <v>FLAT</v>
      </c>
      <c r="H173" s="227">
        <f>InputForProCost!AB176</f>
        <v>0</v>
      </c>
      <c r="I173" s="227">
        <f>InputForProCost!AC176</f>
        <v>0</v>
      </c>
      <c r="J173" s="227">
        <f>InputForProCost!AD176</f>
        <v>0</v>
      </c>
      <c r="K173" s="227">
        <f>InputForProCost!AE176</f>
        <v>0</v>
      </c>
      <c r="L173" s="227">
        <f>InputForProCost!AF176</f>
        <v>0</v>
      </c>
      <c r="M173" s="227">
        <f>InputForProCost!AG176</f>
        <v>0</v>
      </c>
      <c r="N173" s="227">
        <f>InputForProCost!AH176</f>
        <v>0</v>
      </c>
      <c r="O173" s="227">
        <f>InputForProCost!AI176</f>
        <v>0</v>
      </c>
      <c r="P173" s="227" t="str">
        <f>InputForProCost!AJ176</f>
        <v>FLAT</v>
      </c>
      <c r="R173" s="228"/>
      <c r="S173" s="229"/>
    </row>
    <row r="174" spans="1:19">
      <c r="A174" s="226" t="str">
        <f>InputForProCost!U177</f>
        <v>Commercial Showerhead Replacement_1_75gpm_Hospitality_ Gas Water Heating_Retail</v>
      </c>
      <c r="B174" s="226" t="str">
        <f>InputForProCost!V177</f>
        <v>Embedded Water Energy</v>
      </c>
      <c r="C174" s="227">
        <f>InputForProCost!W177</f>
        <v>6.2647540973066285</v>
      </c>
      <c r="D174" s="227">
        <f>InputForProCost!X177</f>
        <v>10</v>
      </c>
      <c r="E174" s="227">
        <f>InputForProCost!Y177</f>
        <v>0</v>
      </c>
      <c r="F174" s="227">
        <f>InputForProCost!Z177</f>
        <v>0</v>
      </c>
      <c r="G174" s="227" t="str">
        <f>InputForProCost!AA177</f>
        <v>FLAT</v>
      </c>
      <c r="H174" s="227">
        <f>InputForProCost!AB177</f>
        <v>0</v>
      </c>
      <c r="I174" s="227">
        <f>InputForProCost!AC177</f>
        <v>0</v>
      </c>
      <c r="J174" s="227">
        <f>InputForProCost!AD177</f>
        <v>0</v>
      </c>
      <c r="K174" s="227">
        <f>InputForProCost!AE177</f>
        <v>0</v>
      </c>
      <c r="L174" s="227">
        <f>InputForProCost!AF177</f>
        <v>0</v>
      </c>
      <c r="M174" s="227">
        <f>InputForProCost!AG177</f>
        <v>0</v>
      </c>
      <c r="N174" s="227">
        <f>InputForProCost!AH177</f>
        <v>0</v>
      </c>
      <c r="O174" s="227">
        <f>InputForProCost!AI177</f>
        <v>0</v>
      </c>
      <c r="P174" s="227" t="str">
        <f>InputForProCost!AJ177</f>
        <v>FLAT</v>
      </c>
      <c r="R174" s="228"/>
      <c r="S174" s="229"/>
    </row>
    <row r="175" spans="1:19">
      <c r="A175" s="226" t="str">
        <f>InputForProCost!U178</f>
        <v>Commercial Showerhead Replacement_1_75gpm_Hospitality_ Any Water Heating_Retail</v>
      </c>
      <c r="B175" s="226" t="str">
        <f>InputForProCost!V178</f>
        <v>Embedded Water Energy</v>
      </c>
      <c r="C175" s="227">
        <f>InputForProCost!W178</f>
        <v>6.2647540973066285</v>
      </c>
      <c r="D175" s="227">
        <f>InputForProCost!X178</f>
        <v>10</v>
      </c>
      <c r="E175" s="227">
        <f>InputForProCost!Y178</f>
        <v>0</v>
      </c>
      <c r="F175" s="227">
        <f>InputForProCost!Z178</f>
        <v>0</v>
      </c>
      <c r="G175" s="227" t="str">
        <f>InputForProCost!AA178</f>
        <v>FLAT</v>
      </c>
      <c r="H175" s="227">
        <f>InputForProCost!AB178</f>
        <v>0</v>
      </c>
      <c r="I175" s="227">
        <f>InputForProCost!AC178</f>
        <v>0</v>
      </c>
      <c r="J175" s="227">
        <f>InputForProCost!AD178</f>
        <v>0</v>
      </c>
      <c r="K175" s="227">
        <f>InputForProCost!AE178</f>
        <v>0</v>
      </c>
      <c r="L175" s="227">
        <f>InputForProCost!AF178</f>
        <v>0</v>
      </c>
      <c r="M175" s="227">
        <f>InputForProCost!AG178</f>
        <v>0</v>
      </c>
      <c r="N175" s="227">
        <f>InputForProCost!AH178</f>
        <v>0</v>
      </c>
      <c r="O175" s="227">
        <f>InputForProCost!AI178</f>
        <v>0</v>
      </c>
      <c r="P175" s="227" t="str">
        <f>InputForProCost!AJ178</f>
        <v>FLAT</v>
      </c>
      <c r="R175" s="228"/>
      <c r="S175" s="229"/>
    </row>
    <row r="176" spans="1:19">
      <c r="A176" s="226" t="str">
        <f>InputForProCost!U179</f>
        <v>Commercial Showerhead Replacement_1_50gpm_Hospitality_ Electric Water Heating_Retail</v>
      </c>
      <c r="B176" s="226" t="str">
        <f>InputForProCost!V179</f>
        <v>Embedded Water Energy</v>
      </c>
      <c r="C176" s="227">
        <f>InputForProCost!W179</f>
        <v>9.0954948375711027</v>
      </c>
      <c r="D176" s="227">
        <f>InputForProCost!X179</f>
        <v>10</v>
      </c>
      <c r="E176" s="227">
        <f>InputForProCost!Y179</f>
        <v>0</v>
      </c>
      <c r="F176" s="227">
        <f>InputForProCost!Z179</f>
        <v>0</v>
      </c>
      <c r="G176" s="227" t="str">
        <f>InputForProCost!AA179</f>
        <v>FLAT</v>
      </c>
      <c r="H176" s="227">
        <f>InputForProCost!AB179</f>
        <v>0</v>
      </c>
      <c r="I176" s="227">
        <f>InputForProCost!AC179</f>
        <v>0</v>
      </c>
      <c r="J176" s="227">
        <f>InputForProCost!AD179</f>
        <v>0</v>
      </c>
      <c r="K176" s="227">
        <f>InputForProCost!AE179</f>
        <v>0</v>
      </c>
      <c r="L176" s="227">
        <f>InputForProCost!AF179</f>
        <v>0</v>
      </c>
      <c r="M176" s="227">
        <f>InputForProCost!AG179</f>
        <v>0</v>
      </c>
      <c r="N176" s="227">
        <f>InputForProCost!AH179</f>
        <v>0</v>
      </c>
      <c r="O176" s="227">
        <f>InputForProCost!AI179</f>
        <v>0</v>
      </c>
      <c r="P176" s="227" t="str">
        <f>InputForProCost!AJ179</f>
        <v>FLAT</v>
      </c>
      <c r="R176" s="228"/>
      <c r="S176" s="229"/>
    </row>
    <row r="177" spans="1:19">
      <c r="A177" s="226" t="str">
        <f>InputForProCost!U180</f>
        <v>Commercial Showerhead Replacement_1_50gpm_Hospitality_ Gas Water Heating_Retail</v>
      </c>
      <c r="B177" s="226" t="str">
        <f>InputForProCost!V180</f>
        <v>Embedded Water Energy</v>
      </c>
      <c r="C177" s="227">
        <f>InputForProCost!W180</f>
        <v>9.0954948375711027</v>
      </c>
      <c r="D177" s="227">
        <f>InputForProCost!X180</f>
        <v>10</v>
      </c>
      <c r="E177" s="227">
        <f>InputForProCost!Y180</f>
        <v>0</v>
      </c>
      <c r="F177" s="227">
        <f>InputForProCost!Z180</f>
        <v>0</v>
      </c>
      <c r="G177" s="227" t="str">
        <f>InputForProCost!AA180</f>
        <v>FLAT</v>
      </c>
      <c r="H177" s="227">
        <f>InputForProCost!AB180</f>
        <v>0</v>
      </c>
      <c r="I177" s="227">
        <f>InputForProCost!AC180</f>
        <v>0</v>
      </c>
      <c r="J177" s="227">
        <f>InputForProCost!AD180</f>
        <v>0</v>
      </c>
      <c r="K177" s="227">
        <f>InputForProCost!AE180</f>
        <v>0</v>
      </c>
      <c r="L177" s="227">
        <f>InputForProCost!AF180</f>
        <v>0</v>
      </c>
      <c r="M177" s="227">
        <f>InputForProCost!AG180</f>
        <v>0</v>
      </c>
      <c r="N177" s="227">
        <f>InputForProCost!AH180</f>
        <v>0</v>
      </c>
      <c r="O177" s="227">
        <f>InputForProCost!AI180</f>
        <v>0</v>
      </c>
      <c r="P177" s="227" t="str">
        <f>InputForProCost!AJ180</f>
        <v>FLAT</v>
      </c>
      <c r="R177" s="228"/>
      <c r="S177" s="229"/>
    </row>
    <row r="178" spans="1:19">
      <c r="A178" s="226" t="str">
        <f>InputForProCost!U181</f>
        <v>Commercial Showerhead Replacement_1_50gpm_Hospitality_ Any Water Heating_Retail</v>
      </c>
      <c r="B178" s="226" t="str">
        <f>InputForProCost!V181</f>
        <v>Embedded Water Energy</v>
      </c>
      <c r="C178" s="227">
        <f>InputForProCost!W181</f>
        <v>9.0954948375711027</v>
      </c>
      <c r="D178" s="227">
        <f>InputForProCost!X181</f>
        <v>10</v>
      </c>
      <c r="E178" s="227">
        <f>InputForProCost!Y181</f>
        <v>0</v>
      </c>
      <c r="F178" s="227">
        <f>InputForProCost!Z181</f>
        <v>0</v>
      </c>
      <c r="G178" s="227" t="str">
        <f>InputForProCost!AA181</f>
        <v>FLAT</v>
      </c>
      <c r="H178" s="227">
        <f>InputForProCost!AB181</f>
        <v>0</v>
      </c>
      <c r="I178" s="227">
        <f>InputForProCost!AC181</f>
        <v>0</v>
      </c>
      <c r="J178" s="227">
        <f>InputForProCost!AD181</f>
        <v>0</v>
      </c>
      <c r="K178" s="227">
        <f>InputForProCost!AE181</f>
        <v>0</v>
      </c>
      <c r="L178" s="227">
        <f>InputForProCost!AF181</f>
        <v>0</v>
      </c>
      <c r="M178" s="227">
        <f>InputForProCost!AG181</f>
        <v>0</v>
      </c>
      <c r="N178" s="227">
        <f>InputForProCost!AH181</f>
        <v>0</v>
      </c>
      <c r="O178" s="227">
        <f>InputForProCost!AI181</f>
        <v>0</v>
      </c>
      <c r="P178" s="227" t="str">
        <f>InputForProCost!AJ181</f>
        <v>FLAT</v>
      </c>
      <c r="R178" s="228"/>
      <c r="S178" s="229"/>
    </row>
    <row r="179" spans="1:19">
      <c r="A179" s="226" t="str">
        <f>InputForProCost!U182</f>
        <v>Commercial Showerhead Replacement_2_00gpm_Hospitality_ Electric Water Heating_Direct Install</v>
      </c>
      <c r="B179" s="226" t="str">
        <f>InputForProCost!V182</f>
        <v>Embedded Water Energy</v>
      </c>
      <c r="C179" s="227">
        <f>InputForProCost!W182</f>
        <v>6.682404370460401</v>
      </c>
      <c r="D179" s="227">
        <f>InputForProCost!X182</f>
        <v>10</v>
      </c>
      <c r="E179" s="227">
        <f>InputForProCost!Y182</f>
        <v>0</v>
      </c>
      <c r="F179" s="227">
        <f>InputForProCost!Z182</f>
        <v>0</v>
      </c>
      <c r="G179" s="227" t="str">
        <f>InputForProCost!AA182</f>
        <v>FLAT</v>
      </c>
      <c r="H179" s="227">
        <f>InputForProCost!AB182</f>
        <v>0</v>
      </c>
      <c r="I179" s="227">
        <f>InputForProCost!AC182</f>
        <v>0</v>
      </c>
      <c r="J179" s="227">
        <f>InputForProCost!AD182</f>
        <v>0</v>
      </c>
      <c r="K179" s="227">
        <f>InputForProCost!AE182</f>
        <v>0</v>
      </c>
      <c r="L179" s="227">
        <f>InputForProCost!AF182</f>
        <v>0</v>
      </c>
      <c r="M179" s="227">
        <f>InputForProCost!AG182</f>
        <v>0</v>
      </c>
      <c r="N179" s="227">
        <f>InputForProCost!AH182</f>
        <v>0</v>
      </c>
      <c r="O179" s="227">
        <f>InputForProCost!AI182</f>
        <v>0</v>
      </c>
      <c r="P179" s="227" t="str">
        <f>InputForProCost!AJ182</f>
        <v>FLAT</v>
      </c>
      <c r="R179" s="228"/>
      <c r="S179" s="229"/>
    </row>
    <row r="180" spans="1:19">
      <c r="A180" s="226" t="str">
        <f>InputForProCost!U183</f>
        <v>Commercial Showerhead Replacement_2_00gpm_Hospitality_ Gas Water Heating_Direct Install</v>
      </c>
      <c r="B180" s="226" t="str">
        <f>InputForProCost!V183</f>
        <v>Embedded Water Energy</v>
      </c>
      <c r="C180" s="227">
        <f>InputForProCost!W183</f>
        <v>6.682404370460401</v>
      </c>
      <c r="D180" s="227">
        <f>InputForProCost!X183</f>
        <v>10</v>
      </c>
      <c r="E180" s="227">
        <f>InputForProCost!Y183</f>
        <v>0</v>
      </c>
      <c r="F180" s="227">
        <f>InputForProCost!Z183</f>
        <v>0</v>
      </c>
      <c r="G180" s="227" t="str">
        <f>InputForProCost!AA183</f>
        <v>FLAT</v>
      </c>
      <c r="H180" s="227">
        <f>InputForProCost!AB183</f>
        <v>0</v>
      </c>
      <c r="I180" s="227">
        <f>InputForProCost!AC183</f>
        <v>0</v>
      </c>
      <c r="J180" s="227">
        <f>InputForProCost!AD183</f>
        <v>0</v>
      </c>
      <c r="K180" s="227">
        <f>InputForProCost!AE183</f>
        <v>0</v>
      </c>
      <c r="L180" s="227">
        <f>InputForProCost!AF183</f>
        <v>0</v>
      </c>
      <c r="M180" s="227">
        <f>InputForProCost!AG183</f>
        <v>0</v>
      </c>
      <c r="N180" s="227">
        <f>InputForProCost!AH183</f>
        <v>0</v>
      </c>
      <c r="O180" s="227">
        <f>InputForProCost!AI183</f>
        <v>0</v>
      </c>
      <c r="P180" s="227" t="str">
        <f>InputForProCost!AJ183</f>
        <v>FLAT</v>
      </c>
      <c r="R180" s="228"/>
      <c r="S180" s="229"/>
    </row>
    <row r="181" spans="1:19">
      <c r="A181" s="226" t="str">
        <f>InputForProCost!U184</f>
        <v>Commercial Showerhead Replacement_2_00gpm_Hospitality_ Any Water Heating_Direct Install</v>
      </c>
      <c r="B181" s="226" t="str">
        <f>InputForProCost!V184</f>
        <v>Embedded Water Energy</v>
      </c>
      <c r="C181" s="227">
        <f>InputForProCost!W184</f>
        <v>6.682404370460401</v>
      </c>
      <c r="D181" s="227">
        <f>InputForProCost!X184</f>
        <v>10</v>
      </c>
      <c r="E181" s="227">
        <f>InputForProCost!Y184</f>
        <v>0</v>
      </c>
      <c r="F181" s="227">
        <f>InputForProCost!Z184</f>
        <v>0</v>
      </c>
      <c r="G181" s="227" t="str">
        <f>InputForProCost!AA184</f>
        <v>FLAT</v>
      </c>
      <c r="H181" s="227">
        <f>InputForProCost!AB184</f>
        <v>0</v>
      </c>
      <c r="I181" s="227">
        <f>InputForProCost!AC184</f>
        <v>0</v>
      </c>
      <c r="J181" s="227">
        <f>InputForProCost!AD184</f>
        <v>0</v>
      </c>
      <c r="K181" s="227">
        <f>InputForProCost!AE184</f>
        <v>0</v>
      </c>
      <c r="L181" s="227">
        <f>InputForProCost!AF184</f>
        <v>0</v>
      </c>
      <c r="M181" s="227">
        <f>InputForProCost!AG184</f>
        <v>0</v>
      </c>
      <c r="N181" s="227">
        <f>InputForProCost!AH184</f>
        <v>0</v>
      </c>
      <c r="O181" s="227">
        <f>InputForProCost!AI184</f>
        <v>0</v>
      </c>
      <c r="P181" s="227" t="str">
        <f>InputForProCost!AJ184</f>
        <v>FLAT</v>
      </c>
      <c r="R181" s="228"/>
      <c r="S181" s="229"/>
    </row>
    <row r="182" spans="1:19">
      <c r="A182" s="226" t="str">
        <f>InputForProCost!U185</f>
        <v>Commercial Showerhead Replacement_1_75gpm_Hospitality_ Electric Water Heating_Direct Install</v>
      </c>
      <c r="B182" s="226" t="str">
        <f>InputForProCost!V185</f>
        <v>Embedded Water Energy</v>
      </c>
      <c r="C182" s="227">
        <f>InputForProCost!W185</f>
        <v>7.5177049167679542</v>
      </c>
      <c r="D182" s="227">
        <f>InputForProCost!X185</f>
        <v>10</v>
      </c>
      <c r="E182" s="227">
        <f>InputForProCost!Y185</f>
        <v>0</v>
      </c>
      <c r="F182" s="227">
        <f>InputForProCost!Z185</f>
        <v>0</v>
      </c>
      <c r="G182" s="227" t="str">
        <f>InputForProCost!AA185</f>
        <v>FLAT</v>
      </c>
      <c r="H182" s="227">
        <f>InputForProCost!AB185</f>
        <v>0</v>
      </c>
      <c r="I182" s="227">
        <f>InputForProCost!AC185</f>
        <v>0</v>
      </c>
      <c r="J182" s="227">
        <f>InputForProCost!AD185</f>
        <v>0</v>
      </c>
      <c r="K182" s="227">
        <f>InputForProCost!AE185</f>
        <v>0</v>
      </c>
      <c r="L182" s="227">
        <f>InputForProCost!AF185</f>
        <v>0</v>
      </c>
      <c r="M182" s="227">
        <f>InputForProCost!AG185</f>
        <v>0</v>
      </c>
      <c r="N182" s="227">
        <f>InputForProCost!AH185</f>
        <v>0</v>
      </c>
      <c r="O182" s="227">
        <f>InputForProCost!AI185</f>
        <v>0</v>
      </c>
      <c r="P182" s="227" t="str">
        <f>InputForProCost!AJ185</f>
        <v>FLAT</v>
      </c>
      <c r="R182" s="228"/>
      <c r="S182" s="229"/>
    </row>
    <row r="183" spans="1:19">
      <c r="A183" s="226" t="str">
        <f>InputForProCost!U186</f>
        <v>Commercial Showerhead Replacement_1_75gpm_Hospitality_ Gas Water Heating_Direct Install</v>
      </c>
      <c r="B183" s="226" t="str">
        <f>InputForProCost!V186</f>
        <v>Embedded Water Energy</v>
      </c>
      <c r="C183" s="227">
        <f>InputForProCost!W186</f>
        <v>7.5177049167679542</v>
      </c>
      <c r="D183" s="227">
        <f>InputForProCost!X186</f>
        <v>10</v>
      </c>
      <c r="E183" s="227">
        <f>InputForProCost!Y186</f>
        <v>0</v>
      </c>
      <c r="F183" s="227">
        <f>InputForProCost!Z186</f>
        <v>0</v>
      </c>
      <c r="G183" s="227" t="str">
        <f>InputForProCost!AA186</f>
        <v>FLAT</v>
      </c>
      <c r="H183" s="227">
        <f>InputForProCost!AB186</f>
        <v>0</v>
      </c>
      <c r="I183" s="227">
        <f>InputForProCost!AC186</f>
        <v>0</v>
      </c>
      <c r="J183" s="227">
        <f>InputForProCost!AD186</f>
        <v>0</v>
      </c>
      <c r="K183" s="227">
        <f>InputForProCost!AE186</f>
        <v>0</v>
      </c>
      <c r="L183" s="227">
        <f>InputForProCost!AF186</f>
        <v>0</v>
      </c>
      <c r="M183" s="227">
        <f>InputForProCost!AG186</f>
        <v>0</v>
      </c>
      <c r="N183" s="227">
        <f>InputForProCost!AH186</f>
        <v>0</v>
      </c>
      <c r="O183" s="227">
        <f>InputForProCost!AI186</f>
        <v>0</v>
      </c>
      <c r="P183" s="227" t="str">
        <f>InputForProCost!AJ186</f>
        <v>FLAT</v>
      </c>
      <c r="R183" s="228"/>
      <c r="S183" s="229"/>
    </row>
    <row r="184" spans="1:19">
      <c r="A184" s="226" t="str">
        <f>InputForProCost!U187</f>
        <v>Commercial Showerhead Replacement_1_75gpm_Hospitality_ Any Water Heating_Direct Install</v>
      </c>
      <c r="B184" s="226" t="str">
        <f>InputForProCost!V187</f>
        <v>Embedded Water Energy</v>
      </c>
      <c r="C184" s="227">
        <f>InputForProCost!W187</f>
        <v>7.5177049167679542</v>
      </c>
      <c r="D184" s="227">
        <f>InputForProCost!X187</f>
        <v>10</v>
      </c>
      <c r="E184" s="227">
        <f>InputForProCost!Y187</f>
        <v>0</v>
      </c>
      <c r="F184" s="227">
        <f>InputForProCost!Z187</f>
        <v>0</v>
      </c>
      <c r="G184" s="227" t="str">
        <f>InputForProCost!AA187</f>
        <v>FLAT</v>
      </c>
      <c r="H184" s="227">
        <f>InputForProCost!AB187</f>
        <v>0</v>
      </c>
      <c r="I184" s="227">
        <f>InputForProCost!AC187</f>
        <v>0</v>
      </c>
      <c r="J184" s="227">
        <f>InputForProCost!AD187</f>
        <v>0</v>
      </c>
      <c r="K184" s="227">
        <f>InputForProCost!AE187</f>
        <v>0</v>
      </c>
      <c r="L184" s="227">
        <f>InputForProCost!AF187</f>
        <v>0</v>
      </c>
      <c r="M184" s="227">
        <f>InputForProCost!AG187</f>
        <v>0</v>
      </c>
      <c r="N184" s="227">
        <f>InputForProCost!AH187</f>
        <v>0</v>
      </c>
      <c r="O184" s="227">
        <f>InputForProCost!AI187</f>
        <v>0</v>
      </c>
      <c r="P184" s="227" t="str">
        <f>InputForProCost!AJ187</f>
        <v>FLAT</v>
      </c>
      <c r="R184" s="228"/>
      <c r="S184" s="229"/>
    </row>
    <row r="185" spans="1:19">
      <c r="A185" s="226" t="str">
        <f>InputForProCost!U188</f>
        <v>Commercial Showerhead Replacement_1_50gpm_Hospitality_ Electric Water Heating_Direct Install</v>
      </c>
      <c r="B185" s="226" t="str">
        <f>InputForProCost!V188</f>
        <v>Embedded Water Energy</v>
      </c>
      <c r="C185" s="227">
        <f>InputForProCost!W188</f>
        <v>11.694207648305705</v>
      </c>
      <c r="D185" s="227">
        <f>InputForProCost!X188</f>
        <v>10</v>
      </c>
      <c r="E185" s="227">
        <f>InputForProCost!Y188</f>
        <v>0</v>
      </c>
      <c r="F185" s="227">
        <f>InputForProCost!Z188</f>
        <v>0</v>
      </c>
      <c r="G185" s="227" t="str">
        <f>InputForProCost!AA188</f>
        <v>FLAT</v>
      </c>
      <c r="H185" s="227">
        <f>InputForProCost!AB188</f>
        <v>0</v>
      </c>
      <c r="I185" s="227">
        <f>InputForProCost!AC188</f>
        <v>0</v>
      </c>
      <c r="J185" s="227">
        <f>InputForProCost!AD188</f>
        <v>0</v>
      </c>
      <c r="K185" s="227">
        <f>InputForProCost!AE188</f>
        <v>0</v>
      </c>
      <c r="L185" s="227">
        <f>InputForProCost!AF188</f>
        <v>0</v>
      </c>
      <c r="M185" s="227">
        <f>InputForProCost!AG188</f>
        <v>0</v>
      </c>
      <c r="N185" s="227">
        <f>InputForProCost!AH188</f>
        <v>0</v>
      </c>
      <c r="O185" s="227">
        <f>InputForProCost!AI188</f>
        <v>0</v>
      </c>
      <c r="P185" s="227" t="str">
        <f>InputForProCost!AJ188</f>
        <v>FLAT</v>
      </c>
      <c r="R185" s="228"/>
      <c r="S185" s="229"/>
    </row>
    <row r="186" spans="1:19">
      <c r="A186" s="226" t="str">
        <f>InputForProCost!U189</f>
        <v>Commercial Showerhead Replacement_1_50gpm_Hospitality_ Gas Water Heating_Direct Install</v>
      </c>
      <c r="B186" s="226" t="str">
        <f>InputForProCost!V189</f>
        <v>Embedded Water Energy</v>
      </c>
      <c r="C186" s="227">
        <f>InputForProCost!W189</f>
        <v>11.694207648305705</v>
      </c>
      <c r="D186" s="227">
        <f>InputForProCost!X189</f>
        <v>10</v>
      </c>
      <c r="E186" s="227">
        <f>InputForProCost!Y189</f>
        <v>0</v>
      </c>
      <c r="F186" s="227">
        <f>InputForProCost!Z189</f>
        <v>0</v>
      </c>
      <c r="G186" s="227" t="str">
        <f>InputForProCost!AA189</f>
        <v>FLAT</v>
      </c>
      <c r="H186" s="227">
        <f>InputForProCost!AB189</f>
        <v>0</v>
      </c>
      <c r="I186" s="227">
        <f>InputForProCost!AC189</f>
        <v>0</v>
      </c>
      <c r="J186" s="227">
        <f>InputForProCost!AD189</f>
        <v>0</v>
      </c>
      <c r="K186" s="227">
        <f>InputForProCost!AE189</f>
        <v>0</v>
      </c>
      <c r="L186" s="227">
        <f>InputForProCost!AF189</f>
        <v>0</v>
      </c>
      <c r="M186" s="227">
        <f>InputForProCost!AG189</f>
        <v>0</v>
      </c>
      <c r="N186" s="227">
        <f>InputForProCost!AH189</f>
        <v>0</v>
      </c>
      <c r="O186" s="227">
        <f>InputForProCost!AI189</f>
        <v>0</v>
      </c>
      <c r="P186" s="227" t="str">
        <f>InputForProCost!AJ189</f>
        <v>FLAT</v>
      </c>
      <c r="R186" s="228"/>
      <c r="S186" s="229"/>
    </row>
    <row r="187" spans="1:19">
      <c r="A187" s="226" t="str">
        <f>InputForProCost!U190</f>
        <v>Commercial Showerhead Replacement_1_50gpm_Hospitality_ Any Water Heating_Direct Install</v>
      </c>
      <c r="B187" s="226" t="str">
        <f>InputForProCost!V190</f>
        <v>Embedded Water Energy</v>
      </c>
      <c r="C187" s="227">
        <f>InputForProCost!W190</f>
        <v>11.694207648305705</v>
      </c>
      <c r="D187" s="227">
        <f>InputForProCost!X190</f>
        <v>10</v>
      </c>
      <c r="E187" s="227">
        <f>InputForProCost!Y190</f>
        <v>0</v>
      </c>
      <c r="F187" s="227">
        <f>InputForProCost!Z190</f>
        <v>0</v>
      </c>
      <c r="G187" s="227" t="str">
        <f>InputForProCost!AA190</f>
        <v>FLAT</v>
      </c>
      <c r="H187" s="227">
        <f>InputForProCost!AB190</f>
        <v>0</v>
      </c>
      <c r="I187" s="227">
        <f>InputForProCost!AC190</f>
        <v>0</v>
      </c>
      <c r="J187" s="227">
        <f>InputForProCost!AD190</f>
        <v>0</v>
      </c>
      <c r="K187" s="227">
        <f>InputForProCost!AE190</f>
        <v>0</v>
      </c>
      <c r="L187" s="227">
        <f>InputForProCost!AF190</f>
        <v>0</v>
      </c>
      <c r="M187" s="227">
        <f>InputForProCost!AG190</f>
        <v>0</v>
      </c>
      <c r="N187" s="227">
        <f>InputForProCost!AH190</f>
        <v>0</v>
      </c>
      <c r="O187" s="227">
        <f>InputForProCost!AI190</f>
        <v>0</v>
      </c>
      <c r="P187" s="227" t="str">
        <f>InputForProCost!AJ190</f>
        <v>FLAT</v>
      </c>
      <c r="R187" s="228"/>
      <c r="S187" s="229"/>
    </row>
    <row r="188" spans="1:19">
      <c r="A188" s="226" t="str">
        <f>InputForProCost!U191</f>
        <v>Commercial Showerhead Replacement_2_00gpm_Hospitality_ Electric Water Heating_Mail-by-Request</v>
      </c>
      <c r="B188" s="226" t="str">
        <f>InputForProCost!V191</f>
        <v>Embedded Water Energy</v>
      </c>
      <c r="C188" s="227">
        <f>InputForProCost!W191</f>
        <v>4.4549362469736007</v>
      </c>
      <c r="D188" s="227">
        <f>InputForProCost!X191</f>
        <v>10</v>
      </c>
      <c r="E188" s="227">
        <f>InputForProCost!Y191</f>
        <v>0</v>
      </c>
      <c r="F188" s="227">
        <f>InputForProCost!Z191</f>
        <v>0</v>
      </c>
      <c r="G188" s="227" t="str">
        <f>InputForProCost!AA191</f>
        <v>FLAT</v>
      </c>
      <c r="H188" s="227">
        <f>InputForProCost!AB191</f>
        <v>0</v>
      </c>
      <c r="I188" s="227">
        <f>InputForProCost!AC191</f>
        <v>0</v>
      </c>
      <c r="J188" s="227">
        <f>InputForProCost!AD191</f>
        <v>0</v>
      </c>
      <c r="K188" s="227">
        <f>InputForProCost!AE191</f>
        <v>0</v>
      </c>
      <c r="L188" s="227">
        <f>InputForProCost!AF191</f>
        <v>0</v>
      </c>
      <c r="M188" s="227">
        <f>InputForProCost!AG191</f>
        <v>0</v>
      </c>
      <c r="N188" s="227">
        <f>InputForProCost!AH191</f>
        <v>0</v>
      </c>
      <c r="O188" s="227">
        <f>InputForProCost!AI191</f>
        <v>0</v>
      </c>
      <c r="P188" s="227" t="str">
        <f>InputForProCost!AJ191</f>
        <v>FLAT</v>
      </c>
      <c r="R188" s="228"/>
      <c r="S188" s="229"/>
    </row>
    <row r="189" spans="1:19">
      <c r="A189" s="226" t="str">
        <f>InputForProCost!U192</f>
        <v>Commercial Showerhead Replacement_2_00gpm_Hospitality_ Gas Water Heating_Mail-by-Request</v>
      </c>
      <c r="B189" s="226" t="str">
        <f>InputForProCost!V192</f>
        <v>Embedded Water Energy</v>
      </c>
      <c r="C189" s="227">
        <f>InputForProCost!W192</f>
        <v>4.4549362469736007</v>
      </c>
      <c r="D189" s="227">
        <f>InputForProCost!X192</f>
        <v>10</v>
      </c>
      <c r="E189" s="227">
        <f>InputForProCost!Y192</f>
        <v>0</v>
      </c>
      <c r="F189" s="227">
        <f>InputForProCost!Z192</f>
        <v>0</v>
      </c>
      <c r="G189" s="227" t="str">
        <f>InputForProCost!AA192</f>
        <v>FLAT</v>
      </c>
      <c r="H189" s="227">
        <f>InputForProCost!AB192</f>
        <v>0</v>
      </c>
      <c r="I189" s="227">
        <f>InputForProCost!AC192</f>
        <v>0</v>
      </c>
      <c r="J189" s="227">
        <f>InputForProCost!AD192</f>
        <v>0</v>
      </c>
      <c r="K189" s="227">
        <f>InputForProCost!AE192</f>
        <v>0</v>
      </c>
      <c r="L189" s="227">
        <f>InputForProCost!AF192</f>
        <v>0</v>
      </c>
      <c r="M189" s="227">
        <f>InputForProCost!AG192</f>
        <v>0</v>
      </c>
      <c r="N189" s="227">
        <f>InputForProCost!AH192</f>
        <v>0</v>
      </c>
      <c r="O189" s="227">
        <f>InputForProCost!AI192</f>
        <v>0</v>
      </c>
      <c r="P189" s="227" t="str">
        <f>InputForProCost!AJ192</f>
        <v>FLAT</v>
      </c>
      <c r="R189" s="228"/>
      <c r="S189" s="229"/>
    </row>
    <row r="190" spans="1:19">
      <c r="A190" s="226" t="str">
        <f>InputForProCost!U193</f>
        <v>Commercial Showerhead Replacement_2_00gpm_Hospitality_ Any Water Heating_Mail-by-Request</v>
      </c>
      <c r="B190" s="226" t="str">
        <f>InputForProCost!V193</f>
        <v>Embedded Water Energy</v>
      </c>
      <c r="C190" s="227">
        <f>InputForProCost!W193</f>
        <v>4.4549362469736007</v>
      </c>
      <c r="D190" s="227">
        <f>InputForProCost!X193</f>
        <v>10</v>
      </c>
      <c r="E190" s="227">
        <f>InputForProCost!Y193</f>
        <v>0</v>
      </c>
      <c r="F190" s="227">
        <f>InputForProCost!Z193</f>
        <v>0</v>
      </c>
      <c r="G190" s="227" t="str">
        <f>InputForProCost!AA193</f>
        <v>FLAT</v>
      </c>
      <c r="H190" s="227">
        <f>InputForProCost!AB193</f>
        <v>0</v>
      </c>
      <c r="I190" s="227">
        <f>InputForProCost!AC193</f>
        <v>0</v>
      </c>
      <c r="J190" s="227">
        <f>InputForProCost!AD193</f>
        <v>0</v>
      </c>
      <c r="K190" s="227">
        <f>InputForProCost!AE193</f>
        <v>0</v>
      </c>
      <c r="L190" s="227">
        <f>InputForProCost!AF193</f>
        <v>0</v>
      </c>
      <c r="M190" s="227">
        <f>InputForProCost!AG193</f>
        <v>0</v>
      </c>
      <c r="N190" s="227">
        <f>InputForProCost!AH193</f>
        <v>0</v>
      </c>
      <c r="O190" s="227">
        <f>InputForProCost!AI193</f>
        <v>0</v>
      </c>
      <c r="P190" s="227" t="str">
        <f>InputForProCost!AJ193</f>
        <v>FLAT</v>
      </c>
      <c r="R190" s="228"/>
      <c r="S190" s="229"/>
    </row>
    <row r="191" spans="1:19">
      <c r="A191" s="226" t="str">
        <f>InputForProCost!U194</f>
        <v>Commercial Showerhead Replacement_1_75gpm_Hospitality_ Electric Water Heating_Mail-by-Request</v>
      </c>
      <c r="B191" s="226" t="str">
        <f>InputForProCost!V194</f>
        <v>Embedded Water Energy</v>
      </c>
      <c r="C191" s="227">
        <f>InputForProCost!W194</f>
        <v>5.0118032778453028</v>
      </c>
      <c r="D191" s="227">
        <f>InputForProCost!X194</f>
        <v>10</v>
      </c>
      <c r="E191" s="227">
        <f>InputForProCost!Y194</f>
        <v>0</v>
      </c>
      <c r="F191" s="227">
        <f>InputForProCost!Z194</f>
        <v>0</v>
      </c>
      <c r="G191" s="227" t="str">
        <f>InputForProCost!AA194</f>
        <v>FLAT</v>
      </c>
      <c r="H191" s="227">
        <f>InputForProCost!AB194</f>
        <v>0</v>
      </c>
      <c r="I191" s="227">
        <f>InputForProCost!AC194</f>
        <v>0</v>
      </c>
      <c r="J191" s="227">
        <f>InputForProCost!AD194</f>
        <v>0</v>
      </c>
      <c r="K191" s="227">
        <f>InputForProCost!AE194</f>
        <v>0</v>
      </c>
      <c r="L191" s="227">
        <f>InputForProCost!AF194</f>
        <v>0</v>
      </c>
      <c r="M191" s="227">
        <f>InputForProCost!AG194</f>
        <v>0</v>
      </c>
      <c r="N191" s="227">
        <f>InputForProCost!AH194</f>
        <v>0</v>
      </c>
      <c r="O191" s="227">
        <f>InputForProCost!AI194</f>
        <v>0</v>
      </c>
      <c r="P191" s="227" t="str">
        <f>InputForProCost!AJ194</f>
        <v>FLAT</v>
      </c>
      <c r="R191" s="228"/>
      <c r="S191" s="229"/>
    </row>
    <row r="192" spans="1:19">
      <c r="A192" s="226" t="str">
        <f>InputForProCost!U195</f>
        <v>Commercial Showerhead Replacement_1_75gpm_Hospitality_ Gas Water Heating_Mail-by-Request</v>
      </c>
      <c r="B192" s="226" t="str">
        <f>InputForProCost!V195</f>
        <v>Embedded Water Energy</v>
      </c>
      <c r="C192" s="227">
        <f>InputForProCost!W195</f>
        <v>5.0118032778453028</v>
      </c>
      <c r="D192" s="227">
        <f>InputForProCost!X195</f>
        <v>10</v>
      </c>
      <c r="E192" s="227">
        <f>InputForProCost!Y195</f>
        <v>0</v>
      </c>
      <c r="F192" s="227">
        <f>InputForProCost!Z195</f>
        <v>0</v>
      </c>
      <c r="G192" s="227" t="str">
        <f>InputForProCost!AA195</f>
        <v>FLAT</v>
      </c>
      <c r="H192" s="227">
        <f>InputForProCost!AB195</f>
        <v>0</v>
      </c>
      <c r="I192" s="227">
        <f>InputForProCost!AC195</f>
        <v>0</v>
      </c>
      <c r="J192" s="227">
        <f>InputForProCost!AD195</f>
        <v>0</v>
      </c>
      <c r="K192" s="227">
        <f>InputForProCost!AE195</f>
        <v>0</v>
      </c>
      <c r="L192" s="227">
        <f>InputForProCost!AF195</f>
        <v>0</v>
      </c>
      <c r="M192" s="227">
        <f>InputForProCost!AG195</f>
        <v>0</v>
      </c>
      <c r="N192" s="227">
        <f>InputForProCost!AH195</f>
        <v>0</v>
      </c>
      <c r="O192" s="227">
        <f>InputForProCost!AI195</f>
        <v>0</v>
      </c>
      <c r="P192" s="227" t="str">
        <f>InputForProCost!AJ195</f>
        <v>FLAT</v>
      </c>
      <c r="R192" s="228"/>
      <c r="S192" s="229"/>
    </row>
    <row r="193" spans="1:19">
      <c r="A193" s="226" t="str">
        <f>InputForProCost!U196</f>
        <v>Commercial Showerhead Replacement_1_75gpm_Hospitality_ Any Water Heating_Mail-by-Request</v>
      </c>
      <c r="B193" s="226" t="str">
        <f>InputForProCost!V196</f>
        <v>Embedded Water Energy</v>
      </c>
      <c r="C193" s="227">
        <f>InputForProCost!W196</f>
        <v>5.0118032778453028</v>
      </c>
      <c r="D193" s="227">
        <f>InputForProCost!X196</f>
        <v>10</v>
      </c>
      <c r="E193" s="227">
        <f>InputForProCost!Y196</f>
        <v>0</v>
      </c>
      <c r="F193" s="227">
        <f>InputForProCost!Z196</f>
        <v>0</v>
      </c>
      <c r="G193" s="227" t="str">
        <f>InputForProCost!AA196</f>
        <v>FLAT</v>
      </c>
      <c r="H193" s="227">
        <f>InputForProCost!AB196</f>
        <v>0</v>
      </c>
      <c r="I193" s="227">
        <f>InputForProCost!AC196</f>
        <v>0</v>
      </c>
      <c r="J193" s="227">
        <f>InputForProCost!AD196</f>
        <v>0</v>
      </c>
      <c r="K193" s="227">
        <f>InputForProCost!AE196</f>
        <v>0</v>
      </c>
      <c r="L193" s="227">
        <f>InputForProCost!AF196</f>
        <v>0</v>
      </c>
      <c r="M193" s="227">
        <f>InputForProCost!AG196</f>
        <v>0</v>
      </c>
      <c r="N193" s="227">
        <f>InputForProCost!AH196</f>
        <v>0</v>
      </c>
      <c r="O193" s="227">
        <f>InputForProCost!AI196</f>
        <v>0</v>
      </c>
      <c r="P193" s="227" t="str">
        <f>InputForProCost!AJ196</f>
        <v>FLAT</v>
      </c>
      <c r="R193" s="228"/>
      <c r="S193" s="229"/>
    </row>
    <row r="194" spans="1:19">
      <c r="A194" s="226" t="str">
        <f>InputForProCost!U197</f>
        <v>Commercial Showerhead Replacement_1_50gpm_Hospitality_ Electric Water Heating_Mail-by-Request</v>
      </c>
      <c r="B194" s="226" t="str">
        <f>InputForProCost!V197</f>
        <v>Embedded Water Energy</v>
      </c>
      <c r="C194" s="227">
        <f>InputForProCost!W197</f>
        <v>7.7961384322038025</v>
      </c>
      <c r="D194" s="227">
        <f>InputForProCost!X197</f>
        <v>10</v>
      </c>
      <c r="E194" s="227">
        <f>InputForProCost!Y197</f>
        <v>0</v>
      </c>
      <c r="F194" s="227">
        <f>InputForProCost!Z197</f>
        <v>0</v>
      </c>
      <c r="G194" s="227" t="str">
        <f>InputForProCost!AA197</f>
        <v>FLAT</v>
      </c>
      <c r="H194" s="227">
        <f>InputForProCost!AB197</f>
        <v>0</v>
      </c>
      <c r="I194" s="227">
        <f>InputForProCost!AC197</f>
        <v>0</v>
      </c>
      <c r="J194" s="227">
        <f>InputForProCost!AD197</f>
        <v>0</v>
      </c>
      <c r="K194" s="227">
        <f>InputForProCost!AE197</f>
        <v>0</v>
      </c>
      <c r="L194" s="227">
        <f>InputForProCost!AF197</f>
        <v>0</v>
      </c>
      <c r="M194" s="227">
        <f>InputForProCost!AG197</f>
        <v>0</v>
      </c>
      <c r="N194" s="227">
        <f>InputForProCost!AH197</f>
        <v>0</v>
      </c>
      <c r="O194" s="227">
        <f>InputForProCost!AI197</f>
        <v>0</v>
      </c>
      <c r="P194" s="227" t="str">
        <f>InputForProCost!AJ197</f>
        <v>FLAT</v>
      </c>
      <c r="R194" s="228"/>
      <c r="S194" s="229"/>
    </row>
    <row r="195" spans="1:19">
      <c r="A195" s="226" t="str">
        <f>InputForProCost!U198</f>
        <v>Commercial Showerhead Replacement_1_50gpm_Hospitality_ Gas Water Heating_Mail-by-Request</v>
      </c>
      <c r="B195" s="226" t="str">
        <f>InputForProCost!V198</f>
        <v>Embedded Water Energy</v>
      </c>
      <c r="C195" s="227">
        <f>InputForProCost!W198</f>
        <v>7.7961384322038025</v>
      </c>
      <c r="D195" s="227">
        <f>InputForProCost!X198</f>
        <v>10</v>
      </c>
      <c r="E195" s="227">
        <f>InputForProCost!Y198</f>
        <v>0</v>
      </c>
      <c r="F195" s="227">
        <f>InputForProCost!Z198</f>
        <v>0</v>
      </c>
      <c r="G195" s="227" t="str">
        <f>InputForProCost!AA198</f>
        <v>FLAT</v>
      </c>
      <c r="H195" s="227">
        <f>InputForProCost!AB198</f>
        <v>0</v>
      </c>
      <c r="I195" s="227">
        <f>InputForProCost!AC198</f>
        <v>0</v>
      </c>
      <c r="J195" s="227">
        <f>InputForProCost!AD198</f>
        <v>0</v>
      </c>
      <c r="K195" s="227">
        <f>InputForProCost!AE198</f>
        <v>0</v>
      </c>
      <c r="L195" s="227">
        <f>InputForProCost!AF198</f>
        <v>0</v>
      </c>
      <c r="M195" s="227">
        <f>InputForProCost!AG198</f>
        <v>0</v>
      </c>
      <c r="N195" s="227">
        <f>InputForProCost!AH198</f>
        <v>0</v>
      </c>
      <c r="O195" s="227">
        <f>InputForProCost!AI198</f>
        <v>0</v>
      </c>
      <c r="P195" s="227" t="str">
        <f>InputForProCost!AJ198</f>
        <v>FLAT</v>
      </c>
      <c r="R195" s="228"/>
      <c r="S195" s="229"/>
    </row>
    <row r="196" spans="1:19">
      <c r="A196" s="226" t="str">
        <f>InputForProCost!U199</f>
        <v>Commercial Showerhead Replacement_1_50gpm_Hospitality_ Any Water Heating_Mail-by-Request</v>
      </c>
      <c r="B196" s="226" t="str">
        <f>InputForProCost!V199</f>
        <v>Embedded Water Energy</v>
      </c>
      <c r="C196" s="227">
        <f>InputForProCost!W199</f>
        <v>7.7961384322038025</v>
      </c>
      <c r="D196" s="227">
        <f>InputForProCost!X199</f>
        <v>10</v>
      </c>
      <c r="E196" s="227">
        <f>InputForProCost!Y199</f>
        <v>0</v>
      </c>
      <c r="F196" s="227">
        <f>InputForProCost!Z199</f>
        <v>0</v>
      </c>
      <c r="G196" s="227" t="str">
        <f>InputForProCost!AA199</f>
        <v>FLAT</v>
      </c>
      <c r="H196" s="227">
        <f>InputForProCost!AB199</f>
        <v>0</v>
      </c>
      <c r="I196" s="227">
        <f>InputForProCost!AC199</f>
        <v>0</v>
      </c>
      <c r="J196" s="227">
        <f>InputForProCost!AD199</f>
        <v>0</v>
      </c>
      <c r="K196" s="227">
        <f>InputForProCost!AE199</f>
        <v>0</v>
      </c>
      <c r="L196" s="227">
        <f>InputForProCost!AF199</f>
        <v>0</v>
      </c>
      <c r="M196" s="227">
        <f>InputForProCost!AG199</f>
        <v>0</v>
      </c>
      <c r="N196" s="227">
        <f>InputForProCost!AH199</f>
        <v>0</v>
      </c>
      <c r="O196" s="227">
        <f>InputForProCost!AI199</f>
        <v>0</v>
      </c>
      <c r="P196" s="227" t="str">
        <f>InputForProCost!AJ199</f>
        <v>FLAT</v>
      </c>
      <c r="R196" s="228"/>
      <c r="S196" s="229"/>
    </row>
    <row r="197" spans="1:19">
      <c r="A197" s="226" t="str">
        <f>InputForProCost!U200</f>
        <v>Commercial Showerhead Replacement_2_00gpm_Health Care_ Electric Water Heating_Retail</v>
      </c>
      <c r="B197" s="226" t="str">
        <f>InputForProCost!V200</f>
        <v>Embedded Water Energy</v>
      </c>
      <c r="C197" s="227">
        <f>InputForProCost!W200</f>
        <v>4.2795584085903524</v>
      </c>
      <c r="D197" s="227">
        <f>InputForProCost!X200</f>
        <v>10</v>
      </c>
      <c r="E197" s="227">
        <f>InputForProCost!Y200</f>
        <v>0</v>
      </c>
      <c r="F197" s="227">
        <f>InputForProCost!Z200</f>
        <v>0</v>
      </c>
      <c r="G197" s="227" t="str">
        <f>InputForProCost!AA200</f>
        <v>FLAT</v>
      </c>
      <c r="H197" s="227">
        <f>InputForProCost!AB200</f>
        <v>0</v>
      </c>
      <c r="I197" s="227">
        <f>InputForProCost!AC200</f>
        <v>0</v>
      </c>
      <c r="J197" s="227">
        <f>InputForProCost!AD200</f>
        <v>0</v>
      </c>
      <c r="K197" s="227">
        <f>InputForProCost!AE200</f>
        <v>0</v>
      </c>
      <c r="L197" s="227">
        <f>InputForProCost!AF200</f>
        <v>0</v>
      </c>
      <c r="M197" s="227">
        <f>InputForProCost!AG200</f>
        <v>0</v>
      </c>
      <c r="N197" s="227">
        <f>InputForProCost!AH200</f>
        <v>0</v>
      </c>
      <c r="O197" s="227">
        <f>InputForProCost!AI200</f>
        <v>0</v>
      </c>
      <c r="P197" s="227" t="str">
        <f>InputForProCost!AJ200</f>
        <v>FLAT</v>
      </c>
      <c r="R197" s="228"/>
      <c r="S197" s="229"/>
    </row>
    <row r="198" spans="1:19">
      <c r="A198" s="226" t="str">
        <f>InputForProCost!U201</f>
        <v>Commercial Showerhead Replacement_2_00gpm_Health Care_ Gas Water Heating_Retail</v>
      </c>
      <c r="B198" s="226" t="str">
        <f>InputForProCost!V201</f>
        <v>Embedded Water Energy</v>
      </c>
      <c r="C198" s="227">
        <f>InputForProCost!W201</f>
        <v>4.2795584085903524</v>
      </c>
      <c r="D198" s="227">
        <f>InputForProCost!X201</f>
        <v>10</v>
      </c>
      <c r="E198" s="227">
        <f>InputForProCost!Y201</f>
        <v>0</v>
      </c>
      <c r="F198" s="227">
        <f>InputForProCost!Z201</f>
        <v>0</v>
      </c>
      <c r="G198" s="227" t="str">
        <f>InputForProCost!AA201</f>
        <v>FLAT</v>
      </c>
      <c r="H198" s="227">
        <f>InputForProCost!AB201</f>
        <v>0</v>
      </c>
      <c r="I198" s="227">
        <f>InputForProCost!AC201</f>
        <v>0</v>
      </c>
      <c r="J198" s="227">
        <f>InputForProCost!AD201</f>
        <v>0</v>
      </c>
      <c r="K198" s="227">
        <f>InputForProCost!AE201</f>
        <v>0</v>
      </c>
      <c r="L198" s="227">
        <f>InputForProCost!AF201</f>
        <v>0</v>
      </c>
      <c r="M198" s="227">
        <f>InputForProCost!AG201</f>
        <v>0</v>
      </c>
      <c r="N198" s="227">
        <f>InputForProCost!AH201</f>
        <v>0</v>
      </c>
      <c r="O198" s="227">
        <f>InputForProCost!AI201</f>
        <v>0</v>
      </c>
      <c r="P198" s="227" t="str">
        <f>InputForProCost!AJ201</f>
        <v>FLAT</v>
      </c>
      <c r="R198" s="228"/>
      <c r="S198" s="229"/>
    </row>
    <row r="199" spans="1:19">
      <c r="A199" s="226" t="str">
        <f>InputForProCost!U202</f>
        <v>Commercial Showerhead Replacement_2_00gpm_Health Care_ Any Water Heating_Retail</v>
      </c>
      <c r="B199" s="226" t="str">
        <f>InputForProCost!V202</f>
        <v>Embedded Water Energy</v>
      </c>
      <c r="C199" s="227">
        <f>InputForProCost!W202</f>
        <v>4.2795584085903524</v>
      </c>
      <c r="D199" s="227">
        <f>InputForProCost!X202</f>
        <v>10</v>
      </c>
      <c r="E199" s="227">
        <f>InputForProCost!Y202</f>
        <v>0</v>
      </c>
      <c r="F199" s="227">
        <f>InputForProCost!Z202</f>
        <v>0</v>
      </c>
      <c r="G199" s="227" t="str">
        <f>InputForProCost!AA202</f>
        <v>FLAT</v>
      </c>
      <c r="H199" s="227">
        <f>InputForProCost!AB202</f>
        <v>0</v>
      </c>
      <c r="I199" s="227">
        <f>InputForProCost!AC202</f>
        <v>0</v>
      </c>
      <c r="J199" s="227">
        <f>InputForProCost!AD202</f>
        <v>0</v>
      </c>
      <c r="K199" s="227">
        <f>InputForProCost!AE202</f>
        <v>0</v>
      </c>
      <c r="L199" s="227">
        <f>InputForProCost!AF202</f>
        <v>0</v>
      </c>
      <c r="M199" s="227">
        <f>InputForProCost!AG202</f>
        <v>0</v>
      </c>
      <c r="N199" s="227">
        <f>InputForProCost!AH202</f>
        <v>0</v>
      </c>
      <c r="O199" s="227">
        <f>InputForProCost!AI202</f>
        <v>0</v>
      </c>
      <c r="P199" s="227" t="str">
        <f>InputForProCost!AJ202</f>
        <v>FLAT</v>
      </c>
      <c r="R199" s="228"/>
      <c r="S199" s="229"/>
    </row>
    <row r="200" spans="1:19">
      <c r="A200" s="226" t="str">
        <f>InputForProCost!U203</f>
        <v>Commercial Showerhead Replacement_1_75gpm_Health Care_ Electric Water Heating_Retail</v>
      </c>
      <c r="B200" s="226" t="str">
        <f>InputForProCost!V203</f>
        <v>Embedded Water Energy</v>
      </c>
      <c r="C200" s="227">
        <f>InputForProCost!W203</f>
        <v>4.5135967590601371</v>
      </c>
      <c r="D200" s="227">
        <f>InputForProCost!X203</f>
        <v>10</v>
      </c>
      <c r="E200" s="227">
        <f>InputForProCost!Y203</f>
        <v>0</v>
      </c>
      <c r="F200" s="227">
        <f>InputForProCost!Z203</f>
        <v>0</v>
      </c>
      <c r="G200" s="227" t="str">
        <f>InputForProCost!AA203</f>
        <v>FLAT</v>
      </c>
      <c r="H200" s="227">
        <f>InputForProCost!AB203</f>
        <v>0</v>
      </c>
      <c r="I200" s="227">
        <f>InputForProCost!AC203</f>
        <v>0</v>
      </c>
      <c r="J200" s="227">
        <f>InputForProCost!AD203</f>
        <v>0</v>
      </c>
      <c r="K200" s="227">
        <f>InputForProCost!AE203</f>
        <v>0</v>
      </c>
      <c r="L200" s="227">
        <f>InputForProCost!AF203</f>
        <v>0</v>
      </c>
      <c r="M200" s="227">
        <f>InputForProCost!AG203</f>
        <v>0</v>
      </c>
      <c r="N200" s="227">
        <f>InputForProCost!AH203</f>
        <v>0</v>
      </c>
      <c r="O200" s="227">
        <f>InputForProCost!AI203</f>
        <v>0</v>
      </c>
      <c r="P200" s="227" t="str">
        <f>InputForProCost!AJ203</f>
        <v>FLAT</v>
      </c>
      <c r="R200" s="228"/>
      <c r="S200" s="229"/>
    </row>
    <row r="201" spans="1:19">
      <c r="A201" s="226" t="str">
        <f>InputForProCost!U204</f>
        <v>Commercial Showerhead Replacement_1_75gpm_Health Care_ Gas Water Heating_Retail</v>
      </c>
      <c r="B201" s="226" t="str">
        <f>InputForProCost!V204</f>
        <v>Embedded Water Energy</v>
      </c>
      <c r="C201" s="227">
        <f>InputForProCost!W204</f>
        <v>4.5135967590601371</v>
      </c>
      <c r="D201" s="227">
        <f>InputForProCost!X204</f>
        <v>10</v>
      </c>
      <c r="E201" s="227">
        <f>InputForProCost!Y204</f>
        <v>0</v>
      </c>
      <c r="F201" s="227">
        <f>InputForProCost!Z204</f>
        <v>0</v>
      </c>
      <c r="G201" s="227" t="str">
        <f>InputForProCost!AA204</f>
        <v>FLAT</v>
      </c>
      <c r="H201" s="227">
        <f>InputForProCost!AB204</f>
        <v>0</v>
      </c>
      <c r="I201" s="227">
        <f>InputForProCost!AC204</f>
        <v>0</v>
      </c>
      <c r="J201" s="227">
        <f>InputForProCost!AD204</f>
        <v>0</v>
      </c>
      <c r="K201" s="227">
        <f>InputForProCost!AE204</f>
        <v>0</v>
      </c>
      <c r="L201" s="227">
        <f>InputForProCost!AF204</f>
        <v>0</v>
      </c>
      <c r="M201" s="227">
        <f>InputForProCost!AG204</f>
        <v>0</v>
      </c>
      <c r="N201" s="227">
        <f>InputForProCost!AH204</f>
        <v>0</v>
      </c>
      <c r="O201" s="227">
        <f>InputForProCost!AI204</f>
        <v>0</v>
      </c>
      <c r="P201" s="227" t="str">
        <f>InputForProCost!AJ204</f>
        <v>FLAT</v>
      </c>
      <c r="R201" s="228"/>
      <c r="S201" s="229"/>
    </row>
    <row r="202" spans="1:19">
      <c r="A202" s="226" t="str">
        <f>InputForProCost!U205</f>
        <v>Commercial Showerhead Replacement_1_75gpm_Health Care_ Any Water Heating_Retail</v>
      </c>
      <c r="B202" s="226" t="str">
        <f>InputForProCost!V205</f>
        <v>Embedded Water Energy</v>
      </c>
      <c r="C202" s="227">
        <f>InputForProCost!W205</f>
        <v>4.5135967590601371</v>
      </c>
      <c r="D202" s="227">
        <f>InputForProCost!X205</f>
        <v>10</v>
      </c>
      <c r="E202" s="227">
        <f>InputForProCost!Y205</f>
        <v>0</v>
      </c>
      <c r="F202" s="227">
        <f>InputForProCost!Z205</f>
        <v>0</v>
      </c>
      <c r="G202" s="227" t="str">
        <f>InputForProCost!AA205</f>
        <v>FLAT</v>
      </c>
      <c r="H202" s="227">
        <f>InputForProCost!AB205</f>
        <v>0</v>
      </c>
      <c r="I202" s="227">
        <f>InputForProCost!AC205</f>
        <v>0</v>
      </c>
      <c r="J202" s="227">
        <f>InputForProCost!AD205</f>
        <v>0</v>
      </c>
      <c r="K202" s="227">
        <f>InputForProCost!AE205</f>
        <v>0</v>
      </c>
      <c r="L202" s="227">
        <f>InputForProCost!AF205</f>
        <v>0</v>
      </c>
      <c r="M202" s="227">
        <f>InputForProCost!AG205</f>
        <v>0</v>
      </c>
      <c r="N202" s="227">
        <f>InputForProCost!AH205</f>
        <v>0</v>
      </c>
      <c r="O202" s="227">
        <f>InputForProCost!AI205</f>
        <v>0</v>
      </c>
      <c r="P202" s="227" t="str">
        <f>InputForProCost!AJ205</f>
        <v>FLAT</v>
      </c>
      <c r="R202" s="228"/>
      <c r="S202" s="229"/>
    </row>
    <row r="203" spans="1:19">
      <c r="A203" s="226" t="str">
        <f>InputForProCost!U206</f>
        <v>Commercial Showerhead Replacement_1_50gpm_Health Care_ Electric Water Heating_Retail</v>
      </c>
      <c r="B203" s="226" t="str">
        <f>InputForProCost!V206</f>
        <v>Embedded Water Energy</v>
      </c>
      <c r="C203" s="227">
        <f>InputForProCost!W206</f>
        <v>6.5530738131539783</v>
      </c>
      <c r="D203" s="227">
        <f>InputForProCost!X206</f>
        <v>10</v>
      </c>
      <c r="E203" s="227">
        <f>InputForProCost!Y206</f>
        <v>0</v>
      </c>
      <c r="F203" s="227">
        <f>InputForProCost!Z206</f>
        <v>0</v>
      </c>
      <c r="G203" s="227" t="str">
        <f>InputForProCost!AA206</f>
        <v>FLAT</v>
      </c>
      <c r="H203" s="227">
        <f>InputForProCost!AB206</f>
        <v>0</v>
      </c>
      <c r="I203" s="227">
        <f>InputForProCost!AC206</f>
        <v>0</v>
      </c>
      <c r="J203" s="227">
        <f>InputForProCost!AD206</f>
        <v>0</v>
      </c>
      <c r="K203" s="227">
        <f>InputForProCost!AE206</f>
        <v>0</v>
      </c>
      <c r="L203" s="227">
        <f>InputForProCost!AF206</f>
        <v>0</v>
      </c>
      <c r="M203" s="227">
        <f>InputForProCost!AG206</f>
        <v>0</v>
      </c>
      <c r="N203" s="227">
        <f>InputForProCost!AH206</f>
        <v>0</v>
      </c>
      <c r="O203" s="227">
        <f>InputForProCost!AI206</f>
        <v>0</v>
      </c>
      <c r="P203" s="227" t="str">
        <f>InputForProCost!AJ206</f>
        <v>FLAT</v>
      </c>
      <c r="R203" s="228"/>
      <c r="S203" s="229"/>
    </row>
    <row r="204" spans="1:19">
      <c r="A204" s="226" t="str">
        <f>InputForProCost!U207</f>
        <v>Commercial Showerhead Replacement_1_50gpm_Health Care_ Gas Water Heating_Retail</v>
      </c>
      <c r="B204" s="226" t="str">
        <f>InputForProCost!V207</f>
        <v>Embedded Water Energy</v>
      </c>
      <c r="C204" s="227">
        <f>InputForProCost!W207</f>
        <v>6.5530738131539783</v>
      </c>
      <c r="D204" s="227">
        <f>InputForProCost!X207</f>
        <v>10</v>
      </c>
      <c r="E204" s="227">
        <f>InputForProCost!Y207</f>
        <v>0</v>
      </c>
      <c r="F204" s="227">
        <f>InputForProCost!Z207</f>
        <v>0</v>
      </c>
      <c r="G204" s="227" t="str">
        <f>InputForProCost!AA207</f>
        <v>FLAT</v>
      </c>
      <c r="H204" s="227">
        <f>InputForProCost!AB207</f>
        <v>0</v>
      </c>
      <c r="I204" s="227">
        <f>InputForProCost!AC207</f>
        <v>0</v>
      </c>
      <c r="J204" s="227">
        <f>InputForProCost!AD207</f>
        <v>0</v>
      </c>
      <c r="K204" s="227">
        <f>InputForProCost!AE207</f>
        <v>0</v>
      </c>
      <c r="L204" s="227">
        <f>InputForProCost!AF207</f>
        <v>0</v>
      </c>
      <c r="M204" s="227">
        <f>InputForProCost!AG207</f>
        <v>0</v>
      </c>
      <c r="N204" s="227">
        <f>InputForProCost!AH207</f>
        <v>0</v>
      </c>
      <c r="O204" s="227">
        <f>InputForProCost!AI207</f>
        <v>0</v>
      </c>
      <c r="P204" s="227" t="str">
        <f>InputForProCost!AJ207</f>
        <v>FLAT</v>
      </c>
      <c r="R204" s="228"/>
      <c r="S204" s="229"/>
    </row>
    <row r="205" spans="1:19">
      <c r="A205" s="226" t="str">
        <f>InputForProCost!U208</f>
        <v>Commercial Showerhead Replacement_1_50gpm_Health Care_ Any Water Heating_Retail</v>
      </c>
      <c r="B205" s="226" t="str">
        <f>InputForProCost!V208</f>
        <v>Embedded Water Energy</v>
      </c>
      <c r="C205" s="227">
        <f>InputForProCost!W208</f>
        <v>6.5530738131539783</v>
      </c>
      <c r="D205" s="227">
        <f>InputForProCost!X208</f>
        <v>10</v>
      </c>
      <c r="E205" s="227">
        <f>InputForProCost!Y208</f>
        <v>0</v>
      </c>
      <c r="F205" s="227">
        <f>InputForProCost!Z208</f>
        <v>0</v>
      </c>
      <c r="G205" s="227" t="str">
        <f>InputForProCost!AA208</f>
        <v>FLAT</v>
      </c>
      <c r="H205" s="227">
        <f>InputForProCost!AB208</f>
        <v>0</v>
      </c>
      <c r="I205" s="227">
        <f>InputForProCost!AC208</f>
        <v>0</v>
      </c>
      <c r="J205" s="227">
        <f>InputForProCost!AD208</f>
        <v>0</v>
      </c>
      <c r="K205" s="227">
        <f>InputForProCost!AE208</f>
        <v>0</v>
      </c>
      <c r="L205" s="227">
        <f>InputForProCost!AF208</f>
        <v>0</v>
      </c>
      <c r="M205" s="227">
        <f>InputForProCost!AG208</f>
        <v>0</v>
      </c>
      <c r="N205" s="227">
        <f>InputForProCost!AH208</f>
        <v>0</v>
      </c>
      <c r="O205" s="227">
        <f>InputForProCost!AI208</f>
        <v>0</v>
      </c>
      <c r="P205" s="227" t="str">
        <f>InputForProCost!AJ208</f>
        <v>FLAT</v>
      </c>
      <c r="R205" s="228"/>
      <c r="S205" s="229"/>
    </row>
    <row r="206" spans="1:19">
      <c r="A206" s="226" t="str">
        <f>InputForProCost!U209</f>
        <v>Commercial Showerhead Replacement_2_00gpm_Health Care_ Electric Water Heating_Direct Install</v>
      </c>
      <c r="B206" s="226" t="str">
        <f>InputForProCost!V209</f>
        <v>Embedded Water Energy</v>
      </c>
      <c r="C206" s="227">
        <f>InputForProCost!W209</f>
        <v>4.8145032096641458</v>
      </c>
      <c r="D206" s="227">
        <f>InputForProCost!X209</f>
        <v>10</v>
      </c>
      <c r="E206" s="227">
        <f>InputForProCost!Y209</f>
        <v>0</v>
      </c>
      <c r="F206" s="227">
        <f>InputForProCost!Z209</f>
        <v>0</v>
      </c>
      <c r="G206" s="227" t="str">
        <f>InputForProCost!AA209</f>
        <v>FLAT</v>
      </c>
      <c r="H206" s="227">
        <f>InputForProCost!AB209</f>
        <v>0</v>
      </c>
      <c r="I206" s="227">
        <f>InputForProCost!AC209</f>
        <v>0</v>
      </c>
      <c r="J206" s="227">
        <f>InputForProCost!AD209</f>
        <v>0</v>
      </c>
      <c r="K206" s="227">
        <f>InputForProCost!AE209</f>
        <v>0</v>
      </c>
      <c r="L206" s="227">
        <f>InputForProCost!AF209</f>
        <v>0</v>
      </c>
      <c r="M206" s="227">
        <f>InputForProCost!AG209</f>
        <v>0</v>
      </c>
      <c r="N206" s="227">
        <f>InputForProCost!AH209</f>
        <v>0</v>
      </c>
      <c r="O206" s="227">
        <f>InputForProCost!AI209</f>
        <v>0</v>
      </c>
      <c r="P206" s="227" t="str">
        <f>InputForProCost!AJ209</f>
        <v>FLAT</v>
      </c>
      <c r="R206" s="228"/>
      <c r="S206" s="229"/>
    </row>
    <row r="207" spans="1:19">
      <c r="A207" s="226" t="str">
        <f>InputForProCost!U210</f>
        <v>Commercial Showerhead Replacement_2_00gpm_Health Care_ Gas Water Heating_Direct Install</v>
      </c>
      <c r="B207" s="226" t="str">
        <f>InputForProCost!V210</f>
        <v>Embedded Water Energy</v>
      </c>
      <c r="C207" s="227">
        <f>InputForProCost!W210</f>
        <v>4.8145032096641458</v>
      </c>
      <c r="D207" s="227">
        <f>InputForProCost!X210</f>
        <v>10</v>
      </c>
      <c r="E207" s="227">
        <f>InputForProCost!Y210</f>
        <v>0</v>
      </c>
      <c r="F207" s="227">
        <f>InputForProCost!Z210</f>
        <v>0</v>
      </c>
      <c r="G207" s="227" t="str">
        <f>InputForProCost!AA210</f>
        <v>FLAT</v>
      </c>
      <c r="H207" s="227">
        <f>InputForProCost!AB210</f>
        <v>0</v>
      </c>
      <c r="I207" s="227">
        <f>InputForProCost!AC210</f>
        <v>0</v>
      </c>
      <c r="J207" s="227">
        <f>InputForProCost!AD210</f>
        <v>0</v>
      </c>
      <c r="K207" s="227">
        <f>InputForProCost!AE210</f>
        <v>0</v>
      </c>
      <c r="L207" s="227">
        <f>InputForProCost!AF210</f>
        <v>0</v>
      </c>
      <c r="M207" s="227">
        <f>InputForProCost!AG210</f>
        <v>0</v>
      </c>
      <c r="N207" s="227">
        <f>InputForProCost!AH210</f>
        <v>0</v>
      </c>
      <c r="O207" s="227">
        <f>InputForProCost!AI210</f>
        <v>0</v>
      </c>
      <c r="P207" s="227" t="str">
        <f>InputForProCost!AJ210</f>
        <v>FLAT</v>
      </c>
      <c r="R207" s="228"/>
      <c r="S207" s="229"/>
    </row>
    <row r="208" spans="1:19">
      <c r="A208" s="226" t="str">
        <f>InputForProCost!U211</f>
        <v>Commercial Showerhead Replacement_2_00gpm_Health Care_ Any Water Heating_Direct Install</v>
      </c>
      <c r="B208" s="226" t="str">
        <f>InputForProCost!V211</f>
        <v>Embedded Water Energy</v>
      </c>
      <c r="C208" s="227">
        <f>InputForProCost!W211</f>
        <v>4.8145032096641458</v>
      </c>
      <c r="D208" s="227">
        <f>InputForProCost!X211</f>
        <v>10</v>
      </c>
      <c r="E208" s="227">
        <f>InputForProCost!Y211</f>
        <v>0</v>
      </c>
      <c r="F208" s="227">
        <f>InputForProCost!Z211</f>
        <v>0</v>
      </c>
      <c r="G208" s="227" t="str">
        <f>InputForProCost!AA211</f>
        <v>FLAT</v>
      </c>
      <c r="H208" s="227">
        <f>InputForProCost!AB211</f>
        <v>0</v>
      </c>
      <c r="I208" s="227">
        <f>InputForProCost!AC211</f>
        <v>0</v>
      </c>
      <c r="J208" s="227">
        <f>InputForProCost!AD211</f>
        <v>0</v>
      </c>
      <c r="K208" s="227">
        <f>InputForProCost!AE211</f>
        <v>0</v>
      </c>
      <c r="L208" s="227">
        <f>InputForProCost!AF211</f>
        <v>0</v>
      </c>
      <c r="M208" s="227">
        <f>InputForProCost!AG211</f>
        <v>0</v>
      </c>
      <c r="N208" s="227">
        <f>InputForProCost!AH211</f>
        <v>0</v>
      </c>
      <c r="O208" s="227">
        <f>InputForProCost!AI211</f>
        <v>0</v>
      </c>
      <c r="P208" s="227" t="str">
        <f>InputForProCost!AJ211</f>
        <v>FLAT</v>
      </c>
      <c r="R208" s="228"/>
      <c r="S208" s="229"/>
    </row>
    <row r="209" spans="1:19">
      <c r="A209" s="226" t="str">
        <f>InputForProCost!U212</f>
        <v>Commercial Showerhead Replacement_1_75gpm_Health Care_ Electric Water Heating_Direct Install</v>
      </c>
      <c r="B209" s="226" t="str">
        <f>InputForProCost!V212</f>
        <v>Embedded Water Energy</v>
      </c>
      <c r="C209" s="227">
        <f>InputForProCost!W212</f>
        <v>5.416316110872164</v>
      </c>
      <c r="D209" s="227">
        <f>InputForProCost!X212</f>
        <v>10</v>
      </c>
      <c r="E209" s="227">
        <f>InputForProCost!Y212</f>
        <v>0</v>
      </c>
      <c r="F209" s="227">
        <f>InputForProCost!Z212</f>
        <v>0</v>
      </c>
      <c r="G209" s="227" t="str">
        <f>InputForProCost!AA212</f>
        <v>FLAT</v>
      </c>
      <c r="H209" s="227">
        <f>InputForProCost!AB212</f>
        <v>0</v>
      </c>
      <c r="I209" s="227">
        <f>InputForProCost!AC212</f>
        <v>0</v>
      </c>
      <c r="J209" s="227">
        <f>InputForProCost!AD212</f>
        <v>0</v>
      </c>
      <c r="K209" s="227">
        <f>InputForProCost!AE212</f>
        <v>0</v>
      </c>
      <c r="L209" s="227">
        <f>InputForProCost!AF212</f>
        <v>0</v>
      </c>
      <c r="M209" s="227">
        <f>InputForProCost!AG212</f>
        <v>0</v>
      </c>
      <c r="N209" s="227">
        <f>InputForProCost!AH212</f>
        <v>0</v>
      </c>
      <c r="O209" s="227">
        <f>InputForProCost!AI212</f>
        <v>0</v>
      </c>
      <c r="P209" s="227" t="str">
        <f>InputForProCost!AJ212</f>
        <v>FLAT</v>
      </c>
      <c r="R209" s="228"/>
      <c r="S209" s="229"/>
    </row>
    <row r="210" spans="1:19">
      <c r="A210" s="226" t="str">
        <f>InputForProCost!U213</f>
        <v>Commercial Showerhead Replacement_1_75gpm_Health Care_ Gas Water Heating_Direct Install</v>
      </c>
      <c r="B210" s="226" t="str">
        <f>InputForProCost!V213</f>
        <v>Embedded Water Energy</v>
      </c>
      <c r="C210" s="227">
        <f>InputForProCost!W213</f>
        <v>5.416316110872164</v>
      </c>
      <c r="D210" s="227">
        <f>InputForProCost!X213</f>
        <v>10</v>
      </c>
      <c r="E210" s="227">
        <f>InputForProCost!Y213</f>
        <v>0</v>
      </c>
      <c r="F210" s="227">
        <f>InputForProCost!Z213</f>
        <v>0</v>
      </c>
      <c r="G210" s="227" t="str">
        <f>InputForProCost!AA213</f>
        <v>FLAT</v>
      </c>
      <c r="H210" s="227">
        <f>InputForProCost!AB213</f>
        <v>0</v>
      </c>
      <c r="I210" s="227">
        <f>InputForProCost!AC213</f>
        <v>0</v>
      </c>
      <c r="J210" s="227">
        <f>InputForProCost!AD213</f>
        <v>0</v>
      </c>
      <c r="K210" s="227">
        <f>InputForProCost!AE213</f>
        <v>0</v>
      </c>
      <c r="L210" s="227">
        <f>InputForProCost!AF213</f>
        <v>0</v>
      </c>
      <c r="M210" s="227">
        <f>InputForProCost!AG213</f>
        <v>0</v>
      </c>
      <c r="N210" s="227">
        <f>InputForProCost!AH213</f>
        <v>0</v>
      </c>
      <c r="O210" s="227">
        <f>InputForProCost!AI213</f>
        <v>0</v>
      </c>
      <c r="P210" s="227" t="str">
        <f>InputForProCost!AJ213</f>
        <v>FLAT</v>
      </c>
      <c r="R210" s="228"/>
      <c r="S210" s="229"/>
    </row>
    <row r="211" spans="1:19">
      <c r="A211" s="226" t="str">
        <f>InputForProCost!U214</f>
        <v>Commercial Showerhead Replacement_1_75gpm_Health Care_ Any Water Heating_Direct Install</v>
      </c>
      <c r="B211" s="226" t="str">
        <f>InputForProCost!V214</f>
        <v>Embedded Water Energy</v>
      </c>
      <c r="C211" s="227">
        <f>InputForProCost!W214</f>
        <v>5.416316110872164</v>
      </c>
      <c r="D211" s="227">
        <f>InputForProCost!X214</f>
        <v>10</v>
      </c>
      <c r="E211" s="227">
        <f>InputForProCost!Y214</f>
        <v>0</v>
      </c>
      <c r="F211" s="227">
        <f>InputForProCost!Z214</f>
        <v>0</v>
      </c>
      <c r="G211" s="227" t="str">
        <f>InputForProCost!AA214</f>
        <v>FLAT</v>
      </c>
      <c r="H211" s="227">
        <f>InputForProCost!AB214</f>
        <v>0</v>
      </c>
      <c r="I211" s="227">
        <f>InputForProCost!AC214</f>
        <v>0</v>
      </c>
      <c r="J211" s="227">
        <f>InputForProCost!AD214</f>
        <v>0</v>
      </c>
      <c r="K211" s="227">
        <f>InputForProCost!AE214</f>
        <v>0</v>
      </c>
      <c r="L211" s="227">
        <f>InputForProCost!AF214</f>
        <v>0</v>
      </c>
      <c r="M211" s="227">
        <f>InputForProCost!AG214</f>
        <v>0</v>
      </c>
      <c r="N211" s="227">
        <f>InputForProCost!AH214</f>
        <v>0</v>
      </c>
      <c r="O211" s="227">
        <f>InputForProCost!AI214</f>
        <v>0</v>
      </c>
      <c r="P211" s="227" t="str">
        <f>InputForProCost!AJ214</f>
        <v>FLAT</v>
      </c>
      <c r="R211" s="228"/>
      <c r="S211" s="229"/>
    </row>
    <row r="212" spans="1:19">
      <c r="A212" s="226" t="str">
        <f>InputForProCost!U215</f>
        <v>Commercial Showerhead Replacement_1_50gpm_Health Care_ Electric Water Heating_Direct Install</v>
      </c>
      <c r="B212" s="226" t="str">
        <f>InputForProCost!V215</f>
        <v>Embedded Water Energy</v>
      </c>
      <c r="C212" s="227">
        <f>InputForProCost!W215</f>
        <v>8.4253806169122587</v>
      </c>
      <c r="D212" s="227">
        <f>InputForProCost!X215</f>
        <v>10</v>
      </c>
      <c r="E212" s="227">
        <f>InputForProCost!Y215</f>
        <v>0</v>
      </c>
      <c r="F212" s="227">
        <f>InputForProCost!Z215</f>
        <v>0</v>
      </c>
      <c r="G212" s="227" t="str">
        <f>InputForProCost!AA215</f>
        <v>FLAT</v>
      </c>
      <c r="H212" s="227">
        <f>InputForProCost!AB215</f>
        <v>0</v>
      </c>
      <c r="I212" s="227">
        <f>InputForProCost!AC215</f>
        <v>0</v>
      </c>
      <c r="J212" s="227">
        <f>InputForProCost!AD215</f>
        <v>0</v>
      </c>
      <c r="K212" s="227">
        <f>InputForProCost!AE215</f>
        <v>0</v>
      </c>
      <c r="L212" s="227">
        <f>InputForProCost!AF215</f>
        <v>0</v>
      </c>
      <c r="M212" s="227">
        <f>InputForProCost!AG215</f>
        <v>0</v>
      </c>
      <c r="N212" s="227">
        <f>InputForProCost!AH215</f>
        <v>0</v>
      </c>
      <c r="O212" s="227">
        <f>InputForProCost!AI215</f>
        <v>0</v>
      </c>
      <c r="P212" s="227" t="str">
        <f>InputForProCost!AJ215</f>
        <v>FLAT</v>
      </c>
      <c r="R212" s="228"/>
      <c r="S212" s="229"/>
    </row>
    <row r="213" spans="1:19">
      <c r="A213" s="226" t="str">
        <f>InputForProCost!U216</f>
        <v>Commercial Showerhead Replacement_1_50gpm_Health Care_ Gas Water Heating_Direct Install</v>
      </c>
      <c r="B213" s="226" t="str">
        <f>InputForProCost!V216</f>
        <v>Embedded Water Energy</v>
      </c>
      <c r="C213" s="227">
        <f>InputForProCost!W216</f>
        <v>8.4253806169122587</v>
      </c>
      <c r="D213" s="227">
        <f>InputForProCost!X216</f>
        <v>10</v>
      </c>
      <c r="E213" s="227">
        <f>InputForProCost!Y216</f>
        <v>0</v>
      </c>
      <c r="F213" s="227">
        <f>InputForProCost!Z216</f>
        <v>0</v>
      </c>
      <c r="G213" s="227" t="str">
        <f>InputForProCost!AA216</f>
        <v>FLAT</v>
      </c>
      <c r="H213" s="227">
        <f>InputForProCost!AB216</f>
        <v>0</v>
      </c>
      <c r="I213" s="227">
        <f>InputForProCost!AC216</f>
        <v>0</v>
      </c>
      <c r="J213" s="227">
        <f>InputForProCost!AD216</f>
        <v>0</v>
      </c>
      <c r="K213" s="227">
        <f>InputForProCost!AE216</f>
        <v>0</v>
      </c>
      <c r="L213" s="227">
        <f>InputForProCost!AF216</f>
        <v>0</v>
      </c>
      <c r="M213" s="227">
        <f>InputForProCost!AG216</f>
        <v>0</v>
      </c>
      <c r="N213" s="227">
        <f>InputForProCost!AH216</f>
        <v>0</v>
      </c>
      <c r="O213" s="227">
        <f>InputForProCost!AI216</f>
        <v>0</v>
      </c>
      <c r="P213" s="227" t="str">
        <f>InputForProCost!AJ216</f>
        <v>FLAT</v>
      </c>
      <c r="R213" s="228"/>
      <c r="S213" s="229"/>
    </row>
    <row r="214" spans="1:19">
      <c r="A214" s="226" t="str">
        <f>InputForProCost!U217</f>
        <v>Commercial Showerhead Replacement_1_50gpm_Health Care_ Any Water Heating_Direct Install</v>
      </c>
      <c r="B214" s="226" t="str">
        <f>InputForProCost!V217</f>
        <v>Embedded Water Energy</v>
      </c>
      <c r="C214" s="227">
        <f>InputForProCost!W217</f>
        <v>8.4253806169122587</v>
      </c>
      <c r="D214" s="227">
        <f>InputForProCost!X217</f>
        <v>10</v>
      </c>
      <c r="E214" s="227">
        <f>InputForProCost!Y217</f>
        <v>0</v>
      </c>
      <c r="F214" s="227">
        <f>InputForProCost!Z217</f>
        <v>0</v>
      </c>
      <c r="G214" s="227" t="str">
        <f>InputForProCost!AA217</f>
        <v>FLAT</v>
      </c>
      <c r="H214" s="227">
        <f>InputForProCost!AB217</f>
        <v>0</v>
      </c>
      <c r="I214" s="227">
        <f>InputForProCost!AC217</f>
        <v>0</v>
      </c>
      <c r="J214" s="227">
        <f>InputForProCost!AD217</f>
        <v>0</v>
      </c>
      <c r="K214" s="227">
        <f>InputForProCost!AE217</f>
        <v>0</v>
      </c>
      <c r="L214" s="227">
        <f>InputForProCost!AF217</f>
        <v>0</v>
      </c>
      <c r="M214" s="227">
        <f>InputForProCost!AG217</f>
        <v>0</v>
      </c>
      <c r="N214" s="227">
        <f>InputForProCost!AH217</f>
        <v>0</v>
      </c>
      <c r="O214" s="227">
        <f>InputForProCost!AI217</f>
        <v>0</v>
      </c>
      <c r="P214" s="227" t="str">
        <f>InputForProCost!AJ217</f>
        <v>FLAT</v>
      </c>
      <c r="R214" s="228"/>
      <c r="S214" s="229"/>
    </row>
    <row r="215" spans="1:19">
      <c r="A215" s="226" t="str">
        <f>InputForProCost!U218</f>
        <v>Commercial Showerhead Replacement_2_00gpm_Health Care_ Electric Water Heating_Mail-by-Request</v>
      </c>
      <c r="B215" s="226" t="str">
        <f>InputForProCost!V218</f>
        <v>Embedded Water Energy</v>
      </c>
      <c r="C215" s="227">
        <f>InputForProCost!W218</f>
        <v>3.2096688064427639</v>
      </c>
      <c r="D215" s="227">
        <f>InputForProCost!X218</f>
        <v>10</v>
      </c>
      <c r="E215" s="227">
        <f>InputForProCost!Y218</f>
        <v>0</v>
      </c>
      <c r="F215" s="227">
        <f>InputForProCost!Z218</f>
        <v>0</v>
      </c>
      <c r="G215" s="227" t="str">
        <f>InputForProCost!AA218</f>
        <v>FLAT</v>
      </c>
      <c r="H215" s="227">
        <f>InputForProCost!AB218</f>
        <v>0</v>
      </c>
      <c r="I215" s="227">
        <f>InputForProCost!AC218</f>
        <v>0</v>
      </c>
      <c r="J215" s="227">
        <f>InputForProCost!AD218</f>
        <v>0</v>
      </c>
      <c r="K215" s="227">
        <f>InputForProCost!AE218</f>
        <v>0</v>
      </c>
      <c r="L215" s="227">
        <f>InputForProCost!AF218</f>
        <v>0</v>
      </c>
      <c r="M215" s="227">
        <f>InputForProCost!AG218</f>
        <v>0</v>
      </c>
      <c r="N215" s="227">
        <f>InputForProCost!AH218</f>
        <v>0</v>
      </c>
      <c r="O215" s="227">
        <f>InputForProCost!AI218</f>
        <v>0</v>
      </c>
      <c r="P215" s="227" t="str">
        <f>InputForProCost!AJ218</f>
        <v>FLAT</v>
      </c>
      <c r="R215" s="228"/>
      <c r="S215" s="229"/>
    </row>
    <row r="216" spans="1:19">
      <c r="A216" s="226" t="str">
        <f>InputForProCost!U219</f>
        <v>Commercial Showerhead Replacement_2_00gpm_Health Care_ Gas Water Heating_Mail-by-Request</v>
      </c>
      <c r="B216" s="226" t="str">
        <f>InputForProCost!V219</f>
        <v>Embedded Water Energy</v>
      </c>
      <c r="C216" s="227">
        <f>InputForProCost!W219</f>
        <v>3.2096688064427639</v>
      </c>
      <c r="D216" s="227">
        <f>InputForProCost!X219</f>
        <v>10</v>
      </c>
      <c r="E216" s="227">
        <f>InputForProCost!Y219</f>
        <v>0</v>
      </c>
      <c r="F216" s="227">
        <f>InputForProCost!Z219</f>
        <v>0</v>
      </c>
      <c r="G216" s="227" t="str">
        <f>InputForProCost!AA219</f>
        <v>FLAT</v>
      </c>
      <c r="H216" s="227">
        <f>InputForProCost!AB219</f>
        <v>0</v>
      </c>
      <c r="I216" s="227">
        <f>InputForProCost!AC219</f>
        <v>0</v>
      </c>
      <c r="J216" s="227">
        <f>InputForProCost!AD219</f>
        <v>0</v>
      </c>
      <c r="K216" s="227">
        <f>InputForProCost!AE219</f>
        <v>0</v>
      </c>
      <c r="L216" s="227">
        <f>InputForProCost!AF219</f>
        <v>0</v>
      </c>
      <c r="M216" s="227">
        <f>InputForProCost!AG219</f>
        <v>0</v>
      </c>
      <c r="N216" s="227">
        <f>InputForProCost!AH219</f>
        <v>0</v>
      </c>
      <c r="O216" s="227">
        <f>InputForProCost!AI219</f>
        <v>0</v>
      </c>
      <c r="P216" s="227" t="str">
        <f>InputForProCost!AJ219</f>
        <v>FLAT</v>
      </c>
      <c r="R216" s="228"/>
      <c r="S216" s="229"/>
    </row>
    <row r="217" spans="1:19">
      <c r="A217" s="226" t="str">
        <f>InputForProCost!U220</f>
        <v>Commercial Showerhead Replacement_2_00gpm_Health Care_ Any Water Heating_Mail-by-Request</v>
      </c>
      <c r="B217" s="226" t="str">
        <f>InputForProCost!V220</f>
        <v>Embedded Water Energy</v>
      </c>
      <c r="C217" s="227">
        <f>InputForProCost!W220</f>
        <v>3.2096688064427639</v>
      </c>
      <c r="D217" s="227">
        <f>InputForProCost!X220</f>
        <v>10</v>
      </c>
      <c r="E217" s="227">
        <f>InputForProCost!Y220</f>
        <v>0</v>
      </c>
      <c r="F217" s="227">
        <f>InputForProCost!Z220</f>
        <v>0</v>
      </c>
      <c r="G217" s="227" t="str">
        <f>InputForProCost!AA220</f>
        <v>FLAT</v>
      </c>
      <c r="H217" s="227">
        <f>InputForProCost!AB220</f>
        <v>0</v>
      </c>
      <c r="I217" s="227">
        <f>InputForProCost!AC220</f>
        <v>0</v>
      </c>
      <c r="J217" s="227">
        <f>InputForProCost!AD220</f>
        <v>0</v>
      </c>
      <c r="K217" s="227">
        <f>InputForProCost!AE220</f>
        <v>0</v>
      </c>
      <c r="L217" s="227">
        <f>InputForProCost!AF220</f>
        <v>0</v>
      </c>
      <c r="M217" s="227">
        <f>InputForProCost!AG220</f>
        <v>0</v>
      </c>
      <c r="N217" s="227">
        <f>InputForProCost!AH220</f>
        <v>0</v>
      </c>
      <c r="O217" s="227">
        <f>InputForProCost!AI220</f>
        <v>0</v>
      </c>
      <c r="P217" s="227" t="str">
        <f>InputForProCost!AJ220</f>
        <v>FLAT</v>
      </c>
      <c r="R217" s="228"/>
      <c r="S217" s="229"/>
    </row>
    <row r="218" spans="1:19">
      <c r="A218" s="226" t="str">
        <f>InputForProCost!U221</f>
        <v>Commercial Showerhead Replacement_1_75gpm_Health Care_ Electric Water Heating_Mail-by-Request</v>
      </c>
      <c r="B218" s="226" t="str">
        <f>InputForProCost!V221</f>
        <v>Embedded Water Energy</v>
      </c>
      <c r="C218" s="227">
        <f>InputForProCost!W221</f>
        <v>3.6108774072481093</v>
      </c>
      <c r="D218" s="227">
        <f>InputForProCost!X221</f>
        <v>10</v>
      </c>
      <c r="E218" s="227">
        <f>InputForProCost!Y221</f>
        <v>0</v>
      </c>
      <c r="F218" s="227">
        <f>InputForProCost!Z221</f>
        <v>0</v>
      </c>
      <c r="G218" s="227" t="str">
        <f>InputForProCost!AA221</f>
        <v>FLAT</v>
      </c>
      <c r="H218" s="227">
        <f>InputForProCost!AB221</f>
        <v>0</v>
      </c>
      <c r="I218" s="227">
        <f>InputForProCost!AC221</f>
        <v>0</v>
      </c>
      <c r="J218" s="227">
        <f>InputForProCost!AD221</f>
        <v>0</v>
      </c>
      <c r="K218" s="227">
        <f>InputForProCost!AE221</f>
        <v>0</v>
      </c>
      <c r="L218" s="227">
        <f>InputForProCost!AF221</f>
        <v>0</v>
      </c>
      <c r="M218" s="227">
        <f>InputForProCost!AG221</f>
        <v>0</v>
      </c>
      <c r="N218" s="227">
        <f>InputForProCost!AH221</f>
        <v>0</v>
      </c>
      <c r="O218" s="227">
        <f>InputForProCost!AI221</f>
        <v>0</v>
      </c>
      <c r="P218" s="227" t="str">
        <f>InputForProCost!AJ221</f>
        <v>FLAT</v>
      </c>
      <c r="R218" s="228"/>
      <c r="S218" s="229"/>
    </row>
    <row r="219" spans="1:19">
      <c r="A219" s="226" t="str">
        <f>InputForProCost!U222</f>
        <v>Commercial Showerhead Replacement_1_75gpm_Health Care_ Gas Water Heating_Mail-by-Request</v>
      </c>
      <c r="B219" s="226" t="str">
        <f>InputForProCost!V222</f>
        <v>Embedded Water Energy</v>
      </c>
      <c r="C219" s="227">
        <f>InputForProCost!W222</f>
        <v>3.6108774072481093</v>
      </c>
      <c r="D219" s="227">
        <f>InputForProCost!X222</f>
        <v>10</v>
      </c>
      <c r="E219" s="227">
        <f>InputForProCost!Y222</f>
        <v>0</v>
      </c>
      <c r="F219" s="227">
        <f>InputForProCost!Z222</f>
        <v>0</v>
      </c>
      <c r="G219" s="227" t="str">
        <f>InputForProCost!AA222</f>
        <v>FLAT</v>
      </c>
      <c r="H219" s="227">
        <f>InputForProCost!AB222</f>
        <v>0</v>
      </c>
      <c r="I219" s="227">
        <f>InputForProCost!AC222</f>
        <v>0</v>
      </c>
      <c r="J219" s="227">
        <f>InputForProCost!AD222</f>
        <v>0</v>
      </c>
      <c r="K219" s="227">
        <f>InputForProCost!AE222</f>
        <v>0</v>
      </c>
      <c r="L219" s="227">
        <f>InputForProCost!AF222</f>
        <v>0</v>
      </c>
      <c r="M219" s="227">
        <f>InputForProCost!AG222</f>
        <v>0</v>
      </c>
      <c r="N219" s="227">
        <f>InputForProCost!AH222</f>
        <v>0</v>
      </c>
      <c r="O219" s="227">
        <f>InputForProCost!AI222</f>
        <v>0</v>
      </c>
      <c r="P219" s="227" t="str">
        <f>InputForProCost!AJ222</f>
        <v>FLAT</v>
      </c>
      <c r="R219" s="228"/>
      <c r="S219" s="229"/>
    </row>
    <row r="220" spans="1:19">
      <c r="A220" s="226" t="str">
        <f>InputForProCost!U223</f>
        <v>Commercial Showerhead Replacement_1_75gpm_Health Care_ Any Water Heating_Mail-by-Request</v>
      </c>
      <c r="B220" s="226" t="str">
        <f>InputForProCost!V223</f>
        <v>Embedded Water Energy</v>
      </c>
      <c r="C220" s="227">
        <f>InputForProCost!W223</f>
        <v>3.6108774072481093</v>
      </c>
      <c r="D220" s="227">
        <f>InputForProCost!X223</f>
        <v>10</v>
      </c>
      <c r="E220" s="227">
        <f>InputForProCost!Y223</f>
        <v>0</v>
      </c>
      <c r="F220" s="227">
        <f>InputForProCost!Z223</f>
        <v>0</v>
      </c>
      <c r="G220" s="227" t="str">
        <f>InputForProCost!AA223</f>
        <v>FLAT</v>
      </c>
      <c r="H220" s="227">
        <f>InputForProCost!AB223</f>
        <v>0</v>
      </c>
      <c r="I220" s="227">
        <f>InputForProCost!AC223</f>
        <v>0</v>
      </c>
      <c r="J220" s="227">
        <f>InputForProCost!AD223</f>
        <v>0</v>
      </c>
      <c r="K220" s="227">
        <f>InputForProCost!AE223</f>
        <v>0</v>
      </c>
      <c r="L220" s="227">
        <f>InputForProCost!AF223</f>
        <v>0</v>
      </c>
      <c r="M220" s="227">
        <f>InputForProCost!AG223</f>
        <v>0</v>
      </c>
      <c r="N220" s="227">
        <f>InputForProCost!AH223</f>
        <v>0</v>
      </c>
      <c r="O220" s="227">
        <f>InputForProCost!AI223</f>
        <v>0</v>
      </c>
      <c r="P220" s="227" t="str">
        <f>InputForProCost!AJ223</f>
        <v>FLAT</v>
      </c>
      <c r="R220" s="228"/>
      <c r="S220" s="229"/>
    </row>
    <row r="221" spans="1:19">
      <c r="A221" s="226" t="str">
        <f>InputForProCost!U224</f>
        <v>Commercial Showerhead Replacement_1_50gpm_Health Care_ Electric Water Heating_Mail-by-Request</v>
      </c>
      <c r="B221" s="226" t="str">
        <f>InputForProCost!V224</f>
        <v>Embedded Water Energy</v>
      </c>
      <c r="C221" s="227">
        <f>InputForProCost!W224</f>
        <v>5.6169204112748385</v>
      </c>
      <c r="D221" s="227">
        <f>InputForProCost!X224</f>
        <v>10</v>
      </c>
      <c r="E221" s="227">
        <f>InputForProCost!Y224</f>
        <v>0</v>
      </c>
      <c r="F221" s="227">
        <f>InputForProCost!Z224</f>
        <v>0</v>
      </c>
      <c r="G221" s="227" t="str">
        <f>InputForProCost!AA224</f>
        <v>FLAT</v>
      </c>
      <c r="H221" s="227">
        <f>InputForProCost!AB224</f>
        <v>0</v>
      </c>
      <c r="I221" s="227">
        <f>InputForProCost!AC224</f>
        <v>0</v>
      </c>
      <c r="J221" s="227">
        <f>InputForProCost!AD224</f>
        <v>0</v>
      </c>
      <c r="K221" s="227">
        <f>InputForProCost!AE224</f>
        <v>0</v>
      </c>
      <c r="L221" s="227">
        <f>InputForProCost!AF224</f>
        <v>0</v>
      </c>
      <c r="M221" s="227">
        <f>InputForProCost!AG224</f>
        <v>0</v>
      </c>
      <c r="N221" s="227">
        <f>InputForProCost!AH224</f>
        <v>0</v>
      </c>
      <c r="O221" s="227">
        <f>InputForProCost!AI224</f>
        <v>0</v>
      </c>
      <c r="P221" s="227" t="str">
        <f>InputForProCost!AJ224</f>
        <v>FLAT</v>
      </c>
      <c r="R221" s="228"/>
      <c r="S221" s="229"/>
    </row>
    <row r="222" spans="1:19">
      <c r="A222" s="226" t="str">
        <f>InputForProCost!U225</f>
        <v>Commercial Showerhead Replacement_1_50gpm_Health Care_ Gas Water Heating_Mail-by-Request</v>
      </c>
      <c r="B222" s="226" t="str">
        <f>InputForProCost!V225</f>
        <v>Embedded Water Energy</v>
      </c>
      <c r="C222" s="227">
        <f>InputForProCost!W225</f>
        <v>5.6169204112748385</v>
      </c>
      <c r="D222" s="227">
        <f>InputForProCost!X225</f>
        <v>10</v>
      </c>
      <c r="E222" s="227">
        <f>InputForProCost!Y225</f>
        <v>0</v>
      </c>
      <c r="F222" s="227">
        <f>InputForProCost!Z225</f>
        <v>0</v>
      </c>
      <c r="G222" s="227" t="str">
        <f>InputForProCost!AA225</f>
        <v>FLAT</v>
      </c>
      <c r="H222" s="227">
        <f>InputForProCost!AB225</f>
        <v>0</v>
      </c>
      <c r="I222" s="227">
        <f>InputForProCost!AC225</f>
        <v>0</v>
      </c>
      <c r="J222" s="227">
        <f>InputForProCost!AD225</f>
        <v>0</v>
      </c>
      <c r="K222" s="227">
        <f>InputForProCost!AE225</f>
        <v>0</v>
      </c>
      <c r="L222" s="227">
        <f>InputForProCost!AF225</f>
        <v>0</v>
      </c>
      <c r="M222" s="227">
        <f>InputForProCost!AG225</f>
        <v>0</v>
      </c>
      <c r="N222" s="227">
        <f>InputForProCost!AH225</f>
        <v>0</v>
      </c>
      <c r="O222" s="227">
        <f>InputForProCost!AI225</f>
        <v>0</v>
      </c>
      <c r="P222" s="227" t="str">
        <f>InputForProCost!AJ225</f>
        <v>FLAT</v>
      </c>
      <c r="R222" s="228"/>
      <c r="S222" s="229"/>
    </row>
    <row r="223" spans="1:19">
      <c r="A223" s="226" t="str">
        <f>InputForProCost!U226</f>
        <v>Commercial Showerhead Replacement_1_50gpm_Health Care_ Any Water Heating_Mail-by-Request</v>
      </c>
      <c r="B223" s="226" t="str">
        <f>InputForProCost!V226</f>
        <v>Embedded Water Energy</v>
      </c>
      <c r="C223" s="227">
        <f>InputForProCost!W226</f>
        <v>5.6169204112748385</v>
      </c>
      <c r="D223" s="227">
        <f>InputForProCost!X226</f>
        <v>10</v>
      </c>
      <c r="E223" s="227">
        <f>InputForProCost!Y226</f>
        <v>0</v>
      </c>
      <c r="F223" s="227">
        <f>InputForProCost!Z226</f>
        <v>0</v>
      </c>
      <c r="G223" s="227" t="str">
        <f>InputForProCost!AA226</f>
        <v>FLAT</v>
      </c>
      <c r="H223" s="227">
        <f>InputForProCost!AB226</f>
        <v>0</v>
      </c>
      <c r="I223" s="227">
        <f>InputForProCost!AC226</f>
        <v>0</v>
      </c>
      <c r="J223" s="227">
        <f>InputForProCost!AD226</f>
        <v>0</v>
      </c>
      <c r="K223" s="227">
        <f>InputForProCost!AE226</f>
        <v>0</v>
      </c>
      <c r="L223" s="227">
        <f>InputForProCost!AF226</f>
        <v>0</v>
      </c>
      <c r="M223" s="227">
        <f>InputForProCost!AG226</f>
        <v>0</v>
      </c>
      <c r="N223" s="227">
        <f>InputForProCost!AH226</f>
        <v>0</v>
      </c>
      <c r="O223" s="227">
        <f>InputForProCost!AI226</f>
        <v>0</v>
      </c>
      <c r="P223" s="227" t="str">
        <f>InputForProCost!AJ226</f>
        <v>FLAT</v>
      </c>
      <c r="R223" s="228"/>
      <c r="S223" s="229"/>
    </row>
    <row r="224" spans="1:19">
      <c r="A224" s="226" t="str">
        <f>InputForProCost!U227</f>
        <v>Commercial Showerhead Replacement_2_00gpm_Commercial - Employee Shower_ Electric Water Heating_Retail</v>
      </c>
      <c r="B224" s="226" t="str">
        <f>InputForProCost!V227</f>
        <v>Embedded Water Energy</v>
      </c>
      <c r="C224" s="227">
        <f>InputForProCost!W227</f>
        <v>3.2062410688000016</v>
      </c>
      <c r="D224" s="227">
        <f>InputForProCost!X227</f>
        <v>10</v>
      </c>
      <c r="E224" s="227">
        <f>InputForProCost!Y227</f>
        <v>0</v>
      </c>
      <c r="F224" s="227">
        <f>InputForProCost!Z227</f>
        <v>0</v>
      </c>
      <c r="G224" s="227" t="str">
        <f>InputForProCost!AA227</f>
        <v>FLAT</v>
      </c>
      <c r="H224" s="227">
        <f>InputForProCost!AB227</f>
        <v>0</v>
      </c>
      <c r="I224" s="227">
        <f>InputForProCost!AC227</f>
        <v>0</v>
      </c>
      <c r="J224" s="227">
        <f>InputForProCost!AD227</f>
        <v>0</v>
      </c>
      <c r="K224" s="227">
        <f>InputForProCost!AE227</f>
        <v>0</v>
      </c>
      <c r="L224" s="227">
        <f>InputForProCost!AF227</f>
        <v>0</v>
      </c>
      <c r="M224" s="227">
        <f>InputForProCost!AG227</f>
        <v>0</v>
      </c>
      <c r="N224" s="227">
        <f>InputForProCost!AH227</f>
        <v>0</v>
      </c>
      <c r="O224" s="227">
        <f>InputForProCost!AI227</f>
        <v>0</v>
      </c>
      <c r="P224" s="227" t="str">
        <f>InputForProCost!AJ227</f>
        <v>FLAT</v>
      </c>
      <c r="R224" s="228"/>
      <c r="S224" s="229"/>
    </row>
    <row r="225" spans="1:19">
      <c r="A225" s="226" t="str">
        <f>InputForProCost!U228</f>
        <v>Commercial Showerhead Replacement_2_00gpm_Commercial - Employee Shower_ Gas Water Heating_Retail</v>
      </c>
      <c r="B225" s="226" t="str">
        <f>InputForProCost!V228</f>
        <v>Embedded Water Energy</v>
      </c>
      <c r="C225" s="227">
        <f>InputForProCost!W228</f>
        <v>3.2062410688000016</v>
      </c>
      <c r="D225" s="227">
        <f>InputForProCost!X228</f>
        <v>10</v>
      </c>
      <c r="E225" s="227">
        <f>InputForProCost!Y228</f>
        <v>0</v>
      </c>
      <c r="F225" s="227">
        <f>InputForProCost!Z228</f>
        <v>0</v>
      </c>
      <c r="G225" s="227" t="str">
        <f>InputForProCost!AA228</f>
        <v>FLAT</v>
      </c>
      <c r="H225" s="227">
        <f>InputForProCost!AB228</f>
        <v>0</v>
      </c>
      <c r="I225" s="227">
        <f>InputForProCost!AC228</f>
        <v>0</v>
      </c>
      <c r="J225" s="227">
        <f>InputForProCost!AD228</f>
        <v>0</v>
      </c>
      <c r="K225" s="227">
        <f>InputForProCost!AE228</f>
        <v>0</v>
      </c>
      <c r="L225" s="227">
        <f>InputForProCost!AF228</f>
        <v>0</v>
      </c>
      <c r="M225" s="227">
        <f>InputForProCost!AG228</f>
        <v>0</v>
      </c>
      <c r="N225" s="227">
        <f>InputForProCost!AH228</f>
        <v>0</v>
      </c>
      <c r="O225" s="227">
        <f>InputForProCost!AI228</f>
        <v>0</v>
      </c>
      <c r="P225" s="227" t="str">
        <f>InputForProCost!AJ228</f>
        <v>FLAT</v>
      </c>
      <c r="R225" s="228"/>
      <c r="S225" s="229"/>
    </row>
    <row r="226" spans="1:19">
      <c r="A226" s="226" t="str">
        <f>InputForProCost!U229</f>
        <v>Commercial Showerhead Replacement_2_00gpm_Commercial - Employee Shower_ Any Water Heating_Retail</v>
      </c>
      <c r="B226" s="226" t="str">
        <f>InputForProCost!V229</f>
        <v>Embedded Water Energy</v>
      </c>
      <c r="C226" s="227">
        <f>InputForProCost!W229</f>
        <v>3.2062410688000016</v>
      </c>
      <c r="D226" s="227">
        <f>InputForProCost!X229</f>
        <v>10</v>
      </c>
      <c r="E226" s="227">
        <f>InputForProCost!Y229</f>
        <v>0</v>
      </c>
      <c r="F226" s="227">
        <f>InputForProCost!Z229</f>
        <v>0</v>
      </c>
      <c r="G226" s="227" t="str">
        <f>InputForProCost!AA229</f>
        <v>FLAT</v>
      </c>
      <c r="H226" s="227">
        <f>InputForProCost!AB229</f>
        <v>0</v>
      </c>
      <c r="I226" s="227">
        <f>InputForProCost!AC229</f>
        <v>0</v>
      </c>
      <c r="J226" s="227">
        <f>InputForProCost!AD229</f>
        <v>0</v>
      </c>
      <c r="K226" s="227">
        <f>InputForProCost!AE229</f>
        <v>0</v>
      </c>
      <c r="L226" s="227">
        <f>InputForProCost!AF229</f>
        <v>0</v>
      </c>
      <c r="M226" s="227">
        <f>InputForProCost!AG229</f>
        <v>0</v>
      </c>
      <c r="N226" s="227">
        <f>InputForProCost!AH229</f>
        <v>0</v>
      </c>
      <c r="O226" s="227">
        <f>InputForProCost!AI229</f>
        <v>0</v>
      </c>
      <c r="P226" s="227" t="str">
        <f>InputForProCost!AJ229</f>
        <v>FLAT</v>
      </c>
      <c r="R226" s="228"/>
      <c r="S226" s="229"/>
    </row>
    <row r="227" spans="1:19">
      <c r="A227" s="226" t="str">
        <f>InputForProCost!U230</f>
        <v>Commercial Showerhead Replacement_1_75gpm_Commercial - Employee Shower_ Electric Water Heating_Retail</v>
      </c>
      <c r="B227" s="226" t="str">
        <f>InputForProCost!V230</f>
        <v>Embedded Water Energy</v>
      </c>
      <c r="C227" s="227">
        <f>InputForProCost!W230</f>
        <v>3.3815823772500009</v>
      </c>
      <c r="D227" s="227">
        <f>InputForProCost!X230</f>
        <v>10</v>
      </c>
      <c r="E227" s="227">
        <f>InputForProCost!Y230</f>
        <v>0</v>
      </c>
      <c r="F227" s="227">
        <f>InputForProCost!Z230</f>
        <v>0</v>
      </c>
      <c r="G227" s="227" t="str">
        <f>InputForProCost!AA230</f>
        <v>FLAT</v>
      </c>
      <c r="H227" s="227">
        <f>InputForProCost!AB230</f>
        <v>0</v>
      </c>
      <c r="I227" s="227">
        <f>InputForProCost!AC230</f>
        <v>0</v>
      </c>
      <c r="J227" s="227">
        <f>InputForProCost!AD230</f>
        <v>0</v>
      </c>
      <c r="K227" s="227">
        <f>InputForProCost!AE230</f>
        <v>0</v>
      </c>
      <c r="L227" s="227">
        <f>InputForProCost!AF230</f>
        <v>0</v>
      </c>
      <c r="M227" s="227">
        <f>InputForProCost!AG230</f>
        <v>0</v>
      </c>
      <c r="N227" s="227">
        <f>InputForProCost!AH230</f>
        <v>0</v>
      </c>
      <c r="O227" s="227">
        <f>InputForProCost!AI230</f>
        <v>0</v>
      </c>
      <c r="P227" s="227" t="str">
        <f>InputForProCost!AJ230</f>
        <v>FLAT</v>
      </c>
      <c r="R227" s="228"/>
      <c r="S227" s="229"/>
    </row>
    <row r="228" spans="1:19">
      <c r="A228" s="226" t="str">
        <f>InputForProCost!U231</f>
        <v>Commercial Showerhead Replacement_1_75gpm_Commercial - Employee Shower_ Gas Water Heating_Retail</v>
      </c>
      <c r="B228" s="226" t="str">
        <f>InputForProCost!V231</f>
        <v>Embedded Water Energy</v>
      </c>
      <c r="C228" s="227">
        <f>InputForProCost!W231</f>
        <v>3.3815823772500009</v>
      </c>
      <c r="D228" s="227">
        <f>InputForProCost!X231</f>
        <v>10</v>
      </c>
      <c r="E228" s="227">
        <f>InputForProCost!Y231</f>
        <v>0</v>
      </c>
      <c r="F228" s="227">
        <f>InputForProCost!Z231</f>
        <v>0</v>
      </c>
      <c r="G228" s="227" t="str">
        <f>InputForProCost!AA231</f>
        <v>FLAT</v>
      </c>
      <c r="H228" s="227">
        <f>InputForProCost!AB231</f>
        <v>0</v>
      </c>
      <c r="I228" s="227">
        <f>InputForProCost!AC231</f>
        <v>0</v>
      </c>
      <c r="J228" s="227">
        <f>InputForProCost!AD231</f>
        <v>0</v>
      </c>
      <c r="K228" s="227">
        <f>InputForProCost!AE231</f>
        <v>0</v>
      </c>
      <c r="L228" s="227">
        <f>InputForProCost!AF231</f>
        <v>0</v>
      </c>
      <c r="M228" s="227">
        <f>InputForProCost!AG231</f>
        <v>0</v>
      </c>
      <c r="N228" s="227">
        <f>InputForProCost!AH231</f>
        <v>0</v>
      </c>
      <c r="O228" s="227">
        <f>InputForProCost!AI231</f>
        <v>0</v>
      </c>
      <c r="P228" s="227" t="str">
        <f>InputForProCost!AJ231</f>
        <v>FLAT</v>
      </c>
      <c r="R228" s="228"/>
      <c r="S228" s="229"/>
    </row>
    <row r="229" spans="1:19">
      <c r="A229" s="226" t="str">
        <f>InputForProCost!U232</f>
        <v>Commercial Showerhead Replacement_1_75gpm_Commercial - Employee Shower_ Any Water Heating_Retail</v>
      </c>
      <c r="B229" s="226" t="str">
        <f>InputForProCost!V232</f>
        <v>Embedded Water Energy</v>
      </c>
      <c r="C229" s="227">
        <f>InputForProCost!W232</f>
        <v>3.3815823772500009</v>
      </c>
      <c r="D229" s="227">
        <f>InputForProCost!X232</f>
        <v>10</v>
      </c>
      <c r="E229" s="227">
        <f>InputForProCost!Y232</f>
        <v>0</v>
      </c>
      <c r="F229" s="227">
        <f>InputForProCost!Z232</f>
        <v>0</v>
      </c>
      <c r="G229" s="227" t="str">
        <f>InputForProCost!AA232</f>
        <v>FLAT</v>
      </c>
      <c r="H229" s="227">
        <f>InputForProCost!AB232</f>
        <v>0</v>
      </c>
      <c r="I229" s="227">
        <f>InputForProCost!AC232</f>
        <v>0</v>
      </c>
      <c r="J229" s="227">
        <f>InputForProCost!AD232</f>
        <v>0</v>
      </c>
      <c r="K229" s="227">
        <f>InputForProCost!AE232</f>
        <v>0</v>
      </c>
      <c r="L229" s="227">
        <f>InputForProCost!AF232</f>
        <v>0</v>
      </c>
      <c r="M229" s="227">
        <f>InputForProCost!AG232</f>
        <v>0</v>
      </c>
      <c r="N229" s="227">
        <f>InputForProCost!AH232</f>
        <v>0</v>
      </c>
      <c r="O229" s="227">
        <f>InputForProCost!AI232</f>
        <v>0</v>
      </c>
      <c r="P229" s="227" t="str">
        <f>InputForProCost!AJ232</f>
        <v>FLAT</v>
      </c>
      <c r="R229" s="228"/>
      <c r="S229" s="229"/>
    </row>
    <row r="230" spans="1:19">
      <c r="A230" s="226" t="str">
        <f>InputForProCost!U233</f>
        <v>Commercial Showerhead Replacement_1_50gpm_Commercial - Employee Shower_ Electric Water Heating_Retail</v>
      </c>
      <c r="B230" s="226" t="str">
        <f>InputForProCost!V233</f>
        <v>Embedded Water Energy</v>
      </c>
      <c r="C230" s="227">
        <f>InputForProCost!W233</f>
        <v>4.9095566366000005</v>
      </c>
      <c r="D230" s="227">
        <f>InputForProCost!X233</f>
        <v>10</v>
      </c>
      <c r="E230" s="227">
        <f>InputForProCost!Y233</f>
        <v>0</v>
      </c>
      <c r="F230" s="227">
        <f>InputForProCost!Z233</f>
        <v>0</v>
      </c>
      <c r="G230" s="227" t="str">
        <f>InputForProCost!AA233</f>
        <v>FLAT</v>
      </c>
      <c r="H230" s="227">
        <f>InputForProCost!AB233</f>
        <v>0</v>
      </c>
      <c r="I230" s="227">
        <f>InputForProCost!AC233</f>
        <v>0</v>
      </c>
      <c r="J230" s="227">
        <f>InputForProCost!AD233</f>
        <v>0</v>
      </c>
      <c r="K230" s="227">
        <f>InputForProCost!AE233</f>
        <v>0</v>
      </c>
      <c r="L230" s="227">
        <f>InputForProCost!AF233</f>
        <v>0</v>
      </c>
      <c r="M230" s="227">
        <f>InputForProCost!AG233</f>
        <v>0</v>
      </c>
      <c r="N230" s="227">
        <f>InputForProCost!AH233</f>
        <v>0</v>
      </c>
      <c r="O230" s="227">
        <f>InputForProCost!AI233</f>
        <v>0</v>
      </c>
      <c r="P230" s="227" t="str">
        <f>InputForProCost!AJ233</f>
        <v>FLAT</v>
      </c>
      <c r="R230" s="228"/>
      <c r="S230" s="229"/>
    </row>
    <row r="231" spans="1:19">
      <c r="A231" s="226" t="str">
        <f>InputForProCost!U234</f>
        <v>Commercial Showerhead Replacement_1_50gpm_Commercial - Employee Shower_ Gas Water Heating_Retail</v>
      </c>
      <c r="B231" s="226" t="str">
        <f>InputForProCost!V234</f>
        <v>Embedded Water Energy</v>
      </c>
      <c r="C231" s="227">
        <f>InputForProCost!W234</f>
        <v>4.9095566366000005</v>
      </c>
      <c r="D231" s="227">
        <f>InputForProCost!X234</f>
        <v>10</v>
      </c>
      <c r="E231" s="227">
        <f>InputForProCost!Y234</f>
        <v>0</v>
      </c>
      <c r="F231" s="227">
        <f>InputForProCost!Z234</f>
        <v>0</v>
      </c>
      <c r="G231" s="227" t="str">
        <f>InputForProCost!AA234</f>
        <v>FLAT</v>
      </c>
      <c r="H231" s="227">
        <f>InputForProCost!AB234</f>
        <v>0</v>
      </c>
      <c r="I231" s="227">
        <f>InputForProCost!AC234</f>
        <v>0</v>
      </c>
      <c r="J231" s="227">
        <f>InputForProCost!AD234</f>
        <v>0</v>
      </c>
      <c r="K231" s="227">
        <f>InputForProCost!AE234</f>
        <v>0</v>
      </c>
      <c r="L231" s="227">
        <f>InputForProCost!AF234</f>
        <v>0</v>
      </c>
      <c r="M231" s="227">
        <f>InputForProCost!AG234</f>
        <v>0</v>
      </c>
      <c r="N231" s="227">
        <f>InputForProCost!AH234</f>
        <v>0</v>
      </c>
      <c r="O231" s="227">
        <f>InputForProCost!AI234</f>
        <v>0</v>
      </c>
      <c r="P231" s="227" t="str">
        <f>InputForProCost!AJ234</f>
        <v>FLAT</v>
      </c>
      <c r="R231" s="228"/>
      <c r="S231" s="229"/>
    </row>
    <row r="232" spans="1:19">
      <c r="A232" s="226" t="str">
        <f>InputForProCost!U235</f>
        <v>Commercial Showerhead Replacement_1_50gpm_Commercial - Employee Shower_ Any Water Heating_Retail</v>
      </c>
      <c r="B232" s="226" t="str">
        <f>InputForProCost!V235</f>
        <v>Embedded Water Energy</v>
      </c>
      <c r="C232" s="227">
        <f>InputForProCost!W235</f>
        <v>4.9095566366000005</v>
      </c>
      <c r="D232" s="227">
        <f>InputForProCost!X235</f>
        <v>10</v>
      </c>
      <c r="E232" s="227">
        <f>InputForProCost!Y235</f>
        <v>0</v>
      </c>
      <c r="F232" s="227">
        <f>InputForProCost!Z235</f>
        <v>0</v>
      </c>
      <c r="G232" s="227" t="str">
        <f>InputForProCost!AA235</f>
        <v>FLAT</v>
      </c>
      <c r="H232" s="227">
        <f>InputForProCost!AB235</f>
        <v>0</v>
      </c>
      <c r="I232" s="227">
        <f>InputForProCost!AC235</f>
        <v>0</v>
      </c>
      <c r="J232" s="227">
        <f>InputForProCost!AD235</f>
        <v>0</v>
      </c>
      <c r="K232" s="227">
        <f>InputForProCost!AE235</f>
        <v>0</v>
      </c>
      <c r="L232" s="227">
        <f>InputForProCost!AF235</f>
        <v>0</v>
      </c>
      <c r="M232" s="227">
        <f>InputForProCost!AG235</f>
        <v>0</v>
      </c>
      <c r="N232" s="227">
        <f>InputForProCost!AH235</f>
        <v>0</v>
      </c>
      <c r="O232" s="227">
        <f>InputForProCost!AI235</f>
        <v>0</v>
      </c>
      <c r="P232" s="227" t="str">
        <f>InputForProCost!AJ235</f>
        <v>FLAT</v>
      </c>
      <c r="R232" s="228"/>
      <c r="S232" s="229"/>
    </row>
    <row r="233" spans="1:19">
      <c r="A233" s="226" t="str">
        <f>InputForProCost!U236</f>
        <v>Commercial Showerhead Replacement_2_00gpm_Commercial - Employee Shower_ Electric Water Heating_Direct Install</v>
      </c>
      <c r="B233" s="226" t="str">
        <f>InputForProCost!V236</f>
        <v>Embedded Water Energy</v>
      </c>
      <c r="C233" s="227">
        <f>InputForProCost!W236</f>
        <v>3.6070212024000017</v>
      </c>
      <c r="D233" s="227">
        <f>InputForProCost!X236</f>
        <v>10</v>
      </c>
      <c r="E233" s="227">
        <f>InputForProCost!Y236</f>
        <v>0</v>
      </c>
      <c r="F233" s="227">
        <f>InputForProCost!Z236</f>
        <v>0</v>
      </c>
      <c r="G233" s="227" t="str">
        <f>InputForProCost!AA236</f>
        <v>FLAT</v>
      </c>
      <c r="H233" s="227">
        <f>InputForProCost!AB236</f>
        <v>0</v>
      </c>
      <c r="I233" s="227">
        <f>InputForProCost!AC236</f>
        <v>0</v>
      </c>
      <c r="J233" s="227">
        <f>InputForProCost!AD236</f>
        <v>0</v>
      </c>
      <c r="K233" s="227">
        <f>InputForProCost!AE236</f>
        <v>0</v>
      </c>
      <c r="L233" s="227">
        <f>InputForProCost!AF236</f>
        <v>0</v>
      </c>
      <c r="M233" s="227">
        <f>InputForProCost!AG236</f>
        <v>0</v>
      </c>
      <c r="N233" s="227">
        <f>InputForProCost!AH236</f>
        <v>0</v>
      </c>
      <c r="O233" s="227">
        <f>InputForProCost!AI236</f>
        <v>0</v>
      </c>
      <c r="P233" s="227" t="str">
        <f>InputForProCost!AJ236</f>
        <v>FLAT</v>
      </c>
      <c r="R233" s="228"/>
      <c r="S233" s="229"/>
    </row>
    <row r="234" spans="1:19">
      <c r="A234" s="226" t="str">
        <f>InputForProCost!U237</f>
        <v>Commercial Showerhead Replacement_2_00gpm_Commercial - Employee Shower_ Gas Water Heating_Direct Install</v>
      </c>
      <c r="B234" s="226" t="str">
        <f>InputForProCost!V237</f>
        <v>Embedded Water Energy</v>
      </c>
      <c r="C234" s="227">
        <f>InputForProCost!W237</f>
        <v>3.6070212024000017</v>
      </c>
      <c r="D234" s="227">
        <f>InputForProCost!X237</f>
        <v>10</v>
      </c>
      <c r="E234" s="227">
        <f>InputForProCost!Y237</f>
        <v>0</v>
      </c>
      <c r="F234" s="227">
        <f>InputForProCost!Z237</f>
        <v>0</v>
      </c>
      <c r="G234" s="227" t="str">
        <f>InputForProCost!AA237</f>
        <v>FLAT</v>
      </c>
      <c r="H234" s="227">
        <f>InputForProCost!AB237</f>
        <v>0</v>
      </c>
      <c r="I234" s="227">
        <f>InputForProCost!AC237</f>
        <v>0</v>
      </c>
      <c r="J234" s="227">
        <f>InputForProCost!AD237</f>
        <v>0</v>
      </c>
      <c r="K234" s="227">
        <f>InputForProCost!AE237</f>
        <v>0</v>
      </c>
      <c r="L234" s="227">
        <f>InputForProCost!AF237</f>
        <v>0</v>
      </c>
      <c r="M234" s="227">
        <f>InputForProCost!AG237</f>
        <v>0</v>
      </c>
      <c r="N234" s="227">
        <f>InputForProCost!AH237</f>
        <v>0</v>
      </c>
      <c r="O234" s="227">
        <f>InputForProCost!AI237</f>
        <v>0</v>
      </c>
      <c r="P234" s="227" t="str">
        <f>InputForProCost!AJ237</f>
        <v>FLAT</v>
      </c>
      <c r="R234" s="228"/>
      <c r="S234" s="229"/>
    </row>
    <row r="235" spans="1:19">
      <c r="A235" s="226" t="str">
        <f>InputForProCost!U238</f>
        <v>Commercial Showerhead Replacement_2_00gpm_Commercial - Employee Shower_ Any Water Heating_Direct Install</v>
      </c>
      <c r="B235" s="226" t="str">
        <f>InputForProCost!V238</f>
        <v>Embedded Water Energy</v>
      </c>
      <c r="C235" s="227">
        <f>InputForProCost!W238</f>
        <v>3.6070212024000017</v>
      </c>
      <c r="D235" s="227">
        <f>InputForProCost!X238</f>
        <v>10</v>
      </c>
      <c r="E235" s="227">
        <f>InputForProCost!Y238</f>
        <v>0</v>
      </c>
      <c r="F235" s="227">
        <f>InputForProCost!Z238</f>
        <v>0</v>
      </c>
      <c r="G235" s="227" t="str">
        <f>InputForProCost!AA238</f>
        <v>FLAT</v>
      </c>
      <c r="H235" s="227">
        <f>InputForProCost!AB238</f>
        <v>0</v>
      </c>
      <c r="I235" s="227">
        <f>InputForProCost!AC238</f>
        <v>0</v>
      </c>
      <c r="J235" s="227">
        <f>InputForProCost!AD238</f>
        <v>0</v>
      </c>
      <c r="K235" s="227">
        <f>InputForProCost!AE238</f>
        <v>0</v>
      </c>
      <c r="L235" s="227">
        <f>InputForProCost!AF238</f>
        <v>0</v>
      </c>
      <c r="M235" s="227">
        <f>InputForProCost!AG238</f>
        <v>0</v>
      </c>
      <c r="N235" s="227">
        <f>InputForProCost!AH238</f>
        <v>0</v>
      </c>
      <c r="O235" s="227">
        <f>InputForProCost!AI238</f>
        <v>0</v>
      </c>
      <c r="P235" s="227" t="str">
        <f>InputForProCost!AJ238</f>
        <v>FLAT</v>
      </c>
      <c r="R235" s="228"/>
      <c r="S235" s="229"/>
    </row>
    <row r="236" spans="1:19">
      <c r="A236" s="226" t="str">
        <f>InputForProCost!U239</f>
        <v>Commercial Showerhead Replacement_1_75gpm_Commercial - Employee Shower_ Electric Water Heating_Direct Install</v>
      </c>
      <c r="B236" s="226" t="str">
        <f>InputForProCost!V239</f>
        <v>Embedded Water Energy</v>
      </c>
      <c r="C236" s="227">
        <f>InputForProCost!W239</f>
        <v>4.0578988527000011</v>
      </c>
      <c r="D236" s="227">
        <f>InputForProCost!X239</f>
        <v>10</v>
      </c>
      <c r="E236" s="227">
        <f>InputForProCost!Y239</f>
        <v>0</v>
      </c>
      <c r="F236" s="227">
        <f>InputForProCost!Z239</f>
        <v>0</v>
      </c>
      <c r="G236" s="227" t="str">
        <f>InputForProCost!AA239</f>
        <v>FLAT</v>
      </c>
      <c r="H236" s="227">
        <f>InputForProCost!AB239</f>
        <v>0</v>
      </c>
      <c r="I236" s="227">
        <f>InputForProCost!AC239</f>
        <v>0</v>
      </c>
      <c r="J236" s="227">
        <f>InputForProCost!AD239</f>
        <v>0</v>
      </c>
      <c r="K236" s="227">
        <f>InputForProCost!AE239</f>
        <v>0</v>
      </c>
      <c r="L236" s="227">
        <f>InputForProCost!AF239</f>
        <v>0</v>
      </c>
      <c r="M236" s="227">
        <f>InputForProCost!AG239</f>
        <v>0</v>
      </c>
      <c r="N236" s="227">
        <f>InputForProCost!AH239</f>
        <v>0</v>
      </c>
      <c r="O236" s="227">
        <f>InputForProCost!AI239</f>
        <v>0</v>
      </c>
      <c r="P236" s="227" t="str">
        <f>InputForProCost!AJ239</f>
        <v>FLAT</v>
      </c>
      <c r="R236" s="228"/>
      <c r="S236" s="229"/>
    </row>
    <row r="237" spans="1:19">
      <c r="A237" s="226" t="str">
        <f>InputForProCost!U240</f>
        <v>Commercial Showerhead Replacement_1_75gpm_Commercial - Employee Shower_ Gas Water Heating_Direct Install</v>
      </c>
      <c r="B237" s="226" t="str">
        <f>InputForProCost!V240</f>
        <v>Embedded Water Energy</v>
      </c>
      <c r="C237" s="227">
        <f>InputForProCost!W240</f>
        <v>4.0578988527000011</v>
      </c>
      <c r="D237" s="227">
        <f>InputForProCost!X240</f>
        <v>10</v>
      </c>
      <c r="E237" s="227">
        <f>InputForProCost!Y240</f>
        <v>0</v>
      </c>
      <c r="F237" s="227">
        <f>InputForProCost!Z240</f>
        <v>0</v>
      </c>
      <c r="G237" s="227" t="str">
        <f>InputForProCost!AA240</f>
        <v>FLAT</v>
      </c>
      <c r="H237" s="227">
        <f>InputForProCost!AB240</f>
        <v>0</v>
      </c>
      <c r="I237" s="227">
        <f>InputForProCost!AC240</f>
        <v>0</v>
      </c>
      <c r="J237" s="227">
        <f>InputForProCost!AD240</f>
        <v>0</v>
      </c>
      <c r="K237" s="227">
        <f>InputForProCost!AE240</f>
        <v>0</v>
      </c>
      <c r="L237" s="227">
        <f>InputForProCost!AF240</f>
        <v>0</v>
      </c>
      <c r="M237" s="227">
        <f>InputForProCost!AG240</f>
        <v>0</v>
      </c>
      <c r="N237" s="227">
        <f>InputForProCost!AH240</f>
        <v>0</v>
      </c>
      <c r="O237" s="227">
        <f>InputForProCost!AI240</f>
        <v>0</v>
      </c>
      <c r="P237" s="227" t="str">
        <f>InputForProCost!AJ240</f>
        <v>FLAT</v>
      </c>
      <c r="R237" s="228"/>
      <c r="S237" s="229"/>
    </row>
    <row r="238" spans="1:19">
      <c r="A238" s="226" t="str">
        <f>InputForProCost!U241</f>
        <v>Commercial Showerhead Replacement_1_75gpm_Commercial - Employee Shower_ Any Water Heating_Direct Install</v>
      </c>
      <c r="B238" s="226" t="str">
        <f>InputForProCost!V241</f>
        <v>Embedded Water Energy</v>
      </c>
      <c r="C238" s="227">
        <f>InputForProCost!W241</f>
        <v>4.0578988527000011</v>
      </c>
      <c r="D238" s="227">
        <f>InputForProCost!X241</f>
        <v>10</v>
      </c>
      <c r="E238" s="227">
        <f>InputForProCost!Y241</f>
        <v>0</v>
      </c>
      <c r="F238" s="227">
        <f>InputForProCost!Z241</f>
        <v>0</v>
      </c>
      <c r="G238" s="227" t="str">
        <f>InputForProCost!AA241</f>
        <v>FLAT</v>
      </c>
      <c r="H238" s="227">
        <f>InputForProCost!AB241</f>
        <v>0</v>
      </c>
      <c r="I238" s="227">
        <f>InputForProCost!AC241</f>
        <v>0</v>
      </c>
      <c r="J238" s="227">
        <f>InputForProCost!AD241</f>
        <v>0</v>
      </c>
      <c r="K238" s="227">
        <f>InputForProCost!AE241</f>
        <v>0</v>
      </c>
      <c r="L238" s="227">
        <f>InputForProCost!AF241</f>
        <v>0</v>
      </c>
      <c r="M238" s="227">
        <f>InputForProCost!AG241</f>
        <v>0</v>
      </c>
      <c r="N238" s="227">
        <f>InputForProCost!AH241</f>
        <v>0</v>
      </c>
      <c r="O238" s="227">
        <f>InputForProCost!AI241</f>
        <v>0</v>
      </c>
      <c r="P238" s="227" t="str">
        <f>InputForProCost!AJ241</f>
        <v>FLAT</v>
      </c>
      <c r="R238" s="228"/>
      <c r="S238" s="229"/>
    </row>
    <row r="239" spans="1:19">
      <c r="A239" s="226" t="str">
        <f>InputForProCost!U242</f>
        <v>Commercial Showerhead Replacement_1_50gpm_Commercial - Employee Shower_ Electric Water Heating_Direct Install</v>
      </c>
      <c r="B239" s="226" t="str">
        <f>InputForProCost!V242</f>
        <v>Embedded Water Energy</v>
      </c>
      <c r="C239" s="227">
        <f>InputForProCost!W242</f>
        <v>6.3122871042000019</v>
      </c>
      <c r="D239" s="227">
        <f>InputForProCost!X242</f>
        <v>10</v>
      </c>
      <c r="E239" s="227">
        <f>InputForProCost!Y242</f>
        <v>0</v>
      </c>
      <c r="F239" s="227">
        <f>InputForProCost!Z242</f>
        <v>0</v>
      </c>
      <c r="G239" s="227" t="str">
        <f>InputForProCost!AA242</f>
        <v>FLAT</v>
      </c>
      <c r="H239" s="227">
        <f>InputForProCost!AB242</f>
        <v>0</v>
      </c>
      <c r="I239" s="227">
        <f>InputForProCost!AC242</f>
        <v>0</v>
      </c>
      <c r="J239" s="227">
        <f>InputForProCost!AD242</f>
        <v>0</v>
      </c>
      <c r="K239" s="227">
        <f>InputForProCost!AE242</f>
        <v>0</v>
      </c>
      <c r="L239" s="227">
        <f>InputForProCost!AF242</f>
        <v>0</v>
      </c>
      <c r="M239" s="227">
        <f>InputForProCost!AG242</f>
        <v>0</v>
      </c>
      <c r="N239" s="227">
        <f>InputForProCost!AH242</f>
        <v>0</v>
      </c>
      <c r="O239" s="227">
        <f>InputForProCost!AI242</f>
        <v>0</v>
      </c>
      <c r="P239" s="227" t="str">
        <f>InputForProCost!AJ242</f>
        <v>FLAT</v>
      </c>
      <c r="R239" s="228"/>
      <c r="S239" s="229"/>
    </row>
    <row r="240" spans="1:19">
      <c r="A240" s="226" t="str">
        <f>InputForProCost!U243</f>
        <v>Commercial Showerhead Replacement_1_50gpm_Commercial - Employee Shower_ Gas Water Heating_Direct Install</v>
      </c>
      <c r="B240" s="226" t="str">
        <f>InputForProCost!V243</f>
        <v>Embedded Water Energy</v>
      </c>
      <c r="C240" s="227">
        <f>InputForProCost!W243</f>
        <v>6.3122871042000019</v>
      </c>
      <c r="D240" s="227">
        <f>InputForProCost!X243</f>
        <v>10</v>
      </c>
      <c r="E240" s="227">
        <f>InputForProCost!Y243</f>
        <v>0</v>
      </c>
      <c r="F240" s="227">
        <f>InputForProCost!Z243</f>
        <v>0</v>
      </c>
      <c r="G240" s="227" t="str">
        <f>InputForProCost!AA243</f>
        <v>FLAT</v>
      </c>
      <c r="H240" s="227">
        <f>InputForProCost!AB243</f>
        <v>0</v>
      </c>
      <c r="I240" s="227">
        <f>InputForProCost!AC243</f>
        <v>0</v>
      </c>
      <c r="J240" s="227">
        <f>InputForProCost!AD243</f>
        <v>0</v>
      </c>
      <c r="K240" s="227">
        <f>InputForProCost!AE243</f>
        <v>0</v>
      </c>
      <c r="L240" s="227">
        <f>InputForProCost!AF243</f>
        <v>0</v>
      </c>
      <c r="M240" s="227">
        <f>InputForProCost!AG243</f>
        <v>0</v>
      </c>
      <c r="N240" s="227">
        <f>InputForProCost!AH243</f>
        <v>0</v>
      </c>
      <c r="O240" s="227">
        <f>InputForProCost!AI243</f>
        <v>0</v>
      </c>
      <c r="P240" s="227" t="str">
        <f>InputForProCost!AJ243</f>
        <v>FLAT</v>
      </c>
      <c r="R240" s="228"/>
      <c r="S240" s="229"/>
    </row>
    <row r="241" spans="1:19">
      <c r="A241" s="226" t="str">
        <f>InputForProCost!U244</f>
        <v>Commercial Showerhead Replacement_1_50gpm_Commercial - Employee Shower_ Any Water Heating_Direct Install</v>
      </c>
      <c r="B241" s="226" t="str">
        <f>InputForProCost!V244</f>
        <v>Embedded Water Energy</v>
      </c>
      <c r="C241" s="227">
        <f>InputForProCost!W244</f>
        <v>6.3122871042000019</v>
      </c>
      <c r="D241" s="227">
        <f>InputForProCost!X244</f>
        <v>10</v>
      </c>
      <c r="E241" s="227">
        <f>InputForProCost!Y244</f>
        <v>0</v>
      </c>
      <c r="F241" s="227">
        <f>InputForProCost!Z244</f>
        <v>0</v>
      </c>
      <c r="G241" s="227" t="str">
        <f>InputForProCost!AA244</f>
        <v>FLAT</v>
      </c>
      <c r="H241" s="227">
        <f>InputForProCost!AB244</f>
        <v>0</v>
      </c>
      <c r="I241" s="227">
        <f>InputForProCost!AC244</f>
        <v>0</v>
      </c>
      <c r="J241" s="227">
        <f>InputForProCost!AD244</f>
        <v>0</v>
      </c>
      <c r="K241" s="227">
        <f>InputForProCost!AE244</f>
        <v>0</v>
      </c>
      <c r="L241" s="227">
        <f>InputForProCost!AF244</f>
        <v>0</v>
      </c>
      <c r="M241" s="227">
        <f>InputForProCost!AG244</f>
        <v>0</v>
      </c>
      <c r="N241" s="227">
        <f>InputForProCost!AH244</f>
        <v>0</v>
      </c>
      <c r="O241" s="227">
        <f>InputForProCost!AI244</f>
        <v>0</v>
      </c>
      <c r="P241" s="227" t="str">
        <f>InputForProCost!AJ244</f>
        <v>FLAT</v>
      </c>
      <c r="R241" s="228"/>
      <c r="S241" s="229"/>
    </row>
    <row r="242" spans="1:19">
      <c r="A242" s="226" t="str">
        <f>InputForProCost!U245</f>
        <v>Commercial Showerhead Replacement_2_00gpm_Commercial - Employee Shower_ Electric Water Heating_Mail-by-Request</v>
      </c>
      <c r="B242" s="226" t="str">
        <f>InputForProCost!V245</f>
        <v>Embedded Water Energy</v>
      </c>
      <c r="C242" s="227">
        <f>InputForProCost!W245</f>
        <v>2.404680801600001</v>
      </c>
      <c r="D242" s="227">
        <f>InputForProCost!X245</f>
        <v>10</v>
      </c>
      <c r="E242" s="227">
        <f>InputForProCost!Y245</f>
        <v>0</v>
      </c>
      <c r="F242" s="227">
        <f>InputForProCost!Z245</f>
        <v>0</v>
      </c>
      <c r="G242" s="227" t="str">
        <f>InputForProCost!AA245</f>
        <v>FLAT</v>
      </c>
      <c r="H242" s="227">
        <f>InputForProCost!AB245</f>
        <v>0</v>
      </c>
      <c r="I242" s="227">
        <f>InputForProCost!AC245</f>
        <v>0</v>
      </c>
      <c r="J242" s="227">
        <f>InputForProCost!AD245</f>
        <v>0</v>
      </c>
      <c r="K242" s="227">
        <f>InputForProCost!AE245</f>
        <v>0</v>
      </c>
      <c r="L242" s="227">
        <f>InputForProCost!AF245</f>
        <v>0</v>
      </c>
      <c r="M242" s="227">
        <f>InputForProCost!AG245</f>
        <v>0</v>
      </c>
      <c r="N242" s="227">
        <f>InputForProCost!AH245</f>
        <v>0</v>
      </c>
      <c r="O242" s="227">
        <f>InputForProCost!AI245</f>
        <v>0</v>
      </c>
      <c r="P242" s="227" t="str">
        <f>InputForProCost!AJ245</f>
        <v>FLAT</v>
      </c>
      <c r="R242" s="228"/>
      <c r="S242" s="229"/>
    </row>
    <row r="243" spans="1:19">
      <c r="A243" s="226" t="str">
        <f>InputForProCost!U246</f>
        <v>Commercial Showerhead Replacement_2_00gpm_Commercial - Employee Shower_ Gas Water Heating_Mail-by-Request</v>
      </c>
      <c r="B243" s="226" t="str">
        <f>InputForProCost!V246</f>
        <v>Embedded Water Energy</v>
      </c>
      <c r="C243" s="227">
        <f>InputForProCost!W246</f>
        <v>2.404680801600001</v>
      </c>
      <c r="D243" s="227">
        <f>InputForProCost!X246</f>
        <v>10</v>
      </c>
      <c r="E243" s="227">
        <f>InputForProCost!Y246</f>
        <v>0</v>
      </c>
      <c r="F243" s="227">
        <f>InputForProCost!Z246</f>
        <v>0</v>
      </c>
      <c r="G243" s="227" t="str">
        <f>InputForProCost!AA246</f>
        <v>FLAT</v>
      </c>
      <c r="H243" s="227">
        <f>InputForProCost!AB246</f>
        <v>0</v>
      </c>
      <c r="I243" s="227">
        <f>InputForProCost!AC246</f>
        <v>0</v>
      </c>
      <c r="J243" s="227">
        <f>InputForProCost!AD246</f>
        <v>0</v>
      </c>
      <c r="K243" s="227">
        <f>InputForProCost!AE246</f>
        <v>0</v>
      </c>
      <c r="L243" s="227">
        <f>InputForProCost!AF246</f>
        <v>0</v>
      </c>
      <c r="M243" s="227">
        <f>InputForProCost!AG246</f>
        <v>0</v>
      </c>
      <c r="N243" s="227">
        <f>InputForProCost!AH246</f>
        <v>0</v>
      </c>
      <c r="O243" s="227">
        <f>InputForProCost!AI246</f>
        <v>0</v>
      </c>
      <c r="P243" s="227" t="str">
        <f>InputForProCost!AJ246</f>
        <v>FLAT</v>
      </c>
      <c r="R243" s="228"/>
      <c r="S243" s="229"/>
    </row>
    <row r="244" spans="1:19">
      <c r="A244" s="226" t="str">
        <f>InputForProCost!U247</f>
        <v>Commercial Showerhead Replacement_2_00gpm_Commercial - Employee Shower_ Any Water Heating_Mail-by-Request</v>
      </c>
      <c r="B244" s="226" t="str">
        <f>InputForProCost!V247</f>
        <v>Embedded Water Energy</v>
      </c>
      <c r="C244" s="227">
        <f>InputForProCost!W247</f>
        <v>2.404680801600001</v>
      </c>
      <c r="D244" s="227">
        <f>InputForProCost!X247</f>
        <v>10</v>
      </c>
      <c r="E244" s="227">
        <f>InputForProCost!Y247</f>
        <v>0</v>
      </c>
      <c r="F244" s="227">
        <f>InputForProCost!Z247</f>
        <v>0</v>
      </c>
      <c r="G244" s="227" t="str">
        <f>InputForProCost!AA247</f>
        <v>FLAT</v>
      </c>
      <c r="H244" s="227">
        <f>InputForProCost!AB247</f>
        <v>0</v>
      </c>
      <c r="I244" s="227">
        <f>InputForProCost!AC247</f>
        <v>0</v>
      </c>
      <c r="J244" s="227">
        <f>InputForProCost!AD247</f>
        <v>0</v>
      </c>
      <c r="K244" s="227">
        <f>InputForProCost!AE247</f>
        <v>0</v>
      </c>
      <c r="L244" s="227">
        <f>InputForProCost!AF247</f>
        <v>0</v>
      </c>
      <c r="M244" s="227">
        <f>InputForProCost!AG247</f>
        <v>0</v>
      </c>
      <c r="N244" s="227">
        <f>InputForProCost!AH247</f>
        <v>0</v>
      </c>
      <c r="O244" s="227">
        <f>InputForProCost!AI247</f>
        <v>0</v>
      </c>
      <c r="P244" s="227" t="str">
        <f>InputForProCost!AJ247</f>
        <v>FLAT</v>
      </c>
      <c r="R244" s="228"/>
      <c r="S244" s="229"/>
    </row>
    <row r="245" spans="1:19">
      <c r="A245" s="226" t="str">
        <f>InputForProCost!U248</f>
        <v>Commercial Showerhead Replacement_1_75gpm_Commercial - Employee Shower_ Electric Water Heating_Mail-by-Request</v>
      </c>
      <c r="B245" s="226" t="str">
        <f>InputForProCost!V248</f>
        <v>Embedded Water Energy</v>
      </c>
      <c r="C245" s="227">
        <f>InputForProCost!W248</f>
        <v>2.7052659018000003</v>
      </c>
      <c r="D245" s="227">
        <f>InputForProCost!X248</f>
        <v>10</v>
      </c>
      <c r="E245" s="227">
        <f>InputForProCost!Y248</f>
        <v>0</v>
      </c>
      <c r="F245" s="227">
        <f>InputForProCost!Z248</f>
        <v>0</v>
      </c>
      <c r="G245" s="227" t="str">
        <f>InputForProCost!AA248</f>
        <v>FLAT</v>
      </c>
      <c r="H245" s="227">
        <f>InputForProCost!AB248</f>
        <v>0</v>
      </c>
      <c r="I245" s="227">
        <f>InputForProCost!AC248</f>
        <v>0</v>
      </c>
      <c r="J245" s="227">
        <f>InputForProCost!AD248</f>
        <v>0</v>
      </c>
      <c r="K245" s="227">
        <f>InputForProCost!AE248</f>
        <v>0</v>
      </c>
      <c r="L245" s="227">
        <f>InputForProCost!AF248</f>
        <v>0</v>
      </c>
      <c r="M245" s="227">
        <f>InputForProCost!AG248</f>
        <v>0</v>
      </c>
      <c r="N245" s="227">
        <f>InputForProCost!AH248</f>
        <v>0</v>
      </c>
      <c r="O245" s="227">
        <f>InputForProCost!AI248</f>
        <v>0</v>
      </c>
      <c r="P245" s="227" t="str">
        <f>InputForProCost!AJ248</f>
        <v>FLAT</v>
      </c>
      <c r="R245" s="228"/>
      <c r="S245" s="229"/>
    </row>
    <row r="246" spans="1:19">
      <c r="A246" s="226" t="str">
        <f>InputForProCost!U249</f>
        <v>Commercial Showerhead Replacement_1_75gpm_Commercial - Employee Shower_ Gas Water Heating_Mail-by-Request</v>
      </c>
      <c r="B246" s="226" t="str">
        <f>InputForProCost!V249</f>
        <v>Embedded Water Energy</v>
      </c>
      <c r="C246" s="227">
        <f>InputForProCost!W249</f>
        <v>2.7052659018000003</v>
      </c>
      <c r="D246" s="227">
        <f>InputForProCost!X249</f>
        <v>10</v>
      </c>
      <c r="E246" s="227">
        <f>InputForProCost!Y249</f>
        <v>0</v>
      </c>
      <c r="F246" s="227">
        <f>InputForProCost!Z249</f>
        <v>0</v>
      </c>
      <c r="G246" s="227" t="str">
        <f>InputForProCost!AA249</f>
        <v>FLAT</v>
      </c>
      <c r="H246" s="227">
        <f>InputForProCost!AB249</f>
        <v>0</v>
      </c>
      <c r="I246" s="227">
        <f>InputForProCost!AC249</f>
        <v>0</v>
      </c>
      <c r="J246" s="227">
        <f>InputForProCost!AD249</f>
        <v>0</v>
      </c>
      <c r="K246" s="227">
        <f>InputForProCost!AE249</f>
        <v>0</v>
      </c>
      <c r="L246" s="227">
        <f>InputForProCost!AF249</f>
        <v>0</v>
      </c>
      <c r="M246" s="227">
        <f>InputForProCost!AG249</f>
        <v>0</v>
      </c>
      <c r="N246" s="227">
        <f>InputForProCost!AH249</f>
        <v>0</v>
      </c>
      <c r="O246" s="227">
        <f>InputForProCost!AI249</f>
        <v>0</v>
      </c>
      <c r="P246" s="227" t="str">
        <f>InputForProCost!AJ249</f>
        <v>FLAT</v>
      </c>
      <c r="R246" s="228"/>
      <c r="S246" s="229"/>
    </row>
    <row r="247" spans="1:19">
      <c r="A247" s="226" t="str">
        <f>InputForProCost!U250</f>
        <v>Commercial Showerhead Replacement_1_75gpm_Commercial - Employee Shower_ Any Water Heating_Mail-by-Request</v>
      </c>
      <c r="B247" s="226" t="str">
        <f>InputForProCost!V250</f>
        <v>Embedded Water Energy</v>
      </c>
      <c r="C247" s="227">
        <f>InputForProCost!W250</f>
        <v>2.7052659018000003</v>
      </c>
      <c r="D247" s="227">
        <f>InputForProCost!X250</f>
        <v>10</v>
      </c>
      <c r="E247" s="227">
        <f>InputForProCost!Y250</f>
        <v>0</v>
      </c>
      <c r="F247" s="227">
        <f>InputForProCost!Z250</f>
        <v>0</v>
      </c>
      <c r="G247" s="227" t="str">
        <f>InputForProCost!AA250</f>
        <v>FLAT</v>
      </c>
      <c r="H247" s="227">
        <f>InputForProCost!AB250</f>
        <v>0</v>
      </c>
      <c r="I247" s="227">
        <f>InputForProCost!AC250</f>
        <v>0</v>
      </c>
      <c r="J247" s="227">
        <f>InputForProCost!AD250</f>
        <v>0</v>
      </c>
      <c r="K247" s="227">
        <f>InputForProCost!AE250</f>
        <v>0</v>
      </c>
      <c r="L247" s="227">
        <f>InputForProCost!AF250</f>
        <v>0</v>
      </c>
      <c r="M247" s="227">
        <f>InputForProCost!AG250</f>
        <v>0</v>
      </c>
      <c r="N247" s="227">
        <f>InputForProCost!AH250</f>
        <v>0</v>
      </c>
      <c r="O247" s="227">
        <f>InputForProCost!AI250</f>
        <v>0</v>
      </c>
      <c r="P247" s="227" t="str">
        <f>InputForProCost!AJ250</f>
        <v>FLAT</v>
      </c>
      <c r="R247" s="228"/>
      <c r="S247" s="229"/>
    </row>
    <row r="248" spans="1:19">
      <c r="A248" s="226" t="str">
        <f>InputForProCost!U251</f>
        <v>Commercial Showerhead Replacement_1_50gpm_Commercial - Employee Shower_ Electric Water Heating_Mail-by-Request</v>
      </c>
      <c r="B248" s="226" t="str">
        <f>InputForProCost!V251</f>
        <v>Embedded Water Energy</v>
      </c>
      <c r="C248" s="227">
        <f>InputForProCost!W251</f>
        <v>4.2081914028000007</v>
      </c>
      <c r="D248" s="227">
        <f>InputForProCost!X251</f>
        <v>10</v>
      </c>
      <c r="E248" s="227">
        <f>InputForProCost!Y251</f>
        <v>0</v>
      </c>
      <c r="F248" s="227">
        <f>InputForProCost!Z251</f>
        <v>0</v>
      </c>
      <c r="G248" s="227" t="str">
        <f>InputForProCost!AA251</f>
        <v>FLAT</v>
      </c>
      <c r="H248" s="227">
        <f>InputForProCost!AB251</f>
        <v>0</v>
      </c>
      <c r="I248" s="227">
        <f>InputForProCost!AC251</f>
        <v>0</v>
      </c>
      <c r="J248" s="227">
        <f>InputForProCost!AD251</f>
        <v>0</v>
      </c>
      <c r="K248" s="227">
        <f>InputForProCost!AE251</f>
        <v>0</v>
      </c>
      <c r="L248" s="227">
        <f>InputForProCost!AF251</f>
        <v>0</v>
      </c>
      <c r="M248" s="227">
        <f>InputForProCost!AG251</f>
        <v>0</v>
      </c>
      <c r="N248" s="227">
        <f>InputForProCost!AH251</f>
        <v>0</v>
      </c>
      <c r="O248" s="227">
        <f>InputForProCost!AI251</f>
        <v>0</v>
      </c>
      <c r="P248" s="227" t="str">
        <f>InputForProCost!AJ251</f>
        <v>FLAT</v>
      </c>
      <c r="R248" s="228"/>
      <c r="S248" s="229"/>
    </row>
    <row r="249" spans="1:19">
      <c r="A249" s="226" t="str">
        <f>InputForProCost!U252</f>
        <v>Commercial Showerhead Replacement_1_50gpm_Commercial - Employee Shower_ Gas Water Heating_Mail-by-Request</v>
      </c>
      <c r="B249" s="226" t="str">
        <f>InputForProCost!V252</f>
        <v>Embedded Water Energy</v>
      </c>
      <c r="C249" s="227">
        <f>InputForProCost!W252</f>
        <v>4.2081914028000007</v>
      </c>
      <c r="D249" s="227">
        <f>InputForProCost!X252</f>
        <v>10</v>
      </c>
      <c r="E249" s="227">
        <f>InputForProCost!Y252</f>
        <v>0</v>
      </c>
      <c r="F249" s="227">
        <f>InputForProCost!Z252</f>
        <v>0</v>
      </c>
      <c r="G249" s="227" t="str">
        <f>InputForProCost!AA252</f>
        <v>FLAT</v>
      </c>
      <c r="H249" s="227">
        <f>InputForProCost!AB252</f>
        <v>0</v>
      </c>
      <c r="I249" s="227">
        <f>InputForProCost!AC252</f>
        <v>0</v>
      </c>
      <c r="J249" s="227">
        <f>InputForProCost!AD252</f>
        <v>0</v>
      </c>
      <c r="K249" s="227">
        <f>InputForProCost!AE252</f>
        <v>0</v>
      </c>
      <c r="L249" s="227">
        <f>InputForProCost!AF252</f>
        <v>0</v>
      </c>
      <c r="M249" s="227">
        <f>InputForProCost!AG252</f>
        <v>0</v>
      </c>
      <c r="N249" s="227">
        <f>InputForProCost!AH252</f>
        <v>0</v>
      </c>
      <c r="O249" s="227">
        <f>InputForProCost!AI252</f>
        <v>0</v>
      </c>
      <c r="P249" s="227" t="str">
        <f>InputForProCost!AJ252</f>
        <v>FLAT</v>
      </c>
      <c r="R249" s="228"/>
      <c r="S249" s="229"/>
    </row>
    <row r="250" spans="1:19">
      <c r="A250" s="226" t="str">
        <f>InputForProCost!U253</f>
        <v>Commercial Showerhead Replacement_1_50gpm_Commercial - Employee Shower_ Any Water Heating_Mail-by-Request</v>
      </c>
      <c r="B250" s="226" t="str">
        <f>InputForProCost!V253</f>
        <v>Embedded Water Energy</v>
      </c>
      <c r="C250" s="227">
        <f>InputForProCost!W253</f>
        <v>4.2081914028000007</v>
      </c>
      <c r="D250" s="227">
        <f>InputForProCost!X253</f>
        <v>10</v>
      </c>
      <c r="E250" s="227">
        <f>InputForProCost!Y253</f>
        <v>0</v>
      </c>
      <c r="F250" s="227">
        <f>InputForProCost!Z253</f>
        <v>0</v>
      </c>
      <c r="G250" s="227" t="str">
        <f>InputForProCost!AA253</f>
        <v>FLAT</v>
      </c>
      <c r="H250" s="227">
        <f>InputForProCost!AB253</f>
        <v>0</v>
      </c>
      <c r="I250" s="227">
        <f>InputForProCost!AC253</f>
        <v>0</v>
      </c>
      <c r="J250" s="227">
        <f>InputForProCost!AD253</f>
        <v>0</v>
      </c>
      <c r="K250" s="227">
        <f>InputForProCost!AE253</f>
        <v>0</v>
      </c>
      <c r="L250" s="227">
        <f>InputForProCost!AF253</f>
        <v>0</v>
      </c>
      <c r="M250" s="227">
        <f>InputForProCost!AG253</f>
        <v>0</v>
      </c>
      <c r="N250" s="227">
        <f>InputForProCost!AH253</f>
        <v>0</v>
      </c>
      <c r="O250" s="227">
        <f>InputForProCost!AI253</f>
        <v>0</v>
      </c>
      <c r="P250" s="227" t="str">
        <f>InputForProCost!AJ253</f>
        <v>FLAT</v>
      </c>
      <c r="R250" s="228"/>
      <c r="S250" s="229"/>
    </row>
    <row r="251" spans="1:19">
      <c r="A251" s="226" t="str">
        <f>InputForProCost!U254</f>
        <v>Commercial Showerhead Replacement_2_00gpm_School_ Electric Water Heating_Retail</v>
      </c>
      <c r="B251" s="226" t="str">
        <f>InputForProCost!V254</f>
        <v>Embedded Water Energy</v>
      </c>
      <c r="C251" s="227">
        <f>InputForProCost!W254</f>
        <v>3.482794258373207</v>
      </c>
      <c r="D251" s="227">
        <f>InputForProCost!X254</f>
        <v>10</v>
      </c>
      <c r="E251" s="227">
        <f>InputForProCost!Y254</f>
        <v>0</v>
      </c>
      <c r="F251" s="227">
        <f>InputForProCost!Z254</f>
        <v>0</v>
      </c>
      <c r="G251" s="227" t="str">
        <f>InputForProCost!AA254</f>
        <v>FLAT</v>
      </c>
      <c r="H251" s="227">
        <f>InputForProCost!AB254</f>
        <v>0</v>
      </c>
      <c r="I251" s="227">
        <f>InputForProCost!AC254</f>
        <v>0</v>
      </c>
      <c r="J251" s="227">
        <f>InputForProCost!AD254</f>
        <v>0</v>
      </c>
      <c r="K251" s="227">
        <f>InputForProCost!AE254</f>
        <v>0</v>
      </c>
      <c r="L251" s="227">
        <f>InputForProCost!AF254</f>
        <v>0</v>
      </c>
      <c r="M251" s="227">
        <f>InputForProCost!AG254</f>
        <v>0</v>
      </c>
      <c r="N251" s="227">
        <f>InputForProCost!AH254</f>
        <v>0</v>
      </c>
      <c r="O251" s="227">
        <f>InputForProCost!AI254</f>
        <v>0</v>
      </c>
      <c r="P251" s="227" t="str">
        <f>InputForProCost!AJ254</f>
        <v>FLAT</v>
      </c>
      <c r="R251" s="228"/>
      <c r="S251" s="229"/>
    </row>
    <row r="252" spans="1:19">
      <c r="A252" s="226" t="str">
        <f>InputForProCost!U255</f>
        <v>Commercial Showerhead Replacement_2_00gpm_School_ Gas Water Heating_Retail</v>
      </c>
      <c r="B252" s="226" t="str">
        <f>InputForProCost!V255</f>
        <v>Embedded Water Energy</v>
      </c>
      <c r="C252" s="227">
        <f>InputForProCost!W255</f>
        <v>3.482794258373207</v>
      </c>
      <c r="D252" s="227">
        <f>InputForProCost!X255</f>
        <v>10</v>
      </c>
      <c r="E252" s="227">
        <f>InputForProCost!Y255</f>
        <v>0</v>
      </c>
      <c r="F252" s="227">
        <f>InputForProCost!Z255</f>
        <v>0</v>
      </c>
      <c r="G252" s="227" t="str">
        <f>InputForProCost!AA255</f>
        <v>FLAT</v>
      </c>
      <c r="H252" s="227">
        <f>InputForProCost!AB255</f>
        <v>0</v>
      </c>
      <c r="I252" s="227">
        <f>InputForProCost!AC255</f>
        <v>0</v>
      </c>
      <c r="J252" s="227">
        <f>InputForProCost!AD255</f>
        <v>0</v>
      </c>
      <c r="K252" s="227">
        <f>InputForProCost!AE255</f>
        <v>0</v>
      </c>
      <c r="L252" s="227">
        <f>InputForProCost!AF255</f>
        <v>0</v>
      </c>
      <c r="M252" s="227">
        <f>InputForProCost!AG255</f>
        <v>0</v>
      </c>
      <c r="N252" s="227">
        <f>InputForProCost!AH255</f>
        <v>0</v>
      </c>
      <c r="O252" s="227">
        <f>InputForProCost!AI255</f>
        <v>0</v>
      </c>
      <c r="P252" s="227" t="str">
        <f>InputForProCost!AJ255</f>
        <v>FLAT</v>
      </c>
      <c r="R252" s="228"/>
      <c r="S252" s="229"/>
    </row>
    <row r="253" spans="1:19">
      <c r="A253" s="226" t="str">
        <f>InputForProCost!U256</f>
        <v>Commercial Showerhead Replacement_2_00gpm_School_ Any Water Heating_Retail</v>
      </c>
      <c r="B253" s="226" t="str">
        <f>InputForProCost!V256</f>
        <v>Embedded Water Energy</v>
      </c>
      <c r="C253" s="227">
        <f>InputForProCost!W256</f>
        <v>3.482794258373207</v>
      </c>
      <c r="D253" s="227">
        <f>InputForProCost!X256</f>
        <v>10</v>
      </c>
      <c r="E253" s="227">
        <f>InputForProCost!Y256</f>
        <v>0</v>
      </c>
      <c r="F253" s="227">
        <f>InputForProCost!Z256</f>
        <v>0</v>
      </c>
      <c r="G253" s="227" t="str">
        <f>InputForProCost!AA256</f>
        <v>FLAT</v>
      </c>
      <c r="H253" s="227">
        <f>InputForProCost!AB256</f>
        <v>0</v>
      </c>
      <c r="I253" s="227">
        <f>InputForProCost!AC256</f>
        <v>0</v>
      </c>
      <c r="J253" s="227">
        <f>InputForProCost!AD256</f>
        <v>0</v>
      </c>
      <c r="K253" s="227">
        <f>InputForProCost!AE256</f>
        <v>0</v>
      </c>
      <c r="L253" s="227">
        <f>InputForProCost!AF256</f>
        <v>0</v>
      </c>
      <c r="M253" s="227">
        <f>InputForProCost!AG256</f>
        <v>0</v>
      </c>
      <c r="N253" s="227">
        <f>InputForProCost!AH256</f>
        <v>0</v>
      </c>
      <c r="O253" s="227">
        <f>InputForProCost!AI256</f>
        <v>0</v>
      </c>
      <c r="P253" s="227" t="str">
        <f>InputForProCost!AJ256</f>
        <v>FLAT</v>
      </c>
      <c r="R253" s="228"/>
      <c r="S253" s="229"/>
    </row>
    <row r="254" spans="1:19">
      <c r="A254" s="226" t="str">
        <f>InputForProCost!U257</f>
        <v>Commercial Showerhead Replacement_1_75gpm_School_ Electric Water Heating_Retail</v>
      </c>
      <c r="B254" s="226" t="str">
        <f>InputForProCost!V257</f>
        <v>Embedded Water Energy</v>
      </c>
      <c r="C254" s="227">
        <f>InputForProCost!W257</f>
        <v>3.6732595693779908</v>
      </c>
      <c r="D254" s="227">
        <f>InputForProCost!X257</f>
        <v>10</v>
      </c>
      <c r="E254" s="227">
        <f>InputForProCost!Y257</f>
        <v>0</v>
      </c>
      <c r="F254" s="227">
        <f>InputForProCost!Z257</f>
        <v>0</v>
      </c>
      <c r="G254" s="227" t="str">
        <f>InputForProCost!AA257</f>
        <v>FLAT</v>
      </c>
      <c r="H254" s="227">
        <f>InputForProCost!AB257</f>
        <v>0</v>
      </c>
      <c r="I254" s="227">
        <f>InputForProCost!AC257</f>
        <v>0</v>
      </c>
      <c r="J254" s="227">
        <f>InputForProCost!AD257</f>
        <v>0</v>
      </c>
      <c r="K254" s="227">
        <f>InputForProCost!AE257</f>
        <v>0</v>
      </c>
      <c r="L254" s="227">
        <f>InputForProCost!AF257</f>
        <v>0</v>
      </c>
      <c r="M254" s="227">
        <f>InputForProCost!AG257</f>
        <v>0</v>
      </c>
      <c r="N254" s="227">
        <f>InputForProCost!AH257</f>
        <v>0</v>
      </c>
      <c r="O254" s="227">
        <f>InputForProCost!AI257</f>
        <v>0</v>
      </c>
      <c r="P254" s="227" t="str">
        <f>InputForProCost!AJ257</f>
        <v>FLAT</v>
      </c>
      <c r="R254" s="228"/>
      <c r="S254" s="229"/>
    </row>
    <row r="255" spans="1:19">
      <c r="A255" s="226" t="str">
        <f>InputForProCost!U258</f>
        <v>Commercial Showerhead Replacement_1_75gpm_School_ Gas Water Heating_Retail</v>
      </c>
      <c r="B255" s="226" t="str">
        <f>InputForProCost!V258</f>
        <v>Embedded Water Energy</v>
      </c>
      <c r="C255" s="227">
        <f>InputForProCost!W258</f>
        <v>3.6732595693779908</v>
      </c>
      <c r="D255" s="227">
        <f>InputForProCost!X258</f>
        <v>10</v>
      </c>
      <c r="E255" s="227">
        <f>InputForProCost!Y258</f>
        <v>0</v>
      </c>
      <c r="F255" s="227">
        <f>InputForProCost!Z258</f>
        <v>0</v>
      </c>
      <c r="G255" s="227" t="str">
        <f>InputForProCost!AA258</f>
        <v>FLAT</v>
      </c>
      <c r="H255" s="227">
        <f>InputForProCost!AB258</f>
        <v>0</v>
      </c>
      <c r="I255" s="227">
        <f>InputForProCost!AC258</f>
        <v>0</v>
      </c>
      <c r="J255" s="227">
        <f>InputForProCost!AD258</f>
        <v>0</v>
      </c>
      <c r="K255" s="227">
        <f>InputForProCost!AE258</f>
        <v>0</v>
      </c>
      <c r="L255" s="227">
        <f>InputForProCost!AF258</f>
        <v>0</v>
      </c>
      <c r="M255" s="227">
        <f>InputForProCost!AG258</f>
        <v>0</v>
      </c>
      <c r="N255" s="227">
        <f>InputForProCost!AH258</f>
        <v>0</v>
      </c>
      <c r="O255" s="227">
        <f>InputForProCost!AI258</f>
        <v>0</v>
      </c>
      <c r="P255" s="227" t="str">
        <f>InputForProCost!AJ258</f>
        <v>FLAT</v>
      </c>
      <c r="R255" s="228"/>
      <c r="S255" s="229"/>
    </row>
    <row r="256" spans="1:19">
      <c r="A256" s="226" t="str">
        <f>InputForProCost!U259</f>
        <v>Commercial Showerhead Replacement_1_75gpm_School_ Any Water Heating_Retail</v>
      </c>
      <c r="B256" s="226" t="str">
        <f>InputForProCost!V259</f>
        <v>Embedded Water Energy</v>
      </c>
      <c r="C256" s="227">
        <f>InputForProCost!W259</f>
        <v>3.6732595693779908</v>
      </c>
      <c r="D256" s="227">
        <f>InputForProCost!X259</f>
        <v>10</v>
      </c>
      <c r="E256" s="227">
        <f>InputForProCost!Y259</f>
        <v>0</v>
      </c>
      <c r="F256" s="227">
        <f>InputForProCost!Z259</f>
        <v>0</v>
      </c>
      <c r="G256" s="227" t="str">
        <f>InputForProCost!AA259</f>
        <v>FLAT</v>
      </c>
      <c r="H256" s="227">
        <f>InputForProCost!AB259</f>
        <v>0</v>
      </c>
      <c r="I256" s="227">
        <f>InputForProCost!AC259</f>
        <v>0</v>
      </c>
      <c r="J256" s="227">
        <f>InputForProCost!AD259</f>
        <v>0</v>
      </c>
      <c r="K256" s="227">
        <f>InputForProCost!AE259</f>
        <v>0</v>
      </c>
      <c r="L256" s="227">
        <f>InputForProCost!AF259</f>
        <v>0</v>
      </c>
      <c r="M256" s="227">
        <f>InputForProCost!AG259</f>
        <v>0</v>
      </c>
      <c r="N256" s="227">
        <f>InputForProCost!AH259</f>
        <v>0</v>
      </c>
      <c r="O256" s="227">
        <f>InputForProCost!AI259</f>
        <v>0</v>
      </c>
      <c r="P256" s="227" t="str">
        <f>InputForProCost!AJ259</f>
        <v>FLAT</v>
      </c>
      <c r="R256" s="228"/>
      <c r="S256" s="229"/>
    </row>
    <row r="257" spans="1:19">
      <c r="A257" s="226" t="str">
        <f>InputForProCost!U260</f>
        <v>Commercial Showerhead Replacement_1_50gpm_School_ Electric Water Heating_Retail</v>
      </c>
      <c r="B257" s="226" t="str">
        <f>InputForProCost!V260</f>
        <v>Embedded Water Energy</v>
      </c>
      <c r="C257" s="227">
        <f>InputForProCost!W260</f>
        <v>5.3330287081339716</v>
      </c>
      <c r="D257" s="227">
        <f>InputForProCost!X260</f>
        <v>10</v>
      </c>
      <c r="E257" s="227">
        <f>InputForProCost!Y260</f>
        <v>0</v>
      </c>
      <c r="F257" s="227">
        <f>InputForProCost!Z260</f>
        <v>0</v>
      </c>
      <c r="G257" s="227" t="str">
        <f>InputForProCost!AA260</f>
        <v>FLAT</v>
      </c>
      <c r="H257" s="227">
        <f>InputForProCost!AB260</f>
        <v>0</v>
      </c>
      <c r="I257" s="227">
        <f>InputForProCost!AC260</f>
        <v>0</v>
      </c>
      <c r="J257" s="227">
        <f>InputForProCost!AD260</f>
        <v>0</v>
      </c>
      <c r="K257" s="227">
        <f>InputForProCost!AE260</f>
        <v>0</v>
      </c>
      <c r="L257" s="227">
        <f>InputForProCost!AF260</f>
        <v>0</v>
      </c>
      <c r="M257" s="227">
        <f>InputForProCost!AG260</f>
        <v>0</v>
      </c>
      <c r="N257" s="227">
        <f>InputForProCost!AH260</f>
        <v>0</v>
      </c>
      <c r="O257" s="227">
        <f>InputForProCost!AI260</f>
        <v>0</v>
      </c>
      <c r="P257" s="227" t="str">
        <f>InputForProCost!AJ260</f>
        <v>FLAT</v>
      </c>
      <c r="R257" s="228"/>
      <c r="S257" s="229"/>
    </row>
    <row r="258" spans="1:19">
      <c r="A258" s="226" t="str">
        <f>InputForProCost!U261</f>
        <v>Commercial Showerhead Replacement_1_50gpm_School_ Gas Water Heating_Retail</v>
      </c>
      <c r="B258" s="226" t="str">
        <f>InputForProCost!V261</f>
        <v>Embedded Water Energy</v>
      </c>
      <c r="C258" s="227">
        <f>InputForProCost!W261</f>
        <v>5.3330287081339716</v>
      </c>
      <c r="D258" s="227">
        <f>InputForProCost!X261</f>
        <v>10</v>
      </c>
      <c r="E258" s="227">
        <f>InputForProCost!Y261</f>
        <v>0</v>
      </c>
      <c r="F258" s="227">
        <f>InputForProCost!Z261</f>
        <v>0</v>
      </c>
      <c r="G258" s="227" t="str">
        <f>InputForProCost!AA261</f>
        <v>FLAT</v>
      </c>
      <c r="H258" s="227">
        <f>InputForProCost!AB261</f>
        <v>0</v>
      </c>
      <c r="I258" s="227">
        <f>InputForProCost!AC261</f>
        <v>0</v>
      </c>
      <c r="J258" s="227">
        <f>InputForProCost!AD261</f>
        <v>0</v>
      </c>
      <c r="K258" s="227">
        <f>InputForProCost!AE261</f>
        <v>0</v>
      </c>
      <c r="L258" s="227">
        <f>InputForProCost!AF261</f>
        <v>0</v>
      </c>
      <c r="M258" s="227">
        <f>InputForProCost!AG261</f>
        <v>0</v>
      </c>
      <c r="N258" s="227">
        <f>InputForProCost!AH261</f>
        <v>0</v>
      </c>
      <c r="O258" s="227">
        <f>InputForProCost!AI261</f>
        <v>0</v>
      </c>
      <c r="P258" s="227" t="str">
        <f>InputForProCost!AJ261</f>
        <v>FLAT</v>
      </c>
      <c r="R258" s="228"/>
      <c r="S258" s="229"/>
    </row>
    <row r="259" spans="1:19">
      <c r="A259" s="226" t="str">
        <f>InputForProCost!U262</f>
        <v>Commercial Showerhead Replacement_1_50gpm_School_ Any Water Heating_Retail</v>
      </c>
      <c r="B259" s="226" t="str">
        <f>InputForProCost!V262</f>
        <v>Embedded Water Energy</v>
      </c>
      <c r="C259" s="227">
        <f>InputForProCost!W262</f>
        <v>5.3330287081339716</v>
      </c>
      <c r="D259" s="227">
        <f>InputForProCost!X262</f>
        <v>10</v>
      </c>
      <c r="E259" s="227">
        <f>InputForProCost!Y262</f>
        <v>0</v>
      </c>
      <c r="F259" s="227">
        <f>InputForProCost!Z262</f>
        <v>0</v>
      </c>
      <c r="G259" s="227" t="str">
        <f>InputForProCost!AA262</f>
        <v>FLAT</v>
      </c>
      <c r="H259" s="227">
        <f>InputForProCost!AB262</f>
        <v>0</v>
      </c>
      <c r="I259" s="227">
        <f>InputForProCost!AC262</f>
        <v>0</v>
      </c>
      <c r="J259" s="227">
        <f>InputForProCost!AD262</f>
        <v>0</v>
      </c>
      <c r="K259" s="227">
        <f>InputForProCost!AE262</f>
        <v>0</v>
      </c>
      <c r="L259" s="227">
        <f>InputForProCost!AF262</f>
        <v>0</v>
      </c>
      <c r="M259" s="227">
        <f>InputForProCost!AG262</f>
        <v>0</v>
      </c>
      <c r="N259" s="227">
        <f>InputForProCost!AH262</f>
        <v>0</v>
      </c>
      <c r="O259" s="227">
        <f>InputForProCost!AI262</f>
        <v>0</v>
      </c>
      <c r="P259" s="227" t="str">
        <f>InputForProCost!AJ262</f>
        <v>FLAT</v>
      </c>
      <c r="R259" s="228"/>
      <c r="S259" s="229"/>
    </row>
    <row r="260" spans="1:19">
      <c r="A260" s="226" t="str">
        <f>InputForProCost!U263</f>
        <v>Commercial Showerhead Replacement_2_00gpm_School_ Electric Water Heating_Direct Install</v>
      </c>
      <c r="B260" s="226" t="str">
        <f>InputForProCost!V263</f>
        <v>Embedded Water Energy</v>
      </c>
      <c r="C260" s="227">
        <f>InputForProCost!W263</f>
        <v>3.9181435406698575</v>
      </c>
      <c r="D260" s="227">
        <f>InputForProCost!X263</f>
        <v>10</v>
      </c>
      <c r="E260" s="227">
        <f>InputForProCost!Y263</f>
        <v>0</v>
      </c>
      <c r="F260" s="227">
        <f>InputForProCost!Z263</f>
        <v>0</v>
      </c>
      <c r="G260" s="227" t="str">
        <f>InputForProCost!AA263</f>
        <v>FLAT</v>
      </c>
      <c r="H260" s="227">
        <f>InputForProCost!AB263</f>
        <v>0</v>
      </c>
      <c r="I260" s="227">
        <f>InputForProCost!AC263</f>
        <v>0</v>
      </c>
      <c r="J260" s="227">
        <f>InputForProCost!AD263</f>
        <v>0</v>
      </c>
      <c r="K260" s="227">
        <f>InputForProCost!AE263</f>
        <v>0</v>
      </c>
      <c r="L260" s="227">
        <f>InputForProCost!AF263</f>
        <v>0</v>
      </c>
      <c r="M260" s="227">
        <f>InputForProCost!AG263</f>
        <v>0</v>
      </c>
      <c r="N260" s="227">
        <f>InputForProCost!AH263</f>
        <v>0</v>
      </c>
      <c r="O260" s="227">
        <f>InputForProCost!AI263</f>
        <v>0</v>
      </c>
      <c r="P260" s="227" t="str">
        <f>InputForProCost!AJ263</f>
        <v>FLAT</v>
      </c>
      <c r="R260" s="228"/>
      <c r="S260" s="229"/>
    </row>
    <row r="261" spans="1:19">
      <c r="A261" s="226" t="str">
        <f>InputForProCost!U264</f>
        <v>Commercial Showerhead Replacement_2_00gpm_School_ Gas Water Heating_Direct Install</v>
      </c>
      <c r="B261" s="226" t="str">
        <f>InputForProCost!V264</f>
        <v>Embedded Water Energy</v>
      </c>
      <c r="C261" s="227">
        <f>InputForProCost!W264</f>
        <v>3.9181435406698575</v>
      </c>
      <c r="D261" s="227">
        <f>InputForProCost!X264</f>
        <v>10</v>
      </c>
      <c r="E261" s="227">
        <f>InputForProCost!Y264</f>
        <v>0</v>
      </c>
      <c r="F261" s="227">
        <f>InputForProCost!Z264</f>
        <v>0</v>
      </c>
      <c r="G261" s="227" t="str">
        <f>InputForProCost!AA264</f>
        <v>FLAT</v>
      </c>
      <c r="H261" s="227">
        <f>InputForProCost!AB264</f>
        <v>0</v>
      </c>
      <c r="I261" s="227">
        <f>InputForProCost!AC264</f>
        <v>0</v>
      </c>
      <c r="J261" s="227">
        <f>InputForProCost!AD264</f>
        <v>0</v>
      </c>
      <c r="K261" s="227">
        <f>InputForProCost!AE264</f>
        <v>0</v>
      </c>
      <c r="L261" s="227">
        <f>InputForProCost!AF264</f>
        <v>0</v>
      </c>
      <c r="M261" s="227">
        <f>InputForProCost!AG264</f>
        <v>0</v>
      </c>
      <c r="N261" s="227">
        <f>InputForProCost!AH264</f>
        <v>0</v>
      </c>
      <c r="O261" s="227">
        <f>InputForProCost!AI264</f>
        <v>0</v>
      </c>
      <c r="P261" s="227" t="str">
        <f>InputForProCost!AJ264</f>
        <v>FLAT</v>
      </c>
      <c r="R261" s="228"/>
      <c r="S261" s="229"/>
    </row>
    <row r="262" spans="1:19">
      <c r="A262" s="226" t="str">
        <f>InputForProCost!U265</f>
        <v>Commercial Showerhead Replacement_2_00gpm_School_ Any Water Heating_Direct Install</v>
      </c>
      <c r="B262" s="226" t="str">
        <f>InputForProCost!V265</f>
        <v>Embedded Water Energy</v>
      </c>
      <c r="C262" s="227">
        <f>InputForProCost!W265</f>
        <v>3.9181435406698575</v>
      </c>
      <c r="D262" s="227">
        <f>InputForProCost!X265</f>
        <v>10</v>
      </c>
      <c r="E262" s="227">
        <f>InputForProCost!Y265</f>
        <v>0</v>
      </c>
      <c r="F262" s="227">
        <f>InputForProCost!Z265</f>
        <v>0</v>
      </c>
      <c r="G262" s="227" t="str">
        <f>InputForProCost!AA265</f>
        <v>FLAT</v>
      </c>
      <c r="H262" s="227">
        <f>InputForProCost!AB265</f>
        <v>0</v>
      </c>
      <c r="I262" s="227">
        <f>InputForProCost!AC265</f>
        <v>0</v>
      </c>
      <c r="J262" s="227">
        <f>InputForProCost!AD265</f>
        <v>0</v>
      </c>
      <c r="K262" s="227">
        <f>InputForProCost!AE265</f>
        <v>0</v>
      </c>
      <c r="L262" s="227">
        <f>InputForProCost!AF265</f>
        <v>0</v>
      </c>
      <c r="M262" s="227">
        <f>InputForProCost!AG265</f>
        <v>0</v>
      </c>
      <c r="N262" s="227">
        <f>InputForProCost!AH265</f>
        <v>0</v>
      </c>
      <c r="O262" s="227">
        <f>InputForProCost!AI265</f>
        <v>0</v>
      </c>
      <c r="P262" s="227" t="str">
        <f>InputForProCost!AJ265</f>
        <v>FLAT</v>
      </c>
      <c r="R262" s="228"/>
      <c r="S262" s="229"/>
    </row>
    <row r="263" spans="1:19">
      <c r="A263" s="226" t="str">
        <f>InputForProCost!U266</f>
        <v>Commercial Showerhead Replacement_1_75gpm_School_ Electric Water Heating_Direct Install</v>
      </c>
      <c r="B263" s="226" t="str">
        <f>InputForProCost!V266</f>
        <v>Embedded Water Energy</v>
      </c>
      <c r="C263" s="227">
        <f>InputForProCost!W266</f>
        <v>4.4079114832535895</v>
      </c>
      <c r="D263" s="227">
        <f>InputForProCost!X266</f>
        <v>10</v>
      </c>
      <c r="E263" s="227">
        <f>InputForProCost!Y266</f>
        <v>0</v>
      </c>
      <c r="F263" s="227">
        <f>InputForProCost!Z266</f>
        <v>0</v>
      </c>
      <c r="G263" s="227" t="str">
        <f>InputForProCost!AA266</f>
        <v>FLAT</v>
      </c>
      <c r="H263" s="227">
        <f>InputForProCost!AB266</f>
        <v>0</v>
      </c>
      <c r="I263" s="227">
        <f>InputForProCost!AC266</f>
        <v>0</v>
      </c>
      <c r="J263" s="227">
        <f>InputForProCost!AD266</f>
        <v>0</v>
      </c>
      <c r="K263" s="227">
        <f>InputForProCost!AE266</f>
        <v>0</v>
      </c>
      <c r="L263" s="227">
        <f>InputForProCost!AF266</f>
        <v>0</v>
      </c>
      <c r="M263" s="227">
        <f>InputForProCost!AG266</f>
        <v>0</v>
      </c>
      <c r="N263" s="227">
        <f>InputForProCost!AH266</f>
        <v>0</v>
      </c>
      <c r="O263" s="227">
        <f>InputForProCost!AI266</f>
        <v>0</v>
      </c>
      <c r="P263" s="227" t="str">
        <f>InputForProCost!AJ266</f>
        <v>FLAT</v>
      </c>
      <c r="R263" s="228"/>
      <c r="S263" s="229"/>
    </row>
    <row r="264" spans="1:19">
      <c r="A264" s="226" t="str">
        <f>InputForProCost!U267</f>
        <v>Commercial Showerhead Replacement_1_75gpm_School_ Gas Water Heating_Direct Install</v>
      </c>
      <c r="B264" s="226" t="str">
        <f>InputForProCost!V267</f>
        <v>Embedded Water Energy</v>
      </c>
      <c r="C264" s="227">
        <f>InputForProCost!W267</f>
        <v>4.4079114832535895</v>
      </c>
      <c r="D264" s="227">
        <f>InputForProCost!X267</f>
        <v>10</v>
      </c>
      <c r="E264" s="227">
        <f>InputForProCost!Y267</f>
        <v>0</v>
      </c>
      <c r="F264" s="227">
        <f>InputForProCost!Z267</f>
        <v>0</v>
      </c>
      <c r="G264" s="227" t="str">
        <f>InputForProCost!AA267</f>
        <v>FLAT</v>
      </c>
      <c r="H264" s="227">
        <f>InputForProCost!AB267</f>
        <v>0</v>
      </c>
      <c r="I264" s="227">
        <f>InputForProCost!AC267</f>
        <v>0</v>
      </c>
      <c r="J264" s="227">
        <f>InputForProCost!AD267</f>
        <v>0</v>
      </c>
      <c r="K264" s="227">
        <f>InputForProCost!AE267</f>
        <v>0</v>
      </c>
      <c r="L264" s="227">
        <f>InputForProCost!AF267</f>
        <v>0</v>
      </c>
      <c r="M264" s="227">
        <f>InputForProCost!AG267</f>
        <v>0</v>
      </c>
      <c r="N264" s="227">
        <f>InputForProCost!AH267</f>
        <v>0</v>
      </c>
      <c r="O264" s="227">
        <f>InputForProCost!AI267</f>
        <v>0</v>
      </c>
      <c r="P264" s="227" t="str">
        <f>InputForProCost!AJ267</f>
        <v>FLAT</v>
      </c>
      <c r="R264" s="228"/>
      <c r="S264" s="229"/>
    </row>
    <row r="265" spans="1:19">
      <c r="A265" s="226" t="str">
        <f>InputForProCost!U268</f>
        <v>Commercial Showerhead Replacement_1_75gpm_School_ Any Water Heating_Direct Install</v>
      </c>
      <c r="B265" s="226" t="str">
        <f>InputForProCost!V268</f>
        <v>Embedded Water Energy</v>
      </c>
      <c r="C265" s="227">
        <f>InputForProCost!W268</f>
        <v>4.4079114832535895</v>
      </c>
      <c r="D265" s="227">
        <f>InputForProCost!X268</f>
        <v>10</v>
      </c>
      <c r="E265" s="227">
        <f>InputForProCost!Y268</f>
        <v>0</v>
      </c>
      <c r="F265" s="227">
        <f>InputForProCost!Z268</f>
        <v>0</v>
      </c>
      <c r="G265" s="227" t="str">
        <f>InputForProCost!AA268</f>
        <v>FLAT</v>
      </c>
      <c r="H265" s="227">
        <f>InputForProCost!AB268</f>
        <v>0</v>
      </c>
      <c r="I265" s="227">
        <f>InputForProCost!AC268</f>
        <v>0</v>
      </c>
      <c r="J265" s="227">
        <f>InputForProCost!AD268</f>
        <v>0</v>
      </c>
      <c r="K265" s="227">
        <f>InputForProCost!AE268</f>
        <v>0</v>
      </c>
      <c r="L265" s="227">
        <f>InputForProCost!AF268</f>
        <v>0</v>
      </c>
      <c r="M265" s="227">
        <f>InputForProCost!AG268</f>
        <v>0</v>
      </c>
      <c r="N265" s="227">
        <f>InputForProCost!AH268</f>
        <v>0</v>
      </c>
      <c r="O265" s="227">
        <f>InputForProCost!AI268</f>
        <v>0</v>
      </c>
      <c r="P265" s="227" t="str">
        <f>InputForProCost!AJ268</f>
        <v>FLAT</v>
      </c>
      <c r="R265" s="228"/>
      <c r="S265" s="229"/>
    </row>
    <row r="266" spans="1:19">
      <c r="A266" s="226" t="str">
        <f>InputForProCost!U269</f>
        <v>Commercial Showerhead Replacement_1_50gpm_School_ Electric Water Heating_Direct Install</v>
      </c>
      <c r="B266" s="226" t="str">
        <f>InputForProCost!V269</f>
        <v>Embedded Water Energy</v>
      </c>
      <c r="C266" s="227">
        <f>InputForProCost!W269</f>
        <v>6.85675119617225</v>
      </c>
      <c r="D266" s="227">
        <f>InputForProCost!X269</f>
        <v>10</v>
      </c>
      <c r="E266" s="227">
        <f>InputForProCost!Y269</f>
        <v>0</v>
      </c>
      <c r="F266" s="227">
        <f>InputForProCost!Z269</f>
        <v>0</v>
      </c>
      <c r="G266" s="227" t="str">
        <f>InputForProCost!AA269</f>
        <v>FLAT</v>
      </c>
      <c r="H266" s="227">
        <f>InputForProCost!AB269</f>
        <v>0</v>
      </c>
      <c r="I266" s="227">
        <f>InputForProCost!AC269</f>
        <v>0</v>
      </c>
      <c r="J266" s="227">
        <f>InputForProCost!AD269</f>
        <v>0</v>
      </c>
      <c r="K266" s="227">
        <f>InputForProCost!AE269</f>
        <v>0</v>
      </c>
      <c r="L266" s="227">
        <f>InputForProCost!AF269</f>
        <v>0</v>
      </c>
      <c r="M266" s="227">
        <f>InputForProCost!AG269</f>
        <v>0</v>
      </c>
      <c r="N266" s="227">
        <f>InputForProCost!AH269</f>
        <v>0</v>
      </c>
      <c r="O266" s="227">
        <f>InputForProCost!AI269</f>
        <v>0</v>
      </c>
      <c r="P266" s="227" t="str">
        <f>InputForProCost!AJ269</f>
        <v>FLAT</v>
      </c>
      <c r="R266" s="228"/>
      <c r="S266" s="229"/>
    </row>
    <row r="267" spans="1:19">
      <c r="A267" s="226" t="str">
        <f>InputForProCost!U270</f>
        <v>Commercial Showerhead Replacement_1_50gpm_School_ Gas Water Heating_Direct Install</v>
      </c>
      <c r="B267" s="226" t="str">
        <f>InputForProCost!V270</f>
        <v>Embedded Water Energy</v>
      </c>
      <c r="C267" s="227">
        <f>InputForProCost!W270</f>
        <v>6.85675119617225</v>
      </c>
      <c r="D267" s="227">
        <f>InputForProCost!X270</f>
        <v>10</v>
      </c>
      <c r="E267" s="227">
        <f>InputForProCost!Y270</f>
        <v>0</v>
      </c>
      <c r="F267" s="227">
        <f>InputForProCost!Z270</f>
        <v>0</v>
      </c>
      <c r="G267" s="227" t="str">
        <f>InputForProCost!AA270</f>
        <v>FLAT</v>
      </c>
      <c r="H267" s="227">
        <f>InputForProCost!AB270</f>
        <v>0</v>
      </c>
      <c r="I267" s="227">
        <f>InputForProCost!AC270</f>
        <v>0</v>
      </c>
      <c r="J267" s="227">
        <f>InputForProCost!AD270</f>
        <v>0</v>
      </c>
      <c r="K267" s="227">
        <f>InputForProCost!AE270</f>
        <v>0</v>
      </c>
      <c r="L267" s="227">
        <f>InputForProCost!AF270</f>
        <v>0</v>
      </c>
      <c r="M267" s="227">
        <f>InputForProCost!AG270</f>
        <v>0</v>
      </c>
      <c r="N267" s="227">
        <f>InputForProCost!AH270</f>
        <v>0</v>
      </c>
      <c r="O267" s="227">
        <f>InputForProCost!AI270</f>
        <v>0</v>
      </c>
      <c r="P267" s="227" t="str">
        <f>InputForProCost!AJ270</f>
        <v>FLAT</v>
      </c>
      <c r="R267" s="228"/>
      <c r="S267" s="229"/>
    </row>
    <row r="268" spans="1:19">
      <c r="A268" s="226" t="str">
        <f>InputForProCost!U271</f>
        <v>Commercial Showerhead Replacement_1_50gpm_School_ Any Water Heating_Direct Install</v>
      </c>
      <c r="B268" s="226" t="str">
        <f>InputForProCost!V271</f>
        <v>Embedded Water Energy</v>
      </c>
      <c r="C268" s="227">
        <f>InputForProCost!W271</f>
        <v>6.85675119617225</v>
      </c>
      <c r="D268" s="227">
        <f>InputForProCost!X271</f>
        <v>10</v>
      </c>
      <c r="E268" s="227">
        <f>InputForProCost!Y271</f>
        <v>0</v>
      </c>
      <c r="F268" s="227">
        <f>InputForProCost!Z271</f>
        <v>0</v>
      </c>
      <c r="G268" s="227" t="str">
        <f>InputForProCost!AA271</f>
        <v>FLAT</v>
      </c>
      <c r="H268" s="227">
        <f>InputForProCost!AB271</f>
        <v>0</v>
      </c>
      <c r="I268" s="227">
        <f>InputForProCost!AC271</f>
        <v>0</v>
      </c>
      <c r="J268" s="227">
        <f>InputForProCost!AD271</f>
        <v>0</v>
      </c>
      <c r="K268" s="227">
        <f>InputForProCost!AE271</f>
        <v>0</v>
      </c>
      <c r="L268" s="227">
        <f>InputForProCost!AF271</f>
        <v>0</v>
      </c>
      <c r="M268" s="227">
        <f>InputForProCost!AG271</f>
        <v>0</v>
      </c>
      <c r="N268" s="227">
        <f>InputForProCost!AH271</f>
        <v>0</v>
      </c>
      <c r="O268" s="227">
        <f>InputForProCost!AI271</f>
        <v>0</v>
      </c>
      <c r="P268" s="227" t="str">
        <f>InputForProCost!AJ271</f>
        <v>FLAT</v>
      </c>
      <c r="R268" s="228"/>
      <c r="S268" s="229"/>
    </row>
    <row r="269" spans="1:19">
      <c r="A269" s="226" t="str">
        <f>InputForProCost!U272</f>
        <v>Commercial Showerhead Replacement_2_00gpm_School_ Electric Water Heating_Mail-by-Request</v>
      </c>
      <c r="B269" s="226" t="str">
        <f>InputForProCost!V272</f>
        <v>Embedded Water Energy</v>
      </c>
      <c r="C269" s="227">
        <f>InputForProCost!W272</f>
        <v>2.6120956937799051</v>
      </c>
      <c r="D269" s="227">
        <f>InputForProCost!X272</f>
        <v>10</v>
      </c>
      <c r="E269" s="227">
        <f>InputForProCost!Y272</f>
        <v>0</v>
      </c>
      <c r="F269" s="227">
        <f>InputForProCost!Z272</f>
        <v>0</v>
      </c>
      <c r="G269" s="227" t="str">
        <f>InputForProCost!AA272</f>
        <v>FLAT</v>
      </c>
      <c r="H269" s="227">
        <f>InputForProCost!AB272</f>
        <v>0</v>
      </c>
      <c r="I269" s="227">
        <f>InputForProCost!AC272</f>
        <v>0</v>
      </c>
      <c r="J269" s="227">
        <f>InputForProCost!AD272</f>
        <v>0</v>
      </c>
      <c r="K269" s="227">
        <f>InputForProCost!AE272</f>
        <v>0</v>
      </c>
      <c r="L269" s="227">
        <f>InputForProCost!AF272</f>
        <v>0</v>
      </c>
      <c r="M269" s="227">
        <f>InputForProCost!AG272</f>
        <v>0</v>
      </c>
      <c r="N269" s="227">
        <f>InputForProCost!AH272</f>
        <v>0</v>
      </c>
      <c r="O269" s="227">
        <f>InputForProCost!AI272</f>
        <v>0</v>
      </c>
      <c r="P269" s="227" t="str">
        <f>InputForProCost!AJ272</f>
        <v>FLAT</v>
      </c>
      <c r="R269" s="228"/>
      <c r="S269" s="229"/>
    </row>
    <row r="270" spans="1:19">
      <c r="A270" s="226" t="str">
        <f>InputForProCost!U273</f>
        <v>Commercial Showerhead Replacement_2_00gpm_School_ Gas Water Heating_Mail-by-Request</v>
      </c>
      <c r="B270" s="226" t="str">
        <f>InputForProCost!V273</f>
        <v>Embedded Water Energy</v>
      </c>
      <c r="C270" s="227">
        <f>InputForProCost!W273</f>
        <v>2.6120956937799051</v>
      </c>
      <c r="D270" s="227">
        <f>InputForProCost!X273</f>
        <v>10</v>
      </c>
      <c r="E270" s="227">
        <f>InputForProCost!Y273</f>
        <v>0</v>
      </c>
      <c r="F270" s="227">
        <f>InputForProCost!Z273</f>
        <v>0</v>
      </c>
      <c r="G270" s="227" t="str">
        <f>InputForProCost!AA273</f>
        <v>FLAT</v>
      </c>
      <c r="H270" s="227">
        <f>InputForProCost!AB273</f>
        <v>0</v>
      </c>
      <c r="I270" s="227">
        <f>InputForProCost!AC273</f>
        <v>0</v>
      </c>
      <c r="J270" s="227">
        <f>InputForProCost!AD273</f>
        <v>0</v>
      </c>
      <c r="K270" s="227">
        <f>InputForProCost!AE273</f>
        <v>0</v>
      </c>
      <c r="L270" s="227">
        <f>InputForProCost!AF273</f>
        <v>0</v>
      </c>
      <c r="M270" s="227">
        <f>InputForProCost!AG273</f>
        <v>0</v>
      </c>
      <c r="N270" s="227">
        <f>InputForProCost!AH273</f>
        <v>0</v>
      </c>
      <c r="O270" s="227">
        <f>InputForProCost!AI273</f>
        <v>0</v>
      </c>
      <c r="P270" s="227" t="str">
        <f>InputForProCost!AJ273</f>
        <v>FLAT</v>
      </c>
      <c r="R270" s="228"/>
      <c r="S270" s="229"/>
    </row>
    <row r="271" spans="1:19">
      <c r="A271" s="226" t="str">
        <f>InputForProCost!U274</f>
        <v>Commercial Showerhead Replacement_2_00gpm_School_ Any Water Heating_Mail-by-Request</v>
      </c>
      <c r="B271" s="226" t="str">
        <f>InputForProCost!V274</f>
        <v>Embedded Water Energy</v>
      </c>
      <c r="C271" s="227">
        <f>InputForProCost!W274</f>
        <v>2.6120956937799051</v>
      </c>
      <c r="D271" s="227">
        <f>InputForProCost!X274</f>
        <v>10</v>
      </c>
      <c r="E271" s="227">
        <f>InputForProCost!Y274</f>
        <v>0</v>
      </c>
      <c r="F271" s="227">
        <f>InputForProCost!Z274</f>
        <v>0</v>
      </c>
      <c r="G271" s="227" t="str">
        <f>InputForProCost!AA274</f>
        <v>FLAT</v>
      </c>
      <c r="H271" s="227">
        <f>InputForProCost!AB274</f>
        <v>0</v>
      </c>
      <c r="I271" s="227">
        <f>InputForProCost!AC274</f>
        <v>0</v>
      </c>
      <c r="J271" s="227">
        <f>InputForProCost!AD274</f>
        <v>0</v>
      </c>
      <c r="K271" s="227">
        <f>InputForProCost!AE274</f>
        <v>0</v>
      </c>
      <c r="L271" s="227">
        <f>InputForProCost!AF274</f>
        <v>0</v>
      </c>
      <c r="M271" s="227">
        <f>InputForProCost!AG274</f>
        <v>0</v>
      </c>
      <c r="N271" s="227">
        <f>InputForProCost!AH274</f>
        <v>0</v>
      </c>
      <c r="O271" s="227">
        <f>InputForProCost!AI274</f>
        <v>0</v>
      </c>
      <c r="P271" s="227" t="str">
        <f>InputForProCost!AJ274</f>
        <v>FLAT</v>
      </c>
      <c r="R271" s="228"/>
      <c r="S271" s="229"/>
    </row>
    <row r="272" spans="1:19">
      <c r="A272" s="226" t="str">
        <f>InputForProCost!U275</f>
        <v>Commercial Showerhead Replacement_1_75gpm_School_ Electric Water Heating_Mail-by-Request</v>
      </c>
      <c r="B272" s="226" t="str">
        <f>InputForProCost!V275</f>
        <v>Embedded Water Energy</v>
      </c>
      <c r="C272" s="227">
        <f>InputForProCost!W275</f>
        <v>2.9386076555023926</v>
      </c>
      <c r="D272" s="227">
        <f>InputForProCost!X275</f>
        <v>10</v>
      </c>
      <c r="E272" s="227">
        <f>InputForProCost!Y275</f>
        <v>0</v>
      </c>
      <c r="F272" s="227">
        <f>InputForProCost!Z275</f>
        <v>0</v>
      </c>
      <c r="G272" s="227" t="str">
        <f>InputForProCost!AA275</f>
        <v>FLAT</v>
      </c>
      <c r="H272" s="227">
        <f>InputForProCost!AB275</f>
        <v>0</v>
      </c>
      <c r="I272" s="227">
        <f>InputForProCost!AC275</f>
        <v>0</v>
      </c>
      <c r="J272" s="227">
        <f>InputForProCost!AD275</f>
        <v>0</v>
      </c>
      <c r="K272" s="227">
        <f>InputForProCost!AE275</f>
        <v>0</v>
      </c>
      <c r="L272" s="227">
        <f>InputForProCost!AF275</f>
        <v>0</v>
      </c>
      <c r="M272" s="227">
        <f>InputForProCost!AG275</f>
        <v>0</v>
      </c>
      <c r="N272" s="227">
        <f>InputForProCost!AH275</f>
        <v>0</v>
      </c>
      <c r="O272" s="227">
        <f>InputForProCost!AI275</f>
        <v>0</v>
      </c>
      <c r="P272" s="227" t="str">
        <f>InputForProCost!AJ275</f>
        <v>FLAT</v>
      </c>
      <c r="R272" s="228"/>
      <c r="S272" s="229"/>
    </row>
    <row r="273" spans="1:19">
      <c r="A273" s="226" t="str">
        <f>InputForProCost!U276</f>
        <v>Commercial Showerhead Replacement_1_75gpm_School_ Gas Water Heating_Mail-by-Request</v>
      </c>
      <c r="B273" s="226" t="str">
        <f>InputForProCost!V276</f>
        <v>Embedded Water Energy</v>
      </c>
      <c r="C273" s="227">
        <f>InputForProCost!W276</f>
        <v>2.9386076555023926</v>
      </c>
      <c r="D273" s="227">
        <f>InputForProCost!X276</f>
        <v>10</v>
      </c>
      <c r="E273" s="227">
        <f>InputForProCost!Y276</f>
        <v>0</v>
      </c>
      <c r="F273" s="227">
        <f>InputForProCost!Z276</f>
        <v>0</v>
      </c>
      <c r="G273" s="227" t="str">
        <f>InputForProCost!AA276</f>
        <v>FLAT</v>
      </c>
      <c r="H273" s="227">
        <f>InputForProCost!AB276</f>
        <v>0</v>
      </c>
      <c r="I273" s="227">
        <f>InputForProCost!AC276</f>
        <v>0</v>
      </c>
      <c r="J273" s="227">
        <f>InputForProCost!AD276</f>
        <v>0</v>
      </c>
      <c r="K273" s="227">
        <f>InputForProCost!AE276</f>
        <v>0</v>
      </c>
      <c r="L273" s="227">
        <f>InputForProCost!AF276</f>
        <v>0</v>
      </c>
      <c r="M273" s="227">
        <f>InputForProCost!AG276</f>
        <v>0</v>
      </c>
      <c r="N273" s="227">
        <f>InputForProCost!AH276</f>
        <v>0</v>
      </c>
      <c r="O273" s="227">
        <f>InputForProCost!AI276</f>
        <v>0</v>
      </c>
      <c r="P273" s="227" t="str">
        <f>InputForProCost!AJ276</f>
        <v>FLAT</v>
      </c>
      <c r="R273" s="228"/>
      <c r="S273" s="229"/>
    </row>
    <row r="274" spans="1:19">
      <c r="A274" s="226" t="str">
        <f>InputForProCost!U277</f>
        <v>Commercial Showerhead Replacement_1_75gpm_School_ Any Water Heating_Mail-by-Request</v>
      </c>
      <c r="B274" s="226" t="str">
        <f>InputForProCost!V277</f>
        <v>Embedded Water Energy</v>
      </c>
      <c r="C274" s="227">
        <f>InputForProCost!W277</f>
        <v>2.9386076555023926</v>
      </c>
      <c r="D274" s="227">
        <f>InputForProCost!X277</f>
        <v>10</v>
      </c>
      <c r="E274" s="227">
        <f>InputForProCost!Y277</f>
        <v>0</v>
      </c>
      <c r="F274" s="227">
        <f>InputForProCost!Z277</f>
        <v>0</v>
      </c>
      <c r="G274" s="227" t="str">
        <f>InputForProCost!AA277</f>
        <v>FLAT</v>
      </c>
      <c r="H274" s="227">
        <f>InputForProCost!AB277</f>
        <v>0</v>
      </c>
      <c r="I274" s="227">
        <f>InputForProCost!AC277</f>
        <v>0</v>
      </c>
      <c r="J274" s="227">
        <f>InputForProCost!AD277</f>
        <v>0</v>
      </c>
      <c r="K274" s="227">
        <f>InputForProCost!AE277</f>
        <v>0</v>
      </c>
      <c r="L274" s="227">
        <f>InputForProCost!AF277</f>
        <v>0</v>
      </c>
      <c r="M274" s="227">
        <f>InputForProCost!AG277</f>
        <v>0</v>
      </c>
      <c r="N274" s="227">
        <f>InputForProCost!AH277</f>
        <v>0</v>
      </c>
      <c r="O274" s="227">
        <f>InputForProCost!AI277</f>
        <v>0</v>
      </c>
      <c r="P274" s="227" t="str">
        <f>InputForProCost!AJ277</f>
        <v>FLAT</v>
      </c>
      <c r="R274" s="228"/>
      <c r="S274" s="229"/>
    </row>
    <row r="275" spans="1:19">
      <c r="A275" s="226" t="str">
        <f>InputForProCost!U278</f>
        <v>Commercial Showerhead Replacement_1_50gpm_School_ Electric Water Heating_Mail-by-Request</v>
      </c>
      <c r="B275" s="226" t="str">
        <f>InputForProCost!V278</f>
        <v>Embedded Water Energy</v>
      </c>
      <c r="C275" s="227">
        <f>InputForProCost!W278</f>
        <v>4.5711674641148328</v>
      </c>
      <c r="D275" s="227">
        <f>InputForProCost!X278</f>
        <v>10</v>
      </c>
      <c r="E275" s="227">
        <f>InputForProCost!Y278</f>
        <v>0</v>
      </c>
      <c r="F275" s="227">
        <f>InputForProCost!Z278</f>
        <v>0</v>
      </c>
      <c r="G275" s="227" t="str">
        <f>InputForProCost!AA278</f>
        <v>FLAT</v>
      </c>
      <c r="H275" s="227">
        <f>InputForProCost!AB278</f>
        <v>0</v>
      </c>
      <c r="I275" s="227">
        <f>InputForProCost!AC278</f>
        <v>0</v>
      </c>
      <c r="J275" s="227">
        <f>InputForProCost!AD278</f>
        <v>0</v>
      </c>
      <c r="K275" s="227">
        <f>InputForProCost!AE278</f>
        <v>0</v>
      </c>
      <c r="L275" s="227">
        <f>InputForProCost!AF278</f>
        <v>0</v>
      </c>
      <c r="M275" s="227">
        <f>InputForProCost!AG278</f>
        <v>0</v>
      </c>
      <c r="N275" s="227">
        <f>InputForProCost!AH278</f>
        <v>0</v>
      </c>
      <c r="O275" s="227">
        <f>InputForProCost!AI278</f>
        <v>0</v>
      </c>
      <c r="P275" s="227" t="str">
        <f>InputForProCost!AJ278</f>
        <v>FLAT</v>
      </c>
      <c r="R275" s="228"/>
      <c r="S275" s="229"/>
    </row>
    <row r="276" spans="1:19">
      <c r="A276" s="226" t="str">
        <f>InputForProCost!U279</f>
        <v>Commercial Showerhead Replacement_1_50gpm_School_ Gas Water Heating_Mail-by-Request</v>
      </c>
      <c r="B276" s="226" t="str">
        <f>InputForProCost!V279</f>
        <v>Embedded Water Energy</v>
      </c>
      <c r="C276" s="227">
        <f>InputForProCost!W279</f>
        <v>4.5711674641148328</v>
      </c>
      <c r="D276" s="227">
        <f>InputForProCost!X279</f>
        <v>10</v>
      </c>
      <c r="E276" s="227">
        <f>InputForProCost!Y279</f>
        <v>0</v>
      </c>
      <c r="F276" s="227">
        <f>InputForProCost!Z279</f>
        <v>0</v>
      </c>
      <c r="G276" s="227" t="str">
        <f>InputForProCost!AA279</f>
        <v>FLAT</v>
      </c>
      <c r="H276" s="227">
        <f>InputForProCost!AB279</f>
        <v>0</v>
      </c>
      <c r="I276" s="227">
        <f>InputForProCost!AC279</f>
        <v>0</v>
      </c>
      <c r="J276" s="227">
        <f>InputForProCost!AD279</f>
        <v>0</v>
      </c>
      <c r="K276" s="227">
        <f>InputForProCost!AE279</f>
        <v>0</v>
      </c>
      <c r="L276" s="227">
        <f>InputForProCost!AF279</f>
        <v>0</v>
      </c>
      <c r="M276" s="227">
        <f>InputForProCost!AG279</f>
        <v>0</v>
      </c>
      <c r="N276" s="227">
        <f>InputForProCost!AH279</f>
        <v>0</v>
      </c>
      <c r="O276" s="227">
        <f>InputForProCost!AI279</f>
        <v>0</v>
      </c>
      <c r="P276" s="227" t="str">
        <f>InputForProCost!AJ279</f>
        <v>FLAT</v>
      </c>
      <c r="R276" s="228"/>
      <c r="S276" s="229"/>
    </row>
    <row r="277" spans="1:19">
      <c r="A277" s="226" t="str">
        <f>InputForProCost!U280</f>
        <v>Commercial Showerhead Replacement_1_50gpm_School_ Any Water Heating_Mail-by-Request</v>
      </c>
      <c r="B277" s="226" t="str">
        <f>InputForProCost!V280</f>
        <v>Embedded Water Energy</v>
      </c>
      <c r="C277" s="227">
        <f>InputForProCost!W280</f>
        <v>4.5711674641148328</v>
      </c>
      <c r="D277" s="227">
        <f>InputForProCost!X280</f>
        <v>10</v>
      </c>
      <c r="E277" s="227">
        <f>InputForProCost!Y280</f>
        <v>0</v>
      </c>
      <c r="F277" s="227">
        <f>InputForProCost!Z280</f>
        <v>0</v>
      </c>
      <c r="G277" s="227" t="str">
        <f>InputForProCost!AA280</f>
        <v>FLAT</v>
      </c>
      <c r="H277" s="227">
        <f>InputForProCost!AB280</f>
        <v>0</v>
      </c>
      <c r="I277" s="227">
        <f>InputForProCost!AC280</f>
        <v>0</v>
      </c>
      <c r="J277" s="227">
        <f>InputForProCost!AD280</f>
        <v>0</v>
      </c>
      <c r="K277" s="227">
        <f>InputForProCost!AE280</f>
        <v>0</v>
      </c>
      <c r="L277" s="227">
        <f>InputForProCost!AF280</f>
        <v>0</v>
      </c>
      <c r="M277" s="227">
        <f>InputForProCost!AG280</f>
        <v>0</v>
      </c>
      <c r="N277" s="227">
        <f>InputForProCost!AH280</f>
        <v>0</v>
      </c>
      <c r="O277" s="227">
        <f>InputForProCost!AI280</f>
        <v>0</v>
      </c>
      <c r="P277" s="227" t="str">
        <f>InputForProCost!AJ280</f>
        <v>FLAT</v>
      </c>
      <c r="R277" s="228"/>
      <c r="S277" s="229"/>
    </row>
    <row r="278" spans="1:19">
      <c r="A278" s="226" t="str">
        <f>InputForProCost!U281</f>
        <v>Commercial Showerhead Replacement_2_00gpm_Any Commercial Except Fitness Center_ Electric Water Heating_Retail</v>
      </c>
      <c r="B278" s="226" t="str">
        <f>InputForProCost!V281</f>
        <v>Embedded Water Energy</v>
      </c>
      <c r="C278" s="227">
        <f>InputForProCost!W281</f>
        <v>5.1276455631010327</v>
      </c>
      <c r="D278" s="227">
        <f>InputForProCost!X281</f>
        <v>10</v>
      </c>
      <c r="E278" s="227">
        <f>InputForProCost!Y281</f>
        <v>0</v>
      </c>
      <c r="F278" s="227">
        <f>InputForProCost!Z281</f>
        <v>0</v>
      </c>
      <c r="G278" s="227" t="str">
        <f>InputForProCost!AA281</f>
        <v>FLAT</v>
      </c>
      <c r="H278" s="227">
        <f>InputForProCost!AB281</f>
        <v>0</v>
      </c>
      <c r="I278" s="227">
        <f>InputForProCost!AC281</f>
        <v>0</v>
      </c>
      <c r="J278" s="227">
        <f>InputForProCost!AD281</f>
        <v>0</v>
      </c>
      <c r="K278" s="227">
        <f>InputForProCost!AE281</f>
        <v>0</v>
      </c>
      <c r="L278" s="227">
        <f>InputForProCost!AF281</f>
        <v>0</v>
      </c>
      <c r="M278" s="227">
        <f>InputForProCost!AG281</f>
        <v>0</v>
      </c>
      <c r="N278" s="227">
        <f>InputForProCost!AH281</f>
        <v>0</v>
      </c>
      <c r="O278" s="227">
        <f>InputForProCost!AI281</f>
        <v>0</v>
      </c>
      <c r="P278" s="227" t="str">
        <f>InputForProCost!AJ281</f>
        <v>FLAT</v>
      </c>
      <c r="R278" s="228"/>
      <c r="S278" s="229"/>
    </row>
    <row r="279" spans="1:19">
      <c r="A279" s="226" t="str">
        <f>InputForProCost!U282</f>
        <v>Commercial Showerhead Replacement_2_00gpm_Any Commercial Except Fitness Center_ Gas Water Heating_Retail</v>
      </c>
      <c r="B279" s="226" t="str">
        <f>InputForProCost!V282</f>
        <v>Embedded Water Energy</v>
      </c>
      <c r="C279" s="227">
        <f>InputForProCost!W282</f>
        <v>5.1276455631010327</v>
      </c>
      <c r="D279" s="227">
        <f>InputForProCost!X282</f>
        <v>10</v>
      </c>
      <c r="E279" s="227">
        <f>InputForProCost!Y282</f>
        <v>0</v>
      </c>
      <c r="F279" s="227">
        <f>InputForProCost!Z282</f>
        <v>0</v>
      </c>
      <c r="G279" s="227" t="str">
        <f>InputForProCost!AA282</f>
        <v>FLAT</v>
      </c>
      <c r="H279" s="227">
        <f>InputForProCost!AB282</f>
        <v>0</v>
      </c>
      <c r="I279" s="227">
        <f>InputForProCost!AC282</f>
        <v>0</v>
      </c>
      <c r="J279" s="227">
        <f>InputForProCost!AD282</f>
        <v>0</v>
      </c>
      <c r="K279" s="227">
        <f>InputForProCost!AE282</f>
        <v>0</v>
      </c>
      <c r="L279" s="227">
        <f>InputForProCost!AF282</f>
        <v>0</v>
      </c>
      <c r="M279" s="227">
        <f>InputForProCost!AG282</f>
        <v>0</v>
      </c>
      <c r="N279" s="227">
        <f>InputForProCost!AH282</f>
        <v>0</v>
      </c>
      <c r="O279" s="227">
        <f>InputForProCost!AI282</f>
        <v>0</v>
      </c>
      <c r="P279" s="227" t="str">
        <f>InputForProCost!AJ282</f>
        <v>FLAT</v>
      </c>
      <c r="R279" s="228"/>
      <c r="S279" s="229"/>
    </row>
    <row r="280" spans="1:19">
      <c r="A280" s="226" t="str">
        <f>InputForProCost!U283</f>
        <v>Commercial Showerhead Replacement_2_00gpm_Any Commercial Except Fitness Center_ Any Water Heating_Retail</v>
      </c>
      <c r="B280" s="226" t="str">
        <f>InputForProCost!V283</f>
        <v>Embedded Water Energy</v>
      </c>
      <c r="C280" s="227">
        <f>InputForProCost!W283</f>
        <v>5.1276455631010327</v>
      </c>
      <c r="D280" s="227">
        <f>InputForProCost!X283</f>
        <v>10</v>
      </c>
      <c r="E280" s="227">
        <f>InputForProCost!Y283</f>
        <v>0</v>
      </c>
      <c r="F280" s="227">
        <f>InputForProCost!Z283</f>
        <v>0</v>
      </c>
      <c r="G280" s="227" t="str">
        <f>InputForProCost!AA283</f>
        <v>FLAT</v>
      </c>
      <c r="H280" s="227">
        <f>InputForProCost!AB283</f>
        <v>0</v>
      </c>
      <c r="I280" s="227">
        <f>InputForProCost!AC283</f>
        <v>0</v>
      </c>
      <c r="J280" s="227">
        <f>InputForProCost!AD283</f>
        <v>0</v>
      </c>
      <c r="K280" s="227">
        <f>InputForProCost!AE283</f>
        <v>0</v>
      </c>
      <c r="L280" s="227">
        <f>InputForProCost!AF283</f>
        <v>0</v>
      </c>
      <c r="M280" s="227">
        <f>InputForProCost!AG283</f>
        <v>0</v>
      </c>
      <c r="N280" s="227">
        <f>InputForProCost!AH283</f>
        <v>0</v>
      </c>
      <c r="O280" s="227">
        <f>InputForProCost!AI283</f>
        <v>0</v>
      </c>
      <c r="P280" s="227" t="str">
        <f>InputForProCost!AJ283</f>
        <v>FLAT</v>
      </c>
      <c r="R280" s="228"/>
      <c r="S280" s="229"/>
    </row>
    <row r="281" spans="1:19">
      <c r="A281" s="226" t="str">
        <f>InputForProCost!U284</f>
        <v>Commercial Showerhead Replacement_1_75gpm_Any Commercial Except Fitness Center_ Electric Water Heating_Retail</v>
      </c>
      <c r="B281" s="226" t="str">
        <f>InputForProCost!V284</f>
        <v>Embedded Water Energy</v>
      </c>
      <c r="C281" s="227">
        <f>InputForProCost!W284</f>
        <v>5.4080636798331234</v>
      </c>
      <c r="D281" s="227">
        <f>InputForProCost!X284</f>
        <v>10</v>
      </c>
      <c r="E281" s="227">
        <f>InputForProCost!Y284</f>
        <v>0</v>
      </c>
      <c r="F281" s="227">
        <f>InputForProCost!Z284</f>
        <v>0</v>
      </c>
      <c r="G281" s="227" t="str">
        <f>InputForProCost!AA284</f>
        <v>FLAT</v>
      </c>
      <c r="H281" s="227">
        <f>InputForProCost!AB284</f>
        <v>0</v>
      </c>
      <c r="I281" s="227">
        <f>InputForProCost!AC284</f>
        <v>0</v>
      </c>
      <c r="J281" s="227">
        <f>InputForProCost!AD284</f>
        <v>0</v>
      </c>
      <c r="K281" s="227">
        <f>InputForProCost!AE284</f>
        <v>0</v>
      </c>
      <c r="L281" s="227">
        <f>InputForProCost!AF284</f>
        <v>0</v>
      </c>
      <c r="M281" s="227">
        <f>InputForProCost!AG284</f>
        <v>0</v>
      </c>
      <c r="N281" s="227">
        <f>InputForProCost!AH284</f>
        <v>0</v>
      </c>
      <c r="O281" s="227">
        <f>InputForProCost!AI284</f>
        <v>0</v>
      </c>
      <c r="P281" s="227" t="str">
        <f>InputForProCost!AJ284</f>
        <v>FLAT</v>
      </c>
      <c r="R281" s="228"/>
      <c r="S281" s="229"/>
    </row>
    <row r="282" spans="1:19">
      <c r="A282" s="226" t="str">
        <f>InputForProCost!U285</f>
        <v>Commercial Showerhead Replacement_1_75gpm_Any Commercial Except Fitness Center_ Gas Water Heating_Retail</v>
      </c>
      <c r="B282" s="226" t="str">
        <f>InputForProCost!V285</f>
        <v>Embedded Water Energy</v>
      </c>
      <c r="C282" s="227">
        <f>InputForProCost!W285</f>
        <v>5.4080636798331234</v>
      </c>
      <c r="D282" s="227">
        <f>InputForProCost!X285</f>
        <v>10</v>
      </c>
      <c r="E282" s="227">
        <f>InputForProCost!Y285</f>
        <v>0</v>
      </c>
      <c r="F282" s="227">
        <f>InputForProCost!Z285</f>
        <v>0</v>
      </c>
      <c r="G282" s="227" t="str">
        <f>InputForProCost!AA285</f>
        <v>FLAT</v>
      </c>
      <c r="H282" s="227">
        <f>InputForProCost!AB285</f>
        <v>0</v>
      </c>
      <c r="I282" s="227">
        <f>InputForProCost!AC285</f>
        <v>0</v>
      </c>
      <c r="J282" s="227">
        <f>InputForProCost!AD285</f>
        <v>0</v>
      </c>
      <c r="K282" s="227">
        <f>InputForProCost!AE285</f>
        <v>0</v>
      </c>
      <c r="L282" s="227">
        <f>InputForProCost!AF285</f>
        <v>0</v>
      </c>
      <c r="M282" s="227">
        <f>InputForProCost!AG285</f>
        <v>0</v>
      </c>
      <c r="N282" s="227">
        <f>InputForProCost!AH285</f>
        <v>0</v>
      </c>
      <c r="O282" s="227">
        <f>InputForProCost!AI285</f>
        <v>0</v>
      </c>
      <c r="P282" s="227" t="str">
        <f>InputForProCost!AJ285</f>
        <v>FLAT</v>
      </c>
      <c r="R282" s="228"/>
      <c r="S282" s="229"/>
    </row>
    <row r="283" spans="1:19">
      <c r="A283" s="226" t="str">
        <f>InputForProCost!U286</f>
        <v>Commercial Showerhead Replacement_1_75gpm_Any Commercial Except Fitness Center_ Any Water Heating_Retail</v>
      </c>
      <c r="B283" s="226" t="str">
        <f>InputForProCost!V286</f>
        <v>Embedded Water Energy</v>
      </c>
      <c r="C283" s="227">
        <f>InputForProCost!W286</f>
        <v>5.4080636798331234</v>
      </c>
      <c r="D283" s="227">
        <f>InputForProCost!X286</f>
        <v>10</v>
      </c>
      <c r="E283" s="227">
        <f>InputForProCost!Y286</f>
        <v>0</v>
      </c>
      <c r="F283" s="227">
        <f>InputForProCost!Z286</f>
        <v>0</v>
      </c>
      <c r="G283" s="227" t="str">
        <f>InputForProCost!AA286</f>
        <v>FLAT</v>
      </c>
      <c r="H283" s="227">
        <f>InputForProCost!AB286</f>
        <v>0</v>
      </c>
      <c r="I283" s="227">
        <f>InputForProCost!AC286</f>
        <v>0</v>
      </c>
      <c r="J283" s="227">
        <f>InputForProCost!AD286</f>
        <v>0</v>
      </c>
      <c r="K283" s="227">
        <f>InputForProCost!AE286</f>
        <v>0</v>
      </c>
      <c r="L283" s="227">
        <f>InputForProCost!AF286</f>
        <v>0</v>
      </c>
      <c r="M283" s="227">
        <f>InputForProCost!AG286</f>
        <v>0</v>
      </c>
      <c r="N283" s="227">
        <f>InputForProCost!AH286</f>
        <v>0</v>
      </c>
      <c r="O283" s="227">
        <f>InputForProCost!AI286</f>
        <v>0</v>
      </c>
      <c r="P283" s="227" t="str">
        <f>InputForProCost!AJ286</f>
        <v>FLAT</v>
      </c>
      <c r="R283" s="228"/>
      <c r="S283" s="229"/>
    </row>
    <row r="284" spans="1:19">
      <c r="A284" s="226" t="str">
        <f>InputForProCost!U287</f>
        <v>Commercial Showerhead Replacement_1_50gpm_Any Commercial Except Fitness Center_ Electric Water Heating_Retail</v>
      </c>
      <c r="B284" s="226" t="str">
        <f>InputForProCost!V287</f>
        <v>Embedded Water Energy</v>
      </c>
      <c r="C284" s="227">
        <f>InputForProCost!W287</f>
        <v>7.8517072684984566</v>
      </c>
      <c r="D284" s="227">
        <f>InputForProCost!X287</f>
        <v>10</v>
      </c>
      <c r="E284" s="227">
        <f>InputForProCost!Y287</f>
        <v>0</v>
      </c>
      <c r="F284" s="227">
        <f>InputForProCost!Z287</f>
        <v>0</v>
      </c>
      <c r="G284" s="227" t="str">
        <f>InputForProCost!AA287</f>
        <v>FLAT</v>
      </c>
      <c r="H284" s="227">
        <f>InputForProCost!AB287</f>
        <v>0</v>
      </c>
      <c r="I284" s="227">
        <f>InputForProCost!AC287</f>
        <v>0</v>
      </c>
      <c r="J284" s="227">
        <f>InputForProCost!AD287</f>
        <v>0</v>
      </c>
      <c r="K284" s="227">
        <f>InputForProCost!AE287</f>
        <v>0</v>
      </c>
      <c r="L284" s="227">
        <f>InputForProCost!AF287</f>
        <v>0</v>
      </c>
      <c r="M284" s="227">
        <f>InputForProCost!AG287</f>
        <v>0</v>
      </c>
      <c r="N284" s="227">
        <f>InputForProCost!AH287</f>
        <v>0</v>
      </c>
      <c r="O284" s="227">
        <f>InputForProCost!AI287</f>
        <v>0</v>
      </c>
      <c r="P284" s="227" t="str">
        <f>InputForProCost!AJ287</f>
        <v>FLAT</v>
      </c>
      <c r="R284" s="228"/>
      <c r="S284" s="229"/>
    </row>
    <row r="285" spans="1:19">
      <c r="A285" s="226" t="str">
        <f>InputForProCost!U288</f>
        <v>Commercial Showerhead Replacement_1_50gpm_Any Commercial Except Fitness Center_ Gas Water Heating_Retail</v>
      </c>
      <c r="B285" s="226" t="str">
        <f>InputForProCost!V288</f>
        <v>Embedded Water Energy</v>
      </c>
      <c r="C285" s="227">
        <f>InputForProCost!W288</f>
        <v>7.8517072684984566</v>
      </c>
      <c r="D285" s="227">
        <f>InputForProCost!X288</f>
        <v>10</v>
      </c>
      <c r="E285" s="227">
        <f>InputForProCost!Y288</f>
        <v>0</v>
      </c>
      <c r="F285" s="227">
        <f>InputForProCost!Z288</f>
        <v>0</v>
      </c>
      <c r="G285" s="227" t="str">
        <f>InputForProCost!AA288</f>
        <v>FLAT</v>
      </c>
      <c r="H285" s="227">
        <f>InputForProCost!AB288</f>
        <v>0</v>
      </c>
      <c r="I285" s="227">
        <f>InputForProCost!AC288</f>
        <v>0</v>
      </c>
      <c r="J285" s="227">
        <f>InputForProCost!AD288</f>
        <v>0</v>
      </c>
      <c r="K285" s="227">
        <f>InputForProCost!AE288</f>
        <v>0</v>
      </c>
      <c r="L285" s="227">
        <f>InputForProCost!AF288</f>
        <v>0</v>
      </c>
      <c r="M285" s="227">
        <f>InputForProCost!AG288</f>
        <v>0</v>
      </c>
      <c r="N285" s="227">
        <f>InputForProCost!AH288</f>
        <v>0</v>
      </c>
      <c r="O285" s="227">
        <f>InputForProCost!AI288</f>
        <v>0</v>
      </c>
      <c r="P285" s="227" t="str">
        <f>InputForProCost!AJ288</f>
        <v>FLAT</v>
      </c>
      <c r="R285" s="228"/>
      <c r="S285" s="229"/>
    </row>
    <row r="286" spans="1:19">
      <c r="A286" s="226" t="str">
        <f>InputForProCost!U289</f>
        <v>Commercial Showerhead Replacement_1_50gpm_Any Commercial Except Fitness Center_ Any Water Heating_Retail</v>
      </c>
      <c r="B286" s="226" t="str">
        <f>InputForProCost!V289</f>
        <v>Embedded Water Energy</v>
      </c>
      <c r="C286" s="227">
        <f>InputForProCost!W289</f>
        <v>7.8517072684984566</v>
      </c>
      <c r="D286" s="227">
        <f>InputForProCost!X289</f>
        <v>10</v>
      </c>
      <c r="E286" s="227">
        <f>InputForProCost!Y289</f>
        <v>0</v>
      </c>
      <c r="F286" s="227">
        <f>InputForProCost!Z289</f>
        <v>0</v>
      </c>
      <c r="G286" s="227" t="str">
        <f>InputForProCost!AA289</f>
        <v>FLAT</v>
      </c>
      <c r="H286" s="227">
        <f>InputForProCost!AB289</f>
        <v>0</v>
      </c>
      <c r="I286" s="227">
        <f>InputForProCost!AC289</f>
        <v>0</v>
      </c>
      <c r="J286" s="227">
        <f>InputForProCost!AD289</f>
        <v>0</v>
      </c>
      <c r="K286" s="227">
        <f>InputForProCost!AE289</f>
        <v>0</v>
      </c>
      <c r="L286" s="227">
        <f>InputForProCost!AF289</f>
        <v>0</v>
      </c>
      <c r="M286" s="227">
        <f>InputForProCost!AG289</f>
        <v>0</v>
      </c>
      <c r="N286" s="227">
        <f>InputForProCost!AH289</f>
        <v>0</v>
      </c>
      <c r="O286" s="227">
        <f>InputForProCost!AI289</f>
        <v>0</v>
      </c>
      <c r="P286" s="227" t="str">
        <f>InputForProCost!AJ289</f>
        <v>FLAT</v>
      </c>
      <c r="R286" s="228"/>
      <c r="S286" s="229"/>
    </row>
    <row r="287" spans="1:19">
      <c r="A287" s="226" t="str">
        <f>InputForProCost!U290</f>
        <v>Commercial Showerhead Replacement_2_00gpm_Any Commercial Except Fitness Center_ Electric Water Heating_Direct Install</v>
      </c>
      <c r="B287" s="226" t="str">
        <f>InputForProCost!V290</f>
        <v>Embedded Water Energy</v>
      </c>
      <c r="C287" s="227">
        <f>InputForProCost!W290</f>
        <v>5.768601258488661</v>
      </c>
      <c r="D287" s="227">
        <f>InputForProCost!X290</f>
        <v>10</v>
      </c>
      <c r="E287" s="227">
        <f>InputForProCost!Y290</f>
        <v>0</v>
      </c>
      <c r="F287" s="227">
        <f>InputForProCost!Z290</f>
        <v>0</v>
      </c>
      <c r="G287" s="227" t="str">
        <f>InputForProCost!AA290</f>
        <v>FLAT</v>
      </c>
      <c r="H287" s="227">
        <f>InputForProCost!AB290</f>
        <v>0</v>
      </c>
      <c r="I287" s="227">
        <f>InputForProCost!AC290</f>
        <v>0</v>
      </c>
      <c r="J287" s="227">
        <f>InputForProCost!AD290</f>
        <v>0</v>
      </c>
      <c r="K287" s="227">
        <f>InputForProCost!AE290</f>
        <v>0</v>
      </c>
      <c r="L287" s="227">
        <f>InputForProCost!AF290</f>
        <v>0</v>
      </c>
      <c r="M287" s="227">
        <f>InputForProCost!AG290</f>
        <v>0</v>
      </c>
      <c r="N287" s="227">
        <f>InputForProCost!AH290</f>
        <v>0</v>
      </c>
      <c r="O287" s="227">
        <f>InputForProCost!AI290</f>
        <v>0</v>
      </c>
      <c r="P287" s="227" t="str">
        <f>InputForProCost!AJ290</f>
        <v>FLAT</v>
      </c>
      <c r="R287" s="228"/>
      <c r="S287" s="229"/>
    </row>
    <row r="288" spans="1:19">
      <c r="A288" s="226" t="str">
        <f>InputForProCost!U291</f>
        <v>Commercial Showerhead Replacement_2_00gpm_Any Commercial Except Fitness Center_ Gas Water Heating_Direct Install</v>
      </c>
      <c r="B288" s="226" t="str">
        <f>InputForProCost!V291</f>
        <v>Embedded Water Energy</v>
      </c>
      <c r="C288" s="227">
        <f>InputForProCost!W291</f>
        <v>5.768601258488661</v>
      </c>
      <c r="D288" s="227">
        <f>InputForProCost!X291</f>
        <v>10</v>
      </c>
      <c r="E288" s="227">
        <f>InputForProCost!Y291</f>
        <v>0</v>
      </c>
      <c r="F288" s="227">
        <f>InputForProCost!Z291</f>
        <v>0</v>
      </c>
      <c r="G288" s="227" t="str">
        <f>InputForProCost!AA291</f>
        <v>FLAT</v>
      </c>
      <c r="H288" s="227">
        <f>InputForProCost!AB291</f>
        <v>0</v>
      </c>
      <c r="I288" s="227">
        <f>InputForProCost!AC291</f>
        <v>0</v>
      </c>
      <c r="J288" s="227">
        <f>InputForProCost!AD291</f>
        <v>0</v>
      </c>
      <c r="K288" s="227">
        <f>InputForProCost!AE291</f>
        <v>0</v>
      </c>
      <c r="L288" s="227">
        <f>InputForProCost!AF291</f>
        <v>0</v>
      </c>
      <c r="M288" s="227">
        <f>InputForProCost!AG291</f>
        <v>0</v>
      </c>
      <c r="N288" s="227">
        <f>InputForProCost!AH291</f>
        <v>0</v>
      </c>
      <c r="O288" s="227">
        <f>InputForProCost!AI291</f>
        <v>0</v>
      </c>
      <c r="P288" s="227" t="str">
        <f>InputForProCost!AJ291</f>
        <v>FLAT</v>
      </c>
      <c r="R288" s="228"/>
      <c r="S288" s="229"/>
    </row>
    <row r="289" spans="1:19">
      <c r="A289" s="226" t="str">
        <f>InputForProCost!U292</f>
        <v>Commercial Showerhead Replacement_2_00gpm_Any Commercial Except Fitness Center_ Any Water Heating_Direct Install</v>
      </c>
      <c r="B289" s="226" t="str">
        <f>InputForProCost!V292</f>
        <v>Embedded Water Energy</v>
      </c>
      <c r="C289" s="227">
        <f>InputForProCost!W292</f>
        <v>5.768601258488661</v>
      </c>
      <c r="D289" s="227">
        <f>InputForProCost!X292</f>
        <v>10</v>
      </c>
      <c r="E289" s="227">
        <f>InputForProCost!Y292</f>
        <v>0</v>
      </c>
      <c r="F289" s="227">
        <f>InputForProCost!Z292</f>
        <v>0</v>
      </c>
      <c r="G289" s="227" t="str">
        <f>InputForProCost!AA292</f>
        <v>FLAT</v>
      </c>
      <c r="H289" s="227">
        <f>InputForProCost!AB292</f>
        <v>0</v>
      </c>
      <c r="I289" s="227">
        <f>InputForProCost!AC292</f>
        <v>0</v>
      </c>
      <c r="J289" s="227">
        <f>InputForProCost!AD292</f>
        <v>0</v>
      </c>
      <c r="K289" s="227">
        <f>InputForProCost!AE292</f>
        <v>0</v>
      </c>
      <c r="L289" s="227">
        <f>InputForProCost!AF292</f>
        <v>0</v>
      </c>
      <c r="M289" s="227">
        <f>InputForProCost!AG292</f>
        <v>0</v>
      </c>
      <c r="N289" s="227">
        <f>InputForProCost!AH292</f>
        <v>0</v>
      </c>
      <c r="O289" s="227">
        <f>InputForProCost!AI292</f>
        <v>0</v>
      </c>
      <c r="P289" s="227" t="str">
        <f>InputForProCost!AJ292</f>
        <v>FLAT</v>
      </c>
      <c r="R289" s="228"/>
      <c r="S289" s="229"/>
    </row>
    <row r="290" spans="1:19">
      <c r="A290" s="226" t="str">
        <f>InputForProCost!U293</f>
        <v>Commercial Showerhead Replacement_1_75gpm_Any Commercial Except Fitness Center_ Electric Water Heating_Direct Install</v>
      </c>
      <c r="B290" s="226" t="str">
        <f>InputForProCost!V293</f>
        <v>Embedded Water Energy</v>
      </c>
      <c r="C290" s="227">
        <f>InputForProCost!W293</f>
        <v>6.4896764157997477</v>
      </c>
      <c r="D290" s="227">
        <f>InputForProCost!X293</f>
        <v>10</v>
      </c>
      <c r="E290" s="227">
        <f>InputForProCost!Y293</f>
        <v>0</v>
      </c>
      <c r="F290" s="227">
        <f>InputForProCost!Z293</f>
        <v>0</v>
      </c>
      <c r="G290" s="227" t="str">
        <f>InputForProCost!AA293</f>
        <v>FLAT</v>
      </c>
      <c r="H290" s="227">
        <f>InputForProCost!AB293</f>
        <v>0</v>
      </c>
      <c r="I290" s="227">
        <f>InputForProCost!AC293</f>
        <v>0</v>
      </c>
      <c r="J290" s="227">
        <f>InputForProCost!AD293</f>
        <v>0</v>
      </c>
      <c r="K290" s="227">
        <f>InputForProCost!AE293</f>
        <v>0</v>
      </c>
      <c r="L290" s="227">
        <f>InputForProCost!AF293</f>
        <v>0</v>
      </c>
      <c r="M290" s="227">
        <f>InputForProCost!AG293</f>
        <v>0</v>
      </c>
      <c r="N290" s="227">
        <f>InputForProCost!AH293</f>
        <v>0</v>
      </c>
      <c r="O290" s="227">
        <f>InputForProCost!AI293</f>
        <v>0</v>
      </c>
      <c r="P290" s="227" t="str">
        <f>InputForProCost!AJ293</f>
        <v>FLAT</v>
      </c>
      <c r="R290" s="228"/>
      <c r="S290" s="229"/>
    </row>
    <row r="291" spans="1:19">
      <c r="A291" s="226" t="str">
        <f>InputForProCost!U294</f>
        <v>Commercial Showerhead Replacement_1_75gpm_Any Commercial Except Fitness Center_ Gas Water Heating_Direct Install</v>
      </c>
      <c r="B291" s="226" t="str">
        <f>InputForProCost!V294</f>
        <v>Embedded Water Energy</v>
      </c>
      <c r="C291" s="227">
        <f>InputForProCost!W294</f>
        <v>6.4896764157997477</v>
      </c>
      <c r="D291" s="227">
        <f>InputForProCost!X294</f>
        <v>10</v>
      </c>
      <c r="E291" s="227">
        <f>InputForProCost!Y294</f>
        <v>0</v>
      </c>
      <c r="F291" s="227">
        <f>InputForProCost!Z294</f>
        <v>0</v>
      </c>
      <c r="G291" s="227" t="str">
        <f>InputForProCost!AA294</f>
        <v>FLAT</v>
      </c>
      <c r="H291" s="227">
        <f>InputForProCost!AB294</f>
        <v>0</v>
      </c>
      <c r="I291" s="227">
        <f>InputForProCost!AC294</f>
        <v>0</v>
      </c>
      <c r="J291" s="227">
        <f>InputForProCost!AD294</f>
        <v>0</v>
      </c>
      <c r="K291" s="227">
        <f>InputForProCost!AE294</f>
        <v>0</v>
      </c>
      <c r="L291" s="227">
        <f>InputForProCost!AF294</f>
        <v>0</v>
      </c>
      <c r="M291" s="227">
        <f>InputForProCost!AG294</f>
        <v>0</v>
      </c>
      <c r="N291" s="227">
        <f>InputForProCost!AH294</f>
        <v>0</v>
      </c>
      <c r="O291" s="227">
        <f>InputForProCost!AI294</f>
        <v>0</v>
      </c>
      <c r="P291" s="227" t="str">
        <f>InputForProCost!AJ294</f>
        <v>FLAT</v>
      </c>
      <c r="R291" s="228"/>
      <c r="S291" s="229"/>
    </row>
    <row r="292" spans="1:19">
      <c r="A292" s="226" t="str">
        <f>InputForProCost!U295</f>
        <v>Commercial Showerhead Replacement_1_75gpm_Any Commercial Except Fitness Center_ Any Water Heating_Direct Install</v>
      </c>
      <c r="B292" s="226" t="str">
        <f>InputForProCost!V295</f>
        <v>Embedded Water Energy</v>
      </c>
      <c r="C292" s="227">
        <f>InputForProCost!W295</f>
        <v>6.4896764157997477</v>
      </c>
      <c r="D292" s="227">
        <f>InputForProCost!X295</f>
        <v>10</v>
      </c>
      <c r="E292" s="227">
        <f>InputForProCost!Y295</f>
        <v>0</v>
      </c>
      <c r="F292" s="227">
        <f>InputForProCost!Z295</f>
        <v>0</v>
      </c>
      <c r="G292" s="227" t="str">
        <f>InputForProCost!AA295</f>
        <v>FLAT</v>
      </c>
      <c r="H292" s="227">
        <f>InputForProCost!AB295</f>
        <v>0</v>
      </c>
      <c r="I292" s="227">
        <f>InputForProCost!AC295</f>
        <v>0</v>
      </c>
      <c r="J292" s="227">
        <f>InputForProCost!AD295</f>
        <v>0</v>
      </c>
      <c r="K292" s="227">
        <f>InputForProCost!AE295</f>
        <v>0</v>
      </c>
      <c r="L292" s="227">
        <f>InputForProCost!AF295</f>
        <v>0</v>
      </c>
      <c r="M292" s="227">
        <f>InputForProCost!AG295</f>
        <v>0</v>
      </c>
      <c r="N292" s="227">
        <f>InputForProCost!AH295</f>
        <v>0</v>
      </c>
      <c r="O292" s="227">
        <f>InputForProCost!AI295</f>
        <v>0</v>
      </c>
      <c r="P292" s="227" t="str">
        <f>InputForProCost!AJ295</f>
        <v>FLAT</v>
      </c>
      <c r="R292" s="228"/>
      <c r="S292" s="229"/>
    </row>
    <row r="293" spans="1:19">
      <c r="A293" s="226" t="str">
        <f>InputForProCost!U296</f>
        <v>Commercial Showerhead Replacement_1_50gpm_Any Commercial Except Fitness Center_ Electric Water Heating_Direct Install</v>
      </c>
      <c r="B293" s="226" t="str">
        <f>InputForProCost!V296</f>
        <v>Embedded Water Energy</v>
      </c>
      <c r="C293" s="227">
        <f>InputForProCost!W296</f>
        <v>10.095052202355159</v>
      </c>
      <c r="D293" s="227">
        <f>InputForProCost!X296</f>
        <v>10</v>
      </c>
      <c r="E293" s="227">
        <f>InputForProCost!Y296</f>
        <v>0</v>
      </c>
      <c r="F293" s="227">
        <f>InputForProCost!Z296</f>
        <v>0</v>
      </c>
      <c r="G293" s="227" t="str">
        <f>InputForProCost!AA296</f>
        <v>FLAT</v>
      </c>
      <c r="H293" s="227">
        <f>InputForProCost!AB296</f>
        <v>0</v>
      </c>
      <c r="I293" s="227">
        <f>InputForProCost!AC296</f>
        <v>0</v>
      </c>
      <c r="J293" s="227">
        <f>InputForProCost!AD296</f>
        <v>0</v>
      </c>
      <c r="K293" s="227">
        <f>InputForProCost!AE296</f>
        <v>0</v>
      </c>
      <c r="L293" s="227">
        <f>InputForProCost!AF296</f>
        <v>0</v>
      </c>
      <c r="M293" s="227">
        <f>InputForProCost!AG296</f>
        <v>0</v>
      </c>
      <c r="N293" s="227">
        <f>InputForProCost!AH296</f>
        <v>0</v>
      </c>
      <c r="O293" s="227">
        <f>InputForProCost!AI296</f>
        <v>0</v>
      </c>
      <c r="P293" s="227" t="str">
        <f>InputForProCost!AJ296</f>
        <v>FLAT</v>
      </c>
      <c r="R293" s="228"/>
      <c r="S293" s="229"/>
    </row>
    <row r="294" spans="1:19">
      <c r="A294" s="226" t="str">
        <f>InputForProCost!U297</f>
        <v>Commercial Showerhead Replacement_1_50gpm_Any Commercial Except Fitness Center_ Gas Water Heating_Direct Install</v>
      </c>
      <c r="B294" s="226" t="str">
        <f>InputForProCost!V297</f>
        <v>Embedded Water Energy</v>
      </c>
      <c r="C294" s="227">
        <f>InputForProCost!W297</f>
        <v>10.095052202355159</v>
      </c>
      <c r="D294" s="227">
        <f>InputForProCost!X297</f>
        <v>10</v>
      </c>
      <c r="E294" s="227">
        <f>InputForProCost!Y297</f>
        <v>0</v>
      </c>
      <c r="F294" s="227">
        <f>InputForProCost!Z297</f>
        <v>0</v>
      </c>
      <c r="G294" s="227" t="str">
        <f>InputForProCost!AA297</f>
        <v>FLAT</v>
      </c>
      <c r="H294" s="227">
        <f>InputForProCost!AB297</f>
        <v>0</v>
      </c>
      <c r="I294" s="227">
        <f>InputForProCost!AC297</f>
        <v>0</v>
      </c>
      <c r="J294" s="227">
        <f>InputForProCost!AD297</f>
        <v>0</v>
      </c>
      <c r="K294" s="227">
        <f>InputForProCost!AE297</f>
        <v>0</v>
      </c>
      <c r="L294" s="227">
        <f>InputForProCost!AF297</f>
        <v>0</v>
      </c>
      <c r="M294" s="227">
        <f>InputForProCost!AG297</f>
        <v>0</v>
      </c>
      <c r="N294" s="227">
        <f>InputForProCost!AH297</f>
        <v>0</v>
      </c>
      <c r="O294" s="227">
        <f>InputForProCost!AI297</f>
        <v>0</v>
      </c>
      <c r="P294" s="227" t="str">
        <f>InputForProCost!AJ297</f>
        <v>FLAT</v>
      </c>
      <c r="R294" s="228"/>
      <c r="S294" s="229"/>
    </row>
    <row r="295" spans="1:19">
      <c r="A295" s="226" t="str">
        <f>InputForProCost!U298</f>
        <v>Commercial Showerhead Replacement_1_50gpm_Any Commercial Except Fitness Center_ Any Water Heating_Direct Install</v>
      </c>
      <c r="B295" s="226" t="str">
        <f>InputForProCost!V298</f>
        <v>Embedded Water Energy</v>
      </c>
      <c r="C295" s="227">
        <f>InputForProCost!W298</f>
        <v>10.095052202355159</v>
      </c>
      <c r="D295" s="227">
        <f>InputForProCost!X298</f>
        <v>10</v>
      </c>
      <c r="E295" s="227">
        <f>InputForProCost!Y298</f>
        <v>0</v>
      </c>
      <c r="F295" s="227">
        <f>InputForProCost!Z298</f>
        <v>0</v>
      </c>
      <c r="G295" s="227" t="str">
        <f>InputForProCost!AA298</f>
        <v>FLAT</v>
      </c>
      <c r="H295" s="227">
        <f>InputForProCost!AB298</f>
        <v>0</v>
      </c>
      <c r="I295" s="227">
        <f>InputForProCost!AC298</f>
        <v>0</v>
      </c>
      <c r="J295" s="227">
        <f>InputForProCost!AD298</f>
        <v>0</v>
      </c>
      <c r="K295" s="227">
        <f>InputForProCost!AE298</f>
        <v>0</v>
      </c>
      <c r="L295" s="227">
        <f>InputForProCost!AF298</f>
        <v>0</v>
      </c>
      <c r="M295" s="227">
        <f>InputForProCost!AG298</f>
        <v>0</v>
      </c>
      <c r="N295" s="227">
        <f>InputForProCost!AH298</f>
        <v>0</v>
      </c>
      <c r="O295" s="227">
        <f>InputForProCost!AI298</f>
        <v>0</v>
      </c>
      <c r="P295" s="227" t="str">
        <f>InputForProCost!AJ298</f>
        <v>FLAT</v>
      </c>
      <c r="R295" s="228"/>
      <c r="S295" s="229"/>
    </row>
    <row r="296" spans="1:19">
      <c r="A296" s="226" t="str">
        <f>InputForProCost!U299</f>
        <v>Commercial Showerhead Replacement_2_00gpm_Any Commercial Except Fitness Center_ Electric Water Heating_Mail-by-Request</v>
      </c>
      <c r="B296" s="226" t="str">
        <f>InputForProCost!V299</f>
        <v>Embedded Water Energy</v>
      </c>
      <c r="C296" s="227">
        <f>InputForProCost!W299</f>
        <v>3.8457341723257739</v>
      </c>
      <c r="D296" s="227">
        <f>InputForProCost!X299</f>
        <v>10</v>
      </c>
      <c r="E296" s="227">
        <f>InputForProCost!Y299</f>
        <v>0</v>
      </c>
      <c r="F296" s="227">
        <f>InputForProCost!Z299</f>
        <v>0</v>
      </c>
      <c r="G296" s="227" t="str">
        <f>InputForProCost!AA299</f>
        <v>FLAT</v>
      </c>
      <c r="H296" s="227">
        <f>InputForProCost!AB299</f>
        <v>0</v>
      </c>
      <c r="I296" s="227">
        <f>InputForProCost!AC299</f>
        <v>0</v>
      </c>
      <c r="J296" s="227">
        <f>InputForProCost!AD299</f>
        <v>0</v>
      </c>
      <c r="K296" s="227">
        <f>InputForProCost!AE299</f>
        <v>0</v>
      </c>
      <c r="L296" s="227">
        <f>InputForProCost!AF299</f>
        <v>0</v>
      </c>
      <c r="M296" s="227">
        <f>InputForProCost!AG299</f>
        <v>0</v>
      </c>
      <c r="N296" s="227">
        <f>InputForProCost!AH299</f>
        <v>0</v>
      </c>
      <c r="O296" s="227">
        <f>InputForProCost!AI299</f>
        <v>0</v>
      </c>
      <c r="P296" s="227" t="str">
        <f>InputForProCost!AJ299</f>
        <v>FLAT</v>
      </c>
      <c r="R296" s="228"/>
      <c r="S296" s="229"/>
    </row>
    <row r="297" spans="1:19">
      <c r="A297" s="226" t="str">
        <f>InputForProCost!U300</f>
        <v>Commercial Showerhead Replacement_2_00gpm_Any Commercial Except Fitness Center_ Gas Water Heating_Mail-by-Request</v>
      </c>
      <c r="B297" s="226" t="str">
        <f>InputForProCost!V300</f>
        <v>Embedded Water Energy</v>
      </c>
      <c r="C297" s="227">
        <f>InputForProCost!W300</f>
        <v>3.8457341723257739</v>
      </c>
      <c r="D297" s="227">
        <f>InputForProCost!X300</f>
        <v>10</v>
      </c>
      <c r="E297" s="227">
        <f>InputForProCost!Y300</f>
        <v>0</v>
      </c>
      <c r="F297" s="227">
        <f>InputForProCost!Z300</f>
        <v>0</v>
      </c>
      <c r="G297" s="227" t="str">
        <f>InputForProCost!AA300</f>
        <v>FLAT</v>
      </c>
      <c r="H297" s="227">
        <f>InputForProCost!AB300</f>
        <v>0</v>
      </c>
      <c r="I297" s="227">
        <f>InputForProCost!AC300</f>
        <v>0</v>
      </c>
      <c r="J297" s="227">
        <f>InputForProCost!AD300</f>
        <v>0</v>
      </c>
      <c r="K297" s="227">
        <f>InputForProCost!AE300</f>
        <v>0</v>
      </c>
      <c r="L297" s="227">
        <f>InputForProCost!AF300</f>
        <v>0</v>
      </c>
      <c r="M297" s="227">
        <f>InputForProCost!AG300</f>
        <v>0</v>
      </c>
      <c r="N297" s="227">
        <f>InputForProCost!AH300</f>
        <v>0</v>
      </c>
      <c r="O297" s="227">
        <f>InputForProCost!AI300</f>
        <v>0</v>
      </c>
      <c r="P297" s="227" t="str">
        <f>InputForProCost!AJ300</f>
        <v>FLAT</v>
      </c>
      <c r="R297" s="228"/>
      <c r="S297" s="229"/>
    </row>
    <row r="298" spans="1:19">
      <c r="A298" s="226" t="str">
        <f>InputForProCost!U301</f>
        <v>Commercial Showerhead Replacement_2_00gpm_Any Commercial Except Fitness Center_ Any Water Heating_Mail-by-Request</v>
      </c>
      <c r="B298" s="226" t="str">
        <f>InputForProCost!V301</f>
        <v>Embedded Water Energy</v>
      </c>
      <c r="C298" s="227">
        <f>InputForProCost!W301</f>
        <v>3.8457341723257739</v>
      </c>
      <c r="D298" s="227">
        <f>InputForProCost!X301</f>
        <v>10</v>
      </c>
      <c r="E298" s="227">
        <f>InputForProCost!Y301</f>
        <v>0</v>
      </c>
      <c r="F298" s="227">
        <f>InputForProCost!Z301</f>
        <v>0</v>
      </c>
      <c r="G298" s="227" t="str">
        <f>InputForProCost!AA301</f>
        <v>FLAT</v>
      </c>
      <c r="H298" s="227">
        <f>InputForProCost!AB301</f>
        <v>0</v>
      </c>
      <c r="I298" s="227">
        <f>InputForProCost!AC301</f>
        <v>0</v>
      </c>
      <c r="J298" s="227">
        <f>InputForProCost!AD301</f>
        <v>0</v>
      </c>
      <c r="K298" s="227">
        <f>InputForProCost!AE301</f>
        <v>0</v>
      </c>
      <c r="L298" s="227">
        <f>InputForProCost!AF301</f>
        <v>0</v>
      </c>
      <c r="M298" s="227">
        <f>InputForProCost!AG301</f>
        <v>0</v>
      </c>
      <c r="N298" s="227">
        <f>InputForProCost!AH301</f>
        <v>0</v>
      </c>
      <c r="O298" s="227">
        <f>InputForProCost!AI301</f>
        <v>0</v>
      </c>
      <c r="P298" s="227" t="str">
        <f>InputForProCost!AJ301</f>
        <v>FLAT</v>
      </c>
      <c r="R298" s="228"/>
      <c r="S298" s="229"/>
    </row>
    <row r="299" spans="1:19">
      <c r="A299" s="226" t="str">
        <f>InputForProCost!U302</f>
        <v>Commercial Showerhead Replacement_1_75gpm_Any Commercial Except Fitness Center_ Electric Water Heating_Mail-by-Request</v>
      </c>
      <c r="B299" s="226" t="str">
        <f>InputForProCost!V302</f>
        <v>Embedded Water Energy</v>
      </c>
      <c r="C299" s="227">
        <f>InputForProCost!W302</f>
        <v>4.3264509438664982</v>
      </c>
      <c r="D299" s="227">
        <f>InputForProCost!X302</f>
        <v>10</v>
      </c>
      <c r="E299" s="227">
        <f>InputForProCost!Y302</f>
        <v>0</v>
      </c>
      <c r="F299" s="227">
        <f>InputForProCost!Z302</f>
        <v>0</v>
      </c>
      <c r="G299" s="227" t="str">
        <f>InputForProCost!AA302</f>
        <v>FLAT</v>
      </c>
      <c r="H299" s="227">
        <f>InputForProCost!AB302</f>
        <v>0</v>
      </c>
      <c r="I299" s="227">
        <f>InputForProCost!AC302</f>
        <v>0</v>
      </c>
      <c r="J299" s="227">
        <f>InputForProCost!AD302</f>
        <v>0</v>
      </c>
      <c r="K299" s="227">
        <f>InputForProCost!AE302</f>
        <v>0</v>
      </c>
      <c r="L299" s="227">
        <f>InputForProCost!AF302</f>
        <v>0</v>
      </c>
      <c r="M299" s="227">
        <f>InputForProCost!AG302</f>
        <v>0</v>
      </c>
      <c r="N299" s="227">
        <f>InputForProCost!AH302</f>
        <v>0</v>
      </c>
      <c r="O299" s="227">
        <f>InputForProCost!AI302</f>
        <v>0</v>
      </c>
      <c r="P299" s="227" t="str">
        <f>InputForProCost!AJ302</f>
        <v>FLAT</v>
      </c>
      <c r="R299" s="228"/>
      <c r="S299" s="229"/>
    </row>
    <row r="300" spans="1:19">
      <c r="A300" s="226" t="str">
        <f>InputForProCost!U303</f>
        <v>Commercial Showerhead Replacement_1_75gpm_Any Commercial Except Fitness Center_ Gas Water Heating_Mail-by-Request</v>
      </c>
      <c r="B300" s="226" t="str">
        <f>InputForProCost!V303</f>
        <v>Embedded Water Energy</v>
      </c>
      <c r="C300" s="227">
        <f>InputForProCost!W303</f>
        <v>4.3264509438664982</v>
      </c>
      <c r="D300" s="227">
        <f>InputForProCost!X303</f>
        <v>10</v>
      </c>
      <c r="E300" s="227">
        <f>InputForProCost!Y303</f>
        <v>0</v>
      </c>
      <c r="F300" s="227">
        <f>InputForProCost!Z303</f>
        <v>0</v>
      </c>
      <c r="G300" s="227" t="str">
        <f>InputForProCost!AA303</f>
        <v>FLAT</v>
      </c>
      <c r="H300" s="227">
        <f>InputForProCost!AB303</f>
        <v>0</v>
      </c>
      <c r="I300" s="227">
        <f>InputForProCost!AC303</f>
        <v>0</v>
      </c>
      <c r="J300" s="227">
        <f>InputForProCost!AD303</f>
        <v>0</v>
      </c>
      <c r="K300" s="227">
        <f>InputForProCost!AE303</f>
        <v>0</v>
      </c>
      <c r="L300" s="227">
        <f>InputForProCost!AF303</f>
        <v>0</v>
      </c>
      <c r="M300" s="227">
        <f>InputForProCost!AG303</f>
        <v>0</v>
      </c>
      <c r="N300" s="227">
        <f>InputForProCost!AH303</f>
        <v>0</v>
      </c>
      <c r="O300" s="227">
        <f>InputForProCost!AI303</f>
        <v>0</v>
      </c>
      <c r="P300" s="227" t="str">
        <f>InputForProCost!AJ303</f>
        <v>FLAT</v>
      </c>
      <c r="R300" s="228"/>
      <c r="S300" s="229"/>
    </row>
    <row r="301" spans="1:19">
      <c r="A301" s="226" t="str">
        <f>InputForProCost!U304</f>
        <v>Commercial Showerhead Replacement_1_75gpm_Any Commercial Except Fitness Center_ Any Water Heating_Mail-by-Request</v>
      </c>
      <c r="B301" s="226" t="str">
        <f>InputForProCost!V304</f>
        <v>Embedded Water Energy</v>
      </c>
      <c r="C301" s="227">
        <f>InputForProCost!W304</f>
        <v>4.3264509438664982</v>
      </c>
      <c r="D301" s="227">
        <f>InputForProCost!X304</f>
        <v>10</v>
      </c>
      <c r="E301" s="227">
        <f>InputForProCost!Y304</f>
        <v>0</v>
      </c>
      <c r="F301" s="227">
        <f>InputForProCost!Z304</f>
        <v>0</v>
      </c>
      <c r="G301" s="227" t="str">
        <f>InputForProCost!AA304</f>
        <v>FLAT</v>
      </c>
      <c r="H301" s="227">
        <f>InputForProCost!AB304</f>
        <v>0</v>
      </c>
      <c r="I301" s="227">
        <f>InputForProCost!AC304</f>
        <v>0</v>
      </c>
      <c r="J301" s="227">
        <f>InputForProCost!AD304</f>
        <v>0</v>
      </c>
      <c r="K301" s="227">
        <f>InputForProCost!AE304</f>
        <v>0</v>
      </c>
      <c r="L301" s="227">
        <f>InputForProCost!AF304</f>
        <v>0</v>
      </c>
      <c r="M301" s="227">
        <f>InputForProCost!AG304</f>
        <v>0</v>
      </c>
      <c r="N301" s="227">
        <f>InputForProCost!AH304</f>
        <v>0</v>
      </c>
      <c r="O301" s="227">
        <f>InputForProCost!AI304</f>
        <v>0</v>
      </c>
      <c r="P301" s="227" t="str">
        <f>InputForProCost!AJ304</f>
        <v>FLAT</v>
      </c>
      <c r="R301" s="228"/>
      <c r="S301" s="229"/>
    </row>
    <row r="302" spans="1:19">
      <c r="A302" s="226" t="str">
        <f>InputForProCost!U305</f>
        <v>Commercial Showerhead Replacement_1_50gpm_Any Commercial Except Fitness Center_ Electric Water Heating_Mail-by-Request</v>
      </c>
      <c r="B302" s="226" t="str">
        <f>InputForProCost!V305</f>
        <v>Embedded Water Energy</v>
      </c>
      <c r="C302" s="227">
        <f>InputForProCost!W305</f>
        <v>6.7300348015701053</v>
      </c>
      <c r="D302" s="227">
        <f>InputForProCost!X305</f>
        <v>10</v>
      </c>
      <c r="E302" s="227">
        <f>InputForProCost!Y305</f>
        <v>0</v>
      </c>
      <c r="F302" s="227">
        <f>InputForProCost!Z305</f>
        <v>0</v>
      </c>
      <c r="G302" s="227" t="str">
        <f>InputForProCost!AA305</f>
        <v>FLAT</v>
      </c>
      <c r="H302" s="227">
        <f>InputForProCost!AB305</f>
        <v>0</v>
      </c>
      <c r="I302" s="227">
        <f>InputForProCost!AC305</f>
        <v>0</v>
      </c>
      <c r="J302" s="227">
        <f>InputForProCost!AD305</f>
        <v>0</v>
      </c>
      <c r="K302" s="227">
        <f>InputForProCost!AE305</f>
        <v>0</v>
      </c>
      <c r="L302" s="227">
        <f>InputForProCost!AF305</f>
        <v>0</v>
      </c>
      <c r="M302" s="227">
        <f>InputForProCost!AG305</f>
        <v>0</v>
      </c>
      <c r="N302" s="227">
        <f>InputForProCost!AH305</f>
        <v>0</v>
      </c>
      <c r="O302" s="227">
        <f>InputForProCost!AI305</f>
        <v>0</v>
      </c>
      <c r="P302" s="227" t="str">
        <f>InputForProCost!AJ305</f>
        <v>FLAT</v>
      </c>
      <c r="R302" s="228"/>
      <c r="S302" s="229"/>
    </row>
    <row r="303" spans="1:19">
      <c r="A303" s="226" t="str">
        <f>InputForProCost!U306</f>
        <v>Commercial Showerhead Replacement_1_50gpm_Any Commercial Except Fitness Center_ Gas Water Heating_Mail-by-Request</v>
      </c>
      <c r="B303" s="226" t="str">
        <f>InputForProCost!V306</f>
        <v>Embedded Water Energy</v>
      </c>
      <c r="C303" s="227">
        <f>InputForProCost!W306</f>
        <v>6.7300348015701053</v>
      </c>
      <c r="D303" s="227">
        <f>InputForProCost!X306</f>
        <v>10</v>
      </c>
      <c r="E303" s="227">
        <f>InputForProCost!Y306</f>
        <v>0</v>
      </c>
      <c r="F303" s="227">
        <f>InputForProCost!Z306</f>
        <v>0</v>
      </c>
      <c r="G303" s="227" t="str">
        <f>InputForProCost!AA306</f>
        <v>FLAT</v>
      </c>
      <c r="H303" s="227">
        <f>InputForProCost!AB306</f>
        <v>0</v>
      </c>
      <c r="I303" s="227">
        <f>InputForProCost!AC306</f>
        <v>0</v>
      </c>
      <c r="J303" s="227">
        <f>InputForProCost!AD306</f>
        <v>0</v>
      </c>
      <c r="K303" s="227">
        <f>InputForProCost!AE306</f>
        <v>0</v>
      </c>
      <c r="L303" s="227">
        <f>InputForProCost!AF306</f>
        <v>0</v>
      </c>
      <c r="M303" s="227">
        <f>InputForProCost!AG306</f>
        <v>0</v>
      </c>
      <c r="N303" s="227">
        <f>InputForProCost!AH306</f>
        <v>0</v>
      </c>
      <c r="O303" s="227">
        <f>InputForProCost!AI306</f>
        <v>0</v>
      </c>
      <c r="P303" s="227" t="str">
        <f>InputForProCost!AJ306</f>
        <v>FLAT</v>
      </c>
      <c r="R303" s="228"/>
      <c r="S303" s="229"/>
    </row>
    <row r="304" spans="1:19">
      <c r="A304" s="226" t="str">
        <f>InputForProCost!U307</f>
        <v>Commercial Showerhead Replacement_1_50gpm_Any Commercial Except Fitness Center_ Any Water Heating_Mail-by-Request</v>
      </c>
      <c r="B304" s="226" t="str">
        <f>InputForProCost!V307</f>
        <v>Embedded Water Energy</v>
      </c>
      <c r="C304" s="227">
        <f>InputForProCost!W307</f>
        <v>6.7300348015701053</v>
      </c>
      <c r="D304" s="227">
        <f>InputForProCost!X307</f>
        <v>10</v>
      </c>
      <c r="E304" s="227">
        <f>InputForProCost!Y307</f>
        <v>0</v>
      </c>
      <c r="F304" s="227">
        <f>InputForProCost!Z307</f>
        <v>0</v>
      </c>
      <c r="G304" s="227" t="str">
        <f>InputForProCost!AA307</f>
        <v>FLAT</v>
      </c>
      <c r="H304" s="227">
        <f>InputForProCost!AB307</f>
        <v>0</v>
      </c>
      <c r="I304" s="227">
        <f>InputForProCost!AC307</f>
        <v>0</v>
      </c>
      <c r="J304" s="227">
        <f>InputForProCost!AD307</f>
        <v>0</v>
      </c>
      <c r="K304" s="227">
        <f>InputForProCost!AE307</f>
        <v>0</v>
      </c>
      <c r="L304" s="227">
        <f>InputForProCost!AF307</f>
        <v>0</v>
      </c>
      <c r="M304" s="227">
        <f>InputForProCost!AG307</f>
        <v>0</v>
      </c>
      <c r="N304" s="227">
        <f>InputForProCost!AH307</f>
        <v>0</v>
      </c>
      <c r="O304" s="227">
        <f>InputForProCost!AI307</f>
        <v>0</v>
      </c>
      <c r="P304" s="227" t="str">
        <f>InputForProCost!AJ307</f>
        <v>FLAT</v>
      </c>
      <c r="R304" s="228"/>
      <c r="S304" s="229"/>
    </row>
    <row r="305" spans="1:19">
      <c r="A305" s="226" t="str">
        <f>InputForProCost!U308</f>
        <v>Commercial Showerhead Replacement_2_00gpm_Fitness Center_ Electric Water Heating_Retail</v>
      </c>
      <c r="B305" s="226" t="str">
        <f>InputForProCost!V308</f>
        <v>Embedded Water Energy</v>
      </c>
      <c r="C305" s="227">
        <f>InputForProCost!W308</f>
        <v>96.30796050339346</v>
      </c>
      <c r="D305" s="227">
        <f>InputForProCost!X308</f>
        <v>10</v>
      </c>
      <c r="E305" s="227">
        <f>InputForProCost!Y308</f>
        <v>0</v>
      </c>
      <c r="F305" s="227">
        <f>InputForProCost!Z308</f>
        <v>0</v>
      </c>
      <c r="G305" s="227" t="str">
        <f>InputForProCost!AA308</f>
        <v>FLAT</v>
      </c>
      <c r="H305" s="227">
        <f>InputForProCost!AB308</f>
        <v>0</v>
      </c>
      <c r="I305" s="227">
        <f>InputForProCost!AC308</f>
        <v>0</v>
      </c>
      <c r="J305" s="227">
        <f>InputForProCost!AD308</f>
        <v>0</v>
      </c>
      <c r="K305" s="227">
        <f>InputForProCost!AE308</f>
        <v>0</v>
      </c>
      <c r="L305" s="227">
        <f>InputForProCost!AF308</f>
        <v>0</v>
      </c>
      <c r="M305" s="227">
        <f>InputForProCost!AG308</f>
        <v>0</v>
      </c>
      <c r="N305" s="227">
        <f>InputForProCost!AH308</f>
        <v>0</v>
      </c>
      <c r="O305" s="227">
        <f>InputForProCost!AI308</f>
        <v>0</v>
      </c>
      <c r="P305" s="227" t="str">
        <f>InputForProCost!AJ308</f>
        <v>FLAT</v>
      </c>
      <c r="R305" s="228"/>
      <c r="S305" s="229"/>
    </row>
    <row r="306" spans="1:19">
      <c r="A306" s="226" t="str">
        <f>InputForProCost!U309</f>
        <v>Commercial Showerhead Replacement_2_00gpm_Fitness Center_ Gas Water Heating_Retail</v>
      </c>
      <c r="B306" s="226" t="str">
        <f>InputForProCost!V309</f>
        <v>Embedded Water Energy</v>
      </c>
      <c r="C306" s="227">
        <f>InputForProCost!W309</f>
        <v>96.30796050339346</v>
      </c>
      <c r="D306" s="227">
        <f>InputForProCost!X309</f>
        <v>10</v>
      </c>
      <c r="E306" s="227">
        <f>InputForProCost!Y309</f>
        <v>0</v>
      </c>
      <c r="F306" s="227">
        <f>InputForProCost!Z309</f>
        <v>0</v>
      </c>
      <c r="G306" s="227" t="str">
        <f>InputForProCost!AA309</f>
        <v>FLAT</v>
      </c>
      <c r="H306" s="227">
        <f>InputForProCost!AB309</f>
        <v>0</v>
      </c>
      <c r="I306" s="227">
        <f>InputForProCost!AC309</f>
        <v>0</v>
      </c>
      <c r="J306" s="227">
        <f>InputForProCost!AD309</f>
        <v>0</v>
      </c>
      <c r="K306" s="227">
        <f>InputForProCost!AE309</f>
        <v>0</v>
      </c>
      <c r="L306" s="227">
        <f>InputForProCost!AF309</f>
        <v>0</v>
      </c>
      <c r="M306" s="227">
        <f>InputForProCost!AG309</f>
        <v>0</v>
      </c>
      <c r="N306" s="227">
        <f>InputForProCost!AH309</f>
        <v>0</v>
      </c>
      <c r="O306" s="227">
        <f>InputForProCost!AI309</f>
        <v>0</v>
      </c>
      <c r="P306" s="227" t="str">
        <f>InputForProCost!AJ309</f>
        <v>FLAT</v>
      </c>
      <c r="R306" s="228"/>
      <c r="S306" s="229"/>
    </row>
    <row r="307" spans="1:19">
      <c r="A307" s="226" t="str">
        <f>InputForProCost!U310</f>
        <v>Commercial Showerhead Replacement_2_00gpm_Fitness Center_ Any Water Heating_Retail</v>
      </c>
      <c r="B307" s="226" t="str">
        <f>InputForProCost!V310</f>
        <v>Embedded Water Energy</v>
      </c>
      <c r="C307" s="227">
        <f>InputForProCost!W310</f>
        <v>96.30796050339346</v>
      </c>
      <c r="D307" s="227">
        <f>InputForProCost!X310</f>
        <v>10</v>
      </c>
      <c r="E307" s="227">
        <f>InputForProCost!Y310</f>
        <v>0</v>
      </c>
      <c r="F307" s="227">
        <f>InputForProCost!Z310</f>
        <v>0</v>
      </c>
      <c r="G307" s="227" t="str">
        <f>InputForProCost!AA310</f>
        <v>FLAT</v>
      </c>
      <c r="H307" s="227">
        <f>InputForProCost!AB310</f>
        <v>0</v>
      </c>
      <c r="I307" s="227">
        <f>InputForProCost!AC310</f>
        <v>0</v>
      </c>
      <c r="J307" s="227">
        <f>InputForProCost!AD310</f>
        <v>0</v>
      </c>
      <c r="K307" s="227">
        <f>InputForProCost!AE310</f>
        <v>0</v>
      </c>
      <c r="L307" s="227">
        <f>InputForProCost!AF310</f>
        <v>0</v>
      </c>
      <c r="M307" s="227">
        <f>InputForProCost!AG310</f>
        <v>0</v>
      </c>
      <c r="N307" s="227">
        <f>InputForProCost!AH310</f>
        <v>0</v>
      </c>
      <c r="O307" s="227">
        <f>InputForProCost!AI310</f>
        <v>0</v>
      </c>
      <c r="P307" s="227" t="str">
        <f>InputForProCost!AJ310</f>
        <v>FLAT</v>
      </c>
      <c r="R307" s="228"/>
      <c r="S307" s="229"/>
    </row>
    <row r="308" spans="1:19">
      <c r="A308" s="226" t="str">
        <f>InputForProCost!U311</f>
        <v>Commercial Showerhead Replacement_1_75gpm_Fitness Center_ Electric Water Heating_Retail</v>
      </c>
      <c r="B308" s="226" t="str">
        <f>InputForProCost!V311</f>
        <v>Embedded Water Energy</v>
      </c>
      <c r="C308" s="227">
        <f>InputForProCost!W311</f>
        <v>101.57480209342276</v>
      </c>
      <c r="D308" s="227">
        <f>InputForProCost!X311</f>
        <v>10</v>
      </c>
      <c r="E308" s="227">
        <f>InputForProCost!Y311</f>
        <v>0</v>
      </c>
      <c r="F308" s="227">
        <f>InputForProCost!Z311</f>
        <v>0</v>
      </c>
      <c r="G308" s="227" t="str">
        <f>InputForProCost!AA311</f>
        <v>FLAT</v>
      </c>
      <c r="H308" s="227">
        <f>InputForProCost!AB311</f>
        <v>0</v>
      </c>
      <c r="I308" s="227">
        <f>InputForProCost!AC311</f>
        <v>0</v>
      </c>
      <c r="J308" s="227">
        <f>InputForProCost!AD311</f>
        <v>0</v>
      </c>
      <c r="K308" s="227">
        <f>InputForProCost!AE311</f>
        <v>0</v>
      </c>
      <c r="L308" s="227">
        <f>InputForProCost!AF311</f>
        <v>0</v>
      </c>
      <c r="M308" s="227">
        <f>InputForProCost!AG311</f>
        <v>0</v>
      </c>
      <c r="N308" s="227">
        <f>InputForProCost!AH311</f>
        <v>0</v>
      </c>
      <c r="O308" s="227">
        <f>InputForProCost!AI311</f>
        <v>0</v>
      </c>
      <c r="P308" s="227" t="str">
        <f>InputForProCost!AJ311</f>
        <v>FLAT</v>
      </c>
      <c r="R308" s="228"/>
      <c r="S308" s="229"/>
    </row>
    <row r="309" spans="1:19">
      <c r="A309" s="226" t="str">
        <f>InputForProCost!U312</f>
        <v>Commercial Showerhead Replacement_1_75gpm_Fitness Center_ Gas Water Heating_Retail</v>
      </c>
      <c r="B309" s="226" t="str">
        <f>InputForProCost!V312</f>
        <v>Embedded Water Energy</v>
      </c>
      <c r="C309" s="227">
        <f>InputForProCost!W312</f>
        <v>101.57480209342276</v>
      </c>
      <c r="D309" s="227">
        <f>InputForProCost!X312</f>
        <v>10</v>
      </c>
      <c r="E309" s="227">
        <f>InputForProCost!Y312</f>
        <v>0</v>
      </c>
      <c r="F309" s="227">
        <f>InputForProCost!Z312</f>
        <v>0</v>
      </c>
      <c r="G309" s="227" t="str">
        <f>InputForProCost!AA312</f>
        <v>FLAT</v>
      </c>
      <c r="H309" s="227">
        <f>InputForProCost!AB312</f>
        <v>0</v>
      </c>
      <c r="I309" s="227">
        <f>InputForProCost!AC312</f>
        <v>0</v>
      </c>
      <c r="J309" s="227">
        <f>InputForProCost!AD312</f>
        <v>0</v>
      </c>
      <c r="K309" s="227">
        <f>InputForProCost!AE312</f>
        <v>0</v>
      </c>
      <c r="L309" s="227">
        <f>InputForProCost!AF312</f>
        <v>0</v>
      </c>
      <c r="M309" s="227">
        <f>InputForProCost!AG312</f>
        <v>0</v>
      </c>
      <c r="N309" s="227">
        <f>InputForProCost!AH312</f>
        <v>0</v>
      </c>
      <c r="O309" s="227">
        <f>InputForProCost!AI312</f>
        <v>0</v>
      </c>
      <c r="P309" s="227" t="str">
        <f>InputForProCost!AJ312</f>
        <v>FLAT</v>
      </c>
      <c r="R309" s="228"/>
      <c r="S309" s="229"/>
    </row>
    <row r="310" spans="1:19">
      <c r="A310" s="226" t="str">
        <f>InputForProCost!U313</f>
        <v>Commercial Showerhead Replacement_1_75gpm_Fitness Center_ Any Water Heating_Retail</v>
      </c>
      <c r="B310" s="226" t="str">
        <f>InputForProCost!V313</f>
        <v>Embedded Water Energy</v>
      </c>
      <c r="C310" s="227">
        <f>InputForProCost!W313</f>
        <v>101.57480209342276</v>
      </c>
      <c r="D310" s="227">
        <f>InputForProCost!X313</f>
        <v>10</v>
      </c>
      <c r="E310" s="227">
        <f>InputForProCost!Y313</f>
        <v>0</v>
      </c>
      <c r="F310" s="227">
        <f>InputForProCost!Z313</f>
        <v>0</v>
      </c>
      <c r="G310" s="227" t="str">
        <f>InputForProCost!AA313</f>
        <v>FLAT</v>
      </c>
      <c r="H310" s="227">
        <f>InputForProCost!AB313</f>
        <v>0</v>
      </c>
      <c r="I310" s="227">
        <f>InputForProCost!AC313</f>
        <v>0</v>
      </c>
      <c r="J310" s="227">
        <f>InputForProCost!AD313</f>
        <v>0</v>
      </c>
      <c r="K310" s="227">
        <f>InputForProCost!AE313</f>
        <v>0</v>
      </c>
      <c r="L310" s="227">
        <f>InputForProCost!AF313</f>
        <v>0</v>
      </c>
      <c r="M310" s="227">
        <f>InputForProCost!AG313</f>
        <v>0</v>
      </c>
      <c r="N310" s="227">
        <f>InputForProCost!AH313</f>
        <v>0</v>
      </c>
      <c r="O310" s="227">
        <f>InputForProCost!AI313</f>
        <v>0</v>
      </c>
      <c r="P310" s="227" t="str">
        <f>InputForProCost!AJ313</f>
        <v>FLAT</v>
      </c>
      <c r="R310" s="228"/>
      <c r="S310" s="229"/>
    </row>
    <row r="311" spans="1:19">
      <c r="A311" s="226" t="str">
        <f>InputForProCost!U314</f>
        <v>Commercial Showerhead Replacement_1_50gpm_Fitness Center_ Electric Water Heating_Retail</v>
      </c>
      <c r="B311" s="226" t="str">
        <f>InputForProCost!V314</f>
        <v>Embedded Water Energy</v>
      </c>
      <c r="C311" s="227">
        <f>InputForProCost!W314</f>
        <v>147.47156452082115</v>
      </c>
      <c r="D311" s="227">
        <f>InputForProCost!X314</f>
        <v>10</v>
      </c>
      <c r="E311" s="227">
        <f>InputForProCost!Y314</f>
        <v>0</v>
      </c>
      <c r="F311" s="227">
        <f>InputForProCost!Z314</f>
        <v>0</v>
      </c>
      <c r="G311" s="227" t="str">
        <f>InputForProCost!AA314</f>
        <v>FLAT</v>
      </c>
      <c r="H311" s="227">
        <f>InputForProCost!AB314</f>
        <v>0</v>
      </c>
      <c r="I311" s="227">
        <f>InputForProCost!AC314</f>
        <v>0</v>
      </c>
      <c r="J311" s="227">
        <f>InputForProCost!AD314</f>
        <v>0</v>
      </c>
      <c r="K311" s="227">
        <f>InputForProCost!AE314</f>
        <v>0</v>
      </c>
      <c r="L311" s="227">
        <f>InputForProCost!AF314</f>
        <v>0</v>
      </c>
      <c r="M311" s="227">
        <f>InputForProCost!AG314</f>
        <v>0</v>
      </c>
      <c r="N311" s="227">
        <f>InputForProCost!AH314</f>
        <v>0</v>
      </c>
      <c r="O311" s="227">
        <f>InputForProCost!AI314</f>
        <v>0</v>
      </c>
      <c r="P311" s="227" t="str">
        <f>InputForProCost!AJ314</f>
        <v>FLAT</v>
      </c>
      <c r="R311" s="228"/>
      <c r="S311" s="229"/>
    </row>
    <row r="312" spans="1:19">
      <c r="A312" s="226" t="str">
        <f>InputForProCost!U315</f>
        <v>Commercial Showerhead Replacement_1_50gpm_Fitness Center_ Gas Water Heating_Retail</v>
      </c>
      <c r="B312" s="226" t="str">
        <f>InputForProCost!V315</f>
        <v>Embedded Water Energy</v>
      </c>
      <c r="C312" s="227">
        <f>InputForProCost!W315</f>
        <v>147.47156452082115</v>
      </c>
      <c r="D312" s="227">
        <f>InputForProCost!X315</f>
        <v>10</v>
      </c>
      <c r="E312" s="227">
        <f>InputForProCost!Y315</f>
        <v>0</v>
      </c>
      <c r="F312" s="227">
        <f>InputForProCost!Z315</f>
        <v>0</v>
      </c>
      <c r="G312" s="227" t="str">
        <f>InputForProCost!AA315</f>
        <v>FLAT</v>
      </c>
      <c r="H312" s="227">
        <f>InputForProCost!AB315</f>
        <v>0</v>
      </c>
      <c r="I312" s="227">
        <f>InputForProCost!AC315</f>
        <v>0</v>
      </c>
      <c r="J312" s="227">
        <f>InputForProCost!AD315</f>
        <v>0</v>
      </c>
      <c r="K312" s="227">
        <f>InputForProCost!AE315</f>
        <v>0</v>
      </c>
      <c r="L312" s="227">
        <f>InputForProCost!AF315</f>
        <v>0</v>
      </c>
      <c r="M312" s="227">
        <f>InputForProCost!AG315</f>
        <v>0</v>
      </c>
      <c r="N312" s="227">
        <f>InputForProCost!AH315</f>
        <v>0</v>
      </c>
      <c r="O312" s="227">
        <f>InputForProCost!AI315</f>
        <v>0</v>
      </c>
      <c r="P312" s="227" t="str">
        <f>InputForProCost!AJ315</f>
        <v>FLAT</v>
      </c>
      <c r="R312" s="228"/>
      <c r="S312" s="229"/>
    </row>
    <row r="313" spans="1:19">
      <c r="A313" s="226" t="str">
        <f>InputForProCost!U316</f>
        <v>Commercial Showerhead Replacement_1_50gpm_Fitness Center_ Any Water Heating_Retail</v>
      </c>
      <c r="B313" s="226" t="str">
        <f>InputForProCost!V316</f>
        <v>Embedded Water Energy</v>
      </c>
      <c r="C313" s="227">
        <f>InputForProCost!W316</f>
        <v>147.47156452082115</v>
      </c>
      <c r="D313" s="227">
        <f>InputForProCost!X316</f>
        <v>10</v>
      </c>
      <c r="E313" s="227">
        <f>InputForProCost!Y316</f>
        <v>0</v>
      </c>
      <c r="F313" s="227">
        <f>InputForProCost!Z316</f>
        <v>0</v>
      </c>
      <c r="G313" s="227" t="str">
        <f>InputForProCost!AA316</f>
        <v>FLAT</v>
      </c>
      <c r="H313" s="227">
        <f>InputForProCost!AB316</f>
        <v>0</v>
      </c>
      <c r="I313" s="227">
        <f>InputForProCost!AC316</f>
        <v>0</v>
      </c>
      <c r="J313" s="227">
        <f>InputForProCost!AD316</f>
        <v>0</v>
      </c>
      <c r="K313" s="227">
        <f>InputForProCost!AE316</f>
        <v>0</v>
      </c>
      <c r="L313" s="227">
        <f>InputForProCost!AF316</f>
        <v>0</v>
      </c>
      <c r="M313" s="227">
        <f>InputForProCost!AG316</f>
        <v>0</v>
      </c>
      <c r="N313" s="227">
        <f>InputForProCost!AH316</f>
        <v>0</v>
      </c>
      <c r="O313" s="227">
        <f>InputForProCost!AI316</f>
        <v>0</v>
      </c>
      <c r="P313" s="227" t="str">
        <f>InputForProCost!AJ316</f>
        <v>FLAT</v>
      </c>
      <c r="R313" s="228"/>
      <c r="S313" s="229"/>
    </row>
    <row r="314" spans="1:19">
      <c r="A314" s="226" t="str">
        <f>InputForProCost!U317</f>
        <v>Commercial Showerhead Replacement_2_00gpm_Fitness Center_ Electric Water Heating_Direct Install</v>
      </c>
      <c r="B314" s="226" t="str">
        <f>InputForProCost!V317</f>
        <v>Embedded Water Energy</v>
      </c>
      <c r="C314" s="227">
        <f>InputForProCost!W317</f>
        <v>108.34645556631763</v>
      </c>
      <c r="D314" s="227">
        <f>InputForProCost!X317</f>
        <v>10</v>
      </c>
      <c r="E314" s="227">
        <f>InputForProCost!Y317</f>
        <v>0</v>
      </c>
      <c r="F314" s="227">
        <f>InputForProCost!Z317</f>
        <v>0</v>
      </c>
      <c r="G314" s="227" t="str">
        <f>InputForProCost!AA317</f>
        <v>FLAT</v>
      </c>
      <c r="H314" s="227">
        <f>InputForProCost!AB317</f>
        <v>0</v>
      </c>
      <c r="I314" s="227">
        <f>InputForProCost!AC317</f>
        <v>0</v>
      </c>
      <c r="J314" s="227">
        <f>InputForProCost!AD317</f>
        <v>0</v>
      </c>
      <c r="K314" s="227">
        <f>InputForProCost!AE317</f>
        <v>0</v>
      </c>
      <c r="L314" s="227">
        <f>InputForProCost!AF317</f>
        <v>0</v>
      </c>
      <c r="M314" s="227">
        <f>InputForProCost!AG317</f>
        <v>0</v>
      </c>
      <c r="N314" s="227">
        <f>InputForProCost!AH317</f>
        <v>0</v>
      </c>
      <c r="O314" s="227">
        <f>InputForProCost!AI317</f>
        <v>0</v>
      </c>
      <c r="P314" s="227" t="str">
        <f>InputForProCost!AJ317</f>
        <v>FLAT</v>
      </c>
      <c r="R314" s="228"/>
      <c r="S314" s="229"/>
    </row>
    <row r="315" spans="1:19">
      <c r="A315" s="226" t="str">
        <f>InputForProCost!U318</f>
        <v>Commercial Showerhead Replacement_2_00gpm_Fitness Center_ Gas Water Heating_Direct Install</v>
      </c>
      <c r="B315" s="226" t="str">
        <f>InputForProCost!V318</f>
        <v>Embedded Water Energy</v>
      </c>
      <c r="C315" s="227">
        <f>InputForProCost!W318</f>
        <v>108.34645556631763</v>
      </c>
      <c r="D315" s="227">
        <f>InputForProCost!X318</f>
        <v>10</v>
      </c>
      <c r="E315" s="227">
        <f>InputForProCost!Y318</f>
        <v>0</v>
      </c>
      <c r="F315" s="227">
        <f>InputForProCost!Z318</f>
        <v>0</v>
      </c>
      <c r="G315" s="227" t="str">
        <f>InputForProCost!AA318</f>
        <v>FLAT</v>
      </c>
      <c r="H315" s="227">
        <f>InputForProCost!AB318</f>
        <v>0</v>
      </c>
      <c r="I315" s="227">
        <f>InputForProCost!AC318</f>
        <v>0</v>
      </c>
      <c r="J315" s="227">
        <f>InputForProCost!AD318</f>
        <v>0</v>
      </c>
      <c r="K315" s="227">
        <f>InputForProCost!AE318</f>
        <v>0</v>
      </c>
      <c r="L315" s="227">
        <f>InputForProCost!AF318</f>
        <v>0</v>
      </c>
      <c r="M315" s="227">
        <f>InputForProCost!AG318</f>
        <v>0</v>
      </c>
      <c r="N315" s="227">
        <f>InputForProCost!AH318</f>
        <v>0</v>
      </c>
      <c r="O315" s="227">
        <f>InputForProCost!AI318</f>
        <v>0</v>
      </c>
      <c r="P315" s="227" t="str">
        <f>InputForProCost!AJ318</f>
        <v>FLAT</v>
      </c>
      <c r="R315" s="228"/>
      <c r="S315" s="229"/>
    </row>
    <row r="316" spans="1:19">
      <c r="A316" s="226" t="str">
        <f>InputForProCost!U319</f>
        <v>Commercial Showerhead Replacement_2_00gpm_Fitness Center_ Any Water Heating_Direct Install</v>
      </c>
      <c r="B316" s="226" t="str">
        <f>InputForProCost!V319</f>
        <v>Embedded Water Energy</v>
      </c>
      <c r="C316" s="227">
        <f>InputForProCost!W319</f>
        <v>108.34645556631763</v>
      </c>
      <c r="D316" s="227">
        <f>InputForProCost!X319</f>
        <v>10</v>
      </c>
      <c r="E316" s="227">
        <f>InputForProCost!Y319</f>
        <v>0</v>
      </c>
      <c r="F316" s="227">
        <f>InputForProCost!Z319</f>
        <v>0</v>
      </c>
      <c r="G316" s="227" t="str">
        <f>InputForProCost!AA319</f>
        <v>FLAT</v>
      </c>
      <c r="H316" s="227">
        <f>InputForProCost!AB319</f>
        <v>0</v>
      </c>
      <c r="I316" s="227">
        <f>InputForProCost!AC319</f>
        <v>0</v>
      </c>
      <c r="J316" s="227">
        <f>InputForProCost!AD319</f>
        <v>0</v>
      </c>
      <c r="K316" s="227">
        <f>InputForProCost!AE319</f>
        <v>0</v>
      </c>
      <c r="L316" s="227">
        <f>InputForProCost!AF319</f>
        <v>0</v>
      </c>
      <c r="M316" s="227">
        <f>InputForProCost!AG319</f>
        <v>0</v>
      </c>
      <c r="N316" s="227">
        <f>InputForProCost!AH319</f>
        <v>0</v>
      </c>
      <c r="O316" s="227">
        <f>InputForProCost!AI319</f>
        <v>0</v>
      </c>
      <c r="P316" s="227" t="str">
        <f>InputForProCost!AJ319</f>
        <v>FLAT</v>
      </c>
      <c r="R316" s="228"/>
      <c r="S316" s="229"/>
    </row>
    <row r="317" spans="1:19">
      <c r="A317" s="226" t="str">
        <f>InputForProCost!U320</f>
        <v>Commercial Showerhead Replacement_1_75gpm_Fitness Center_ Electric Water Heating_Direct Install</v>
      </c>
      <c r="B317" s="226" t="str">
        <f>InputForProCost!V320</f>
        <v>Embedded Water Energy</v>
      </c>
      <c r="C317" s="227">
        <f>InputForProCost!W320</f>
        <v>121.88976251210731</v>
      </c>
      <c r="D317" s="227">
        <f>InputForProCost!X320</f>
        <v>10</v>
      </c>
      <c r="E317" s="227">
        <f>InputForProCost!Y320</f>
        <v>0</v>
      </c>
      <c r="F317" s="227">
        <f>InputForProCost!Z320</f>
        <v>0</v>
      </c>
      <c r="G317" s="227" t="str">
        <f>InputForProCost!AA320</f>
        <v>FLAT</v>
      </c>
      <c r="H317" s="227">
        <f>InputForProCost!AB320</f>
        <v>0</v>
      </c>
      <c r="I317" s="227">
        <f>InputForProCost!AC320</f>
        <v>0</v>
      </c>
      <c r="J317" s="227">
        <f>InputForProCost!AD320</f>
        <v>0</v>
      </c>
      <c r="K317" s="227">
        <f>InputForProCost!AE320</f>
        <v>0</v>
      </c>
      <c r="L317" s="227">
        <f>InputForProCost!AF320</f>
        <v>0</v>
      </c>
      <c r="M317" s="227">
        <f>InputForProCost!AG320</f>
        <v>0</v>
      </c>
      <c r="N317" s="227">
        <f>InputForProCost!AH320</f>
        <v>0</v>
      </c>
      <c r="O317" s="227">
        <f>InputForProCost!AI320</f>
        <v>0</v>
      </c>
      <c r="P317" s="227" t="str">
        <f>InputForProCost!AJ320</f>
        <v>FLAT</v>
      </c>
      <c r="R317" s="228"/>
      <c r="S317" s="229"/>
    </row>
    <row r="318" spans="1:19">
      <c r="A318" s="226" t="str">
        <f>InputForProCost!U321</f>
        <v>Commercial Showerhead Replacement_1_75gpm_Fitness Center_ Gas Water Heating_Direct Install</v>
      </c>
      <c r="B318" s="226" t="str">
        <f>InputForProCost!V321</f>
        <v>Embedded Water Energy</v>
      </c>
      <c r="C318" s="227">
        <f>InputForProCost!W321</f>
        <v>121.88976251210731</v>
      </c>
      <c r="D318" s="227">
        <f>InputForProCost!X321</f>
        <v>10</v>
      </c>
      <c r="E318" s="227">
        <f>InputForProCost!Y321</f>
        <v>0</v>
      </c>
      <c r="F318" s="227">
        <f>InputForProCost!Z321</f>
        <v>0</v>
      </c>
      <c r="G318" s="227" t="str">
        <f>InputForProCost!AA321</f>
        <v>FLAT</v>
      </c>
      <c r="H318" s="227">
        <f>InputForProCost!AB321</f>
        <v>0</v>
      </c>
      <c r="I318" s="227">
        <f>InputForProCost!AC321</f>
        <v>0</v>
      </c>
      <c r="J318" s="227">
        <f>InputForProCost!AD321</f>
        <v>0</v>
      </c>
      <c r="K318" s="227">
        <f>InputForProCost!AE321</f>
        <v>0</v>
      </c>
      <c r="L318" s="227">
        <f>InputForProCost!AF321</f>
        <v>0</v>
      </c>
      <c r="M318" s="227">
        <f>InputForProCost!AG321</f>
        <v>0</v>
      </c>
      <c r="N318" s="227">
        <f>InputForProCost!AH321</f>
        <v>0</v>
      </c>
      <c r="O318" s="227">
        <f>InputForProCost!AI321</f>
        <v>0</v>
      </c>
      <c r="P318" s="227" t="str">
        <f>InputForProCost!AJ321</f>
        <v>FLAT</v>
      </c>
      <c r="R318" s="228"/>
      <c r="S318" s="229"/>
    </row>
    <row r="319" spans="1:19">
      <c r="A319" s="226" t="str">
        <f>InputForProCost!U322</f>
        <v>Commercial Showerhead Replacement_1_75gpm_Fitness Center_ Any Water Heating_Direct Install</v>
      </c>
      <c r="B319" s="226" t="str">
        <f>InputForProCost!V322</f>
        <v>Embedded Water Energy</v>
      </c>
      <c r="C319" s="227">
        <f>InputForProCost!W322</f>
        <v>121.88976251210731</v>
      </c>
      <c r="D319" s="227">
        <f>InputForProCost!X322</f>
        <v>10</v>
      </c>
      <c r="E319" s="227">
        <f>InputForProCost!Y322</f>
        <v>0</v>
      </c>
      <c r="F319" s="227">
        <f>InputForProCost!Z322</f>
        <v>0</v>
      </c>
      <c r="G319" s="227" t="str">
        <f>InputForProCost!AA322</f>
        <v>FLAT</v>
      </c>
      <c r="H319" s="227">
        <f>InputForProCost!AB322</f>
        <v>0</v>
      </c>
      <c r="I319" s="227">
        <f>InputForProCost!AC322</f>
        <v>0</v>
      </c>
      <c r="J319" s="227">
        <f>InputForProCost!AD322</f>
        <v>0</v>
      </c>
      <c r="K319" s="227">
        <f>InputForProCost!AE322</f>
        <v>0</v>
      </c>
      <c r="L319" s="227">
        <f>InputForProCost!AF322</f>
        <v>0</v>
      </c>
      <c r="M319" s="227">
        <f>InputForProCost!AG322</f>
        <v>0</v>
      </c>
      <c r="N319" s="227">
        <f>InputForProCost!AH322</f>
        <v>0</v>
      </c>
      <c r="O319" s="227">
        <f>InputForProCost!AI322</f>
        <v>0</v>
      </c>
      <c r="P319" s="227" t="str">
        <f>InputForProCost!AJ322</f>
        <v>FLAT</v>
      </c>
      <c r="R319" s="228"/>
      <c r="S319" s="229"/>
    </row>
    <row r="320" spans="1:19">
      <c r="A320" s="226" t="str">
        <f>InputForProCost!U323</f>
        <v>Commercial Showerhead Replacement_1_50gpm_Fitness Center_ Electric Water Heating_Direct Install</v>
      </c>
      <c r="B320" s="226" t="str">
        <f>InputForProCost!V323</f>
        <v>Embedded Water Energy</v>
      </c>
      <c r="C320" s="227">
        <f>InputForProCost!W323</f>
        <v>189.60629724105578</v>
      </c>
      <c r="D320" s="227">
        <f>InputForProCost!X323</f>
        <v>10</v>
      </c>
      <c r="E320" s="227">
        <f>InputForProCost!Y323</f>
        <v>0</v>
      </c>
      <c r="F320" s="227">
        <f>InputForProCost!Z323</f>
        <v>0</v>
      </c>
      <c r="G320" s="227" t="str">
        <f>InputForProCost!AA323</f>
        <v>FLAT</v>
      </c>
      <c r="H320" s="227">
        <f>InputForProCost!AB323</f>
        <v>0</v>
      </c>
      <c r="I320" s="227">
        <f>InputForProCost!AC323</f>
        <v>0</v>
      </c>
      <c r="J320" s="227">
        <f>InputForProCost!AD323</f>
        <v>0</v>
      </c>
      <c r="K320" s="227">
        <f>InputForProCost!AE323</f>
        <v>0</v>
      </c>
      <c r="L320" s="227">
        <f>InputForProCost!AF323</f>
        <v>0</v>
      </c>
      <c r="M320" s="227">
        <f>InputForProCost!AG323</f>
        <v>0</v>
      </c>
      <c r="N320" s="227">
        <f>InputForProCost!AH323</f>
        <v>0</v>
      </c>
      <c r="O320" s="227">
        <f>InputForProCost!AI323</f>
        <v>0</v>
      </c>
      <c r="P320" s="227" t="str">
        <f>InputForProCost!AJ323</f>
        <v>FLAT</v>
      </c>
      <c r="R320" s="228"/>
      <c r="S320" s="229"/>
    </row>
    <row r="321" spans="1:19">
      <c r="A321" s="226" t="str">
        <f>InputForProCost!U324</f>
        <v>Commercial Showerhead Replacement_1_50gpm_Fitness Center_ Gas Water Heating_Direct Install</v>
      </c>
      <c r="B321" s="226" t="str">
        <f>InputForProCost!V324</f>
        <v>Embedded Water Energy</v>
      </c>
      <c r="C321" s="227">
        <f>InputForProCost!W324</f>
        <v>189.60629724105578</v>
      </c>
      <c r="D321" s="227">
        <f>InputForProCost!X324</f>
        <v>10</v>
      </c>
      <c r="E321" s="227">
        <f>InputForProCost!Y324</f>
        <v>0</v>
      </c>
      <c r="F321" s="227">
        <f>InputForProCost!Z324</f>
        <v>0</v>
      </c>
      <c r="G321" s="227" t="str">
        <f>InputForProCost!AA324</f>
        <v>FLAT</v>
      </c>
      <c r="H321" s="227">
        <f>InputForProCost!AB324</f>
        <v>0</v>
      </c>
      <c r="I321" s="227">
        <f>InputForProCost!AC324</f>
        <v>0</v>
      </c>
      <c r="J321" s="227">
        <f>InputForProCost!AD324</f>
        <v>0</v>
      </c>
      <c r="K321" s="227">
        <f>InputForProCost!AE324</f>
        <v>0</v>
      </c>
      <c r="L321" s="227">
        <f>InputForProCost!AF324</f>
        <v>0</v>
      </c>
      <c r="M321" s="227">
        <f>InputForProCost!AG324</f>
        <v>0</v>
      </c>
      <c r="N321" s="227">
        <f>InputForProCost!AH324</f>
        <v>0</v>
      </c>
      <c r="O321" s="227">
        <f>InputForProCost!AI324</f>
        <v>0</v>
      </c>
      <c r="P321" s="227" t="str">
        <f>InputForProCost!AJ324</f>
        <v>FLAT</v>
      </c>
      <c r="R321" s="228"/>
      <c r="S321" s="229"/>
    </row>
    <row r="322" spans="1:19">
      <c r="A322" s="226" t="str">
        <f>InputForProCost!U325</f>
        <v>Commercial Showerhead Replacement_1_50gpm_Fitness Center_ Any Water Heating_Direct Install</v>
      </c>
      <c r="B322" s="226" t="str">
        <f>InputForProCost!V325</f>
        <v>Embedded Water Energy</v>
      </c>
      <c r="C322" s="227">
        <f>InputForProCost!W325</f>
        <v>189.60629724105578</v>
      </c>
      <c r="D322" s="227">
        <f>InputForProCost!X325</f>
        <v>10</v>
      </c>
      <c r="E322" s="227">
        <f>InputForProCost!Y325</f>
        <v>0</v>
      </c>
      <c r="F322" s="227">
        <f>InputForProCost!Z325</f>
        <v>0</v>
      </c>
      <c r="G322" s="227" t="str">
        <f>InputForProCost!AA325</f>
        <v>FLAT</v>
      </c>
      <c r="H322" s="227">
        <f>InputForProCost!AB325</f>
        <v>0</v>
      </c>
      <c r="I322" s="227">
        <f>InputForProCost!AC325</f>
        <v>0</v>
      </c>
      <c r="J322" s="227">
        <f>InputForProCost!AD325</f>
        <v>0</v>
      </c>
      <c r="K322" s="227">
        <f>InputForProCost!AE325</f>
        <v>0</v>
      </c>
      <c r="L322" s="227">
        <f>InputForProCost!AF325</f>
        <v>0</v>
      </c>
      <c r="M322" s="227">
        <f>InputForProCost!AG325</f>
        <v>0</v>
      </c>
      <c r="N322" s="227">
        <f>InputForProCost!AH325</f>
        <v>0</v>
      </c>
      <c r="O322" s="227">
        <f>InputForProCost!AI325</f>
        <v>0</v>
      </c>
      <c r="P322" s="227" t="str">
        <f>InputForProCost!AJ325</f>
        <v>FLAT</v>
      </c>
      <c r="R322" s="228"/>
      <c r="S322" s="229"/>
    </row>
    <row r="323" spans="1:19">
      <c r="A323" s="226" t="str">
        <f>InputForProCost!U326</f>
        <v>Commercial Showerhead Replacement_2_00gpm_Fitness Center_ Electric Water Heating_Mail-by-Request</v>
      </c>
      <c r="B323" s="226" t="str">
        <f>InputForProCost!V326</f>
        <v>Embedded Water Energy</v>
      </c>
      <c r="C323" s="227">
        <f>InputForProCost!W326</f>
        <v>72.230970377545091</v>
      </c>
      <c r="D323" s="227">
        <f>InputForProCost!X326</f>
        <v>10</v>
      </c>
      <c r="E323" s="227">
        <f>InputForProCost!Y326</f>
        <v>0</v>
      </c>
      <c r="F323" s="227">
        <f>InputForProCost!Z326</f>
        <v>0</v>
      </c>
      <c r="G323" s="227" t="str">
        <f>InputForProCost!AA326</f>
        <v>FLAT</v>
      </c>
      <c r="H323" s="227">
        <f>InputForProCost!AB326</f>
        <v>0</v>
      </c>
      <c r="I323" s="227">
        <f>InputForProCost!AC326</f>
        <v>0</v>
      </c>
      <c r="J323" s="227">
        <f>InputForProCost!AD326</f>
        <v>0</v>
      </c>
      <c r="K323" s="227">
        <f>InputForProCost!AE326</f>
        <v>0</v>
      </c>
      <c r="L323" s="227">
        <f>InputForProCost!AF326</f>
        <v>0</v>
      </c>
      <c r="M323" s="227">
        <f>InputForProCost!AG326</f>
        <v>0</v>
      </c>
      <c r="N323" s="227">
        <f>InputForProCost!AH326</f>
        <v>0</v>
      </c>
      <c r="O323" s="227">
        <f>InputForProCost!AI326</f>
        <v>0</v>
      </c>
      <c r="P323" s="227" t="str">
        <f>InputForProCost!AJ326</f>
        <v>FLAT</v>
      </c>
      <c r="R323" s="228"/>
      <c r="S323" s="229"/>
    </row>
    <row r="324" spans="1:19">
      <c r="A324" s="226" t="str">
        <f>InputForProCost!U327</f>
        <v>Commercial Showerhead Replacement_2_00gpm_Fitness Center_ Gas Water Heating_Mail-by-Request</v>
      </c>
      <c r="B324" s="226" t="str">
        <f>InputForProCost!V327</f>
        <v>Embedded Water Energy</v>
      </c>
      <c r="C324" s="227">
        <f>InputForProCost!W327</f>
        <v>72.230970377545091</v>
      </c>
      <c r="D324" s="227">
        <f>InputForProCost!X327</f>
        <v>10</v>
      </c>
      <c r="E324" s="227">
        <f>InputForProCost!Y327</f>
        <v>0</v>
      </c>
      <c r="F324" s="227">
        <f>InputForProCost!Z327</f>
        <v>0</v>
      </c>
      <c r="G324" s="227" t="str">
        <f>InputForProCost!AA327</f>
        <v>FLAT</v>
      </c>
      <c r="H324" s="227">
        <f>InputForProCost!AB327</f>
        <v>0</v>
      </c>
      <c r="I324" s="227">
        <f>InputForProCost!AC327</f>
        <v>0</v>
      </c>
      <c r="J324" s="227">
        <f>InputForProCost!AD327</f>
        <v>0</v>
      </c>
      <c r="K324" s="227">
        <f>InputForProCost!AE327</f>
        <v>0</v>
      </c>
      <c r="L324" s="227">
        <f>InputForProCost!AF327</f>
        <v>0</v>
      </c>
      <c r="M324" s="227">
        <f>InputForProCost!AG327</f>
        <v>0</v>
      </c>
      <c r="N324" s="227">
        <f>InputForProCost!AH327</f>
        <v>0</v>
      </c>
      <c r="O324" s="227">
        <f>InputForProCost!AI327</f>
        <v>0</v>
      </c>
      <c r="P324" s="227" t="str">
        <f>InputForProCost!AJ327</f>
        <v>FLAT</v>
      </c>
      <c r="R324" s="228"/>
      <c r="S324" s="229"/>
    </row>
    <row r="325" spans="1:19">
      <c r="A325" s="226" t="str">
        <f>InputForProCost!U328</f>
        <v>Commercial Showerhead Replacement_2_00gpm_Fitness Center_ Any Water Heating_Mail-by-Request</v>
      </c>
      <c r="B325" s="226" t="str">
        <f>InputForProCost!V328</f>
        <v>Embedded Water Energy</v>
      </c>
      <c r="C325" s="227">
        <f>InputForProCost!W328</f>
        <v>72.230970377545091</v>
      </c>
      <c r="D325" s="227">
        <f>InputForProCost!X328</f>
        <v>10</v>
      </c>
      <c r="E325" s="227">
        <f>InputForProCost!Y328</f>
        <v>0</v>
      </c>
      <c r="F325" s="227">
        <f>InputForProCost!Z328</f>
        <v>0</v>
      </c>
      <c r="G325" s="227" t="str">
        <f>InputForProCost!AA328</f>
        <v>FLAT</v>
      </c>
      <c r="H325" s="227">
        <f>InputForProCost!AB328</f>
        <v>0</v>
      </c>
      <c r="I325" s="227">
        <f>InputForProCost!AC328</f>
        <v>0</v>
      </c>
      <c r="J325" s="227">
        <f>InputForProCost!AD328</f>
        <v>0</v>
      </c>
      <c r="K325" s="227">
        <f>InputForProCost!AE328</f>
        <v>0</v>
      </c>
      <c r="L325" s="227">
        <f>InputForProCost!AF328</f>
        <v>0</v>
      </c>
      <c r="M325" s="227">
        <f>InputForProCost!AG328</f>
        <v>0</v>
      </c>
      <c r="N325" s="227">
        <f>InputForProCost!AH328</f>
        <v>0</v>
      </c>
      <c r="O325" s="227">
        <f>InputForProCost!AI328</f>
        <v>0</v>
      </c>
      <c r="P325" s="227" t="str">
        <f>InputForProCost!AJ328</f>
        <v>FLAT</v>
      </c>
      <c r="R325" s="228"/>
      <c r="S325" s="229"/>
    </row>
    <row r="326" spans="1:19">
      <c r="A326" s="226" t="str">
        <f>InputForProCost!U329</f>
        <v>Commercial Showerhead Replacement_1_75gpm_Fitness Center_ Electric Water Heating_Mail-by-Request</v>
      </c>
      <c r="B326" s="226" t="str">
        <f>InputForProCost!V329</f>
        <v>Embedded Water Energy</v>
      </c>
      <c r="C326" s="227">
        <f>InputForProCost!W329</f>
        <v>81.259841674738198</v>
      </c>
      <c r="D326" s="227">
        <f>InputForProCost!X329</f>
        <v>10</v>
      </c>
      <c r="E326" s="227">
        <f>InputForProCost!Y329</f>
        <v>0</v>
      </c>
      <c r="F326" s="227">
        <f>InputForProCost!Z329</f>
        <v>0</v>
      </c>
      <c r="G326" s="227" t="str">
        <f>InputForProCost!AA329</f>
        <v>FLAT</v>
      </c>
      <c r="H326" s="227">
        <f>InputForProCost!AB329</f>
        <v>0</v>
      </c>
      <c r="I326" s="227">
        <f>InputForProCost!AC329</f>
        <v>0</v>
      </c>
      <c r="J326" s="227">
        <f>InputForProCost!AD329</f>
        <v>0</v>
      </c>
      <c r="K326" s="227">
        <f>InputForProCost!AE329</f>
        <v>0</v>
      </c>
      <c r="L326" s="227">
        <f>InputForProCost!AF329</f>
        <v>0</v>
      </c>
      <c r="M326" s="227">
        <f>InputForProCost!AG329</f>
        <v>0</v>
      </c>
      <c r="N326" s="227">
        <f>InputForProCost!AH329</f>
        <v>0</v>
      </c>
      <c r="O326" s="227">
        <f>InputForProCost!AI329</f>
        <v>0</v>
      </c>
      <c r="P326" s="227" t="str">
        <f>InputForProCost!AJ329</f>
        <v>FLAT</v>
      </c>
      <c r="R326" s="228"/>
      <c r="S326" s="229"/>
    </row>
    <row r="327" spans="1:19">
      <c r="A327" s="226" t="str">
        <f>InputForProCost!U330</f>
        <v>Commercial Showerhead Replacement_1_75gpm_Fitness Center_ Gas Water Heating_Mail-by-Request</v>
      </c>
      <c r="B327" s="226" t="str">
        <f>InputForProCost!V330</f>
        <v>Embedded Water Energy</v>
      </c>
      <c r="C327" s="227">
        <f>InputForProCost!W330</f>
        <v>81.259841674738198</v>
      </c>
      <c r="D327" s="227">
        <f>InputForProCost!X330</f>
        <v>10</v>
      </c>
      <c r="E327" s="227">
        <f>InputForProCost!Y330</f>
        <v>0</v>
      </c>
      <c r="F327" s="227">
        <f>InputForProCost!Z330</f>
        <v>0</v>
      </c>
      <c r="G327" s="227" t="str">
        <f>InputForProCost!AA330</f>
        <v>FLAT</v>
      </c>
      <c r="H327" s="227">
        <f>InputForProCost!AB330</f>
        <v>0</v>
      </c>
      <c r="I327" s="227">
        <f>InputForProCost!AC330</f>
        <v>0</v>
      </c>
      <c r="J327" s="227">
        <f>InputForProCost!AD330</f>
        <v>0</v>
      </c>
      <c r="K327" s="227">
        <f>InputForProCost!AE330</f>
        <v>0</v>
      </c>
      <c r="L327" s="227">
        <f>InputForProCost!AF330</f>
        <v>0</v>
      </c>
      <c r="M327" s="227">
        <f>InputForProCost!AG330</f>
        <v>0</v>
      </c>
      <c r="N327" s="227">
        <f>InputForProCost!AH330</f>
        <v>0</v>
      </c>
      <c r="O327" s="227">
        <f>InputForProCost!AI330</f>
        <v>0</v>
      </c>
      <c r="P327" s="227" t="str">
        <f>InputForProCost!AJ330</f>
        <v>FLAT</v>
      </c>
      <c r="R327" s="228"/>
      <c r="S327" s="229"/>
    </row>
    <row r="328" spans="1:19">
      <c r="A328" s="226" t="str">
        <f>InputForProCost!U331</f>
        <v>Commercial Showerhead Replacement_1_75gpm_Fitness Center_ Any Water Heating_Mail-by-Request</v>
      </c>
      <c r="B328" s="226" t="str">
        <f>InputForProCost!V331</f>
        <v>Embedded Water Energy</v>
      </c>
      <c r="C328" s="227">
        <f>InputForProCost!W331</f>
        <v>81.259841674738198</v>
      </c>
      <c r="D328" s="227">
        <f>InputForProCost!X331</f>
        <v>10</v>
      </c>
      <c r="E328" s="227">
        <f>InputForProCost!Y331</f>
        <v>0</v>
      </c>
      <c r="F328" s="227">
        <f>InputForProCost!Z331</f>
        <v>0</v>
      </c>
      <c r="G328" s="227" t="str">
        <f>InputForProCost!AA331</f>
        <v>FLAT</v>
      </c>
      <c r="H328" s="227">
        <f>InputForProCost!AB331</f>
        <v>0</v>
      </c>
      <c r="I328" s="227">
        <f>InputForProCost!AC331</f>
        <v>0</v>
      </c>
      <c r="J328" s="227">
        <f>InputForProCost!AD331</f>
        <v>0</v>
      </c>
      <c r="K328" s="227">
        <f>InputForProCost!AE331</f>
        <v>0</v>
      </c>
      <c r="L328" s="227">
        <f>InputForProCost!AF331</f>
        <v>0</v>
      </c>
      <c r="M328" s="227">
        <f>InputForProCost!AG331</f>
        <v>0</v>
      </c>
      <c r="N328" s="227">
        <f>InputForProCost!AH331</f>
        <v>0</v>
      </c>
      <c r="O328" s="227">
        <f>InputForProCost!AI331</f>
        <v>0</v>
      </c>
      <c r="P328" s="227" t="str">
        <f>InputForProCost!AJ331</f>
        <v>FLAT</v>
      </c>
      <c r="R328" s="228"/>
      <c r="S328" s="229"/>
    </row>
    <row r="329" spans="1:19">
      <c r="A329" s="226" t="str">
        <f>InputForProCost!U332</f>
        <v>Commercial Showerhead Replacement_1_50gpm_Fitness Center_ Electric Water Heating_Mail-by-Request</v>
      </c>
      <c r="B329" s="226" t="str">
        <f>InputForProCost!V332</f>
        <v>Embedded Water Energy</v>
      </c>
      <c r="C329" s="227">
        <f>InputForProCost!W332</f>
        <v>126.40419816070384</v>
      </c>
      <c r="D329" s="227">
        <f>InputForProCost!X332</f>
        <v>10</v>
      </c>
      <c r="E329" s="227">
        <f>InputForProCost!Y332</f>
        <v>0</v>
      </c>
      <c r="F329" s="227">
        <f>InputForProCost!Z332</f>
        <v>0</v>
      </c>
      <c r="G329" s="227" t="str">
        <f>InputForProCost!AA332</f>
        <v>FLAT</v>
      </c>
      <c r="H329" s="227">
        <f>InputForProCost!AB332</f>
        <v>0</v>
      </c>
      <c r="I329" s="227">
        <f>InputForProCost!AC332</f>
        <v>0</v>
      </c>
      <c r="J329" s="227">
        <f>InputForProCost!AD332</f>
        <v>0</v>
      </c>
      <c r="K329" s="227">
        <f>InputForProCost!AE332</f>
        <v>0</v>
      </c>
      <c r="L329" s="227">
        <f>InputForProCost!AF332</f>
        <v>0</v>
      </c>
      <c r="M329" s="227">
        <f>InputForProCost!AG332</f>
        <v>0</v>
      </c>
      <c r="N329" s="227">
        <f>InputForProCost!AH332</f>
        <v>0</v>
      </c>
      <c r="O329" s="227">
        <f>InputForProCost!AI332</f>
        <v>0</v>
      </c>
      <c r="P329" s="227" t="str">
        <f>InputForProCost!AJ332</f>
        <v>FLAT</v>
      </c>
      <c r="R329" s="228"/>
      <c r="S329" s="229"/>
    </row>
    <row r="330" spans="1:19">
      <c r="A330" s="226" t="str">
        <f>InputForProCost!U333</f>
        <v>Commercial Showerhead Replacement_1_50gpm_Fitness Center_ Gas Water Heating_Mail-by-Request</v>
      </c>
      <c r="B330" s="226" t="str">
        <f>InputForProCost!V333</f>
        <v>Embedded Water Energy</v>
      </c>
      <c r="C330" s="227">
        <f>InputForProCost!W333</f>
        <v>126.40419816070384</v>
      </c>
      <c r="D330" s="227">
        <f>InputForProCost!X333</f>
        <v>10</v>
      </c>
      <c r="E330" s="227">
        <f>InputForProCost!Y333</f>
        <v>0</v>
      </c>
      <c r="F330" s="227">
        <f>InputForProCost!Z333</f>
        <v>0</v>
      </c>
      <c r="G330" s="227" t="str">
        <f>InputForProCost!AA333</f>
        <v>FLAT</v>
      </c>
      <c r="H330" s="227">
        <f>InputForProCost!AB333</f>
        <v>0</v>
      </c>
      <c r="I330" s="227">
        <f>InputForProCost!AC333</f>
        <v>0</v>
      </c>
      <c r="J330" s="227">
        <f>InputForProCost!AD333</f>
        <v>0</v>
      </c>
      <c r="K330" s="227">
        <f>InputForProCost!AE333</f>
        <v>0</v>
      </c>
      <c r="L330" s="227">
        <f>InputForProCost!AF333</f>
        <v>0</v>
      </c>
      <c r="M330" s="227">
        <f>InputForProCost!AG333</f>
        <v>0</v>
      </c>
      <c r="N330" s="227">
        <f>InputForProCost!AH333</f>
        <v>0</v>
      </c>
      <c r="O330" s="227">
        <f>InputForProCost!AI333</f>
        <v>0</v>
      </c>
      <c r="P330" s="227" t="str">
        <f>InputForProCost!AJ333</f>
        <v>FLAT</v>
      </c>
      <c r="R330" s="228"/>
      <c r="S330" s="229"/>
    </row>
    <row r="331" spans="1:19">
      <c r="A331" s="226" t="str">
        <f>InputForProCost!U334</f>
        <v>Commercial Showerhead Replacement_1_50gpm_Fitness Center_ Any Water Heating_Mail-by-Request</v>
      </c>
      <c r="B331" s="226" t="str">
        <f>InputForProCost!V334</f>
        <v>Embedded Water Energy</v>
      </c>
      <c r="C331" s="227">
        <f>InputForProCost!W334</f>
        <v>126.40419816070384</v>
      </c>
      <c r="D331" s="227">
        <f>InputForProCost!X334</f>
        <v>10</v>
      </c>
      <c r="E331" s="227">
        <f>InputForProCost!Y334</f>
        <v>0</v>
      </c>
      <c r="F331" s="227">
        <f>InputForProCost!Z334</f>
        <v>0</v>
      </c>
      <c r="G331" s="227" t="str">
        <f>InputForProCost!AA334</f>
        <v>FLAT</v>
      </c>
      <c r="H331" s="227">
        <f>InputForProCost!AB334</f>
        <v>0</v>
      </c>
      <c r="I331" s="227">
        <f>InputForProCost!AC334</f>
        <v>0</v>
      </c>
      <c r="J331" s="227">
        <f>InputForProCost!AD334</f>
        <v>0</v>
      </c>
      <c r="K331" s="227">
        <f>InputForProCost!AE334</f>
        <v>0</v>
      </c>
      <c r="L331" s="227">
        <f>InputForProCost!AF334</f>
        <v>0</v>
      </c>
      <c r="M331" s="227">
        <f>InputForProCost!AG334</f>
        <v>0</v>
      </c>
      <c r="N331" s="227">
        <f>InputForProCost!AH334</f>
        <v>0</v>
      </c>
      <c r="O331" s="227">
        <f>InputForProCost!AI334</f>
        <v>0</v>
      </c>
      <c r="P331" s="227" t="str">
        <f>InputForProCost!AJ334</f>
        <v>FLAT</v>
      </c>
      <c r="R331" s="228"/>
      <c r="S331" s="229"/>
    </row>
    <row r="335" spans="1:19">
      <c r="A335" s="230" t="s">
        <v>75</v>
      </c>
      <c r="B335" s="231"/>
    </row>
    <row r="336" spans="1:19">
      <c r="A336" s="221" t="s">
        <v>76</v>
      </c>
      <c r="B336" s="221" t="s">
        <v>422</v>
      </c>
    </row>
    <row r="337" spans="1:35">
      <c r="A337" s="221" t="s">
        <v>77</v>
      </c>
      <c r="B337" s="221" t="s">
        <v>423</v>
      </c>
    </row>
    <row r="339" spans="1:35" ht="13.5" thickBot="1">
      <c r="A339" s="232" t="s">
        <v>78</v>
      </c>
      <c r="B339" s="233"/>
      <c r="C339" s="233"/>
      <c r="D339" s="233"/>
      <c r="E339" s="233"/>
      <c r="F339" s="233"/>
      <c r="G339" s="233"/>
      <c r="H339" s="233"/>
      <c r="I339" s="233"/>
      <c r="J339" s="233"/>
      <c r="K339" s="233"/>
      <c r="L339" s="233"/>
      <c r="M339" s="233"/>
      <c r="N339" s="233"/>
      <c r="O339" s="233"/>
      <c r="P339" s="233"/>
      <c r="Q339" s="233"/>
      <c r="R339" s="233"/>
      <c r="S339" s="233"/>
      <c r="T339" s="233"/>
      <c r="U339" s="233"/>
      <c r="V339" s="233"/>
      <c r="W339" s="233"/>
      <c r="X339" s="233"/>
      <c r="Y339" s="233"/>
      <c r="Z339" s="233"/>
      <c r="AA339" s="233"/>
      <c r="AB339" s="233"/>
      <c r="AC339" s="233"/>
      <c r="AD339" s="233"/>
      <c r="AE339" s="233"/>
      <c r="AF339" s="233"/>
      <c r="AG339" s="233"/>
      <c r="AH339" s="233"/>
      <c r="AI339" s="234"/>
    </row>
    <row r="340" spans="1:35">
      <c r="B340" s="235" t="s">
        <v>79</v>
      </c>
      <c r="C340" s="236"/>
      <c r="D340" s="236"/>
      <c r="E340" s="237"/>
      <c r="G340" s="235" t="s">
        <v>80</v>
      </c>
      <c r="H340" s="236"/>
      <c r="I340" s="236"/>
      <c r="J340" s="236"/>
      <c r="K340" s="236"/>
      <c r="L340" s="236"/>
      <c r="M340" s="236"/>
      <c r="N340" s="236"/>
      <c r="O340" s="237"/>
      <c r="Q340" s="235" t="s">
        <v>81</v>
      </c>
      <c r="R340" s="236"/>
      <c r="S340" s="236"/>
      <c r="T340" s="236"/>
      <c r="U340" s="236"/>
      <c r="V340" s="236"/>
      <c r="W340" s="237"/>
      <c r="Y340" s="235" t="s">
        <v>82</v>
      </c>
      <c r="Z340" s="236"/>
      <c r="AA340" s="236"/>
      <c r="AB340" s="237" t="s">
        <v>424</v>
      </c>
      <c r="AD340" s="235" t="s">
        <v>83</v>
      </c>
      <c r="AE340" s="236"/>
      <c r="AF340" s="236"/>
      <c r="AG340" s="236"/>
      <c r="AH340" s="236" t="s">
        <v>84</v>
      </c>
      <c r="AI340" s="237" t="s">
        <v>85</v>
      </c>
    </row>
    <row r="341" spans="1:35">
      <c r="B341" s="238" t="s">
        <v>86</v>
      </c>
      <c r="C341" s="239"/>
      <c r="D341" s="239" t="b">
        <v>1</v>
      </c>
      <c r="E341" s="240" t="b">
        <v>0</v>
      </c>
      <c r="G341" s="238" t="s">
        <v>87</v>
      </c>
      <c r="H341" s="239"/>
      <c r="I341" s="239"/>
      <c r="J341" s="239"/>
      <c r="K341" s="239" t="s">
        <v>425</v>
      </c>
      <c r="L341" s="239"/>
      <c r="M341" s="239"/>
      <c r="N341" s="239"/>
      <c r="O341" s="240"/>
      <c r="Q341" s="238"/>
      <c r="R341" s="239"/>
      <c r="S341" s="239"/>
      <c r="T341" s="239" t="s">
        <v>88</v>
      </c>
      <c r="U341" s="239" t="s">
        <v>89</v>
      </c>
      <c r="V341" s="239" t="s">
        <v>90</v>
      </c>
      <c r="W341" s="240" t="s">
        <v>91</v>
      </c>
      <c r="Y341" s="238" t="s">
        <v>92</v>
      </c>
      <c r="Z341" s="239"/>
      <c r="AA341" s="239"/>
      <c r="AB341" s="240">
        <v>20</v>
      </c>
      <c r="AD341" s="238" t="s">
        <v>426</v>
      </c>
      <c r="AE341" s="239"/>
      <c r="AF341" s="239"/>
      <c r="AG341" s="239"/>
      <c r="AH341" s="239" t="s">
        <v>427</v>
      </c>
      <c r="AI341" s="240" t="s">
        <v>428</v>
      </c>
    </row>
    <row r="342" spans="1:35">
      <c r="B342" s="238" t="s">
        <v>93</v>
      </c>
      <c r="C342" s="239"/>
      <c r="D342" s="239" t="b">
        <v>1</v>
      </c>
      <c r="E342" s="240" t="b">
        <v>0</v>
      </c>
      <c r="G342" s="238" t="s">
        <v>94</v>
      </c>
      <c r="H342" s="239"/>
      <c r="I342" s="239"/>
      <c r="J342" s="239"/>
      <c r="K342" s="239" t="s">
        <v>326</v>
      </c>
      <c r="L342" s="239"/>
      <c r="M342" s="239"/>
      <c r="N342" s="239"/>
      <c r="O342" s="240"/>
      <c r="Q342" s="238" t="s">
        <v>95</v>
      </c>
      <c r="R342" s="239"/>
      <c r="S342" s="239"/>
      <c r="T342" s="239">
        <v>6.7000000000000004E-2</v>
      </c>
      <c r="U342" s="239">
        <v>4.3999999999999997E-2</v>
      </c>
      <c r="V342" s="239">
        <v>4.9000000000000002E-2</v>
      </c>
      <c r="W342" s="240">
        <v>0.05</v>
      </c>
      <c r="Y342" s="238" t="s">
        <v>96</v>
      </c>
      <c r="Z342" s="239"/>
      <c r="AA342" s="239"/>
      <c r="AB342" s="240">
        <v>2010</v>
      </c>
      <c r="AD342" s="238" t="s">
        <v>97</v>
      </c>
      <c r="AE342" s="239"/>
      <c r="AF342" s="239"/>
      <c r="AG342" s="239"/>
      <c r="AH342" s="239">
        <v>0</v>
      </c>
      <c r="AI342" s="240">
        <v>0</v>
      </c>
    </row>
    <row r="343" spans="1:35">
      <c r="B343" s="238" t="s">
        <v>98</v>
      </c>
      <c r="C343" s="239"/>
      <c r="D343" s="239" t="b">
        <v>0</v>
      </c>
      <c r="E343" s="240" t="b">
        <v>1</v>
      </c>
      <c r="G343" s="238" t="s">
        <v>99</v>
      </c>
      <c r="H343" s="239"/>
      <c r="I343" s="239"/>
      <c r="J343" s="239"/>
      <c r="K343" s="239" t="s">
        <v>327</v>
      </c>
      <c r="L343" s="239"/>
      <c r="M343" s="239"/>
      <c r="N343" s="239"/>
      <c r="O343" s="240"/>
      <c r="Q343" s="238" t="s">
        <v>100</v>
      </c>
      <c r="R343" s="239"/>
      <c r="S343" s="239"/>
      <c r="T343" s="239">
        <v>20</v>
      </c>
      <c r="U343" s="239">
        <v>1</v>
      </c>
      <c r="V343" s="239">
        <v>1</v>
      </c>
      <c r="W343" s="240">
        <v>1</v>
      </c>
      <c r="Y343" s="238" t="s">
        <v>101</v>
      </c>
      <c r="Z343" s="239"/>
      <c r="AA343" s="239"/>
      <c r="AB343" s="240">
        <v>2010</v>
      </c>
      <c r="AD343" s="238" t="s">
        <v>429</v>
      </c>
      <c r="AE343" s="239"/>
      <c r="AF343" s="239"/>
      <c r="AG343" s="239"/>
      <c r="AH343" s="239" t="s">
        <v>430</v>
      </c>
      <c r="AI343" s="240" t="s">
        <v>431</v>
      </c>
    </row>
    <row r="344" spans="1:35" ht="13.5" thickBot="1">
      <c r="B344" s="241" t="s">
        <v>102</v>
      </c>
      <c r="C344" s="242"/>
      <c r="D344" s="242" t="b">
        <v>0</v>
      </c>
      <c r="E344" s="243" t="b">
        <v>1</v>
      </c>
      <c r="G344" s="238" t="s">
        <v>103</v>
      </c>
      <c r="H344" s="239"/>
      <c r="I344" s="239"/>
      <c r="J344" s="239"/>
      <c r="K344" s="239" t="s">
        <v>328</v>
      </c>
      <c r="L344" s="239"/>
      <c r="M344" s="239"/>
      <c r="N344" s="239"/>
      <c r="O344" s="240"/>
      <c r="Q344" s="238"/>
      <c r="R344" s="239"/>
      <c r="S344" s="239"/>
      <c r="T344" s="239" t="s">
        <v>88</v>
      </c>
      <c r="U344" s="239" t="s">
        <v>89</v>
      </c>
      <c r="V344" s="239" t="s">
        <v>90</v>
      </c>
      <c r="W344" s="240" t="s">
        <v>91</v>
      </c>
      <c r="Y344" s="238" t="s">
        <v>104</v>
      </c>
      <c r="Z344" s="239"/>
      <c r="AA344" s="239"/>
      <c r="AB344" s="240">
        <v>2006</v>
      </c>
      <c r="AD344" s="238" t="s">
        <v>105</v>
      </c>
      <c r="AE344" s="239"/>
      <c r="AF344" s="239"/>
      <c r="AG344" s="239"/>
      <c r="AH344" s="239">
        <v>23</v>
      </c>
      <c r="AI344" s="240">
        <v>0</v>
      </c>
    </row>
    <row r="345" spans="1:35" ht="13.5" thickBot="1">
      <c r="G345" s="238" t="s">
        <v>106</v>
      </c>
      <c r="H345" s="239"/>
      <c r="I345" s="239"/>
      <c r="J345" s="239"/>
      <c r="K345" s="239" t="s">
        <v>327</v>
      </c>
      <c r="L345" s="239"/>
      <c r="M345" s="239"/>
      <c r="N345" s="239"/>
      <c r="O345" s="240"/>
      <c r="Q345" s="238" t="s">
        <v>107</v>
      </c>
      <c r="R345" s="239"/>
      <c r="S345" s="239"/>
      <c r="T345" s="239">
        <v>0.35</v>
      </c>
      <c r="U345" s="239">
        <v>0.1</v>
      </c>
      <c r="V345" s="239">
        <v>0.55000000000000004</v>
      </c>
      <c r="W345" s="240">
        <v>0</v>
      </c>
      <c r="Y345" s="238" t="s">
        <v>108</v>
      </c>
      <c r="Z345" s="239"/>
      <c r="AA345" s="239"/>
      <c r="AB345" s="240">
        <v>0.05</v>
      </c>
      <c r="AD345" s="241" t="s">
        <v>432</v>
      </c>
      <c r="AE345" s="242"/>
      <c r="AF345" s="242"/>
      <c r="AG345" s="242"/>
      <c r="AH345" s="242">
        <v>43</v>
      </c>
      <c r="AI345" s="243">
        <v>0</v>
      </c>
    </row>
    <row r="346" spans="1:35">
      <c r="B346" s="221" t="s">
        <v>109</v>
      </c>
      <c r="C346" s="221" t="s">
        <v>84</v>
      </c>
      <c r="G346" s="238" t="s">
        <v>110</v>
      </c>
      <c r="H346" s="239"/>
      <c r="I346" s="239"/>
      <c r="J346" s="239"/>
      <c r="K346" s="239" t="s">
        <v>433</v>
      </c>
      <c r="L346" s="239"/>
      <c r="M346" s="239"/>
      <c r="N346" s="239"/>
      <c r="O346" s="240"/>
      <c r="Q346" s="238" t="s">
        <v>111</v>
      </c>
      <c r="R346" s="239"/>
      <c r="S346" s="239"/>
      <c r="T346" s="239">
        <v>1</v>
      </c>
      <c r="U346" s="239">
        <v>0</v>
      </c>
      <c r="V346" s="239">
        <v>0</v>
      </c>
      <c r="W346" s="240">
        <v>0</v>
      </c>
      <c r="Y346" s="238" t="s">
        <v>112</v>
      </c>
      <c r="Z346" s="239"/>
      <c r="AA346" s="239"/>
      <c r="AB346" s="240">
        <v>0</v>
      </c>
    </row>
    <row r="347" spans="1:35">
      <c r="B347" s="221" t="s">
        <v>113</v>
      </c>
      <c r="C347" s="221" t="s">
        <v>114</v>
      </c>
      <c r="G347" s="238" t="s">
        <v>115</v>
      </c>
      <c r="H347" s="239"/>
      <c r="I347" s="239"/>
      <c r="J347" s="239"/>
      <c r="K347" s="239" t="s">
        <v>116</v>
      </c>
      <c r="L347" s="239"/>
      <c r="M347" s="239"/>
      <c r="N347" s="239"/>
      <c r="O347" s="240"/>
      <c r="Q347" s="238" t="s">
        <v>117</v>
      </c>
      <c r="R347" s="239"/>
      <c r="S347" s="239"/>
      <c r="T347" s="239">
        <v>1</v>
      </c>
      <c r="U347" s="239">
        <v>0</v>
      </c>
      <c r="V347" s="239">
        <v>0</v>
      </c>
      <c r="W347" s="240">
        <v>0</v>
      </c>
      <c r="Y347" s="238" t="s">
        <v>434</v>
      </c>
      <c r="Z347" s="239"/>
      <c r="AA347" s="239"/>
      <c r="AB347" s="240">
        <v>0.2</v>
      </c>
    </row>
    <row r="348" spans="1:35">
      <c r="B348" s="221" t="s">
        <v>118</v>
      </c>
      <c r="C348" s="221" t="s">
        <v>119</v>
      </c>
      <c r="G348" s="238" t="s">
        <v>120</v>
      </c>
      <c r="H348" s="239"/>
      <c r="I348" s="239"/>
      <c r="J348" s="239"/>
      <c r="K348" s="239" t="s">
        <v>121</v>
      </c>
      <c r="L348" s="239"/>
      <c r="M348" s="239"/>
      <c r="N348" s="239"/>
      <c r="O348" s="240"/>
      <c r="Q348" s="238" t="s">
        <v>122</v>
      </c>
      <c r="R348" s="239"/>
      <c r="S348" s="239"/>
      <c r="T348" s="239"/>
      <c r="U348" s="239">
        <v>0.5</v>
      </c>
      <c r="V348" s="239">
        <v>0.5</v>
      </c>
      <c r="W348" s="240">
        <v>0</v>
      </c>
      <c r="Y348" s="238" t="s">
        <v>123</v>
      </c>
      <c r="Z348" s="239"/>
      <c r="AA348" s="239"/>
      <c r="AB348" s="240">
        <v>0.1</v>
      </c>
    </row>
    <row r="349" spans="1:35" ht="13.5" thickBot="1">
      <c r="B349" s="221" t="s">
        <v>124</v>
      </c>
      <c r="C349" s="221" t="s">
        <v>125</v>
      </c>
      <c r="G349" s="241" t="s">
        <v>126</v>
      </c>
      <c r="H349" s="242"/>
      <c r="I349" s="242"/>
      <c r="J349" s="242"/>
      <c r="K349" s="242" t="s">
        <v>127</v>
      </c>
      <c r="L349" s="242"/>
      <c r="M349" s="242"/>
      <c r="N349" s="242"/>
      <c r="O349" s="243"/>
      <c r="Q349" s="241" t="s">
        <v>435</v>
      </c>
      <c r="R349" s="242"/>
      <c r="S349" s="242"/>
      <c r="T349" s="242"/>
      <c r="U349" s="242">
        <v>20</v>
      </c>
      <c r="V349" s="242">
        <v>0</v>
      </c>
      <c r="W349" s="243">
        <v>0</v>
      </c>
      <c r="Y349" s="238" t="s">
        <v>128</v>
      </c>
      <c r="Z349" s="239"/>
      <c r="AA349" s="239"/>
      <c r="AB349" s="240">
        <v>2020</v>
      </c>
    </row>
    <row r="350" spans="1:35" ht="13.5" thickBot="1">
      <c r="Y350" s="241"/>
      <c r="Z350" s="242"/>
      <c r="AA350" s="242"/>
      <c r="AB350" s="243"/>
    </row>
    <row r="357" spans="1:101" ht="13.5" thickBot="1">
      <c r="A357" s="232" t="s">
        <v>129</v>
      </c>
      <c r="B357" s="234"/>
      <c r="C357" s="244"/>
      <c r="D357" s="244"/>
      <c r="E357" s="244"/>
      <c r="F357" s="244"/>
      <c r="G357" s="244"/>
      <c r="H357" s="244"/>
      <c r="I357" s="244"/>
      <c r="J357" s="244"/>
      <c r="K357" s="244"/>
      <c r="L357" s="244"/>
      <c r="M357" s="244"/>
      <c r="N357" s="244"/>
      <c r="O357" s="244"/>
      <c r="P357" s="244"/>
      <c r="Q357" s="244"/>
      <c r="R357" s="244"/>
      <c r="S357" s="244"/>
      <c r="T357" s="244"/>
      <c r="U357" s="244"/>
      <c r="V357" s="244"/>
      <c r="W357" s="244"/>
      <c r="X357" s="244"/>
      <c r="Y357" s="244"/>
      <c r="Z357" s="244"/>
      <c r="AA357" s="244"/>
      <c r="AB357" s="244"/>
      <c r="AC357" s="244"/>
      <c r="AD357" s="244"/>
      <c r="AE357" s="244"/>
      <c r="AF357" s="244"/>
      <c r="AG357" s="244"/>
      <c r="AH357" s="244"/>
      <c r="AI357" s="244"/>
      <c r="AJ357" s="244"/>
      <c r="AK357" s="244"/>
      <c r="AL357" s="244"/>
      <c r="AM357" s="244"/>
      <c r="AN357" s="244"/>
      <c r="AO357" s="244"/>
      <c r="AP357" s="244"/>
      <c r="AQ357" s="244"/>
      <c r="AR357" s="244"/>
      <c r="AS357" s="244"/>
      <c r="AT357" s="244"/>
      <c r="AU357" s="244"/>
      <c r="AV357" s="244"/>
      <c r="AW357" s="244"/>
      <c r="AX357" s="244"/>
      <c r="AY357" s="244"/>
      <c r="AZ357" s="244"/>
      <c r="BA357" s="244"/>
      <c r="BB357" s="244"/>
      <c r="BC357" s="244"/>
      <c r="BD357" s="244"/>
      <c r="BE357" s="244"/>
      <c r="BF357" s="244"/>
      <c r="BG357" s="244"/>
      <c r="BH357" s="244"/>
      <c r="BI357" s="244"/>
      <c r="BJ357" s="244"/>
      <c r="BK357" s="244"/>
      <c r="BL357" s="244"/>
      <c r="BM357" s="244"/>
      <c r="BN357" s="244"/>
      <c r="BO357" s="244"/>
      <c r="BP357" s="244"/>
      <c r="BQ357" s="244"/>
      <c r="BR357" s="244"/>
      <c r="BS357" s="244"/>
      <c r="BT357" s="244"/>
      <c r="BU357" s="244"/>
      <c r="BV357" s="244"/>
      <c r="BW357" s="244"/>
      <c r="BX357" s="244"/>
      <c r="BY357" s="244"/>
      <c r="BZ357" s="244"/>
      <c r="CA357" s="244"/>
      <c r="CB357" s="244"/>
      <c r="CC357" s="244"/>
      <c r="CD357" s="244"/>
      <c r="CE357" s="244"/>
      <c r="CF357" s="244"/>
      <c r="CG357" s="244"/>
      <c r="CH357" s="244"/>
      <c r="CI357" s="244"/>
      <c r="CJ357" s="244"/>
      <c r="CK357" s="244"/>
      <c r="CL357" s="244"/>
      <c r="CM357" s="244"/>
      <c r="CN357" s="244"/>
      <c r="CO357" s="244"/>
      <c r="CP357" s="244"/>
      <c r="CQ357" s="244"/>
      <c r="CR357" s="244"/>
      <c r="CS357" s="244"/>
      <c r="CT357" s="244"/>
      <c r="CU357" s="244"/>
      <c r="CV357" s="244"/>
      <c r="CW357" s="244"/>
    </row>
    <row r="358" spans="1:101" ht="26.25" thickBot="1">
      <c r="A358" s="245" t="s">
        <v>130</v>
      </c>
      <c r="B358" s="246"/>
      <c r="C358" s="247" t="s">
        <v>131</v>
      </c>
      <c r="D358" s="248"/>
      <c r="E358" s="248"/>
      <c r="F358" s="248"/>
      <c r="G358" s="248"/>
      <c r="H358" s="248"/>
      <c r="I358" s="248"/>
      <c r="J358" s="248"/>
      <c r="K358" s="249"/>
      <c r="L358" s="247" t="s">
        <v>132</v>
      </c>
      <c r="M358" s="248"/>
      <c r="N358" s="248"/>
      <c r="O358" s="248"/>
      <c r="P358" s="248"/>
      <c r="Q358" s="249"/>
      <c r="R358" s="247" t="s">
        <v>133</v>
      </c>
      <c r="S358" s="248"/>
      <c r="T358" s="248"/>
      <c r="U358" s="249"/>
      <c r="V358" s="247" t="s">
        <v>134</v>
      </c>
      <c r="W358" s="248"/>
      <c r="X358" s="248"/>
      <c r="Y358" s="249"/>
      <c r="Z358" s="247" t="s">
        <v>135</v>
      </c>
      <c r="AA358" s="248"/>
      <c r="AB358" s="248"/>
      <c r="AC358" s="249"/>
      <c r="AD358" s="247" t="s">
        <v>136</v>
      </c>
      <c r="AE358" s="248"/>
      <c r="AF358" s="248"/>
      <c r="AG358" s="249"/>
      <c r="AH358" s="247" t="s">
        <v>137</v>
      </c>
      <c r="AI358" s="248"/>
      <c r="AJ358" s="248"/>
      <c r="AK358" s="248"/>
      <c r="AL358" s="249"/>
      <c r="AM358" s="247" t="s">
        <v>138</v>
      </c>
      <c r="AN358" s="248"/>
      <c r="AO358" s="248"/>
      <c r="AP358" s="248"/>
      <c r="AQ358" s="248"/>
      <c r="AR358" s="248"/>
      <c r="AS358" s="249"/>
      <c r="AT358" s="247" t="s">
        <v>139</v>
      </c>
      <c r="AU358" s="248"/>
      <c r="AV358" s="248"/>
      <c r="AW358" s="248"/>
      <c r="AX358" s="248"/>
      <c r="AY358" s="248"/>
      <c r="AZ358" s="249"/>
      <c r="BA358" s="247" t="s">
        <v>140</v>
      </c>
      <c r="BB358" s="248"/>
      <c r="BC358" s="248"/>
      <c r="BD358" s="248"/>
      <c r="BE358" s="248"/>
      <c r="BF358" s="249"/>
      <c r="BG358" s="247" t="s">
        <v>141</v>
      </c>
      <c r="BH358" s="249"/>
      <c r="BI358" s="247" t="s">
        <v>142</v>
      </c>
      <c r="BJ358" s="248"/>
      <c r="BK358" s="248"/>
      <c r="BL358" s="248"/>
      <c r="BM358" s="249"/>
      <c r="BN358" s="247" t="s">
        <v>143</v>
      </c>
      <c r="BO358" s="248"/>
      <c r="BP358" s="248"/>
      <c r="BQ358" s="248"/>
      <c r="BR358" s="248"/>
      <c r="BS358" s="248"/>
      <c r="BT358" s="248"/>
      <c r="BU358" s="248"/>
      <c r="BV358" s="248"/>
      <c r="BW358" s="248"/>
      <c r="BX358" s="248"/>
      <c r="BY358" s="248"/>
      <c r="BZ358" s="248"/>
      <c r="CA358" s="248"/>
      <c r="CB358" s="248"/>
      <c r="CC358" s="249"/>
      <c r="CD358" s="247" t="s">
        <v>144</v>
      </c>
      <c r="CE358" s="249"/>
      <c r="CF358" s="247" t="s">
        <v>145</v>
      </c>
      <c r="CG358" s="248"/>
      <c r="CH358" s="248"/>
      <c r="CI358" s="248"/>
      <c r="CJ358" s="248"/>
      <c r="CK358" s="249"/>
      <c r="CL358" s="250"/>
      <c r="CM358" s="247" t="s">
        <v>18</v>
      </c>
      <c r="CN358" s="248"/>
      <c r="CO358" s="248"/>
      <c r="CP358" s="249"/>
      <c r="CQ358" s="247" t="s">
        <v>146</v>
      </c>
      <c r="CR358" s="248"/>
      <c r="CS358" s="248"/>
      <c r="CT358" s="248"/>
      <c r="CU358" s="249"/>
      <c r="CV358" s="247" t="s">
        <v>147</v>
      </c>
      <c r="CW358" s="249"/>
    </row>
    <row r="359" spans="1:101" ht="127.5">
      <c r="A359" s="251" t="s">
        <v>148</v>
      </c>
      <c r="B359" s="252" t="s">
        <v>149</v>
      </c>
      <c r="C359" s="253" t="s">
        <v>9</v>
      </c>
      <c r="D359" s="253" t="s">
        <v>150</v>
      </c>
      <c r="E359" s="253" t="s">
        <v>151</v>
      </c>
      <c r="F359" s="253" t="s">
        <v>152</v>
      </c>
      <c r="G359" s="253" t="s">
        <v>153</v>
      </c>
      <c r="H359" s="253" t="s">
        <v>154</v>
      </c>
      <c r="I359" s="253" t="s">
        <v>155</v>
      </c>
      <c r="J359" s="253" t="s">
        <v>156</v>
      </c>
      <c r="K359" s="253" t="s">
        <v>157</v>
      </c>
      <c r="L359" s="253" t="s">
        <v>158</v>
      </c>
      <c r="M359" s="253" t="s">
        <v>159</v>
      </c>
      <c r="N359" s="253" t="s">
        <v>160</v>
      </c>
      <c r="O359" s="253" t="s">
        <v>161</v>
      </c>
      <c r="P359" s="253" t="s">
        <v>162</v>
      </c>
      <c r="Q359" s="253" t="s">
        <v>163</v>
      </c>
      <c r="R359" s="253" t="s">
        <v>164</v>
      </c>
      <c r="S359" s="253" t="s">
        <v>165</v>
      </c>
      <c r="T359" s="253" t="s">
        <v>166</v>
      </c>
      <c r="U359" s="253" t="s">
        <v>88</v>
      </c>
      <c r="V359" s="253" t="s">
        <v>164</v>
      </c>
      <c r="W359" s="253" t="s">
        <v>165</v>
      </c>
      <c r="X359" s="253" t="s">
        <v>166</v>
      </c>
      <c r="Y359" s="253" t="s">
        <v>88</v>
      </c>
      <c r="Z359" s="253" t="s">
        <v>164</v>
      </c>
      <c r="AA359" s="253" t="s">
        <v>165</v>
      </c>
      <c r="AB359" s="253" t="s">
        <v>166</v>
      </c>
      <c r="AC359" s="253" t="s">
        <v>88</v>
      </c>
      <c r="AD359" s="253" t="s">
        <v>164</v>
      </c>
      <c r="AE359" s="253" t="s">
        <v>165</v>
      </c>
      <c r="AF359" s="253" t="s">
        <v>166</v>
      </c>
      <c r="AG359" s="253" t="s">
        <v>88</v>
      </c>
      <c r="AH359" s="253" t="s">
        <v>164</v>
      </c>
      <c r="AI359" s="253" t="s">
        <v>165</v>
      </c>
      <c r="AJ359" s="253" t="s">
        <v>166</v>
      </c>
      <c r="AK359" s="253" t="s">
        <v>88</v>
      </c>
      <c r="AL359" s="253" t="s">
        <v>167</v>
      </c>
      <c r="AM359" s="253" t="s">
        <v>168</v>
      </c>
      <c r="AN359" s="253" t="s">
        <v>169</v>
      </c>
      <c r="AO359" s="253" t="s">
        <v>170</v>
      </c>
      <c r="AP359" s="253" t="s">
        <v>171</v>
      </c>
      <c r="AQ359" s="253" t="s">
        <v>172</v>
      </c>
      <c r="AR359" s="253" t="s">
        <v>173</v>
      </c>
      <c r="AS359" s="253" t="s">
        <v>174</v>
      </c>
      <c r="AT359" s="253" t="s">
        <v>175</v>
      </c>
      <c r="AU359" s="253" t="s">
        <v>176</v>
      </c>
      <c r="AV359" s="253" t="s">
        <v>177</v>
      </c>
      <c r="AW359" s="253" t="s">
        <v>178</v>
      </c>
      <c r="AX359" s="253" t="s">
        <v>179</v>
      </c>
      <c r="AY359" s="253" t="s">
        <v>180</v>
      </c>
      <c r="AZ359" s="253" t="s">
        <v>181</v>
      </c>
      <c r="BA359" s="253" t="s">
        <v>182</v>
      </c>
      <c r="BB359" s="253" t="s">
        <v>183</v>
      </c>
      <c r="BC359" s="253" t="s">
        <v>184</v>
      </c>
      <c r="BD359" s="253" t="s">
        <v>185</v>
      </c>
      <c r="BE359" s="253" t="s">
        <v>186</v>
      </c>
      <c r="BF359" s="253" t="s">
        <v>187</v>
      </c>
      <c r="BG359" s="253" t="s">
        <v>188</v>
      </c>
      <c r="BH359" s="253" t="s">
        <v>189</v>
      </c>
      <c r="BI359" s="253" t="s">
        <v>190</v>
      </c>
      <c r="BJ359" s="253" t="s">
        <v>191</v>
      </c>
      <c r="BK359" s="253" t="s">
        <v>192</v>
      </c>
      <c r="BL359" s="253" t="s">
        <v>193</v>
      </c>
      <c r="BM359" s="253" t="s">
        <v>194</v>
      </c>
      <c r="BN359" s="253" t="s">
        <v>195</v>
      </c>
      <c r="BO359" s="253" t="s">
        <v>196</v>
      </c>
      <c r="BP359" s="253" t="s">
        <v>197</v>
      </c>
      <c r="BQ359" s="253" t="s">
        <v>198</v>
      </c>
      <c r="BR359" s="253" t="s">
        <v>199</v>
      </c>
      <c r="BS359" s="253" t="s">
        <v>200</v>
      </c>
      <c r="BT359" s="253" t="s">
        <v>201</v>
      </c>
      <c r="BU359" s="253" t="s">
        <v>202</v>
      </c>
      <c r="BV359" s="253" t="s">
        <v>203</v>
      </c>
      <c r="BW359" s="253" t="s">
        <v>204</v>
      </c>
      <c r="BX359" s="253" t="s">
        <v>205</v>
      </c>
      <c r="BY359" s="253" t="s">
        <v>206</v>
      </c>
      <c r="BZ359" s="253" t="s">
        <v>207</v>
      </c>
      <c r="CA359" s="253" t="s">
        <v>208</v>
      </c>
      <c r="CB359" s="253" t="s">
        <v>209</v>
      </c>
      <c r="CC359" s="253" t="s">
        <v>210</v>
      </c>
      <c r="CD359" s="253" t="s">
        <v>211</v>
      </c>
      <c r="CE359" s="253" t="s">
        <v>49</v>
      </c>
      <c r="CF359" s="253" t="s">
        <v>212</v>
      </c>
      <c r="CG359" s="253" t="s">
        <v>213</v>
      </c>
      <c r="CH359" s="253" t="s">
        <v>214</v>
      </c>
      <c r="CI359" s="253" t="s">
        <v>436</v>
      </c>
      <c r="CJ359" s="253" t="s">
        <v>437</v>
      </c>
      <c r="CK359" s="253" t="s">
        <v>438</v>
      </c>
      <c r="CL359" s="253"/>
      <c r="CM359" s="253" t="s">
        <v>215</v>
      </c>
      <c r="CN359" s="253" t="s">
        <v>216</v>
      </c>
      <c r="CO359" s="253" t="s">
        <v>217</v>
      </c>
      <c r="CP359" s="253" t="s">
        <v>218</v>
      </c>
      <c r="CQ359" s="253" t="s">
        <v>219</v>
      </c>
      <c r="CR359" s="253" t="s">
        <v>220</v>
      </c>
      <c r="CS359" s="253" t="s">
        <v>221</v>
      </c>
      <c r="CT359" s="253" t="s">
        <v>222</v>
      </c>
      <c r="CU359" s="253" t="s">
        <v>223</v>
      </c>
      <c r="CV359" s="253" t="s">
        <v>224</v>
      </c>
      <c r="CW359" s="254" t="s">
        <v>225</v>
      </c>
    </row>
    <row r="360" spans="1:101">
      <c r="A360" s="221" t="s">
        <v>439</v>
      </c>
      <c r="B360" s="221" t="s">
        <v>440</v>
      </c>
      <c r="C360" s="244">
        <v>10</v>
      </c>
      <c r="D360" s="244">
        <v>127.33361240968071</v>
      </c>
      <c r="E360" s="244">
        <v>0</v>
      </c>
      <c r="F360" s="244">
        <v>3.2966774171383419</v>
      </c>
      <c r="G360" s="244">
        <v>0</v>
      </c>
      <c r="H360" s="244">
        <v>0</v>
      </c>
      <c r="I360" s="244" t="s">
        <v>441</v>
      </c>
      <c r="J360" s="244">
        <v>0.28600001335144043</v>
      </c>
      <c r="K360" s="244">
        <v>0.31700000166893005</v>
      </c>
      <c r="L360" s="244">
        <v>138.85396863888869</v>
      </c>
      <c r="M360" s="244">
        <v>1.7569014802575111E-2</v>
      </c>
      <c r="N360" s="244">
        <v>5.542275682091713E-2</v>
      </c>
      <c r="O360" s="244">
        <v>0</v>
      </c>
      <c r="P360" s="244">
        <v>0</v>
      </c>
      <c r="Q360" s="244">
        <v>0</v>
      </c>
      <c r="R360" s="244">
        <v>0.32778394222259521</v>
      </c>
      <c r="S360" s="244">
        <v>1.8114458322525024</v>
      </c>
      <c r="T360" s="244">
        <v>0</v>
      </c>
      <c r="U360" s="244">
        <v>3.6513762474060059</v>
      </c>
      <c r="V360" s="244" t="s">
        <v>226</v>
      </c>
      <c r="W360" s="244" t="s">
        <v>226</v>
      </c>
      <c r="X360" s="244" t="s">
        <v>226</v>
      </c>
      <c r="Y360" s="244" t="s">
        <v>226</v>
      </c>
      <c r="Z360" s="244">
        <v>0</v>
      </c>
      <c r="AA360" s="244">
        <v>0</v>
      </c>
      <c r="AB360" s="244">
        <v>0</v>
      </c>
      <c r="AC360" s="244">
        <v>0</v>
      </c>
      <c r="AD360" s="244">
        <v>0</v>
      </c>
      <c r="AE360" s="244">
        <v>0</v>
      </c>
      <c r="AF360" s="244">
        <v>0</v>
      </c>
      <c r="AG360" s="244">
        <v>0</v>
      </c>
      <c r="AH360" s="244">
        <v>0.32778394222259521</v>
      </c>
      <c r="AI360" s="244">
        <v>1.8114458322525024</v>
      </c>
      <c r="AJ360" s="244">
        <v>0</v>
      </c>
      <c r="AK360" s="244">
        <v>3.6513762474060059</v>
      </c>
      <c r="AL360" s="244">
        <v>5.7906060218811035</v>
      </c>
      <c r="AM360" s="244">
        <v>97.86658333727577</v>
      </c>
      <c r="AN360" s="244">
        <v>0</v>
      </c>
      <c r="AO360" s="244">
        <v>17.227499008178711</v>
      </c>
      <c r="AP360" s="244">
        <v>74.408401489257813</v>
      </c>
      <c r="AQ360" s="244">
        <v>189.50248718261719</v>
      </c>
      <c r="AR360" s="244">
        <v>0.32778394222259521</v>
      </c>
      <c r="AS360" s="228">
        <v>578.1322982137508</v>
      </c>
      <c r="AT360" s="244">
        <v>97.86658333727577</v>
      </c>
      <c r="AU360" s="244">
        <v>15.885878562927246</v>
      </c>
      <c r="AV360" s="244">
        <v>18.816085815429688</v>
      </c>
      <c r="AW360" s="244">
        <v>74.408401489257813</v>
      </c>
      <c r="AX360" s="244">
        <v>206.97694396972656</v>
      </c>
      <c r="AY360" s="244">
        <v>1.8114458322525024</v>
      </c>
      <c r="AZ360" s="228">
        <v>114.26063397519215</v>
      </c>
      <c r="BA360" s="244">
        <v>97.86658333727577</v>
      </c>
      <c r="BB360" s="244">
        <v>15.885878562927246</v>
      </c>
      <c r="BC360" s="244">
        <v>18.816085815429688</v>
      </c>
      <c r="BD360" s="244">
        <v>74.408401489257813</v>
      </c>
      <c r="BE360" s="244">
        <v>206.97694396972656</v>
      </c>
      <c r="BF360" s="244">
        <v>2.1392297744750977</v>
      </c>
      <c r="BG360" s="244">
        <v>-61.817752838134766</v>
      </c>
      <c r="BH360" s="228">
        <v>96.753023763273106</v>
      </c>
      <c r="BI360" s="244">
        <v>0.18942368030548096</v>
      </c>
      <c r="BJ360" s="244">
        <v>1.0468199253082275</v>
      </c>
      <c r="BK360" s="244">
        <v>0</v>
      </c>
      <c r="BL360" s="244">
        <v>2.1101007461547852</v>
      </c>
      <c r="BM360" s="244">
        <v>3.3463442325592041</v>
      </c>
      <c r="BN360" s="244">
        <v>97.86658333727577</v>
      </c>
      <c r="BO360" s="244">
        <v>0</v>
      </c>
      <c r="BP360" s="244">
        <v>15.885878562927246</v>
      </c>
      <c r="BQ360" s="244">
        <v>0</v>
      </c>
      <c r="BR360" s="244">
        <v>0</v>
      </c>
      <c r="BS360" s="244">
        <v>0</v>
      </c>
      <c r="BT360" s="244">
        <v>74.408401489257813</v>
      </c>
      <c r="BU360" s="244">
        <v>0</v>
      </c>
      <c r="BV360" s="244">
        <v>184.18925476074219</v>
      </c>
      <c r="BW360" s="244">
        <v>18.816085815429688</v>
      </c>
      <c r="BX360" s="244">
        <v>5.7906060218811035</v>
      </c>
      <c r="BY360" s="244"/>
      <c r="BZ360" s="244">
        <v>0</v>
      </c>
      <c r="CA360" s="244">
        <v>0</v>
      </c>
      <c r="CB360" s="244">
        <v>391.16619873046875</v>
      </c>
      <c r="CC360" s="244">
        <v>5.7906060218811035</v>
      </c>
      <c r="CD360" s="228">
        <v>67.551859423266492</v>
      </c>
      <c r="CE360" s="244">
        <v>-166.14913940429688</v>
      </c>
      <c r="CF360" s="244">
        <v>1.047831701264025</v>
      </c>
      <c r="CG360" s="244">
        <v>0</v>
      </c>
      <c r="CH360" s="244">
        <v>1.047831701264025</v>
      </c>
      <c r="CI360" s="244">
        <v>5.1379825620049967E-2</v>
      </c>
      <c r="CJ360" s="244">
        <v>0</v>
      </c>
      <c r="CK360" s="244">
        <v>5.1379825620049967E-2</v>
      </c>
      <c r="CL360" s="244"/>
      <c r="CM360" s="244">
        <v>0</v>
      </c>
      <c r="CN360" s="244" t="s">
        <v>442</v>
      </c>
      <c r="CO360" s="244">
        <v>0</v>
      </c>
      <c r="CP360" s="244">
        <v>0</v>
      </c>
      <c r="CQ360" s="244">
        <v>0</v>
      </c>
      <c r="CR360" s="244">
        <v>0</v>
      </c>
      <c r="CS360" s="244">
        <v>0</v>
      </c>
      <c r="CT360" s="244">
        <v>0</v>
      </c>
      <c r="CU360" s="244">
        <v>0</v>
      </c>
      <c r="CV360" s="244">
        <v>9999</v>
      </c>
      <c r="CW360" s="228">
        <v>9999</v>
      </c>
    </row>
    <row r="361" spans="1:101">
      <c r="A361" s="221" t="s">
        <v>443</v>
      </c>
      <c r="B361" s="221" t="s">
        <v>440</v>
      </c>
      <c r="C361" s="244">
        <v>10</v>
      </c>
      <c r="D361" s="244">
        <v>0</v>
      </c>
      <c r="E361" s="244">
        <v>5.678586583002823</v>
      </c>
      <c r="F361" s="244">
        <v>3.2966774171383419</v>
      </c>
      <c r="G361" s="244">
        <v>0</v>
      </c>
      <c r="H361" s="244">
        <v>0</v>
      </c>
      <c r="I361" s="244" t="s">
        <v>441</v>
      </c>
      <c r="J361" s="244">
        <v>0</v>
      </c>
      <c r="K361" s="244">
        <v>0</v>
      </c>
      <c r="L361" s="244">
        <v>0</v>
      </c>
      <c r="M361" s="244">
        <v>0</v>
      </c>
      <c r="N361" s="244">
        <v>0</v>
      </c>
      <c r="O361" s="244">
        <v>5.7353724488328535</v>
      </c>
      <c r="P361" s="244">
        <v>1.7404621466994286E-2</v>
      </c>
      <c r="Q361" s="244">
        <v>5.4904170334339142E-2</v>
      </c>
      <c r="R361" s="244">
        <v>0.32778394222259521</v>
      </c>
      <c r="S361" s="244">
        <v>1.8114458322525024</v>
      </c>
      <c r="T361" s="244">
        <v>0</v>
      </c>
      <c r="U361" s="244">
        <v>3.6513762474060059</v>
      </c>
      <c r="V361" s="244" t="s">
        <v>226</v>
      </c>
      <c r="W361" s="244" t="s">
        <v>226</v>
      </c>
      <c r="X361" s="244" t="s">
        <v>226</v>
      </c>
      <c r="Y361" s="244" t="s">
        <v>226</v>
      </c>
      <c r="Z361" s="244">
        <v>0</v>
      </c>
      <c r="AA361" s="244">
        <v>0</v>
      </c>
      <c r="AB361" s="244">
        <v>0</v>
      </c>
      <c r="AC361" s="244">
        <v>0</v>
      </c>
      <c r="AD361" s="244">
        <v>0</v>
      </c>
      <c r="AE361" s="244">
        <v>0</v>
      </c>
      <c r="AF361" s="244">
        <v>0</v>
      </c>
      <c r="AG361" s="244">
        <v>0</v>
      </c>
      <c r="AH361" s="244">
        <v>0.32778394222259521</v>
      </c>
      <c r="AI361" s="244">
        <v>1.8114458322525024</v>
      </c>
      <c r="AJ361" s="244">
        <v>0</v>
      </c>
      <c r="AK361" s="244">
        <v>3.6513762474060059</v>
      </c>
      <c r="AL361" s="244">
        <v>5.7906060218811035</v>
      </c>
      <c r="AM361" s="244">
        <v>0</v>
      </c>
      <c r="AN361" s="244">
        <v>0</v>
      </c>
      <c r="AO361" s="244">
        <v>0</v>
      </c>
      <c r="AP361" s="244">
        <v>0</v>
      </c>
      <c r="AQ361" s="244">
        <v>0</v>
      </c>
      <c r="AR361" s="244">
        <v>0.32778394222259521</v>
      </c>
      <c r="AS361" s="255">
        <v>0</v>
      </c>
      <c r="AT361" s="244">
        <v>0</v>
      </c>
      <c r="AU361" s="244">
        <v>0</v>
      </c>
      <c r="AV361" s="244">
        <v>0</v>
      </c>
      <c r="AW361" s="244">
        <v>0</v>
      </c>
      <c r="AX361" s="244">
        <v>0</v>
      </c>
      <c r="AY361" s="244">
        <v>1.8114458322525024</v>
      </c>
      <c r="AZ361" s="255">
        <v>0</v>
      </c>
      <c r="BA361" s="244">
        <v>0</v>
      </c>
      <c r="BB361" s="244">
        <v>0</v>
      </c>
      <c r="BC361" s="244">
        <v>0</v>
      </c>
      <c r="BD361" s="244">
        <v>0</v>
      </c>
      <c r="BE361" s="244">
        <v>0</v>
      </c>
      <c r="BF361" s="244">
        <v>2.1392297744750977</v>
      </c>
      <c r="BG361" s="244">
        <v>9999</v>
      </c>
      <c r="BH361" s="255">
        <v>0</v>
      </c>
      <c r="BI361" s="244">
        <v>9999</v>
      </c>
      <c r="BJ361" s="244">
        <v>9999</v>
      </c>
      <c r="BK361" s="244">
        <v>9999</v>
      </c>
      <c r="BL361" s="244">
        <v>9999</v>
      </c>
      <c r="BM361" s="244">
        <v>9999</v>
      </c>
      <c r="BN361" s="244">
        <v>0</v>
      </c>
      <c r="BO361" s="244">
        <v>47.407843937501305</v>
      </c>
      <c r="BP361" s="244">
        <v>0</v>
      </c>
      <c r="BQ361" s="244">
        <v>0</v>
      </c>
      <c r="BR361" s="244">
        <v>0</v>
      </c>
      <c r="BS361" s="244">
        <v>0</v>
      </c>
      <c r="BT361" s="244">
        <v>0</v>
      </c>
      <c r="BU361" s="244">
        <v>0</v>
      </c>
      <c r="BV361" s="244">
        <v>184.18925476074219</v>
      </c>
      <c r="BW361" s="244">
        <v>0</v>
      </c>
      <c r="BX361" s="244">
        <v>5.7906060218811035</v>
      </c>
      <c r="BY361" s="244"/>
      <c r="BZ361" s="244">
        <v>0</v>
      </c>
      <c r="CA361" s="244">
        <v>0</v>
      </c>
      <c r="CB361" s="244">
        <v>231.59709167480469</v>
      </c>
      <c r="CC361" s="244">
        <v>5.7906060218811035</v>
      </c>
      <c r="CD361" s="228">
        <v>39.995312722554758</v>
      </c>
      <c r="CE361" s="244">
        <v>9999</v>
      </c>
      <c r="CF361" s="244">
        <v>0</v>
      </c>
      <c r="CG361" s="244">
        <v>0.53683086121075529</v>
      </c>
      <c r="CH361" s="244">
        <v>0.53683086121075529</v>
      </c>
      <c r="CI361" s="244">
        <v>0</v>
      </c>
      <c r="CJ361" s="244">
        <v>3.3551928825672206E-2</v>
      </c>
      <c r="CK361" s="244">
        <v>3.3551928825672206E-2</v>
      </c>
      <c r="CL361" s="244"/>
      <c r="CM361" s="244">
        <v>5.678586583002823</v>
      </c>
      <c r="CN361" s="244" t="s">
        <v>442</v>
      </c>
      <c r="CO361" s="244">
        <v>0.28600001335144043</v>
      </c>
      <c r="CP361" s="244">
        <v>0.31700000166893005</v>
      </c>
      <c r="CQ361" s="244">
        <v>47.407843937501305</v>
      </c>
      <c r="CR361" s="244">
        <v>0</v>
      </c>
      <c r="CS361" s="244">
        <v>0</v>
      </c>
      <c r="CT361" s="244">
        <v>47.407844543457031</v>
      </c>
      <c r="CU361" s="244">
        <v>0</v>
      </c>
      <c r="CV361" s="244">
        <v>0</v>
      </c>
      <c r="CW361" s="228">
        <v>9999</v>
      </c>
    </row>
    <row r="362" spans="1:101">
      <c r="A362" s="221" t="s">
        <v>444</v>
      </c>
      <c r="B362" s="221" t="s">
        <v>440</v>
      </c>
      <c r="C362" s="244">
        <v>10</v>
      </c>
      <c r="D362" s="244">
        <v>40.110087909049426</v>
      </c>
      <c r="E362" s="244">
        <v>3.889831809356934</v>
      </c>
      <c r="F362" s="244">
        <v>3.2966774171383419</v>
      </c>
      <c r="G362" s="244">
        <v>0</v>
      </c>
      <c r="H362" s="244">
        <v>0</v>
      </c>
      <c r="I362" s="244" t="s">
        <v>441</v>
      </c>
      <c r="J362" s="244">
        <v>0.28600001335144043</v>
      </c>
      <c r="K362" s="244">
        <v>0.31700000166893005</v>
      </c>
      <c r="L362" s="244">
        <v>43.73900012124993</v>
      </c>
      <c r="M362" s="244">
        <v>5.5342395789921284E-3</v>
      </c>
      <c r="N362" s="244">
        <v>1.7458168789744377E-2</v>
      </c>
      <c r="O362" s="244">
        <v>3.9287301274505033</v>
      </c>
      <c r="P362" s="244">
        <v>1.1922166682779789E-2</v>
      </c>
      <c r="Q362" s="244">
        <v>3.7609357386827469E-2</v>
      </c>
      <c r="R362" s="244">
        <v>0.32778394222259521</v>
      </c>
      <c r="S362" s="244">
        <v>1.8114458322525024</v>
      </c>
      <c r="T362" s="244">
        <v>0</v>
      </c>
      <c r="U362" s="244">
        <v>3.6513762474060059</v>
      </c>
      <c r="V362" s="244" t="s">
        <v>226</v>
      </c>
      <c r="W362" s="244" t="s">
        <v>226</v>
      </c>
      <c r="X362" s="244" t="s">
        <v>226</v>
      </c>
      <c r="Y362" s="244" t="s">
        <v>226</v>
      </c>
      <c r="Z362" s="244">
        <v>0</v>
      </c>
      <c r="AA362" s="244">
        <v>0</v>
      </c>
      <c r="AB362" s="244">
        <v>0</v>
      </c>
      <c r="AC362" s="244">
        <v>0</v>
      </c>
      <c r="AD362" s="244">
        <v>0</v>
      </c>
      <c r="AE362" s="244">
        <v>0</v>
      </c>
      <c r="AF362" s="244">
        <v>0</v>
      </c>
      <c r="AG362" s="244">
        <v>0</v>
      </c>
      <c r="AH362" s="244">
        <v>0.32778394222259521</v>
      </c>
      <c r="AI362" s="244">
        <v>1.8114458322525024</v>
      </c>
      <c r="AJ362" s="244">
        <v>0</v>
      </c>
      <c r="AK362" s="244">
        <v>3.6513762474060059</v>
      </c>
      <c r="AL362" s="244">
        <v>5.7906060218811035</v>
      </c>
      <c r="AM362" s="244">
        <v>30.827973751241817</v>
      </c>
      <c r="AN362" s="244">
        <v>0</v>
      </c>
      <c r="AO362" s="244">
        <v>5.4266624450683594</v>
      </c>
      <c r="AP362" s="244">
        <v>23.438648223876953</v>
      </c>
      <c r="AQ362" s="244">
        <v>59.693283081054688</v>
      </c>
      <c r="AR362" s="244">
        <v>0.32778394222259521</v>
      </c>
      <c r="AS362" s="228">
        <v>182.11168007629226</v>
      </c>
      <c r="AT362" s="244">
        <v>30.827973751241817</v>
      </c>
      <c r="AU362" s="244">
        <v>5.0040521621704102</v>
      </c>
      <c r="AV362" s="244">
        <v>5.9270672798156738</v>
      </c>
      <c r="AW362" s="244">
        <v>23.438648223876953</v>
      </c>
      <c r="AX362" s="244">
        <v>65.197738647460938</v>
      </c>
      <c r="AY362" s="244">
        <v>1.8114458322525024</v>
      </c>
      <c r="AZ362" s="228">
        <v>35.992101036790352</v>
      </c>
      <c r="BA362" s="244">
        <v>30.827973751241817</v>
      </c>
      <c r="BB362" s="244">
        <v>5.0040521621704102</v>
      </c>
      <c r="BC362" s="244">
        <v>5.9270672798156738</v>
      </c>
      <c r="BD362" s="244">
        <v>23.438648223876953</v>
      </c>
      <c r="BE362" s="244">
        <v>65.197738647460938</v>
      </c>
      <c r="BF362" s="244">
        <v>2.1392297744750977</v>
      </c>
      <c r="BG362" s="244">
        <v>-59.129421234130859</v>
      </c>
      <c r="BH362" s="228">
        <v>30.477203615540741</v>
      </c>
      <c r="BI362" s="244">
        <v>0.6013450026512146</v>
      </c>
      <c r="BJ362" s="244">
        <v>3.3232376575469971</v>
      </c>
      <c r="BK362" s="244">
        <v>0</v>
      </c>
      <c r="BL362" s="244">
        <v>6.698732852935791</v>
      </c>
      <c r="BM362" s="244">
        <v>10.623315811157227</v>
      </c>
      <c r="BN362" s="244">
        <v>30.827973751241817</v>
      </c>
      <c r="BO362" s="244">
        <v>32.474373097188426</v>
      </c>
      <c r="BP362" s="244">
        <v>5.0040521621704102</v>
      </c>
      <c r="BQ362" s="244">
        <v>0</v>
      </c>
      <c r="BR362" s="244">
        <v>0</v>
      </c>
      <c r="BS362" s="244">
        <v>0</v>
      </c>
      <c r="BT362" s="244">
        <v>23.438648223876953</v>
      </c>
      <c r="BU362" s="244">
        <v>0</v>
      </c>
      <c r="BV362" s="244">
        <v>184.18925476074219</v>
      </c>
      <c r="BW362" s="244">
        <v>5.9270672798156738</v>
      </c>
      <c r="BX362" s="244">
        <v>5.7906060218811035</v>
      </c>
      <c r="BY362" s="244"/>
      <c r="BZ362" s="244">
        <v>0</v>
      </c>
      <c r="CA362" s="244">
        <v>0</v>
      </c>
      <c r="CB362" s="244">
        <v>281.86135864257812</v>
      </c>
      <c r="CC362" s="244">
        <v>5.7906060218811035</v>
      </c>
      <c r="CD362" s="228">
        <v>48.675625350776599</v>
      </c>
      <c r="CE362" s="244">
        <v>-449.91690063476562</v>
      </c>
      <c r="CF362" s="244">
        <v>0.33006698589816846</v>
      </c>
      <c r="CG362" s="244">
        <v>0.36772913992936851</v>
      </c>
      <c r="CH362" s="244">
        <v>0.69779612582753692</v>
      </c>
      <c r="CI362" s="244">
        <v>1.6184645070315744E-2</v>
      </c>
      <c r="CJ362" s="244">
        <v>2.2983071245585435E-2</v>
      </c>
      <c r="CK362" s="244">
        <v>3.9167716315901178E-2</v>
      </c>
      <c r="CL362" s="244"/>
      <c r="CM362" s="244">
        <v>3.889831809356934</v>
      </c>
      <c r="CN362" s="244" t="s">
        <v>442</v>
      </c>
      <c r="CO362" s="244">
        <v>0.28600001335144043</v>
      </c>
      <c r="CP362" s="244">
        <v>0.31700000166893005</v>
      </c>
      <c r="CQ362" s="244">
        <v>32.474373097188426</v>
      </c>
      <c r="CR362" s="244">
        <v>0</v>
      </c>
      <c r="CS362" s="244">
        <v>0</v>
      </c>
      <c r="CT362" s="244">
        <v>32.474372863769531</v>
      </c>
      <c r="CU362" s="244">
        <v>0</v>
      </c>
      <c r="CV362" s="244">
        <v>0</v>
      </c>
      <c r="CW362" s="228">
        <v>9999</v>
      </c>
    </row>
    <row r="363" spans="1:101">
      <c r="A363" s="221" t="s">
        <v>445</v>
      </c>
      <c r="B363" s="221" t="s">
        <v>440</v>
      </c>
      <c r="C363" s="244">
        <v>10</v>
      </c>
      <c r="D363" s="244">
        <v>127.39908038355711</v>
      </c>
      <c r="E363" s="244">
        <v>0</v>
      </c>
      <c r="F363" s="244">
        <v>3.2966774171383419</v>
      </c>
      <c r="G363" s="244">
        <v>0</v>
      </c>
      <c r="H363" s="244">
        <v>0</v>
      </c>
      <c r="I363" s="244" t="s">
        <v>441</v>
      </c>
      <c r="J363" s="244">
        <v>0.28600001335144043</v>
      </c>
      <c r="K363" s="244">
        <v>0.31700000166893005</v>
      </c>
      <c r="L363" s="244">
        <v>138.92535974936968</v>
      </c>
      <c r="M363" s="244">
        <v>1.7578048631548882E-2</v>
      </c>
      <c r="N363" s="244">
        <v>5.5451255291700363E-2</v>
      </c>
      <c r="O363" s="244">
        <v>0</v>
      </c>
      <c r="P363" s="244">
        <v>0</v>
      </c>
      <c r="Q363" s="244">
        <v>0</v>
      </c>
      <c r="R363" s="244">
        <v>0.32778394222259521</v>
      </c>
      <c r="S363" s="244">
        <v>1.8114458322525024</v>
      </c>
      <c r="T363" s="244">
        <v>0</v>
      </c>
      <c r="U363" s="244">
        <v>3.6513762474060059</v>
      </c>
      <c r="V363" s="244" t="s">
        <v>226</v>
      </c>
      <c r="W363" s="244" t="s">
        <v>226</v>
      </c>
      <c r="X363" s="244" t="s">
        <v>226</v>
      </c>
      <c r="Y363" s="244" t="s">
        <v>226</v>
      </c>
      <c r="Z363" s="244">
        <v>0</v>
      </c>
      <c r="AA363" s="244">
        <v>0</v>
      </c>
      <c r="AB363" s="244">
        <v>0</v>
      </c>
      <c r="AC363" s="244">
        <v>0</v>
      </c>
      <c r="AD363" s="244">
        <v>0</v>
      </c>
      <c r="AE363" s="244">
        <v>0</v>
      </c>
      <c r="AF363" s="244">
        <v>0</v>
      </c>
      <c r="AG363" s="244">
        <v>0</v>
      </c>
      <c r="AH363" s="244">
        <v>0.32778394222259521</v>
      </c>
      <c r="AI363" s="244">
        <v>1.8114458322525024</v>
      </c>
      <c r="AJ363" s="244">
        <v>0</v>
      </c>
      <c r="AK363" s="244">
        <v>3.6513762474060059</v>
      </c>
      <c r="AL363" s="244">
        <v>5.7906060218811035</v>
      </c>
      <c r="AM363" s="244">
        <v>97.916900977685401</v>
      </c>
      <c r="AN363" s="244">
        <v>0</v>
      </c>
      <c r="AO363" s="244">
        <v>17.236356735229492</v>
      </c>
      <c r="AP363" s="244">
        <v>74.446670532226563</v>
      </c>
      <c r="AQ363" s="244">
        <v>189.59992980957031</v>
      </c>
      <c r="AR363" s="244">
        <v>0.32778394222259521</v>
      </c>
      <c r="AS363" s="228">
        <v>578.4295806546429</v>
      </c>
      <c r="AT363" s="244">
        <v>97.916900977685401</v>
      </c>
      <c r="AU363" s="244">
        <v>15.894044876098633</v>
      </c>
      <c r="AV363" s="244">
        <v>18.825761795043945</v>
      </c>
      <c r="AW363" s="244">
        <v>74.446670532226563</v>
      </c>
      <c r="AX363" s="244">
        <v>207.0833740234375</v>
      </c>
      <c r="AY363" s="244">
        <v>1.8114458322525024</v>
      </c>
      <c r="AZ363" s="228">
        <v>114.31938758199016</v>
      </c>
      <c r="BA363" s="244">
        <v>97.916900977685401</v>
      </c>
      <c r="BB363" s="244">
        <v>15.894044876098633</v>
      </c>
      <c r="BC363" s="244">
        <v>18.825761795043945</v>
      </c>
      <c r="BD363" s="244">
        <v>74.446670532226563</v>
      </c>
      <c r="BE363" s="244">
        <v>207.0833740234375</v>
      </c>
      <c r="BF363" s="244">
        <v>2.1392297744750977</v>
      </c>
      <c r="BG363" s="244">
        <v>-61.818397521972656</v>
      </c>
      <c r="BH363" s="228">
        <v>96.802774836034871</v>
      </c>
      <c r="BI363" s="244">
        <v>0.18932634592056274</v>
      </c>
      <c r="BJ363" s="244">
        <v>1.0462819337844849</v>
      </c>
      <c r="BK363" s="244">
        <v>0</v>
      </c>
      <c r="BL363" s="244">
        <v>2.1090164184570313</v>
      </c>
      <c r="BM363" s="244">
        <v>3.3446247577667236</v>
      </c>
      <c r="BN363" s="244">
        <v>97.916900977685401</v>
      </c>
      <c r="BO363" s="244">
        <v>0</v>
      </c>
      <c r="BP363" s="244">
        <v>15.894044876098633</v>
      </c>
      <c r="BQ363" s="244">
        <v>0</v>
      </c>
      <c r="BR363" s="244">
        <v>0</v>
      </c>
      <c r="BS363" s="244">
        <v>0</v>
      </c>
      <c r="BT363" s="244">
        <v>74.446670532226563</v>
      </c>
      <c r="BU363" s="244">
        <v>0</v>
      </c>
      <c r="BV363" s="244">
        <v>194.2620849609375</v>
      </c>
      <c r="BW363" s="244">
        <v>18.825761795043945</v>
      </c>
      <c r="BX363" s="244">
        <v>5.7906060218811035</v>
      </c>
      <c r="BY363" s="244"/>
      <c r="BZ363" s="244">
        <v>0</v>
      </c>
      <c r="CA363" s="244">
        <v>0</v>
      </c>
      <c r="CB363" s="244">
        <v>401.345458984375</v>
      </c>
      <c r="CC363" s="244">
        <v>5.7906060218811035</v>
      </c>
      <c r="CD363" s="228">
        <v>69.309751280853533</v>
      </c>
      <c r="CE363" s="244">
        <v>-171.9141845703125</v>
      </c>
      <c r="CF363" s="244">
        <v>1.0483704389715869</v>
      </c>
      <c r="CG363" s="244">
        <v>0</v>
      </c>
      <c r="CH363" s="244">
        <v>1.0483704389715869</v>
      </c>
      <c r="CI363" s="244">
        <v>5.1406242314101215E-2</v>
      </c>
      <c r="CJ363" s="244">
        <v>0</v>
      </c>
      <c r="CK363" s="244">
        <v>5.1406242314101215E-2</v>
      </c>
      <c r="CL363" s="244"/>
      <c r="CM363" s="244">
        <v>0</v>
      </c>
      <c r="CN363" s="244" t="s">
        <v>442</v>
      </c>
      <c r="CO363" s="244">
        <v>0</v>
      </c>
      <c r="CP363" s="244">
        <v>0</v>
      </c>
      <c r="CQ363" s="244">
        <v>0</v>
      </c>
      <c r="CR363" s="244">
        <v>0</v>
      </c>
      <c r="CS363" s="244">
        <v>0</v>
      </c>
      <c r="CT363" s="244">
        <v>0</v>
      </c>
      <c r="CU363" s="244">
        <v>0</v>
      </c>
      <c r="CV363" s="244">
        <v>9999</v>
      </c>
      <c r="CW363" s="228">
        <v>9999</v>
      </c>
    </row>
    <row r="364" spans="1:101">
      <c r="A364" s="221" t="s">
        <v>446</v>
      </c>
      <c r="B364" s="221" t="s">
        <v>440</v>
      </c>
      <c r="C364" s="244">
        <v>10</v>
      </c>
      <c r="D364" s="244">
        <v>0</v>
      </c>
      <c r="E364" s="244">
        <v>5.6815062014055009</v>
      </c>
      <c r="F364" s="244">
        <v>3.2966774171383419</v>
      </c>
      <c r="G364" s="244">
        <v>0</v>
      </c>
      <c r="H364" s="244">
        <v>0</v>
      </c>
      <c r="I364" s="244" t="s">
        <v>441</v>
      </c>
      <c r="J364" s="244">
        <v>0</v>
      </c>
      <c r="K364" s="244">
        <v>0</v>
      </c>
      <c r="L364" s="244">
        <v>0</v>
      </c>
      <c r="M364" s="244">
        <v>0</v>
      </c>
      <c r="N364" s="244">
        <v>0</v>
      </c>
      <c r="O364" s="244">
        <v>5.7383212634195546</v>
      </c>
      <c r="P364" s="244">
        <v>1.741357147693634E-2</v>
      </c>
      <c r="Q364" s="244">
        <v>5.4932400584220886E-2</v>
      </c>
      <c r="R364" s="244">
        <v>0.32778394222259521</v>
      </c>
      <c r="S364" s="244">
        <v>1.8114458322525024</v>
      </c>
      <c r="T364" s="244">
        <v>0</v>
      </c>
      <c r="U364" s="244">
        <v>3.6513762474060059</v>
      </c>
      <c r="V364" s="244" t="s">
        <v>226</v>
      </c>
      <c r="W364" s="244" t="s">
        <v>226</v>
      </c>
      <c r="X364" s="244" t="s">
        <v>226</v>
      </c>
      <c r="Y364" s="244" t="s">
        <v>226</v>
      </c>
      <c r="Z364" s="244">
        <v>0</v>
      </c>
      <c r="AA364" s="244">
        <v>0</v>
      </c>
      <c r="AB364" s="244">
        <v>0</v>
      </c>
      <c r="AC364" s="244">
        <v>0</v>
      </c>
      <c r="AD364" s="244">
        <v>0</v>
      </c>
      <c r="AE364" s="244">
        <v>0</v>
      </c>
      <c r="AF364" s="244">
        <v>0</v>
      </c>
      <c r="AG364" s="244">
        <v>0</v>
      </c>
      <c r="AH364" s="244">
        <v>0.32778394222259521</v>
      </c>
      <c r="AI364" s="244">
        <v>1.8114458322525024</v>
      </c>
      <c r="AJ364" s="244">
        <v>0</v>
      </c>
      <c r="AK364" s="244">
        <v>3.6513762474060059</v>
      </c>
      <c r="AL364" s="244">
        <v>5.7906060218811035</v>
      </c>
      <c r="AM364" s="244">
        <v>0</v>
      </c>
      <c r="AN364" s="244">
        <v>0</v>
      </c>
      <c r="AO364" s="244">
        <v>0</v>
      </c>
      <c r="AP364" s="244">
        <v>0</v>
      </c>
      <c r="AQ364" s="244">
        <v>0</v>
      </c>
      <c r="AR364" s="244">
        <v>0.32778394222259521</v>
      </c>
      <c r="AS364" s="255">
        <v>0</v>
      </c>
      <c r="AT364" s="244">
        <v>0</v>
      </c>
      <c r="AU364" s="244">
        <v>0</v>
      </c>
      <c r="AV364" s="244">
        <v>0</v>
      </c>
      <c r="AW364" s="244">
        <v>0</v>
      </c>
      <c r="AX364" s="244">
        <v>0</v>
      </c>
      <c r="AY364" s="244">
        <v>1.8114458322525024</v>
      </c>
      <c r="AZ364" s="255">
        <v>0</v>
      </c>
      <c r="BA364" s="244">
        <v>0</v>
      </c>
      <c r="BB364" s="244">
        <v>0</v>
      </c>
      <c r="BC364" s="244">
        <v>0</v>
      </c>
      <c r="BD364" s="244">
        <v>0</v>
      </c>
      <c r="BE364" s="244">
        <v>0</v>
      </c>
      <c r="BF364" s="244">
        <v>2.1392297744750977</v>
      </c>
      <c r="BG364" s="244">
        <v>9999</v>
      </c>
      <c r="BH364" s="255">
        <v>0</v>
      </c>
      <c r="BI364" s="244">
        <v>9999</v>
      </c>
      <c r="BJ364" s="244">
        <v>9999</v>
      </c>
      <c r="BK364" s="244">
        <v>9999</v>
      </c>
      <c r="BL364" s="244">
        <v>9999</v>
      </c>
      <c r="BM364" s="244">
        <v>9999</v>
      </c>
      <c r="BN364" s="244">
        <v>0</v>
      </c>
      <c r="BO364" s="244">
        <v>47.432218455978465</v>
      </c>
      <c r="BP364" s="244">
        <v>0</v>
      </c>
      <c r="BQ364" s="244">
        <v>0</v>
      </c>
      <c r="BR364" s="244">
        <v>0</v>
      </c>
      <c r="BS364" s="244">
        <v>0</v>
      </c>
      <c r="BT364" s="244">
        <v>0</v>
      </c>
      <c r="BU364" s="244">
        <v>0</v>
      </c>
      <c r="BV364" s="244">
        <v>194.2620849609375</v>
      </c>
      <c r="BW364" s="244">
        <v>0</v>
      </c>
      <c r="BX364" s="244">
        <v>5.7906060218811035</v>
      </c>
      <c r="BY364" s="244"/>
      <c r="BZ364" s="244">
        <v>0</v>
      </c>
      <c r="CA364" s="244">
        <v>0</v>
      </c>
      <c r="CB364" s="244">
        <v>241.69430541992187</v>
      </c>
      <c r="CC364" s="244">
        <v>5.7906060218811035</v>
      </c>
      <c r="CD364" s="228">
        <v>41.739034308951403</v>
      </c>
      <c r="CE364" s="244">
        <v>9999</v>
      </c>
      <c r="CF364" s="244">
        <v>0</v>
      </c>
      <c r="CG364" s="244">
        <v>0.53710687025606751</v>
      </c>
      <c r="CH364" s="244">
        <v>0.53710687025606751</v>
      </c>
      <c r="CI364" s="244">
        <v>0</v>
      </c>
      <c r="CJ364" s="244">
        <v>3.3569179391004386E-2</v>
      </c>
      <c r="CK364" s="244">
        <v>3.3569179391004386E-2</v>
      </c>
      <c r="CL364" s="244"/>
      <c r="CM364" s="244">
        <v>5.6815062014055009</v>
      </c>
      <c r="CN364" s="244" t="s">
        <v>442</v>
      </c>
      <c r="CO364" s="244">
        <v>0.28600001335144043</v>
      </c>
      <c r="CP364" s="244">
        <v>0.31700000166893005</v>
      </c>
      <c r="CQ364" s="244">
        <v>47.432218455978465</v>
      </c>
      <c r="CR364" s="244">
        <v>0</v>
      </c>
      <c r="CS364" s="244">
        <v>0</v>
      </c>
      <c r="CT364" s="244">
        <v>47.432216644287109</v>
      </c>
      <c r="CU364" s="244">
        <v>0</v>
      </c>
      <c r="CV364" s="244">
        <v>0</v>
      </c>
      <c r="CW364" s="228">
        <v>9999</v>
      </c>
    </row>
    <row r="365" spans="1:101">
      <c r="A365" s="221" t="s">
        <v>447</v>
      </c>
      <c r="B365" s="221" t="s">
        <v>440</v>
      </c>
      <c r="C365" s="244">
        <v>10</v>
      </c>
      <c r="D365" s="244">
        <v>40.130710320820491</v>
      </c>
      <c r="E365" s="244">
        <v>3.8918317479627684</v>
      </c>
      <c r="F365" s="244">
        <v>3.2966774171383419</v>
      </c>
      <c r="G365" s="244">
        <v>0</v>
      </c>
      <c r="H365" s="244">
        <v>0</v>
      </c>
      <c r="I365" s="244" t="s">
        <v>441</v>
      </c>
      <c r="J365" s="244">
        <v>0.28600001335144043</v>
      </c>
      <c r="K365" s="244">
        <v>0.31700000166893005</v>
      </c>
      <c r="L365" s="244">
        <v>43.761488321051445</v>
      </c>
      <c r="M365" s="244">
        <v>5.5370847694575787E-3</v>
      </c>
      <c r="N365" s="244">
        <v>1.7467144876718521E-2</v>
      </c>
      <c r="O365" s="244">
        <v>3.9307500654423957</v>
      </c>
      <c r="P365" s="244">
        <v>1.1928296647965908E-2</v>
      </c>
      <c r="Q365" s="244">
        <v>3.7628695368766785E-2</v>
      </c>
      <c r="R365" s="244">
        <v>0.32778394222259521</v>
      </c>
      <c r="S365" s="244">
        <v>1.8114458322525024</v>
      </c>
      <c r="T365" s="244">
        <v>0</v>
      </c>
      <c r="U365" s="244">
        <v>3.6513762474060059</v>
      </c>
      <c r="V365" s="244" t="s">
        <v>226</v>
      </c>
      <c r="W365" s="244" t="s">
        <v>226</v>
      </c>
      <c r="X365" s="244" t="s">
        <v>226</v>
      </c>
      <c r="Y365" s="244" t="s">
        <v>226</v>
      </c>
      <c r="Z365" s="244">
        <v>0</v>
      </c>
      <c r="AA365" s="244">
        <v>0</v>
      </c>
      <c r="AB365" s="244">
        <v>0</v>
      </c>
      <c r="AC365" s="244">
        <v>0</v>
      </c>
      <c r="AD365" s="244">
        <v>0</v>
      </c>
      <c r="AE365" s="244">
        <v>0</v>
      </c>
      <c r="AF365" s="244">
        <v>0</v>
      </c>
      <c r="AG365" s="244">
        <v>0</v>
      </c>
      <c r="AH365" s="244">
        <v>0.32778394222259521</v>
      </c>
      <c r="AI365" s="244">
        <v>1.8114458322525024</v>
      </c>
      <c r="AJ365" s="244">
        <v>0</v>
      </c>
      <c r="AK365" s="244">
        <v>3.6513762474060059</v>
      </c>
      <c r="AL365" s="244">
        <v>5.7906060218811035</v>
      </c>
      <c r="AM365" s="244">
        <v>30.843823807970868</v>
      </c>
      <c r="AN365" s="244">
        <v>0</v>
      </c>
      <c r="AO365" s="244">
        <v>5.4294519424438477</v>
      </c>
      <c r="AP365" s="244">
        <v>23.45069694519043</v>
      </c>
      <c r="AQ365" s="244">
        <v>59.723972320556641</v>
      </c>
      <c r="AR365" s="244">
        <v>0.32778394222259521</v>
      </c>
      <c r="AS365" s="228">
        <v>182.20530356257387</v>
      </c>
      <c r="AT365" s="244">
        <v>30.843823807970868</v>
      </c>
      <c r="AU365" s="244">
        <v>5.006624698638916</v>
      </c>
      <c r="AV365" s="244">
        <v>5.93011474609375</v>
      </c>
      <c r="AW365" s="244">
        <v>23.45069694519043</v>
      </c>
      <c r="AX365" s="244">
        <v>65.23126220703125</v>
      </c>
      <c r="AY365" s="244">
        <v>1.8114458322525024</v>
      </c>
      <c r="AZ365" s="228">
        <v>36.010604919264949</v>
      </c>
      <c r="BA365" s="244">
        <v>30.843823807970868</v>
      </c>
      <c r="BB365" s="244">
        <v>5.006624698638916</v>
      </c>
      <c r="BC365" s="244">
        <v>5.93011474609375</v>
      </c>
      <c r="BD365" s="244">
        <v>23.45069694519043</v>
      </c>
      <c r="BE365" s="244">
        <v>65.23126220703125</v>
      </c>
      <c r="BF365" s="244">
        <v>2.1392297744750977</v>
      </c>
      <c r="BG365" s="244">
        <v>-59.131431579589844</v>
      </c>
      <c r="BH365" s="228">
        <v>30.492872236644022</v>
      </c>
      <c r="BI365" s="244">
        <v>0.60103601217269897</v>
      </c>
      <c r="BJ365" s="244">
        <v>3.3215298652648926</v>
      </c>
      <c r="BK365" s="244">
        <v>0</v>
      </c>
      <c r="BL365" s="244">
        <v>6.6952900886535645</v>
      </c>
      <c r="BM365" s="244">
        <v>10.617856025695801</v>
      </c>
      <c r="BN365" s="244">
        <v>30.843823807970868</v>
      </c>
      <c r="BO365" s="244">
        <v>32.491069642345224</v>
      </c>
      <c r="BP365" s="244">
        <v>5.006624698638916</v>
      </c>
      <c r="BQ365" s="244">
        <v>0</v>
      </c>
      <c r="BR365" s="244">
        <v>0</v>
      </c>
      <c r="BS365" s="244">
        <v>0</v>
      </c>
      <c r="BT365" s="244">
        <v>23.45069694519043</v>
      </c>
      <c r="BU365" s="244">
        <v>0</v>
      </c>
      <c r="BV365" s="244">
        <v>194.2620849609375</v>
      </c>
      <c r="BW365" s="244">
        <v>5.93011474609375</v>
      </c>
      <c r="BX365" s="244">
        <v>5.7906060218811035</v>
      </c>
      <c r="BY365" s="244"/>
      <c r="BZ365" s="244">
        <v>0</v>
      </c>
      <c r="CA365" s="244">
        <v>0</v>
      </c>
      <c r="CB365" s="244">
        <v>291.98440551757813</v>
      </c>
      <c r="CC365" s="244">
        <v>5.7906060218811035</v>
      </c>
      <c r="CD365" s="228">
        <v>50.423809476563953</v>
      </c>
      <c r="CE365" s="244">
        <v>-468.21859741210937</v>
      </c>
      <c r="CF365" s="244">
        <v>0.33023668827604979</v>
      </c>
      <c r="CG365" s="244">
        <v>0.36791820612540704</v>
      </c>
      <c r="CH365" s="244">
        <v>0.69815489440145684</v>
      </c>
      <c r="CI365" s="244">
        <v>1.6192966328941887E-2</v>
      </c>
      <c r="CJ365" s="244">
        <v>2.2994887882838017E-2</v>
      </c>
      <c r="CK365" s="244">
        <v>3.9187854211779907E-2</v>
      </c>
      <c r="CL365" s="244"/>
      <c r="CM365" s="244">
        <v>3.8918317479627684</v>
      </c>
      <c r="CN365" s="244" t="s">
        <v>442</v>
      </c>
      <c r="CO365" s="244">
        <v>0.28600001335144043</v>
      </c>
      <c r="CP365" s="244">
        <v>0.31700000166893005</v>
      </c>
      <c r="CQ365" s="244">
        <v>32.491069642345224</v>
      </c>
      <c r="CR365" s="244">
        <v>0</v>
      </c>
      <c r="CS365" s="244">
        <v>0</v>
      </c>
      <c r="CT365" s="244">
        <v>32.491069793701172</v>
      </c>
      <c r="CU365" s="244">
        <v>0</v>
      </c>
      <c r="CV365" s="244">
        <v>0</v>
      </c>
      <c r="CW365" s="228">
        <v>9999</v>
      </c>
    </row>
    <row r="366" spans="1:101">
      <c r="A366" s="221" t="s">
        <v>448</v>
      </c>
      <c r="B366" s="221" t="s">
        <v>440</v>
      </c>
      <c r="C366" s="244">
        <v>10</v>
      </c>
      <c r="D366" s="244">
        <v>196.58914809177173</v>
      </c>
      <c r="E366" s="244">
        <v>0</v>
      </c>
      <c r="F366" s="244">
        <v>3.2966774171383419</v>
      </c>
      <c r="G366" s="244">
        <v>0</v>
      </c>
      <c r="H366" s="244">
        <v>0</v>
      </c>
      <c r="I366" s="244" t="s">
        <v>441</v>
      </c>
      <c r="J366" s="244">
        <v>0.28600001335144043</v>
      </c>
      <c r="K366" s="244">
        <v>0.31700000166893005</v>
      </c>
      <c r="L366" s="244">
        <v>214.37531604817181</v>
      </c>
      <c r="M366" s="244">
        <v>2.7124634012579918E-2</v>
      </c>
      <c r="N366" s="244">
        <v>8.5566669702529907E-2</v>
      </c>
      <c r="O366" s="244">
        <v>0</v>
      </c>
      <c r="P366" s="244">
        <v>0</v>
      </c>
      <c r="Q366" s="244">
        <v>0</v>
      </c>
      <c r="R366" s="244">
        <v>0.32778394222259521</v>
      </c>
      <c r="S366" s="244">
        <v>1.8114458322525024</v>
      </c>
      <c r="T366" s="244">
        <v>0</v>
      </c>
      <c r="U366" s="244">
        <v>3.6513762474060059</v>
      </c>
      <c r="V366" s="244" t="s">
        <v>226</v>
      </c>
      <c r="W366" s="244" t="s">
        <v>226</v>
      </c>
      <c r="X366" s="244" t="s">
        <v>226</v>
      </c>
      <c r="Y366" s="244" t="s">
        <v>226</v>
      </c>
      <c r="Z366" s="244">
        <v>0</v>
      </c>
      <c r="AA366" s="244">
        <v>0</v>
      </c>
      <c r="AB366" s="244">
        <v>0</v>
      </c>
      <c r="AC366" s="244">
        <v>0</v>
      </c>
      <c r="AD366" s="244">
        <v>0</v>
      </c>
      <c r="AE366" s="244">
        <v>0</v>
      </c>
      <c r="AF366" s="244">
        <v>0</v>
      </c>
      <c r="AG366" s="244">
        <v>0</v>
      </c>
      <c r="AH366" s="244">
        <v>0.32778394222259521</v>
      </c>
      <c r="AI366" s="244">
        <v>1.8114458322525024</v>
      </c>
      <c r="AJ366" s="244">
        <v>0</v>
      </c>
      <c r="AK366" s="244">
        <v>3.6513762474060059</v>
      </c>
      <c r="AL366" s="244">
        <v>5.7906060218811035</v>
      </c>
      <c r="AM366" s="244">
        <v>151.09528333356775</v>
      </c>
      <c r="AN366" s="244">
        <v>0</v>
      </c>
      <c r="AO366" s="244">
        <v>26.597372055053711</v>
      </c>
      <c r="AP366" s="244">
        <v>114.87843322753906</v>
      </c>
      <c r="AQ366" s="244">
        <v>292.57107543945312</v>
      </c>
      <c r="AR366" s="244">
        <v>0.32778394222259521</v>
      </c>
      <c r="AS366" s="228">
        <v>892.57297545551535</v>
      </c>
      <c r="AT366" s="244">
        <v>151.09528333356775</v>
      </c>
      <c r="AU366" s="244">
        <v>24.526056289672852</v>
      </c>
      <c r="AV366" s="244">
        <v>29.049978256225586</v>
      </c>
      <c r="AW366" s="244">
        <v>114.87843322753906</v>
      </c>
      <c r="AX366" s="244">
        <v>319.54974365234375</v>
      </c>
      <c r="AY366" s="244">
        <v>1.8114458322525024</v>
      </c>
      <c r="AZ366" s="228">
        <v>176.40591036037247</v>
      </c>
      <c r="BA366" s="244">
        <v>151.09528333356775</v>
      </c>
      <c r="BB366" s="244">
        <v>24.526056289672852</v>
      </c>
      <c r="BC366" s="244">
        <v>29.049978256225586</v>
      </c>
      <c r="BD366" s="244">
        <v>114.87843322753906</v>
      </c>
      <c r="BE366" s="244">
        <v>319.54974365234375</v>
      </c>
      <c r="BF366" s="244">
        <v>2.1392297744750977</v>
      </c>
      <c r="BG366" s="244">
        <v>-62.253269195556641</v>
      </c>
      <c r="BH366" s="228">
        <v>149.37607681036187</v>
      </c>
      <c r="BI366" s="244">
        <v>0.12269243597984314</v>
      </c>
      <c r="BJ366" s="244">
        <v>0.6780402660369873</v>
      </c>
      <c r="BK366" s="244">
        <v>0</v>
      </c>
      <c r="BL366" s="244">
        <v>1.3667426109313965</v>
      </c>
      <c r="BM366" s="244">
        <v>2.1674752235412598</v>
      </c>
      <c r="BN366" s="244">
        <v>151.09528333356775</v>
      </c>
      <c r="BO366" s="244">
        <v>0</v>
      </c>
      <c r="BP366" s="244">
        <v>24.526056289672852</v>
      </c>
      <c r="BQ366" s="244">
        <v>0</v>
      </c>
      <c r="BR366" s="244">
        <v>0</v>
      </c>
      <c r="BS366" s="244">
        <v>0</v>
      </c>
      <c r="BT366" s="244">
        <v>114.87843322753906</v>
      </c>
      <c r="BU366" s="244">
        <v>0</v>
      </c>
      <c r="BV366" s="244">
        <v>282.03976440429688</v>
      </c>
      <c r="BW366" s="244">
        <v>29.049978256225586</v>
      </c>
      <c r="BX366" s="244">
        <v>5.7906060218811035</v>
      </c>
      <c r="BY366" s="244"/>
      <c r="BZ366" s="244">
        <v>0</v>
      </c>
      <c r="CA366" s="244">
        <v>0</v>
      </c>
      <c r="CB366" s="244">
        <v>601.58953857421875</v>
      </c>
      <c r="CC366" s="244">
        <v>5.7906060218811035</v>
      </c>
      <c r="CD366" s="228">
        <v>103.89059681112154</v>
      </c>
      <c r="CE366" s="244">
        <v>-166.45651245117187</v>
      </c>
      <c r="CF366" s="244">
        <v>1.6177373562001136</v>
      </c>
      <c r="CG366" s="244">
        <v>0</v>
      </c>
      <c r="CH366" s="244">
        <v>1.6177373562001136</v>
      </c>
      <c r="CI366" s="244">
        <v>7.932482206859541E-2</v>
      </c>
      <c r="CJ366" s="244">
        <v>0</v>
      </c>
      <c r="CK366" s="244">
        <v>7.932482206859541E-2</v>
      </c>
      <c r="CL366" s="244"/>
      <c r="CM366" s="244">
        <v>0</v>
      </c>
      <c r="CN366" s="244" t="s">
        <v>442</v>
      </c>
      <c r="CO366" s="244">
        <v>0</v>
      </c>
      <c r="CP366" s="244">
        <v>0</v>
      </c>
      <c r="CQ366" s="244">
        <v>0</v>
      </c>
      <c r="CR366" s="244">
        <v>0</v>
      </c>
      <c r="CS366" s="244">
        <v>0</v>
      </c>
      <c r="CT366" s="244">
        <v>0</v>
      </c>
      <c r="CU366" s="244">
        <v>0</v>
      </c>
      <c r="CV366" s="244">
        <v>9999</v>
      </c>
      <c r="CW366" s="228">
        <v>9999</v>
      </c>
    </row>
    <row r="367" spans="1:101">
      <c r="A367" s="221" t="s">
        <v>449</v>
      </c>
      <c r="B367" s="221" t="s">
        <v>440</v>
      </c>
      <c r="C367" s="244">
        <v>10</v>
      </c>
      <c r="D367" s="244">
        <v>0</v>
      </c>
      <c r="E367" s="244">
        <v>8.76711559180597</v>
      </c>
      <c r="F367" s="244">
        <v>3.2966774171383419</v>
      </c>
      <c r="G367" s="244">
        <v>0</v>
      </c>
      <c r="H367" s="244">
        <v>0</v>
      </c>
      <c r="I367" s="244" t="s">
        <v>441</v>
      </c>
      <c r="J367" s="244">
        <v>0</v>
      </c>
      <c r="K367" s="244">
        <v>0</v>
      </c>
      <c r="L367" s="244">
        <v>0</v>
      </c>
      <c r="M367" s="244">
        <v>0</v>
      </c>
      <c r="N367" s="244">
        <v>0</v>
      </c>
      <c r="O367" s="244">
        <v>8.8547867477240274</v>
      </c>
      <c r="P367" s="244">
        <v>2.6870831847190857E-2</v>
      </c>
      <c r="Q367" s="244">
        <v>8.4766030311584473E-2</v>
      </c>
      <c r="R367" s="244">
        <v>0.32778394222259521</v>
      </c>
      <c r="S367" s="244">
        <v>1.8114458322525024</v>
      </c>
      <c r="T367" s="244">
        <v>0</v>
      </c>
      <c r="U367" s="244">
        <v>3.6513762474060059</v>
      </c>
      <c r="V367" s="244" t="s">
        <v>226</v>
      </c>
      <c r="W367" s="244" t="s">
        <v>226</v>
      </c>
      <c r="X367" s="244" t="s">
        <v>226</v>
      </c>
      <c r="Y367" s="244" t="s">
        <v>226</v>
      </c>
      <c r="Z367" s="244">
        <v>0</v>
      </c>
      <c r="AA367" s="244">
        <v>0</v>
      </c>
      <c r="AB367" s="244">
        <v>0</v>
      </c>
      <c r="AC367" s="244">
        <v>0</v>
      </c>
      <c r="AD367" s="244">
        <v>0</v>
      </c>
      <c r="AE367" s="244">
        <v>0</v>
      </c>
      <c r="AF367" s="244">
        <v>0</v>
      </c>
      <c r="AG367" s="244">
        <v>0</v>
      </c>
      <c r="AH367" s="244">
        <v>0.32778394222259521</v>
      </c>
      <c r="AI367" s="244">
        <v>1.8114458322525024</v>
      </c>
      <c r="AJ367" s="244">
        <v>0</v>
      </c>
      <c r="AK367" s="244">
        <v>3.6513762474060059</v>
      </c>
      <c r="AL367" s="244">
        <v>5.7906060218811035</v>
      </c>
      <c r="AM367" s="244">
        <v>0</v>
      </c>
      <c r="AN367" s="244">
        <v>0</v>
      </c>
      <c r="AO367" s="244">
        <v>0</v>
      </c>
      <c r="AP367" s="244">
        <v>0</v>
      </c>
      <c r="AQ367" s="244">
        <v>0</v>
      </c>
      <c r="AR367" s="244">
        <v>0.32778394222259521</v>
      </c>
      <c r="AS367" s="255">
        <v>0</v>
      </c>
      <c r="AT367" s="244">
        <v>0</v>
      </c>
      <c r="AU367" s="244">
        <v>0</v>
      </c>
      <c r="AV367" s="244">
        <v>0</v>
      </c>
      <c r="AW367" s="244">
        <v>0</v>
      </c>
      <c r="AX367" s="244">
        <v>0</v>
      </c>
      <c r="AY367" s="244">
        <v>1.8114458322525024</v>
      </c>
      <c r="AZ367" s="255">
        <v>0</v>
      </c>
      <c r="BA367" s="244">
        <v>0</v>
      </c>
      <c r="BB367" s="244">
        <v>0</v>
      </c>
      <c r="BC367" s="244">
        <v>0</v>
      </c>
      <c r="BD367" s="244">
        <v>0</v>
      </c>
      <c r="BE367" s="244">
        <v>0</v>
      </c>
      <c r="BF367" s="244">
        <v>2.1392297744750977</v>
      </c>
      <c r="BG367" s="244">
        <v>9999</v>
      </c>
      <c r="BH367" s="255">
        <v>0</v>
      </c>
      <c r="BI367" s="244">
        <v>9999</v>
      </c>
      <c r="BJ367" s="244">
        <v>9999</v>
      </c>
      <c r="BK367" s="244">
        <v>9999</v>
      </c>
      <c r="BL367" s="244">
        <v>9999</v>
      </c>
      <c r="BM367" s="244">
        <v>9999</v>
      </c>
      <c r="BN367" s="244">
        <v>0</v>
      </c>
      <c r="BO367" s="244">
        <v>73.192517483565098</v>
      </c>
      <c r="BP367" s="244">
        <v>0</v>
      </c>
      <c r="BQ367" s="244">
        <v>0</v>
      </c>
      <c r="BR367" s="244">
        <v>0</v>
      </c>
      <c r="BS367" s="244">
        <v>0</v>
      </c>
      <c r="BT367" s="244">
        <v>0</v>
      </c>
      <c r="BU367" s="244">
        <v>0</v>
      </c>
      <c r="BV367" s="244">
        <v>282.03976440429688</v>
      </c>
      <c r="BW367" s="244">
        <v>0</v>
      </c>
      <c r="BX367" s="244">
        <v>5.7906060218811035</v>
      </c>
      <c r="BY367" s="244"/>
      <c r="BZ367" s="244">
        <v>0</v>
      </c>
      <c r="CA367" s="244">
        <v>0</v>
      </c>
      <c r="CB367" s="244">
        <v>355.23226928710937</v>
      </c>
      <c r="CC367" s="244">
        <v>5.7906060218811035</v>
      </c>
      <c r="CD367" s="228">
        <v>61.346304781492151</v>
      </c>
      <c r="CE367" s="244">
        <v>9999</v>
      </c>
      <c r="CF367" s="244">
        <v>0</v>
      </c>
      <c r="CG367" s="244">
        <v>0.82880803958696592</v>
      </c>
      <c r="CH367" s="244">
        <v>0.82880803958696592</v>
      </c>
      <c r="CI367" s="244">
        <v>0</v>
      </c>
      <c r="CJ367" s="244">
        <v>5.1800502474185536E-2</v>
      </c>
      <c r="CK367" s="244">
        <v>5.1800502474185536E-2</v>
      </c>
      <c r="CL367" s="244"/>
      <c r="CM367" s="244">
        <v>8.76711559180597</v>
      </c>
      <c r="CN367" s="244" t="s">
        <v>442</v>
      </c>
      <c r="CO367" s="244">
        <v>0.28600001335144043</v>
      </c>
      <c r="CP367" s="244">
        <v>0.31700000166893005</v>
      </c>
      <c r="CQ367" s="244">
        <v>73.192517483565098</v>
      </c>
      <c r="CR367" s="244">
        <v>0</v>
      </c>
      <c r="CS367" s="244">
        <v>0</v>
      </c>
      <c r="CT367" s="244">
        <v>73.192520141601562</v>
      </c>
      <c r="CU367" s="244">
        <v>0</v>
      </c>
      <c r="CV367" s="244">
        <v>0</v>
      </c>
      <c r="CW367" s="228">
        <v>9999</v>
      </c>
    </row>
    <row r="368" spans="1:101">
      <c r="A368" s="221" t="s">
        <v>450</v>
      </c>
      <c r="B368" s="221" t="s">
        <v>440</v>
      </c>
      <c r="C368" s="244">
        <v>10</v>
      </c>
      <c r="D368" s="244">
        <v>61.925581648908093</v>
      </c>
      <c r="E368" s="244">
        <v>6.0054741803870897</v>
      </c>
      <c r="F368" s="244">
        <v>3.2966774171383419</v>
      </c>
      <c r="G368" s="244">
        <v>0</v>
      </c>
      <c r="H368" s="244">
        <v>0</v>
      </c>
      <c r="I368" s="244" t="s">
        <v>441</v>
      </c>
      <c r="J368" s="244">
        <v>0.28600001335144043</v>
      </c>
      <c r="K368" s="244">
        <v>0.31700000166893005</v>
      </c>
      <c r="L368" s="244">
        <v>67.52822455517412</v>
      </c>
      <c r="M368" s="244">
        <v>8.5442597046494484E-3</v>
      </c>
      <c r="N368" s="244">
        <v>2.6953499764204025E-2</v>
      </c>
      <c r="O368" s="244">
        <v>6.0655289221909587</v>
      </c>
      <c r="P368" s="244">
        <v>1.8406519666314125E-2</v>
      </c>
      <c r="Q368" s="244">
        <v>5.8064728975296021E-2</v>
      </c>
      <c r="R368" s="244">
        <v>0.32778394222259521</v>
      </c>
      <c r="S368" s="244">
        <v>1.8114458322525024</v>
      </c>
      <c r="T368" s="244">
        <v>0</v>
      </c>
      <c r="U368" s="244">
        <v>3.6513762474060059</v>
      </c>
      <c r="V368" s="244" t="s">
        <v>226</v>
      </c>
      <c r="W368" s="244" t="s">
        <v>226</v>
      </c>
      <c r="X368" s="244" t="s">
        <v>226</v>
      </c>
      <c r="Y368" s="244" t="s">
        <v>226</v>
      </c>
      <c r="Z368" s="244">
        <v>0</v>
      </c>
      <c r="AA368" s="244">
        <v>0</v>
      </c>
      <c r="AB368" s="244">
        <v>0</v>
      </c>
      <c r="AC368" s="244">
        <v>0</v>
      </c>
      <c r="AD368" s="244">
        <v>0</v>
      </c>
      <c r="AE368" s="244">
        <v>0</v>
      </c>
      <c r="AF368" s="244">
        <v>0</v>
      </c>
      <c r="AG368" s="244">
        <v>0</v>
      </c>
      <c r="AH368" s="244">
        <v>0.32778394222259521</v>
      </c>
      <c r="AI368" s="244">
        <v>1.8114458322525024</v>
      </c>
      <c r="AJ368" s="244">
        <v>0</v>
      </c>
      <c r="AK368" s="244">
        <v>3.6513762474060059</v>
      </c>
      <c r="AL368" s="244">
        <v>5.7906060218811035</v>
      </c>
      <c r="AM368" s="244">
        <v>47.595014250073852</v>
      </c>
      <c r="AN368" s="244">
        <v>0</v>
      </c>
      <c r="AO368" s="244">
        <v>8.3781719207763672</v>
      </c>
      <c r="AP368" s="244">
        <v>36.186702728271484</v>
      </c>
      <c r="AQ368" s="244">
        <v>92.159889221191406</v>
      </c>
      <c r="AR368" s="244">
        <v>0.32778394222259521</v>
      </c>
      <c r="AS368" s="228">
        <v>281.16047501966017</v>
      </c>
      <c r="AT368" s="244">
        <v>47.595014250073852</v>
      </c>
      <c r="AU368" s="244">
        <v>7.7257070541381836</v>
      </c>
      <c r="AV368" s="244">
        <v>9.1507425308227539</v>
      </c>
      <c r="AW368" s="244">
        <v>36.186702728271484</v>
      </c>
      <c r="AX368" s="244">
        <v>100.65816497802734</v>
      </c>
      <c r="AY368" s="244">
        <v>1.8114458322525024</v>
      </c>
      <c r="AZ368" s="228">
        <v>55.567858983748657</v>
      </c>
      <c r="BA368" s="244">
        <v>47.595014250073852</v>
      </c>
      <c r="BB368" s="244">
        <v>7.7257070541381836</v>
      </c>
      <c r="BC368" s="244">
        <v>9.1507425308227539</v>
      </c>
      <c r="BD368" s="244">
        <v>36.186702728271484</v>
      </c>
      <c r="BE368" s="244">
        <v>100.65816497802734</v>
      </c>
      <c r="BF368" s="244">
        <v>2.1392297744750977</v>
      </c>
      <c r="BG368" s="244">
        <v>-60.511989593505859</v>
      </c>
      <c r="BH368" s="228">
        <v>47.053461841425964</v>
      </c>
      <c r="BI368" s="244">
        <v>0.38949981331825256</v>
      </c>
      <c r="BJ368" s="244">
        <v>2.1525087356567383</v>
      </c>
      <c r="BK368" s="244">
        <v>0</v>
      </c>
      <c r="BL368" s="244">
        <v>4.3388652801513672</v>
      </c>
      <c r="BM368" s="244">
        <v>6.8808736801147461</v>
      </c>
      <c r="BN368" s="244">
        <v>47.595014250073852</v>
      </c>
      <c r="BO368" s="244">
        <v>50.13687447624207</v>
      </c>
      <c r="BP368" s="244">
        <v>7.7257070541381836</v>
      </c>
      <c r="BQ368" s="244">
        <v>0</v>
      </c>
      <c r="BR368" s="244">
        <v>0</v>
      </c>
      <c r="BS368" s="244">
        <v>0</v>
      </c>
      <c r="BT368" s="244">
        <v>36.186702728271484</v>
      </c>
      <c r="BU368" s="244">
        <v>0</v>
      </c>
      <c r="BV368" s="244">
        <v>282.03976440429688</v>
      </c>
      <c r="BW368" s="244">
        <v>9.1507425308227539</v>
      </c>
      <c r="BX368" s="244">
        <v>5.7906060218811035</v>
      </c>
      <c r="BY368" s="244"/>
      <c r="BZ368" s="244">
        <v>0</v>
      </c>
      <c r="CA368" s="244">
        <v>0</v>
      </c>
      <c r="CB368" s="244">
        <v>432.83480834960937</v>
      </c>
      <c r="CC368" s="244">
        <v>5.7906060218811035</v>
      </c>
      <c r="CD368" s="228">
        <v>74.747755901244503</v>
      </c>
      <c r="CE368" s="244">
        <v>-450.8927001953125</v>
      </c>
      <c r="CF368" s="244">
        <v>0.5095872672030356</v>
      </c>
      <c r="CG368" s="244">
        <v>0.56773350711707815</v>
      </c>
      <c r="CH368" s="244">
        <v>1.0773207743201136</v>
      </c>
      <c r="CI368" s="244">
        <v>2.4987318951607548E-2</v>
      </c>
      <c r="CJ368" s="244">
        <v>3.5483344194817093E-2</v>
      </c>
      <c r="CK368" s="244">
        <v>6.0470663146424644E-2</v>
      </c>
      <c r="CL368" s="244"/>
      <c r="CM368" s="244">
        <v>6.0054741803870897</v>
      </c>
      <c r="CN368" s="244" t="s">
        <v>442</v>
      </c>
      <c r="CO368" s="244">
        <v>0.28600001335144043</v>
      </c>
      <c r="CP368" s="244">
        <v>0.31700000166893005</v>
      </c>
      <c r="CQ368" s="244">
        <v>50.13687447624207</v>
      </c>
      <c r="CR368" s="244">
        <v>0</v>
      </c>
      <c r="CS368" s="244">
        <v>0</v>
      </c>
      <c r="CT368" s="244">
        <v>50.136875152587891</v>
      </c>
      <c r="CU368" s="244">
        <v>0</v>
      </c>
      <c r="CV368" s="244">
        <v>0</v>
      </c>
      <c r="CW368" s="228">
        <v>9999</v>
      </c>
    </row>
    <row r="369" spans="1:101">
      <c r="A369" s="221" t="s">
        <v>451</v>
      </c>
      <c r="B369" s="221" t="s">
        <v>440</v>
      </c>
      <c r="C369" s="244">
        <v>10</v>
      </c>
      <c r="D369" s="244">
        <v>143.25031396089079</v>
      </c>
      <c r="E369" s="244">
        <v>0</v>
      </c>
      <c r="F369" s="244">
        <v>11.336666666666666</v>
      </c>
      <c r="G369" s="244">
        <v>0</v>
      </c>
      <c r="H369" s="244">
        <v>0</v>
      </c>
      <c r="I369" s="244" t="s">
        <v>441</v>
      </c>
      <c r="J369" s="244">
        <v>0.28600001335144043</v>
      </c>
      <c r="K369" s="244">
        <v>0.31700000166893005</v>
      </c>
      <c r="L369" s="244">
        <v>156.21071471874973</v>
      </c>
      <c r="M369" s="244">
        <v>1.9765142351388931E-2</v>
      </c>
      <c r="N369" s="244">
        <v>6.2350604683160782E-2</v>
      </c>
      <c r="O369" s="244">
        <v>0</v>
      </c>
      <c r="P369" s="244">
        <v>0</v>
      </c>
      <c r="Q369" s="244">
        <v>0</v>
      </c>
      <c r="R369" s="244">
        <v>1.1271885633468628</v>
      </c>
      <c r="S369" s="244">
        <v>6.2292284965515137</v>
      </c>
      <c r="T369" s="244">
        <v>0</v>
      </c>
      <c r="U369" s="244">
        <v>12.556410789489746</v>
      </c>
      <c r="V369" s="244" t="s">
        <v>226</v>
      </c>
      <c r="W369" s="244" t="s">
        <v>226</v>
      </c>
      <c r="X369" s="244" t="s">
        <v>226</v>
      </c>
      <c r="Y369" s="244" t="s">
        <v>226</v>
      </c>
      <c r="Z369" s="244">
        <v>0</v>
      </c>
      <c r="AA369" s="244">
        <v>0</v>
      </c>
      <c r="AB369" s="244">
        <v>0</v>
      </c>
      <c r="AC369" s="244">
        <v>0</v>
      </c>
      <c r="AD369" s="244">
        <v>0</v>
      </c>
      <c r="AE369" s="244">
        <v>0</v>
      </c>
      <c r="AF369" s="244">
        <v>0</v>
      </c>
      <c r="AG369" s="244">
        <v>0</v>
      </c>
      <c r="AH369" s="244">
        <v>1.1271885633468628</v>
      </c>
      <c r="AI369" s="244">
        <v>6.2292284965515137</v>
      </c>
      <c r="AJ369" s="244">
        <v>0</v>
      </c>
      <c r="AK369" s="244">
        <v>12.556410789489746</v>
      </c>
      <c r="AL369" s="244">
        <v>19.912827849388123</v>
      </c>
      <c r="AM369" s="244">
        <v>110.09990625443514</v>
      </c>
      <c r="AN369" s="244">
        <v>0</v>
      </c>
      <c r="AO369" s="244">
        <v>19.380937576293945</v>
      </c>
      <c r="AP369" s="244">
        <v>83.709465026855469</v>
      </c>
      <c r="AQ369" s="244">
        <v>213.1903076171875</v>
      </c>
      <c r="AR369" s="244">
        <v>1.1271885633468628</v>
      </c>
      <c r="AS369" s="228">
        <v>189.13455635548428</v>
      </c>
      <c r="AT369" s="244">
        <v>110.09990625443514</v>
      </c>
      <c r="AU369" s="244">
        <v>17.871614456176758</v>
      </c>
      <c r="AV369" s="244">
        <v>21.168098449707031</v>
      </c>
      <c r="AW369" s="244">
        <v>83.709465026855469</v>
      </c>
      <c r="AX369" s="244">
        <v>232.84909057617187</v>
      </c>
      <c r="AY369" s="244">
        <v>6.2292284965515137</v>
      </c>
      <c r="AZ369" s="228">
        <v>37.380083956798039</v>
      </c>
      <c r="BA369" s="244">
        <v>110.09990625443514</v>
      </c>
      <c r="BB369" s="244">
        <v>17.871614456176758</v>
      </c>
      <c r="BC369" s="244">
        <v>21.168098449707031</v>
      </c>
      <c r="BD369" s="244">
        <v>83.709465026855469</v>
      </c>
      <c r="BE369" s="244">
        <v>232.84909057617187</v>
      </c>
      <c r="BF369" s="244">
        <v>7.356417179107666</v>
      </c>
      <c r="BG369" s="244">
        <v>-59.275150299072266</v>
      </c>
      <c r="BH369" s="228">
        <v>31.652512669039872</v>
      </c>
      <c r="BI369" s="244">
        <v>0.57901614904403687</v>
      </c>
      <c r="BJ369" s="244">
        <v>3.199840784072876</v>
      </c>
      <c r="BK369" s="244">
        <v>0</v>
      </c>
      <c r="BL369" s="244">
        <v>6.4499983787536621</v>
      </c>
      <c r="BM369" s="244">
        <v>10.228855133056641</v>
      </c>
      <c r="BN369" s="244">
        <v>110.09990625443514</v>
      </c>
      <c r="BO369" s="244">
        <v>0</v>
      </c>
      <c r="BP369" s="244">
        <v>17.871614456176758</v>
      </c>
      <c r="BQ369" s="244">
        <v>0</v>
      </c>
      <c r="BR369" s="244">
        <v>0</v>
      </c>
      <c r="BS369" s="244">
        <v>0</v>
      </c>
      <c r="BT369" s="244">
        <v>83.709465026855469</v>
      </c>
      <c r="BU369" s="244">
        <v>0</v>
      </c>
      <c r="BV369" s="244">
        <v>207.21290588378906</v>
      </c>
      <c r="BW369" s="244">
        <v>21.168098449707031</v>
      </c>
      <c r="BX369" s="244">
        <v>19.91282844543457</v>
      </c>
      <c r="BY369" s="244"/>
      <c r="BZ369" s="244">
        <v>0</v>
      </c>
      <c r="CA369" s="244">
        <v>0</v>
      </c>
      <c r="CB369" s="244">
        <v>440.06198120117187</v>
      </c>
      <c r="CC369" s="244">
        <v>19.91282844543457</v>
      </c>
      <c r="CD369" s="228">
        <v>22.099421550124227</v>
      </c>
      <c r="CE369" s="244">
        <v>-159.26663208007813</v>
      </c>
      <c r="CF369" s="244">
        <v>1.1788106639220304</v>
      </c>
      <c r="CG369" s="244">
        <v>0</v>
      </c>
      <c r="CH369" s="244">
        <v>1.1788106639220304</v>
      </c>
      <c r="CI369" s="244">
        <v>5.7802303822556224E-2</v>
      </c>
      <c r="CJ369" s="244">
        <v>0</v>
      </c>
      <c r="CK369" s="244">
        <v>5.7802303822556224E-2</v>
      </c>
      <c r="CL369" s="244"/>
      <c r="CM369" s="244">
        <v>0</v>
      </c>
      <c r="CN369" s="244" t="s">
        <v>442</v>
      </c>
      <c r="CO369" s="244">
        <v>0</v>
      </c>
      <c r="CP369" s="244">
        <v>0</v>
      </c>
      <c r="CQ369" s="244">
        <v>0</v>
      </c>
      <c r="CR369" s="244">
        <v>0</v>
      </c>
      <c r="CS369" s="244">
        <v>0</v>
      </c>
      <c r="CT369" s="244">
        <v>0</v>
      </c>
      <c r="CU369" s="244">
        <v>0</v>
      </c>
      <c r="CV369" s="244">
        <v>9999</v>
      </c>
      <c r="CW369" s="228">
        <v>9999</v>
      </c>
    </row>
    <row r="370" spans="1:101">
      <c r="A370" s="221" t="s">
        <v>452</v>
      </c>
      <c r="B370" s="221" t="s">
        <v>440</v>
      </c>
      <c r="C370" s="244">
        <v>10</v>
      </c>
      <c r="D370" s="244">
        <v>0</v>
      </c>
      <c r="E370" s="244">
        <v>6.3884099058781763</v>
      </c>
      <c r="F370" s="244">
        <v>11.336666666666666</v>
      </c>
      <c r="G370" s="244">
        <v>0</v>
      </c>
      <c r="H370" s="244">
        <v>0</v>
      </c>
      <c r="I370" s="244" t="s">
        <v>441</v>
      </c>
      <c r="J370" s="244">
        <v>0</v>
      </c>
      <c r="K370" s="244">
        <v>0</v>
      </c>
      <c r="L370" s="244">
        <v>0</v>
      </c>
      <c r="M370" s="244">
        <v>0</v>
      </c>
      <c r="N370" s="244">
        <v>0</v>
      </c>
      <c r="O370" s="244">
        <v>6.4522940049369595</v>
      </c>
      <c r="P370" s="244">
        <v>1.958020031452179E-2</v>
      </c>
      <c r="Q370" s="244">
        <v>6.1767194420099258E-2</v>
      </c>
      <c r="R370" s="244">
        <v>1.1271885633468628</v>
      </c>
      <c r="S370" s="244">
        <v>6.2292284965515137</v>
      </c>
      <c r="T370" s="244">
        <v>0</v>
      </c>
      <c r="U370" s="244">
        <v>12.556410789489746</v>
      </c>
      <c r="V370" s="244" t="s">
        <v>226</v>
      </c>
      <c r="W370" s="244" t="s">
        <v>226</v>
      </c>
      <c r="X370" s="244" t="s">
        <v>226</v>
      </c>
      <c r="Y370" s="244" t="s">
        <v>226</v>
      </c>
      <c r="Z370" s="244">
        <v>0</v>
      </c>
      <c r="AA370" s="244">
        <v>0</v>
      </c>
      <c r="AB370" s="244">
        <v>0</v>
      </c>
      <c r="AC370" s="244">
        <v>0</v>
      </c>
      <c r="AD370" s="244">
        <v>0</v>
      </c>
      <c r="AE370" s="244">
        <v>0</v>
      </c>
      <c r="AF370" s="244">
        <v>0</v>
      </c>
      <c r="AG370" s="244">
        <v>0</v>
      </c>
      <c r="AH370" s="244">
        <v>1.1271885633468628</v>
      </c>
      <c r="AI370" s="244">
        <v>6.2292284965515137</v>
      </c>
      <c r="AJ370" s="244">
        <v>0</v>
      </c>
      <c r="AK370" s="244">
        <v>12.556410789489746</v>
      </c>
      <c r="AL370" s="244">
        <v>19.912827849388123</v>
      </c>
      <c r="AM370" s="244">
        <v>0</v>
      </c>
      <c r="AN370" s="244">
        <v>0</v>
      </c>
      <c r="AO370" s="244">
        <v>0</v>
      </c>
      <c r="AP370" s="244">
        <v>0</v>
      </c>
      <c r="AQ370" s="244">
        <v>0</v>
      </c>
      <c r="AR370" s="244">
        <v>1.1271885633468628</v>
      </c>
      <c r="AS370" s="255">
        <v>0</v>
      </c>
      <c r="AT370" s="244">
        <v>0</v>
      </c>
      <c r="AU370" s="244">
        <v>0</v>
      </c>
      <c r="AV370" s="244">
        <v>0</v>
      </c>
      <c r="AW370" s="244">
        <v>0</v>
      </c>
      <c r="AX370" s="244">
        <v>0</v>
      </c>
      <c r="AY370" s="244">
        <v>6.2292284965515137</v>
      </c>
      <c r="AZ370" s="255">
        <v>0</v>
      </c>
      <c r="BA370" s="244">
        <v>0</v>
      </c>
      <c r="BB370" s="244">
        <v>0</v>
      </c>
      <c r="BC370" s="244">
        <v>0</v>
      </c>
      <c r="BD370" s="244">
        <v>0</v>
      </c>
      <c r="BE370" s="244">
        <v>0</v>
      </c>
      <c r="BF370" s="244">
        <v>7.356417179107666</v>
      </c>
      <c r="BG370" s="244">
        <v>9999</v>
      </c>
      <c r="BH370" s="255">
        <v>0</v>
      </c>
      <c r="BI370" s="244">
        <v>9999</v>
      </c>
      <c r="BJ370" s="244">
        <v>9999</v>
      </c>
      <c r="BK370" s="244">
        <v>9999</v>
      </c>
      <c r="BL370" s="244">
        <v>9999</v>
      </c>
      <c r="BM370" s="244">
        <v>9999</v>
      </c>
      <c r="BN370" s="244">
        <v>0</v>
      </c>
      <c r="BO370" s="244">
        <v>53.33382442968896</v>
      </c>
      <c r="BP370" s="244">
        <v>0</v>
      </c>
      <c r="BQ370" s="244">
        <v>0</v>
      </c>
      <c r="BR370" s="244">
        <v>0</v>
      </c>
      <c r="BS370" s="244">
        <v>0</v>
      </c>
      <c r="BT370" s="244">
        <v>0</v>
      </c>
      <c r="BU370" s="244">
        <v>0</v>
      </c>
      <c r="BV370" s="244">
        <v>207.21290588378906</v>
      </c>
      <c r="BW370" s="244">
        <v>0</v>
      </c>
      <c r="BX370" s="244">
        <v>19.91282844543457</v>
      </c>
      <c r="BY370" s="244"/>
      <c r="BZ370" s="244">
        <v>0</v>
      </c>
      <c r="CA370" s="244">
        <v>0</v>
      </c>
      <c r="CB370" s="244">
        <v>260.54672241210937</v>
      </c>
      <c r="CC370" s="244">
        <v>19.91282844543457</v>
      </c>
      <c r="CD370" s="228">
        <v>13.084365740780223</v>
      </c>
      <c r="CE370" s="244">
        <v>9999</v>
      </c>
      <c r="CF370" s="244">
        <v>0</v>
      </c>
      <c r="CG370" s="244">
        <v>0.60393471886209427</v>
      </c>
      <c r="CH370" s="244">
        <v>0.60393471886209427</v>
      </c>
      <c r="CI370" s="244">
        <v>0</v>
      </c>
      <c r="CJ370" s="244">
        <v>3.7745919928881218E-2</v>
      </c>
      <c r="CK370" s="244">
        <v>3.7745919928881218E-2</v>
      </c>
      <c r="CL370" s="244"/>
      <c r="CM370" s="244">
        <v>6.3884099058781763</v>
      </c>
      <c r="CN370" s="244" t="s">
        <v>442</v>
      </c>
      <c r="CO370" s="244">
        <v>0.28600001335144043</v>
      </c>
      <c r="CP370" s="244">
        <v>0.31700000166893005</v>
      </c>
      <c r="CQ370" s="244">
        <v>53.33382442968896</v>
      </c>
      <c r="CR370" s="244">
        <v>0</v>
      </c>
      <c r="CS370" s="244">
        <v>0</v>
      </c>
      <c r="CT370" s="244">
        <v>53.333824157714844</v>
      </c>
      <c r="CU370" s="244">
        <v>0</v>
      </c>
      <c r="CV370" s="244">
        <v>0</v>
      </c>
      <c r="CW370" s="228">
        <v>9999</v>
      </c>
    </row>
    <row r="371" spans="1:101">
      <c r="A371" s="221" t="s">
        <v>453</v>
      </c>
      <c r="B371" s="221" t="s">
        <v>440</v>
      </c>
      <c r="C371" s="244">
        <v>10</v>
      </c>
      <c r="D371" s="244">
        <v>45.123848897680602</v>
      </c>
      <c r="E371" s="244">
        <v>4.3760607855265512</v>
      </c>
      <c r="F371" s="244">
        <v>11.336666666666666</v>
      </c>
      <c r="G371" s="244">
        <v>0</v>
      </c>
      <c r="H371" s="244">
        <v>0</v>
      </c>
      <c r="I371" s="244" t="s">
        <v>441</v>
      </c>
      <c r="J371" s="244">
        <v>0.28600001335144043</v>
      </c>
      <c r="K371" s="244">
        <v>0.31700000166893005</v>
      </c>
      <c r="L371" s="244">
        <v>49.206375136406166</v>
      </c>
      <c r="M371" s="244">
        <v>6.2260194681584835E-3</v>
      </c>
      <c r="N371" s="244">
        <v>1.9640440121293068E-2</v>
      </c>
      <c r="O371" s="244">
        <v>4.4198213933818176</v>
      </c>
      <c r="P371" s="244">
        <v>1.3412437401711941E-2</v>
      </c>
      <c r="Q371" s="244">
        <v>4.2310528457164764E-2</v>
      </c>
      <c r="R371" s="244">
        <v>1.1271885633468628</v>
      </c>
      <c r="S371" s="244">
        <v>6.2292284965515137</v>
      </c>
      <c r="T371" s="244">
        <v>0</v>
      </c>
      <c r="U371" s="244">
        <v>12.556410789489746</v>
      </c>
      <c r="V371" s="244" t="s">
        <v>226</v>
      </c>
      <c r="W371" s="244" t="s">
        <v>226</v>
      </c>
      <c r="X371" s="244" t="s">
        <v>226</v>
      </c>
      <c r="Y371" s="244" t="s">
        <v>226</v>
      </c>
      <c r="Z371" s="244">
        <v>0</v>
      </c>
      <c r="AA371" s="244">
        <v>0</v>
      </c>
      <c r="AB371" s="244">
        <v>0</v>
      </c>
      <c r="AC371" s="244">
        <v>0</v>
      </c>
      <c r="AD371" s="244">
        <v>0</v>
      </c>
      <c r="AE371" s="244">
        <v>0</v>
      </c>
      <c r="AF371" s="244">
        <v>0</v>
      </c>
      <c r="AG371" s="244">
        <v>0</v>
      </c>
      <c r="AH371" s="244">
        <v>1.1271885633468628</v>
      </c>
      <c r="AI371" s="244">
        <v>6.2292284965515137</v>
      </c>
      <c r="AJ371" s="244">
        <v>0</v>
      </c>
      <c r="AK371" s="244">
        <v>12.556410789489746</v>
      </c>
      <c r="AL371" s="244">
        <v>19.912827849388123</v>
      </c>
      <c r="AM371" s="244">
        <v>34.681470470147012</v>
      </c>
      <c r="AN371" s="244">
        <v>0</v>
      </c>
      <c r="AO371" s="244">
        <v>6.1049947738647461</v>
      </c>
      <c r="AP371" s="244">
        <v>26.368476867675781</v>
      </c>
      <c r="AQ371" s="244">
        <v>67.154945373535156</v>
      </c>
      <c r="AR371" s="244">
        <v>1.1271885633468628</v>
      </c>
      <c r="AS371" s="228">
        <v>59.577380657846838</v>
      </c>
      <c r="AT371" s="244">
        <v>34.681470470147012</v>
      </c>
      <c r="AU371" s="244">
        <v>5.6295585632324219</v>
      </c>
      <c r="AV371" s="244">
        <v>6.6679506301879883</v>
      </c>
      <c r="AW371" s="244">
        <v>26.368476867675781</v>
      </c>
      <c r="AX371" s="244">
        <v>73.347457885742188</v>
      </c>
      <c r="AY371" s="244">
        <v>6.2292284965515137</v>
      </c>
      <c r="AZ371" s="228">
        <v>11.774725645695641</v>
      </c>
      <c r="BA371" s="244">
        <v>34.681470470147012</v>
      </c>
      <c r="BB371" s="244">
        <v>5.6295585632324219</v>
      </c>
      <c r="BC371" s="244">
        <v>6.6679506301879883</v>
      </c>
      <c r="BD371" s="244">
        <v>26.368476867675781</v>
      </c>
      <c r="BE371" s="244">
        <v>73.347457885742188</v>
      </c>
      <c r="BF371" s="244">
        <v>7.356417179107666</v>
      </c>
      <c r="BG371" s="244">
        <v>-51.057628631591797</v>
      </c>
      <c r="BH371" s="228">
        <v>9.9705408127385926</v>
      </c>
      <c r="BI371" s="244">
        <v>1.8381465673446655</v>
      </c>
      <c r="BJ371" s="244">
        <v>10.158224105834961</v>
      </c>
      <c r="BK371" s="244">
        <v>0</v>
      </c>
      <c r="BL371" s="244">
        <v>20.476186752319336</v>
      </c>
      <c r="BM371" s="244">
        <v>32.472557067871094</v>
      </c>
      <c r="BN371" s="244">
        <v>34.681470470147012</v>
      </c>
      <c r="BO371" s="244">
        <v>36.533669734336968</v>
      </c>
      <c r="BP371" s="244">
        <v>5.6295585632324219</v>
      </c>
      <c r="BQ371" s="244">
        <v>0</v>
      </c>
      <c r="BR371" s="244">
        <v>0</v>
      </c>
      <c r="BS371" s="244">
        <v>0</v>
      </c>
      <c r="BT371" s="244">
        <v>26.368476867675781</v>
      </c>
      <c r="BU371" s="244">
        <v>0</v>
      </c>
      <c r="BV371" s="244">
        <v>207.21290588378906</v>
      </c>
      <c r="BW371" s="244">
        <v>6.6679506301879883</v>
      </c>
      <c r="BX371" s="244">
        <v>19.91282844543457</v>
      </c>
      <c r="BY371" s="244"/>
      <c r="BZ371" s="244">
        <v>0</v>
      </c>
      <c r="CA371" s="244">
        <v>0</v>
      </c>
      <c r="CB371" s="244">
        <v>317.09402465820312</v>
      </c>
      <c r="CC371" s="244">
        <v>19.91282844543457</v>
      </c>
      <c r="CD371" s="228">
        <v>15.924108070246024</v>
      </c>
      <c r="CE371" s="244">
        <v>-428.06765747070312</v>
      </c>
      <c r="CF371" s="244">
        <v>0.37132535913543929</v>
      </c>
      <c r="CG371" s="244">
        <v>0.41369528242054021</v>
      </c>
      <c r="CH371" s="244">
        <v>0.7850206415559795</v>
      </c>
      <c r="CI371" s="244">
        <v>1.8207725704105213E-2</v>
      </c>
      <c r="CJ371" s="244">
        <v>2.5855955151283628E-2</v>
      </c>
      <c r="CK371" s="244">
        <v>4.4063680855388837E-2</v>
      </c>
      <c r="CL371" s="244"/>
      <c r="CM371" s="244">
        <v>4.3760607855265512</v>
      </c>
      <c r="CN371" s="244" t="s">
        <v>442</v>
      </c>
      <c r="CO371" s="244">
        <v>0.28600001335144043</v>
      </c>
      <c r="CP371" s="244">
        <v>0.31700000166893005</v>
      </c>
      <c r="CQ371" s="244">
        <v>36.533669734336968</v>
      </c>
      <c r="CR371" s="244">
        <v>0</v>
      </c>
      <c r="CS371" s="244">
        <v>0</v>
      </c>
      <c r="CT371" s="244">
        <v>36.533668518066406</v>
      </c>
      <c r="CU371" s="244">
        <v>0</v>
      </c>
      <c r="CV371" s="244">
        <v>0</v>
      </c>
      <c r="CW371" s="228">
        <v>9999</v>
      </c>
    </row>
    <row r="372" spans="1:101">
      <c r="A372" s="221" t="s">
        <v>454</v>
      </c>
      <c r="B372" s="221" t="s">
        <v>440</v>
      </c>
      <c r="C372" s="244">
        <v>10</v>
      </c>
      <c r="D372" s="244">
        <v>152.87889646026852</v>
      </c>
      <c r="E372" s="244">
        <v>0</v>
      </c>
      <c r="F372" s="244">
        <v>11.336666666666666</v>
      </c>
      <c r="G372" s="244">
        <v>0</v>
      </c>
      <c r="H372" s="244">
        <v>0</v>
      </c>
      <c r="I372" s="244" t="s">
        <v>441</v>
      </c>
      <c r="J372" s="244">
        <v>0.28600001335144043</v>
      </c>
      <c r="K372" s="244">
        <v>0.31700000166893005</v>
      </c>
      <c r="L372" s="244">
        <v>166.71043169924357</v>
      </c>
      <c r="M372" s="244">
        <v>2.1093657240271568E-2</v>
      </c>
      <c r="N372" s="244">
        <v>6.6541507840156555E-2</v>
      </c>
      <c r="O372" s="244">
        <v>0</v>
      </c>
      <c r="P372" s="244">
        <v>0</v>
      </c>
      <c r="Q372" s="244">
        <v>0</v>
      </c>
      <c r="R372" s="244">
        <v>1.1271885633468628</v>
      </c>
      <c r="S372" s="244">
        <v>6.2292284965515137</v>
      </c>
      <c r="T372" s="244">
        <v>0</v>
      </c>
      <c r="U372" s="244">
        <v>12.556410789489746</v>
      </c>
      <c r="V372" s="244" t="s">
        <v>226</v>
      </c>
      <c r="W372" s="244" t="s">
        <v>226</v>
      </c>
      <c r="X372" s="244" t="s">
        <v>226</v>
      </c>
      <c r="Y372" s="244" t="s">
        <v>226</v>
      </c>
      <c r="Z372" s="244">
        <v>0</v>
      </c>
      <c r="AA372" s="244">
        <v>0</v>
      </c>
      <c r="AB372" s="244">
        <v>0</v>
      </c>
      <c r="AC372" s="244">
        <v>0</v>
      </c>
      <c r="AD372" s="244">
        <v>0</v>
      </c>
      <c r="AE372" s="244">
        <v>0</v>
      </c>
      <c r="AF372" s="244">
        <v>0</v>
      </c>
      <c r="AG372" s="244">
        <v>0</v>
      </c>
      <c r="AH372" s="244">
        <v>1.1271885633468628</v>
      </c>
      <c r="AI372" s="244">
        <v>6.2292284965515137</v>
      </c>
      <c r="AJ372" s="244">
        <v>0</v>
      </c>
      <c r="AK372" s="244">
        <v>12.556410789489746</v>
      </c>
      <c r="AL372" s="244">
        <v>19.912827849388123</v>
      </c>
      <c r="AM372" s="244">
        <v>117.50028117322219</v>
      </c>
      <c r="AN372" s="244">
        <v>0</v>
      </c>
      <c r="AO372" s="244">
        <v>20.683628082275391</v>
      </c>
      <c r="AP372" s="244">
        <v>89.335990905761719</v>
      </c>
      <c r="AQ372" s="244">
        <v>227.5198974609375</v>
      </c>
      <c r="AR372" s="244">
        <v>1.1271885633468628</v>
      </c>
      <c r="AS372" s="228">
        <v>201.84723972509468</v>
      </c>
      <c r="AT372" s="244">
        <v>117.50028117322219</v>
      </c>
      <c r="AU372" s="244">
        <v>19.072854995727539</v>
      </c>
      <c r="AV372" s="244">
        <v>22.590913772583008</v>
      </c>
      <c r="AW372" s="244">
        <v>89.335990905761719</v>
      </c>
      <c r="AX372" s="244">
        <v>248.50004577636719</v>
      </c>
      <c r="AY372" s="244">
        <v>6.2292284965515137</v>
      </c>
      <c r="AZ372" s="228">
        <v>39.892587177507373</v>
      </c>
      <c r="BA372" s="244">
        <v>117.50028117322219</v>
      </c>
      <c r="BB372" s="244">
        <v>19.072854995727539</v>
      </c>
      <c r="BC372" s="244">
        <v>22.590913772583008</v>
      </c>
      <c r="BD372" s="244">
        <v>89.335990905761719</v>
      </c>
      <c r="BE372" s="244">
        <v>248.50004577636719</v>
      </c>
      <c r="BF372" s="244">
        <v>7.356417179107666</v>
      </c>
      <c r="BG372" s="244">
        <v>-59.513141632080078</v>
      </c>
      <c r="BH372" s="228">
        <v>33.780037051179271</v>
      </c>
      <c r="BI372" s="244">
        <v>0.54254871606826782</v>
      </c>
      <c r="BJ372" s="244">
        <v>2.9983091354370117</v>
      </c>
      <c r="BK372" s="244">
        <v>0</v>
      </c>
      <c r="BL372" s="244">
        <v>6.0437664985656738</v>
      </c>
      <c r="BM372" s="244">
        <v>9.5846242904663086</v>
      </c>
      <c r="BN372" s="244">
        <v>117.50028117322219</v>
      </c>
      <c r="BO372" s="244">
        <v>0</v>
      </c>
      <c r="BP372" s="244">
        <v>19.072854995727539</v>
      </c>
      <c r="BQ372" s="244">
        <v>0</v>
      </c>
      <c r="BR372" s="244">
        <v>0</v>
      </c>
      <c r="BS372" s="244">
        <v>0</v>
      </c>
      <c r="BT372" s="244">
        <v>89.335990905761719</v>
      </c>
      <c r="BU372" s="244">
        <v>0</v>
      </c>
      <c r="BV372" s="244">
        <v>233.11453247070312</v>
      </c>
      <c r="BW372" s="244">
        <v>22.590913772583008</v>
      </c>
      <c r="BX372" s="244">
        <v>19.91282844543457</v>
      </c>
      <c r="BY372" s="244"/>
      <c r="BZ372" s="244">
        <v>0</v>
      </c>
      <c r="CA372" s="244">
        <v>0</v>
      </c>
      <c r="CB372" s="244">
        <v>481.61456298828125</v>
      </c>
      <c r="CC372" s="244">
        <v>19.91282844543457</v>
      </c>
      <c r="CD372" s="228">
        <v>24.186145862589289</v>
      </c>
      <c r="CE372" s="244">
        <v>-165.6741943359375</v>
      </c>
      <c r="CF372" s="244">
        <v>1.2580445267659051</v>
      </c>
      <c r="CG372" s="244">
        <v>0</v>
      </c>
      <c r="CH372" s="244">
        <v>1.2580445267659051</v>
      </c>
      <c r="CI372" s="244">
        <v>6.168749077692149E-2</v>
      </c>
      <c r="CJ372" s="244">
        <v>0</v>
      </c>
      <c r="CK372" s="244">
        <v>6.168749077692149E-2</v>
      </c>
      <c r="CL372" s="244"/>
      <c r="CM372" s="244">
        <v>0</v>
      </c>
      <c r="CN372" s="244" t="s">
        <v>442</v>
      </c>
      <c r="CO372" s="244">
        <v>0</v>
      </c>
      <c r="CP372" s="244">
        <v>0</v>
      </c>
      <c r="CQ372" s="244">
        <v>0</v>
      </c>
      <c r="CR372" s="244">
        <v>0</v>
      </c>
      <c r="CS372" s="244">
        <v>0</v>
      </c>
      <c r="CT372" s="244">
        <v>0</v>
      </c>
      <c r="CU372" s="244">
        <v>0</v>
      </c>
      <c r="CV372" s="244">
        <v>9999</v>
      </c>
      <c r="CW372" s="228">
        <v>9999</v>
      </c>
    </row>
    <row r="373" spans="1:101">
      <c r="A373" s="221" t="s">
        <v>455</v>
      </c>
      <c r="B373" s="221" t="s">
        <v>440</v>
      </c>
      <c r="C373" s="244">
        <v>10</v>
      </c>
      <c r="D373" s="244">
        <v>0</v>
      </c>
      <c r="E373" s="244">
        <v>6.8178074416866012</v>
      </c>
      <c r="F373" s="244">
        <v>11.336666666666666</v>
      </c>
      <c r="G373" s="244">
        <v>0</v>
      </c>
      <c r="H373" s="244">
        <v>0</v>
      </c>
      <c r="I373" s="244" t="s">
        <v>441</v>
      </c>
      <c r="J373" s="244">
        <v>0</v>
      </c>
      <c r="K373" s="244">
        <v>0</v>
      </c>
      <c r="L373" s="244">
        <v>0</v>
      </c>
      <c r="M373" s="244">
        <v>0</v>
      </c>
      <c r="N373" s="244">
        <v>0</v>
      </c>
      <c r="O373" s="244">
        <v>6.8859855161034638</v>
      </c>
      <c r="P373" s="244">
        <v>2.0896283909678459E-2</v>
      </c>
      <c r="Q373" s="244">
        <v>6.5918877720832825E-2</v>
      </c>
      <c r="R373" s="244">
        <v>1.1271885633468628</v>
      </c>
      <c r="S373" s="244">
        <v>6.2292284965515137</v>
      </c>
      <c r="T373" s="244">
        <v>0</v>
      </c>
      <c r="U373" s="244">
        <v>12.556410789489746</v>
      </c>
      <c r="V373" s="244" t="s">
        <v>226</v>
      </c>
      <c r="W373" s="244" t="s">
        <v>226</v>
      </c>
      <c r="X373" s="244" t="s">
        <v>226</v>
      </c>
      <c r="Y373" s="244" t="s">
        <v>226</v>
      </c>
      <c r="Z373" s="244">
        <v>0</v>
      </c>
      <c r="AA373" s="244">
        <v>0</v>
      </c>
      <c r="AB373" s="244">
        <v>0</v>
      </c>
      <c r="AC373" s="244">
        <v>0</v>
      </c>
      <c r="AD373" s="244">
        <v>0</v>
      </c>
      <c r="AE373" s="244">
        <v>0</v>
      </c>
      <c r="AF373" s="244">
        <v>0</v>
      </c>
      <c r="AG373" s="244">
        <v>0</v>
      </c>
      <c r="AH373" s="244">
        <v>1.1271885633468628</v>
      </c>
      <c r="AI373" s="244">
        <v>6.2292284965515137</v>
      </c>
      <c r="AJ373" s="244">
        <v>0</v>
      </c>
      <c r="AK373" s="244">
        <v>12.556410789489746</v>
      </c>
      <c r="AL373" s="244">
        <v>19.912827849388123</v>
      </c>
      <c r="AM373" s="244">
        <v>0</v>
      </c>
      <c r="AN373" s="244">
        <v>0</v>
      </c>
      <c r="AO373" s="244">
        <v>0</v>
      </c>
      <c r="AP373" s="244">
        <v>0</v>
      </c>
      <c r="AQ373" s="244">
        <v>0</v>
      </c>
      <c r="AR373" s="244">
        <v>1.1271885633468628</v>
      </c>
      <c r="AS373" s="255">
        <v>0</v>
      </c>
      <c r="AT373" s="244">
        <v>0</v>
      </c>
      <c r="AU373" s="244">
        <v>0</v>
      </c>
      <c r="AV373" s="244">
        <v>0</v>
      </c>
      <c r="AW373" s="244">
        <v>0</v>
      </c>
      <c r="AX373" s="244">
        <v>0</v>
      </c>
      <c r="AY373" s="244">
        <v>6.2292284965515137</v>
      </c>
      <c r="AZ373" s="255">
        <v>0</v>
      </c>
      <c r="BA373" s="244">
        <v>0</v>
      </c>
      <c r="BB373" s="244">
        <v>0</v>
      </c>
      <c r="BC373" s="244">
        <v>0</v>
      </c>
      <c r="BD373" s="244">
        <v>0</v>
      </c>
      <c r="BE373" s="244">
        <v>0</v>
      </c>
      <c r="BF373" s="244">
        <v>7.356417179107666</v>
      </c>
      <c r="BG373" s="244">
        <v>9999</v>
      </c>
      <c r="BH373" s="255">
        <v>0</v>
      </c>
      <c r="BI373" s="244">
        <v>9999</v>
      </c>
      <c r="BJ373" s="244">
        <v>9999</v>
      </c>
      <c r="BK373" s="244">
        <v>9999</v>
      </c>
      <c r="BL373" s="244">
        <v>9999</v>
      </c>
      <c r="BM373" s="244">
        <v>9999</v>
      </c>
      <c r="BN373" s="244">
        <v>0</v>
      </c>
      <c r="BO373" s="244">
        <v>56.918662147174089</v>
      </c>
      <c r="BP373" s="244">
        <v>0</v>
      </c>
      <c r="BQ373" s="244">
        <v>0</v>
      </c>
      <c r="BR373" s="244">
        <v>0</v>
      </c>
      <c r="BS373" s="244">
        <v>0</v>
      </c>
      <c r="BT373" s="244">
        <v>0</v>
      </c>
      <c r="BU373" s="244">
        <v>0</v>
      </c>
      <c r="BV373" s="244">
        <v>233.11453247070312</v>
      </c>
      <c r="BW373" s="244">
        <v>0</v>
      </c>
      <c r="BX373" s="244">
        <v>19.91282844543457</v>
      </c>
      <c r="BY373" s="244"/>
      <c r="BZ373" s="244">
        <v>0</v>
      </c>
      <c r="CA373" s="244">
        <v>0</v>
      </c>
      <c r="CB373" s="244">
        <v>290.033203125</v>
      </c>
      <c r="CC373" s="244">
        <v>19.91282844543457</v>
      </c>
      <c r="CD373" s="228">
        <v>14.565143038952527</v>
      </c>
      <c r="CE373" s="244">
        <v>9999</v>
      </c>
      <c r="CF373" s="244">
        <v>0</v>
      </c>
      <c r="CG373" s="244">
        <v>0.64452824430727962</v>
      </c>
      <c r="CH373" s="244">
        <v>0.64452824430727962</v>
      </c>
      <c r="CI373" s="244">
        <v>0</v>
      </c>
      <c r="CJ373" s="244">
        <v>4.0283015269205268E-2</v>
      </c>
      <c r="CK373" s="244">
        <v>4.0283015269205268E-2</v>
      </c>
      <c r="CL373" s="244"/>
      <c r="CM373" s="244">
        <v>6.8178074416866012</v>
      </c>
      <c r="CN373" s="244" t="s">
        <v>442</v>
      </c>
      <c r="CO373" s="244">
        <v>0.28600001335144043</v>
      </c>
      <c r="CP373" s="244">
        <v>0.31700000166893005</v>
      </c>
      <c r="CQ373" s="244">
        <v>56.918662147174089</v>
      </c>
      <c r="CR373" s="244">
        <v>0</v>
      </c>
      <c r="CS373" s="244">
        <v>0</v>
      </c>
      <c r="CT373" s="244">
        <v>56.918663024902344</v>
      </c>
      <c r="CU373" s="244">
        <v>0</v>
      </c>
      <c r="CV373" s="244">
        <v>0</v>
      </c>
      <c r="CW373" s="228">
        <v>9999</v>
      </c>
    </row>
    <row r="374" spans="1:101">
      <c r="A374" s="221" t="s">
        <v>456</v>
      </c>
      <c r="B374" s="221" t="s">
        <v>440</v>
      </c>
      <c r="C374" s="244">
        <v>10</v>
      </c>
      <c r="D374" s="244">
        <v>48.156852384984589</v>
      </c>
      <c r="E374" s="244">
        <v>4.6701980975553221</v>
      </c>
      <c r="F374" s="244">
        <v>11.336666666666666</v>
      </c>
      <c r="G374" s="244">
        <v>0</v>
      </c>
      <c r="H374" s="244">
        <v>0</v>
      </c>
      <c r="I374" s="244" t="s">
        <v>441</v>
      </c>
      <c r="J374" s="244">
        <v>0.28600001335144043</v>
      </c>
      <c r="K374" s="244">
        <v>0.31700000166893005</v>
      </c>
      <c r="L374" s="244">
        <v>52.513785985261741</v>
      </c>
      <c r="M374" s="244">
        <v>6.6445018164813519E-3</v>
      </c>
      <c r="N374" s="244">
        <v>2.0960573107004166E-2</v>
      </c>
      <c r="O374" s="244">
        <v>4.7169000785308723</v>
      </c>
      <c r="P374" s="244">
        <v>1.4313955791294575E-2</v>
      </c>
      <c r="Q374" s="244">
        <v>4.5154433697462082E-2</v>
      </c>
      <c r="R374" s="244">
        <v>1.1271885633468628</v>
      </c>
      <c r="S374" s="244">
        <v>6.2292284965515137</v>
      </c>
      <c r="T374" s="244">
        <v>0</v>
      </c>
      <c r="U374" s="244">
        <v>12.556410789489746</v>
      </c>
      <c r="V374" s="244" t="s">
        <v>226</v>
      </c>
      <c r="W374" s="244" t="s">
        <v>226</v>
      </c>
      <c r="X374" s="244" t="s">
        <v>226</v>
      </c>
      <c r="Y374" s="244" t="s">
        <v>226</v>
      </c>
      <c r="Z374" s="244">
        <v>0</v>
      </c>
      <c r="AA374" s="244">
        <v>0</v>
      </c>
      <c r="AB374" s="244">
        <v>0</v>
      </c>
      <c r="AC374" s="244">
        <v>0</v>
      </c>
      <c r="AD374" s="244">
        <v>0</v>
      </c>
      <c r="AE374" s="244">
        <v>0</v>
      </c>
      <c r="AF374" s="244">
        <v>0</v>
      </c>
      <c r="AG374" s="244">
        <v>0</v>
      </c>
      <c r="AH374" s="244">
        <v>1.1271885633468628</v>
      </c>
      <c r="AI374" s="244">
        <v>6.2292284965515137</v>
      </c>
      <c r="AJ374" s="244">
        <v>0</v>
      </c>
      <c r="AK374" s="244">
        <v>12.556410789489746</v>
      </c>
      <c r="AL374" s="244">
        <v>19.912827849388123</v>
      </c>
      <c r="AM374" s="244">
        <v>37.012588569565068</v>
      </c>
      <c r="AN374" s="244">
        <v>0</v>
      </c>
      <c r="AO374" s="244">
        <v>6.5153427124023437</v>
      </c>
      <c r="AP374" s="244">
        <v>28.140838623046875</v>
      </c>
      <c r="AQ374" s="244">
        <v>71.668769836425781</v>
      </c>
      <c r="AR374" s="244">
        <v>1.1271885633468628</v>
      </c>
      <c r="AS374" s="228">
        <v>63.581881714816596</v>
      </c>
      <c r="AT374" s="244">
        <v>37.012588569565068</v>
      </c>
      <c r="AU374" s="244">
        <v>6.0079488754272461</v>
      </c>
      <c r="AV374" s="244">
        <v>7.1161375045776367</v>
      </c>
      <c r="AW374" s="244">
        <v>28.140838623046875</v>
      </c>
      <c r="AX374" s="244">
        <v>78.277511596679688</v>
      </c>
      <c r="AY374" s="244">
        <v>6.2292284965515137</v>
      </c>
      <c r="AZ374" s="228">
        <v>12.566165074206392</v>
      </c>
      <c r="BA374" s="244">
        <v>37.012588569565068</v>
      </c>
      <c r="BB374" s="244">
        <v>6.0079488754272461</v>
      </c>
      <c r="BC374" s="244">
        <v>7.1161375045776367</v>
      </c>
      <c r="BD374" s="244">
        <v>28.140838623046875</v>
      </c>
      <c r="BE374" s="244">
        <v>78.277511596679688</v>
      </c>
      <c r="BF374" s="244">
        <v>7.356417179107666</v>
      </c>
      <c r="BG374" s="244">
        <v>-51.813182830810547</v>
      </c>
      <c r="BH374" s="228">
        <v>10.640711767053915</v>
      </c>
      <c r="BI374" s="244">
        <v>1.722376823425293</v>
      </c>
      <c r="BJ374" s="244">
        <v>9.5184412002563477</v>
      </c>
      <c r="BK374" s="244">
        <v>0</v>
      </c>
      <c r="BL374" s="244">
        <v>19.186559677124023</v>
      </c>
      <c r="BM374" s="244">
        <v>30.427377700805664</v>
      </c>
      <c r="BN374" s="244">
        <v>37.012588569565068</v>
      </c>
      <c r="BO374" s="244">
        <v>38.989283570814273</v>
      </c>
      <c r="BP374" s="244">
        <v>6.0079488754272461</v>
      </c>
      <c r="BQ374" s="244">
        <v>0</v>
      </c>
      <c r="BR374" s="244">
        <v>0</v>
      </c>
      <c r="BS374" s="244">
        <v>0</v>
      </c>
      <c r="BT374" s="244">
        <v>28.140838623046875</v>
      </c>
      <c r="BU374" s="244">
        <v>0</v>
      </c>
      <c r="BV374" s="244">
        <v>233.11453247070312</v>
      </c>
      <c r="BW374" s="244">
        <v>7.1161375045776367</v>
      </c>
      <c r="BX374" s="244">
        <v>19.91282844543457</v>
      </c>
      <c r="BY374" s="244"/>
      <c r="BZ374" s="244">
        <v>0</v>
      </c>
      <c r="CA374" s="244">
        <v>0</v>
      </c>
      <c r="CB374" s="244">
        <v>350.38131713867187</v>
      </c>
      <c r="CC374" s="244">
        <v>19.91282844543457</v>
      </c>
      <c r="CD374" s="228">
        <v>17.595758963838531</v>
      </c>
      <c r="CE374" s="244">
        <v>-448.40911865234375</v>
      </c>
      <c r="CF374" s="244">
        <v>0.3962840259312605</v>
      </c>
      <c r="CG374" s="244">
        <v>0.44150184735049042</v>
      </c>
      <c r="CH374" s="244">
        <v>0.83778587328175091</v>
      </c>
      <c r="CI374" s="244">
        <v>1.9431559594730263E-2</v>
      </c>
      <c r="CJ374" s="244">
        <v>2.7593865459405599E-2</v>
      </c>
      <c r="CK374" s="244">
        <v>4.7025425054135858E-2</v>
      </c>
      <c r="CL374" s="244"/>
      <c r="CM374" s="244">
        <v>4.6701980975553221</v>
      </c>
      <c r="CN374" s="244" t="s">
        <v>442</v>
      </c>
      <c r="CO374" s="244">
        <v>0.28600001335144043</v>
      </c>
      <c r="CP374" s="244">
        <v>0.31700000166893005</v>
      </c>
      <c r="CQ374" s="244">
        <v>38.989283570814273</v>
      </c>
      <c r="CR374" s="244">
        <v>0</v>
      </c>
      <c r="CS374" s="244">
        <v>0</v>
      </c>
      <c r="CT374" s="244">
        <v>38.989284515380859</v>
      </c>
      <c r="CU374" s="244">
        <v>0</v>
      </c>
      <c r="CV374" s="244">
        <v>0</v>
      </c>
      <c r="CW374" s="228">
        <v>9999</v>
      </c>
    </row>
    <row r="375" spans="1:101">
      <c r="A375" s="221" t="s">
        <v>457</v>
      </c>
      <c r="B375" s="221" t="s">
        <v>440</v>
      </c>
      <c r="C375" s="244">
        <v>10</v>
      </c>
      <c r="D375" s="244">
        <v>252.75747611799227</v>
      </c>
      <c r="E375" s="244">
        <v>0</v>
      </c>
      <c r="F375" s="244">
        <v>11.336666666666666</v>
      </c>
      <c r="G375" s="244">
        <v>0</v>
      </c>
      <c r="H375" s="244">
        <v>0</v>
      </c>
      <c r="I375" s="244" t="s">
        <v>441</v>
      </c>
      <c r="J375" s="244">
        <v>0.28600001335144043</v>
      </c>
      <c r="K375" s="244">
        <v>0.31700000166893005</v>
      </c>
      <c r="L375" s="244">
        <v>275.62540634764946</v>
      </c>
      <c r="M375" s="244">
        <v>3.4874528646469116E-2</v>
      </c>
      <c r="N375" s="244">
        <v>0.11001428961753845</v>
      </c>
      <c r="O375" s="244">
        <v>0</v>
      </c>
      <c r="P375" s="244">
        <v>0</v>
      </c>
      <c r="Q375" s="244">
        <v>0</v>
      </c>
      <c r="R375" s="244">
        <v>1.1271885633468628</v>
      </c>
      <c r="S375" s="244">
        <v>6.2292284965515137</v>
      </c>
      <c r="T375" s="244">
        <v>0</v>
      </c>
      <c r="U375" s="244">
        <v>12.556410789489746</v>
      </c>
      <c r="V375" s="244" t="s">
        <v>226</v>
      </c>
      <c r="W375" s="244" t="s">
        <v>226</v>
      </c>
      <c r="X375" s="244" t="s">
        <v>226</v>
      </c>
      <c r="Y375" s="244" t="s">
        <v>226</v>
      </c>
      <c r="Z375" s="244">
        <v>0</v>
      </c>
      <c r="AA375" s="244">
        <v>0</v>
      </c>
      <c r="AB375" s="244">
        <v>0</v>
      </c>
      <c r="AC375" s="244">
        <v>0</v>
      </c>
      <c r="AD375" s="244">
        <v>0</v>
      </c>
      <c r="AE375" s="244">
        <v>0</v>
      </c>
      <c r="AF375" s="244">
        <v>0</v>
      </c>
      <c r="AG375" s="244">
        <v>0</v>
      </c>
      <c r="AH375" s="244">
        <v>1.1271885633468628</v>
      </c>
      <c r="AI375" s="244">
        <v>6.2292284965515137</v>
      </c>
      <c r="AJ375" s="244">
        <v>0</v>
      </c>
      <c r="AK375" s="244">
        <v>12.556410789489746</v>
      </c>
      <c r="AL375" s="244">
        <v>19.912827849388123</v>
      </c>
      <c r="AM375" s="244">
        <v>194.26536428601563</v>
      </c>
      <c r="AN375" s="244">
        <v>0</v>
      </c>
      <c r="AO375" s="244">
        <v>34.196620941162109</v>
      </c>
      <c r="AP375" s="244">
        <v>147.70083618164062</v>
      </c>
      <c r="AQ375" s="244">
        <v>376.16281127929687</v>
      </c>
      <c r="AR375" s="244">
        <v>1.1271885633468628</v>
      </c>
      <c r="AS375" s="228">
        <v>333.71774132618134</v>
      </c>
      <c r="AT375" s="244">
        <v>194.26536428601563</v>
      </c>
      <c r="AU375" s="244">
        <v>31.533504486083984</v>
      </c>
      <c r="AV375" s="244">
        <v>37.349971771240234</v>
      </c>
      <c r="AW375" s="244">
        <v>147.70083618164062</v>
      </c>
      <c r="AX375" s="244">
        <v>410.84967041015625</v>
      </c>
      <c r="AY375" s="244">
        <v>6.2292284965515137</v>
      </c>
      <c r="AZ375" s="228">
        <v>65.955146283753422</v>
      </c>
      <c r="BA375" s="244">
        <v>194.26536428601563</v>
      </c>
      <c r="BB375" s="244">
        <v>31.533504486083984</v>
      </c>
      <c r="BC375" s="244">
        <v>37.349971771240234</v>
      </c>
      <c r="BD375" s="244">
        <v>147.70083618164062</v>
      </c>
      <c r="BE375" s="244">
        <v>410.84967041015625</v>
      </c>
      <c r="BF375" s="244">
        <v>7.356417179107666</v>
      </c>
      <c r="BG375" s="244">
        <v>-60.912334442138672</v>
      </c>
      <c r="BH375" s="228">
        <v>55.849155013875198</v>
      </c>
      <c r="BI375" s="244">
        <v>0.32815742492675781</v>
      </c>
      <c r="BJ375" s="244">
        <v>1.8135099411010742</v>
      </c>
      <c r="BK375" s="244">
        <v>0</v>
      </c>
      <c r="BL375" s="244">
        <v>3.6555371284484863</v>
      </c>
      <c r="BM375" s="244">
        <v>5.7972044944763184</v>
      </c>
      <c r="BN375" s="244">
        <v>194.26536428601563</v>
      </c>
      <c r="BO375" s="244">
        <v>0</v>
      </c>
      <c r="BP375" s="244">
        <v>31.533504486083984</v>
      </c>
      <c r="BQ375" s="244">
        <v>0</v>
      </c>
      <c r="BR375" s="244">
        <v>0</v>
      </c>
      <c r="BS375" s="244">
        <v>0</v>
      </c>
      <c r="BT375" s="244">
        <v>147.70083618164062</v>
      </c>
      <c r="BU375" s="244">
        <v>0</v>
      </c>
      <c r="BV375" s="244">
        <v>362.62252807617187</v>
      </c>
      <c r="BW375" s="244">
        <v>37.349971771240234</v>
      </c>
      <c r="BX375" s="244">
        <v>19.91282844543457</v>
      </c>
      <c r="BY375" s="244"/>
      <c r="BZ375" s="244">
        <v>0</v>
      </c>
      <c r="CA375" s="244">
        <v>0</v>
      </c>
      <c r="CB375" s="244">
        <v>773.47222900390625</v>
      </c>
      <c r="CC375" s="244">
        <v>19.91282844543457</v>
      </c>
      <c r="CD375" s="228">
        <v>38.842910082845961</v>
      </c>
      <c r="CE375" s="244">
        <v>-162.8267822265625</v>
      </c>
      <c r="CF375" s="244">
        <v>2.0799480294001458</v>
      </c>
      <c r="CG375" s="244">
        <v>0</v>
      </c>
      <c r="CH375" s="244">
        <v>2.0799480294001458</v>
      </c>
      <c r="CI375" s="244">
        <v>0.10198905694533694</v>
      </c>
      <c r="CJ375" s="244">
        <v>0</v>
      </c>
      <c r="CK375" s="244">
        <v>0.10198905694533694</v>
      </c>
      <c r="CL375" s="244"/>
      <c r="CM375" s="244">
        <v>0</v>
      </c>
      <c r="CN375" s="244" t="s">
        <v>442</v>
      </c>
      <c r="CO375" s="244">
        <v>0</v>
      </c>
      <c r="CP375" s="244">
        <v>0</v>
      </c>
      <c r="CQ375" s="244">
        <v>0</v>
      </c>
      <c r="CR375" s="244">
        <v>0</v>
      </c>
      <c r="CS375" s="244">
        <v>0</v>
      </c>
      <c r="CT375" s="244">
        <v>0</v>
      </c>
      <c r="CU375" s="244">
        <v>0</v>
      </c>
      <c r="CV375" s="244">
        <v>9999</v>
      </c>
      <c r="CW375" s="228">
        <v>9999</v>
      </c>
    </row>
    <row r="376" spans="1:101">
      <c r="A376" s="221" t="s">
        <v>458</v>
      </c>
      <c r="B376" s="221" t="s">
        <v>440</v>
      </c>
      <c r="C376" s="244">
        <v>10</v>
      </c>
      <c r="D376" s="244">
        <v>0</v>
      </c>
      <c r="E376" s="244">
        <v>11.272005760893391</v>
      </c>
      <c r="F376" s="244">
        <v>11.336666666666666</v>
      </c>
      <c r="G376" s="244">
        <v>0</v>
      </c>
      <c r="H376" s="244">
        <v>0</v>
      </c>
      <c r="I376" s="244" t="s">
        <v>441</v>
      </c>
      <c r="J376" s="244">
        <v>0</v>
      </c>
      <c r="K376" s="244">
        <v>0</v>
      </c>
      <c r="L376" s="244">
        <v>0</v>
      </c>
      <c r="M376" s="244">
        <v>0</v>
      </c>
      <c r="N376" s="244">
        <v>0</v>
      </c>
      <c r="O376" s="244">
        <v>11.384725818502321</v>
      </c>
      <c r="P376" s="244">
        <v>3.4548211842775345E-2</v>
      </c>
      <c r="Q376" s="244">
        <v>0.10898489505052567</v>
      </c>
      <c r="R376" s="244">
        <v>1.1271885633468628</v>
      </c>
      <c r="S376" s="244">
        <v>6.2292284965515137</v>
      </c>
      <c r="T376" s="244">
        <v>0</v>
      </c>
      <c r="U376" s="244">
        <v>12.556410789489746</v>
      </c>
      <c r="V376" s="244" t="s">
        <v>226</v>
      </c>
      <c r="W376" s="244" t="s">
        <v>226</v>
      </c>
      <c r="X376" s="244" t="s">
        <v>226</v>
      </c>
      <c r="Y376" s="244" t="s">
        <v>226</v>
      </c>
      <c r="Z376" s="244">
        <v>0</v>
      </c>
      <c r="AA376" s="244">
        <v>0</v>
      </c>
      <c r="AB376" s="244">
        <v>0</v>
      </c>
      <c r="AC376" s="244">
        <v>0</v>
      </c>
      <c r="AD376" s="244">
        <v>0</v>
      </c>
      <c r="AE376" s="244">
        <v>0</v>
      </c>
      <c r="AF376" s="244">
        <v>0</v>
      </c>
      <c r="AG376" s="244">
        <v>0</v>
      </c>
      <c r="AH376" s="244">
        <v>1.1271885633468628</v>
      </c>
      <c r="AI376" s="244">
        <v>6.2292284965515137</v>
      </c>
      <c r="AJ376" s="244">
        <v>0</v>
      </c>
      <c r="AK376" s="244">
        <v>12.556410789489746</v>
      </c>
      <c r="AL376" s="244">
        <v>19.912827849388123</v>
      </c>
      <c r="AM376" s="244">
        <v>0</v>
      </c>
      <c r="AN376" s="244">
        <v>0</v>
      </c>
      <c r="AO376" s="244">
        <v>0</v>
      </c>
      <c r="AP376" s="244">
        <v>0</v>
      </c>
      <c r="AQ376" s="244">
        <v>0</v>
      </c>
      <c r="AR376" s="244">
        <v>1.1271885633468628</v>
      </c>
      <c r="AS376" s="255">
        <v>0</v>
      </c>
      <c r="AT376" s="244">
        <v>0</v>
      </c>
      <c r="AU376" s="244">
        <v>0</v>
      </c>
      <c r="AV376" s="244">
        <v>0</v>
      </c>
      <c r="AW376" s="244">
        <v>0</v>
      </c>
      <c r="AX376" s="244">
        <v>0</v>
      </c>
      <c r="AY376" s="244">
        <v>6.2292284965515137</v>
      </c>
      <c r="AZ376" s="255">
        <v>0</v>
      </c>
      <c r="BA376" s="244">
        <v>0</v>
      </c>
      <c r="BB376" s="244">
        <v>0</v>
      </c>
      <c r="BC376" s="244">
        <v>0</v>
      </c>
      <c r="BD376" s="244">
        <v>0</v>
      </c>
      <c r="BE376" s="244">
        <v>0</v>
      </c>
      <c r="BF376" s="244">
        <v>7.356417179107666</v>
      </c>
      <c r="BG376" s="244">
        <v>9999</v>
      </c>
      <c r="BH376" s="255">
        <v>0</v>
      </c>
      <c r="BI376" s="244">
        <v>9999</v>
      </c>
      <c r="BJ376" s="244">
        <v>9999</v>
      </c>
      <c r="BK376" s="244">
        <v>9999</v>
      </c>
      <c r="BL376" s="244">
        <v>9999</v>
      </c>
      <c r="BM376" s="244">
        <v>9999</v>
      </c>
      <c r="BN376" s="244">
        <v>0</v>
      </c>
      <c r="BO376" s="244">
        <v>94.10466533601209</v>
      </c>
      <c r="BP376" s="244">
        <v>0</v>
      </c>
      <c r="BQ376" s="244">
        <v>0</v>
      </c>
      <c r="BR376" s="244">
        <v>0</v>
      </c>
      <c r="BS376" s="244">
        <v>0</v>
      </c>
      <c r="BT376" s="244">
        <v>0</v>
      </c>
      <c r="BU376" s="244">
        <v>0</v>
      </c>
      <c r="BV376" s="244">
        <v>362.62252807617187</v>
      </c>
      <c r="BW376" s="244">
        <v>0</v>
      </c>
      <c r="BX376" s="244">
        <v>19.91282844543457</v>
      </c>
      <c r="BY376" s="244"/>
      <c r="BZ376" s="244">
        <v>0</v>
      </c>
      <c r="CA376" s="244">
        <v>0</v>
      </c>
      <c r="CB376" s="244">
        <v>456.72720336914062</v>
      </c>
      <c r="CC376" s="244">
        <v>19.91282844543457</v>
      </c>
      <c r="CD376" s="228">
        <v>22.936329445297769</v>
      </c>
      <c r="CE376" s="244">
        <v>9999</v>
      </c>
      <c r="CF376" s="244">
        <v>0</v>
      </c>
      <c r="CG376" s="244">
        <v>1.0656103366118159</v>
      </c>
      <c r="CH376" s="244">
        <v>1.0656103366118159</v>
      </c>
      <c r="CI376" s="244">
        <v>0</v>
      </c>
      <c r="CJ376" s="244">
        <v>6.6600646038238565E-2</v>
      </c>
      <c r="CK376" s="244">
        <v>6.6600646038238565E-2</v>
      </c>
      <c r="CL376" s="244"/>
      <c r="CM376" s="244">
        <v>11.272005760893391</v>
      </c>
      <c r="CN376" s="244" t="s">
        <v>442</v>
      </c>
      <c r="CO376" s="244">
        <v>0.28600001335144043</v>
      </c>
      <c r="CP376" s="244">
        <v>0.31700000166893005</v>
      </c>
      <c r="CQ376" s="244">
        <v>94.10466533601209</v>
      </c>
      <c r="CR376" s="244">
        <v>0</v>
      </c>
      <c r="CS376" s="244">
        <v>0</v>
      </c>
      <c r="CT376" s="244">
        <v>94.104667663574219</v>
      </c>
      <c r="CU376" s="244">
        <v>0</v>
      </c>
      <c r="CV376" s="244">
        <v>0</v>
      </c>
      <c r="CW376" s="228">
        <v>9999</v>
      </c>
    </row>
    <row r="377" spans="1:101">
      <c r="A377" s="221" t="s">
        <v>459</v>
      </c>
      <c r="B377" s="221" t="s">
        <v>440</v>
      </c>
      <c r="C377" s="244">
        <v>10</v>
      </c>
      <c r="D377" s="244">
        <v>79.618604977167564</v>
      </c>
      <c r="E377" s="244">
        <v>7.7213239462119736</v>
      </c>
      <c r="F377" s="244">
        <v>11.336666666666666</v>
      </c>
      <c r="G377" s="244">
        <v>0</v>
      </c>
      <c r="H377" s="244">
        <v>0</v>
      </c>
      <c r="I377" s="244" t="s">
        <v>441</v>
      </c>
      <c r="J377" s="244">
        <v>0.28600001335144043</v>
      </c>
      <c r="K377" s="244">
        <v>0.31700000166893005</v>
      </c>
      <c r="L377" s="244">
        <v>86.822002999509564</v>
      </c>
      <c r="M377" s="244">
        <v>1.0985476896166801E-2</v>
      </c>
      <c r="N377" s="244">
        <v>3.465450182557106E-2</v>
      </c>
      <c r="O377" s="244">
        <v>7.7985371856740944</v>
      </c>
      <c r="P377" s="244">
        <v>2.3665525019168854E-2</v>
      </c>
      <c r="Q377" s="244">
        <v>7.4654653668403625E-2</v>
      </c>
      <c r="R377" s="244">
        <v>1.1271885633468628</v>
      </c>
      <c r="S377" s="244">
        <v>6.2292284965515137</v>
      </c>
      <c r="T377" s="244">
        <v>0</v>
      </c>
      <c r="U377" s="244">
        <v>12.556410789489746</v>
      </c>
      <c r="V377" s="244" t="s">
        <v>226</v>
      </c>
      <c r="W377" s="244" t="s">
        <v>226</v>
      </c>
      <c r="X377" s="244" t="s">
        <v>226</v>
      </c>
      <c r="Y377" s="244" t="s">
        <v>226</v>
      </c>
      <c r="Z377" s="244">
        <v>0</v>
      </c>
      <c r="AA377" s="244">
        <v>0</v>
      </c>
      <c r="AB377" s="244">
        <v>0</v>
      </c>
      <c r="AC377" s="244">
        <v>0</v>
      </c>
      <c r="AD377" s="244">
        <v>0</v>
      </c>
      <c r="AE377" s="244">
        <v>0</v>
      </c>
      <c r="AF377" s="244">
        <v>0</v>
      </c>
      <c r="AG377" s="244">
        <v>0</v>
      </c>
      <c r="AH377" s="244">
        <v>1.1271885633468628</v>
      </c>
      <c r="AI377" s="244">
        <v>6.2292284965515137</v>
      </c>
      <c r="AJ377" s="244">
        <v>0</v>
      </c>
      <c r="AK377" s="244">
        <v>12.556410789489746</v>
      </c>
      <c r="AL377" s="244">
        <v>19.912827849388123</v>
      </c>
      <c r="AM377" s="244">
        <v>61.193589750094908</v>
      </c>
      <c r="AN377" s="244">
        <v>0</v>
      </c>
      <c r="AO377" s="244">
        <v>10.77193546295166</v>
      </c>
      <c r="AP377" s="244">
        <v>46.525760650634766</v>
      </c>
      <c r="AQ377" s="244">
        <v>118.49128723144531</v>
      </c>
      <c r="AR377" s="244">
        <v>1.1271885633468628</v>
      </c>
      <c r="AS377" s="228">
        <v>105.12108596263208</v>
      </c>
      <c r="AT377" s="244">
        <v>61.193589750094908</v>
      </c>
      <c r="AU377" s="244">
        <v>9.9330530166625977</v>
      </c>
      <c r="AV377" s="244">
        <v>11.765240669250488</v>
      </c>
      <c r="AW377" s="244">
        <v>46.525760650634766</v>
      </c>
      <c r="AX377" s="244">
        <v>129.41764831542969</v>
      </c>
      <c r="AY377" s="244">
        <v>6.2292284965515137</v>
      </c>
      <c r="AZ377" s="228">
        <v>20.775870424128456</v>
      </c>
      <c r="BA377" s="244">
        <v>61.193589750094908</v>
      </c>
      <c r="BB377" s="244">
        <v>9.9330530166625977</v>
      </c>
      <c r="BC377" s="244">
        <v>11.765240669250488</v>
      </c>
      <c r="BD377" s="244">
        <v>46.525760650634766</v>
      </c>
      <c r="BE377" s="244">
        <v>129.41764831542969</v>
      </c>
      <c r="BF377" s="244">
        <v>7.356417179107666</v>
      </c>
      <c r="BG377" s="244">
        <v>-56.255054473876953</v>
      </c>
      <c r="BH377" s="228">
        <v>17.59248327451823</v>
      </c>
      <c r="BI377" s="244">
        <v>1.0417696237564087</v>
      </c>
      <c r="BJ377" s="244">
        <v>5.757174015045166</v>
      </c>
      <c r="BK377" s="244">
        <v>0</v>
      </c>
      <c r="BL377" s="244">
        <v>11.604879379272461</v>
      </c>
      <c r="BM377" s="244">
        <v>18.403823852539063</v>
      </c>
      <c r="BN377" s="244">
        <v>61.193589750094908</v>
      </c>
      <c r="BO377" s="244">
        <v>64.461695755168321</v>
      </c>
      <c r="BP377" s="244">
        <v>9.9330530166625977</v>
      </c>
      <c r="BQ377" s="244">
        <v>0</v>
      </c>
      <c r="BR377" s="244">
        <v>0</v>
      </c>
      <c r="BS377" s="244">
        <v>0</v>
      </c>
      <c r="BT377" s="244">
        <v>46.525760650634766</v>
      </c>
      <c r="BU377" s="244">
        <v>0</v>
      </c>
      <c r="BV377" s="244">
        <v>362.62252807617187</v>
      </c>
      <c r="BW377" s="244">
        <v>11.765240669250488</v>
      </c>
      <c r="BX377" s="244">
        <v>19.91282844543457</v>
      </c>
      <c r="BY377" s="244"/>
      <c r="BZ377" s="244">
        <v>0</v>
      </c>
      <c r="CA377" s="244">
        <v>0</v>
      </c>
      <c r="CB377" s="244">
        <v>556.50189208984375</v>
      </c>
      <c r="CC377" s="244">
        <v>19.91282844543457</v>
      </c>
      <c r="CD377" s="228">
        <v>27.946902141145728</v>
      </c>
      <c r="CE377" s="244">
        <v>-439.36972045898437</v>
      </c>
      <c r="CF377" s="244">
        <v>0.65518362926104434</v>
      </c>
      <c r="CG377" s="244">
        <v>0.72994308057909307</v>
      </c>
      <c r="CH377" s="244">
        <v>1.3851267098401374</v>
      </c>
      <c r="CI377" s="244">
        <v>3.2126552937781133E-2</v>
      </c>
      <c r="CJ377" s="244">
        <v>4.5621442536193456E-2</v>
      </c>
      <c r="CK377" s="244">
        <v>7.7747995473974596E-2</v>
      </c>
      <c r="CL377" s="244"/>
      <c r="CM377" s="244">
        <v>7.7213239462119736</v>
      </c>
      <c r="CN377" s="244" t="s">
        <v>442</v>
      </c>
      <c r="CO377" s="244">
        <v>0.28600001335144043</v>
      </c>
      <c r="CP377" s="244">
        <v>0.31700000166893005</v>
      </c>
      <c r="CQ377" s="244">
        <v>64.461695755168321</v>
      </c>
      <c r="CR377" s="244">
        <v>0</v>
      </c>
      <c r="CS377" s="244">
        <v>0</v>
      </c>
      <c r="CT377" s="244">
        <v>64.461692810058594</v>
      </c>
      <c r="CU377" s="244">
        <v>0</v>
      </c>
      <c r="CV377" s="244">
        <v>0</v>
      </c>
      <c r="CW377" s="228">
        <v>9999</v>
      </c>
    </row>
    <row r="378" spans="1:101">
      <c r="A378" s="221" t="s">
        <v>460</v>
      </c>
      <c r="B378" s="221" t="s">
        <v>440</v>
      </c>
      <c r="C378" s="244">
        <v>10</v>
      </c>
      <c r="D378" s="244">
        <v>95.500209307260519</v>
      </c>
      <c r="E378" s="244">
        <v>0</v>
      </c>
      <c r="F378" s="244">
        <v>8.1096944444444432</v>
      </c>
      <c r="G378" s="244">
        <v>0</v>
      </c>
      <c r="H378" s="244">
        <v>0</v>
      </c>
      <c r="I378" s="244" t="s">
        <v>441</v>
      </c>
      <c r="J378" s="244">
        <v>0.28600001335144043</v>
      </c>
      <c r="K378" s="244">
        <v>0.31700000166893005</v>
      </c>
      <c r="L378" s="244">
        <v>104.14047647916649</v>
      </c>
      <c r="M378" s="244">
        <v>1.3176760636270046E-2</v>
      </c>
      <c r="N378" s="244">
        <v>4.1567068547010422E-2</v>
      </c>
      <c r="O378" s="244">
        <v>0</v>
      </c>
      <c r="P378" s="244">
        <v>0</v>
      </c>
      <c r="Q378" s="244">
        <v>0</v>
      </c>
      <c r="R378" s="244">
        <v>0.80633538961410522</v>
      </c>
      <c r="S378" s="244">
        <v>4.4560842514038086</v>
      </c>
      <c r="T378" s="244">
        <v>0</v>
      </c>
      <c r="U378" s="244">
        <v>8.9822397232055664</v>
      </c>
      <c r="V378" s="244" t="s">
        <v>226</v>
      </c>
      <c r="W378" s="244" t="s">
        <v>226</v>
      </c>
      <c r="X378" s="244" t="s">
        <v>226</v>
      </c>
      <c r="Y378" s="244" t="s">
        <v>226</v>
      </c>
      <c r="Z378" s="244">
        <v>0</v>
      </c>
      <c r="AA378" s="244">
        <v>0</v>
      </c>
      <c r="AB378" s="244">
        <v>0</v>
      </c>
      <c r="AC378" s="244">
        <v>0</v>
      </c>
      <c r="AD378" s="244">
        <v>0</v>
      </c>
      <c r="AE378" s="244">
        <v>0</v>
      </c>
      <c r="AF378" s="244">
        <v>0</v>
      </c>
      <c r="AG378" s="244">
        <v>0</v>
      </c>
      <c r="AH378" s="244">
        <v>0.80633538961410522</v>
      </c>
      <c r="AI378" s="244">
        <v>4.4560842514038086</v>
      </c>
      <c r="AJ378" s="244">
        <v>0</v>
      </c>
      <c r="AK378" s="244">
        <v>8.9822397232055664</v>
      </c>
      <c r="AL378" s="244">
        <v>14.24465936422348</v>
      </c>
      <c r="AM378" s="244">
        <v>73.399937502956817</v>
      </c>
      <c r="AN378" s="244">
        <v>0</v>
      </c>
      <c r="AO378" s="244">
        <v>12.920623779296875</v>
      </c>
      <c r="AP378" s="244">
        <v>55.806301116943359</v>
      </c>
      <c r="AQ378" s="244">
        <v>142.12686157226562</v>
      </c>
      <c r="AR378" s="244">
        <v>0.80633538961410522</v>
      </c>
      <c r="AS378" s="228">
        <v>176.26271180682755</v>
      </c>
      <c r="AT378" s="244">
        <v>73.399937502956817</v>
      </c>
      <c r="AU378" s="244">
        <v>11.914409637451172</v>
      </c>
      <c r="AV378" s="244">
        <v>14.112065315246582</v>
      </c>
      <c r="AW378" s="244">
        <v>55.806301116943359</v>
      </c>
      <c r="AX378" s="244">
        <v>155.23271179199219</v>
      </c>
      <c r="AY378" s="244">
        <v>4.4560842514038086</v>
      </c>
      <c r="AZ378" s="228">
        <v>34.836126252257166</v>
      </c>
      <c r="BA378" s="244">
        <v>73.399937502956817</v>
      </c>
      <c r="BB378" s="244">
        <v>11.914409637451172</v>
      </c>
      <c r="BC378" s="244">
        <v>14.112065315246582</v>
      </c>
      <c r="BD378" s="244">
        <v>55.806301116943359</v>
      </c>
      <c r="BE378" s="244">
        <v>155.23271179199219</v>
      </c>
      <c r="BF378" s="244">
        <v>5.2624197006225586</v>
      </c>
      <c r="BG378" s="244">
        <v>-58.999187469482422</v>
      </c>
      <c r="BH378" s="228">
        <v>29.49835325990292</v>
      </c>
      <c r="BI378" s="244">
        <v>0.6212996244430542</v>
      </c>
      <c r="BJ378" s="244">
        <v>3.4335136413574219</v>
      </c>
      <c r="BK378" s="244">
        <v>0</v>
      </c>
      <c r="BL378" s="244">
        <v>6.9210176467895508</v>
      </c>
      <c r="BM378" s="244">
        <v>10.975831031799316</v>
      </c>
      <c r="BN378" s="244">
        <v>73.399937502956817</v>
      </c>
      <c r="BO378" s="244">
        <v>0</v>
      </c>
      <c r="BP378" s="244">
        <v>11.914409637451172</v>
      </c>
      <c r="BQ378" s="244">
        <v>0</v>
      </c>
      <c r="BR378" s="244">
        <v>0</v>
      </c>
      <c r="BS378" s="244">
        <v>0</v>
      </c>
      <c r="BT378" s="244">
        <v>55.806301116943359</v>
      </c>
      <c r="BU378" s="244">
        <v>0</v>
      </c>
      <c r="BV378" s="244">
        <v>138.14190673828125</v>
      </c>
      <c r="BW378" s="244">
        <v>14.112065315246582</v>
      </c>
      <c r="BX378" s="244">
        <v>14.244659423828125</v>
      </c>
      <c r="BY378" s="244"/>
      <c r="BZ378" s="244">
        <v>0</v>
      </c>
      <c r="CA378" s="244">
        <v>0</v>
      </c>
      <c r="CB378" s="244">
        <v>293.3746337890625</v>
      </c>
      <c r="CC378" s="244">
        <v>14.244659423828125</v>
      </c>
      <c r="CD378" s="228">
        <v>20.595411345541134</v>
      </c>
      <c r="CE378" s="244">
        <v>-158.51962280273437</v>
      </c>
      <c r="CF378" s="244">
        <v>0.78587377594801922</v>
      </c>
      <c r="CG378" s="244">
        <v>0</v>
      </c>
      <c r="CH378" s="244">
        <v>0.78587377594801922</v>
      </c>
      <c r="CI378" s="244">
        <v>3.8534869215037459E-2</v>
      </c>
      <c r="CJ378" s="244">
        <v>0</v>
      </c>
      <c r="CK378" s="244">
        <v>3.8534869215037459E-2</v>
      </c>
      <c r="CL378" s="244"/>
      <c r="CM378" s="244">
        <v>0</v>
      </c>
      <c r="CN378" s="244" t="s">
        <v>442</v>
      </c>
      <c r="CO378" s="244">
        <v>0</v>
      </c>
      <c r="CP378" s="244">
        <v>0</v>
      </c>
      <c r="CQ378" s="244">
        <v>0</v>
      </c>
      <c r="CR378" s="244">
        <v>0</v>
      </c>
      <c r="CS378" s="244">
        <v>0</v>
      </c>
      <c r="CT378" s="244">
        <v>0</v>
      </c>
      <c r="CU378" s="244">
        <v>0</v>
      </c>
      <c r="CV378" s="244">
        <v>9999</v>
      </c>
      <c r="CW378" s="228">
        <v>9999</v>
      </c>
    </row>
    <row r="379" spans="1:101">
      <c r="A379" s="221" t="s">
        <v>461</v>
      </c>
      <c r="B379" s="221" t="s">
        <v>440</v>
      </c>
      <c r="C379" s="244">
        <v>10</v>
      </c>
      <c r="D379" s="244">
        <v>0</v>
      </c>
      <c r="E379" s="244">
        <v>4.2589399372521166</v>
      </c>
      <c r="F379" s="244">
        <v>8.1096944444444432</v>
      </c>
      <c r="G379" s="244">
        <v>0</v>
      </c>
      <c r="H379" s="244">
        <v>0</v>
      </c>
      <c r="I379" s="244" t="s">
        <v>441</v>
      </c>
      <c r="J379" s="244">
        <v>0</v>
      </c>
      <c r="K379" s="244">
        <v>0</v>
      </c>
      <c r="L379" s="244">
        <v>0</v>
      </c>
      <c r="M379" s="244">
        <v>0</v>
      </c>
      <c r="N379" s="244">
        <v>0</v>
      </c>
      <c r="O379" s="244">
        <v>4.3015293366246397</v>
      </c>
      <c r="P379" s="244">
        <v>1.3053467497229576E-2</v>
      </c>
      <c r="Q379" s="244">
        <v>4.1178129613399506E-2</v>
      </c>
      <c r="R379" s="244">
        <v>0.80633538961410522</v>
      </c>
      <c r="S379" s="244">
        <v>4.4560842514038086</v>
      </c>
      <c r="T379" s="244">
        <v>0</v>
      </c>
      <c r="U379" s="244">
        <v>8.9822397232055664</v>
      </c>
      <c r="V379" s="244" t="s">
        <v>226</v>
      </c>
      <c r="W379" s="244" t="s">
        <v>226</v>
      </c>
      <c r="X379" s="244" t="s">
        <v>226</v>
      </c>
      <c r="Y379" s="244" t="s">
        <v>226</v>
      </c>
      <c r="Z379" s="244">
        <v>0</v>
      </c>
      <c r="AA379" s="244">
        <v>0</v>
      </c>
      <c r="AB379" s="244">
        <v>0</v>
      </c>
      <c r="AC379" s="244">
        <v>0</v>
      </c>
      <c r="AD379" s="244">
        <v>0</v>
      </c>
      <c r="AE379" s="244">
        <v>0</v>
      </c>
      <c r="AF379" s="244">
        <v>0</v>
      </c>
      <c r="AG379" s="244">
        <v>0</v>
      </c>
      <c r="AH379" s="244">
        <v>0.80633538961410522</v>
      </c>
      <c r="AI379" s="244">
        <v>4.4560842514038086</v>
      </c>
      <c r="AJ379" s="244">
        <v>0</v>
      </c>
      <c r="AK379" s="244">
        <v>8.9822397232055664</v>
      </c>
      <c r="AL379" s="244">
        <v>14.24465936422348</v>
      </c>
      <c r="AM379" s="244">
        <v>0</v>
      </c>
      <c r="AN379" s="244">
        <v>0</v>
      </c>
      <c r="AO379" s="244">
        <v>0</v>
      </c>
      <c r="AP379" s="244">
        <v>0</v>
      </c>
      <c r="AQ379" s="244">
        <v>0</v>
      </c>
      <c r="AR379" s="244">
        <v>0.80633538961410522</v>
      </c>
      <c r="AS379" s="255">
        <v>0</v>
      </c>
      <c r="AT379" s="244">
        <v>0</v>
      </c>
      <c r="AU379" s="244">
        <v>0</v>
      </c>
      <c r="AV379" s="244">
        <v>0</v>
      </c>
      <c r="AW379" s="244">
        <v>0</v>
      </c>
      <c r="AX379" s="244">
        <v>0</v>
      </c>
      <c r="AY379" s="244">
        <v>4.4560842514038086</v>
      </c>
      <c r="AZ379" s="255">
        <v>0</v>
      </c>
      <c r="BA379" s="244">
        <v>0</v>
      </c>
      <c r="BB379" s="244">
        <v>0</v>
      </c>
      <c r="BC379" s="244">
        <v>0</v>
      </c>
      <c r="BD379" s="244">
        <v>0</v>
      </c>
      <c r="BE379" s="244">
        <v>0</v>
      </c>
      <c r="BF379" s="244">
        <v>5.2624197006225586</v>
      </c>
      <c r="BG379" s="244">
        <v>9999</v>
      </c>
      <c r="BH379" s="255">
        <v>0</v>
      </c>
      <c r="BI379" s="244">
        <v>9999</v>
      </c>
      <c r="BJ379" s="244">
        <v>9999</v>
      </c>
      <c r="BK379" s="244">
        <v>9999</v>
      </c>
      <c r="BL379" s="244">
        <v>9999</v>
      </c>
      <c r="BM379" s="244">
        <v>9999</v>
      </c>
      <c r="BN379" s="244">
        <v>0</v>
      </c>
      <c r="BO379" s="244">
        <v>35.55588295312603</v>
      </c>
      <c r="BP379" s="244">
        <v>0</v>
      </c>
      <c r="BQ379" s="244">
        <v>0</v>
      </c>
      <c r="BR379" s="244">
        <v>0</v>
      </c>
      <c r="BS379" s="244">
        <v>0</v>
      </c>
      <c r="BT379" s="244">
        <v>0</v>
      </c>
      <c r="BU379" s="244">
        <v>0</v>
      </c>
      <c r="BV379" s="244">
        <v>138.14190673828125</v>
      </c>
      <c r="BW379" s="244">
        <v>0</v>
      </c>
      <c r="BX379" s="244">
        <v>14.244659423828125</v>
      </c>
      <c r="BY379" s="244"/>
      <c r="BZ379" s="244">
        <v>0</v>
      </c>
      <c r="CA379" s="244">
        <v>0</v>
      </c>
      <c r="CB379" s="244">
        <v>173.69778442382812</v>
      </c>
      <c r="CC379" s="244">
        <v>14.244659423828125</v>
      </c>
      <c r="CD379" s="228">
        <v>12.193888567167129</v>
      </c>
      <c r="CE379" s="244">
        <v>9999</v>
      </c>
      <c r="CF379" s="244">
        <v>0</v>
      </c>
      <c r="CG379" s="244">
        <v>0.40262314590806353</v>
      </c>
      <c r="CH379" s="244">
        <v>0.40262314590806353</v>
      </c>
      <c r="CI379" s="244">
        <v>0</v>
      </c>
      <c r="CJ379" s="244">
        <v>2.5163946619254147E-2</v>
      </c>
      <c r="CK379" s="244">
        <v>2.5163946619254147E-2</v>
      </c>
      <c r="CL379" s="244"/>
      <c r="CM379" s="244">
        <v>4.2589399372521166</v>
      </c>
      <c r="CN379" s="244" t="s">
        <v>442</v>
      </c>
      <c r="CO379" s="244">
        <v>0.28600001335144043</v>
      </c>
      <c r="CP379" s="244">
        <v>0.31700000166893005</v>
      </c>
      <c r="CQ379" s="244">
        <v>35.55588295312603</v>
      </c>
      <c r="CR379" s="244">
        <v>0</v>
      </c>
      <c r="CS379" s="244">
        <v>0</v>
      </c>
      <c r="CT379" s="244">
        <v>35.555881500244141</v>
      </c>
      <c r="CU379" s="244">
        <v>0</v>
      </c>
      <c r="CV379" s="244">
        <v>0</v>
      </c>
      <c r="CW379" s="228">
        <v>9999</v>
      </c>
    </row>
    <row r="380" spans="1:101">
      <c r="A380" s="221" t="s">
        <v>462</v>
      </c>
      <c r="B380" s="221" t="s">
        <v>440</v>
      </c>
      <c r="C380" s="244">
        <v>10</v>
      </c>
      <c r="D380" s="244">
        <v>30.082565931787066</v>
      </c>
      <c r="E380" s="244">
        <v>2.9173738570176999</v>
      </c>
      <c r="F380" s="244">
        <v>8.1096944444444432</v>
      </c>
      <c r="G380" s="244">
        <v>0</v>
      </c>
      <c r="H380" s="244">
        <v>0</v>
      </c>
      <c r="I380" s="244" t="s">
        <v>441</v>
      </c>
      <c r="J380" s="244">
        <v>0.28600001335144043</v>
      </c>
      <c r="K380" s="244">
        <v>0.31700000166893005</v>
      </c>
      <c r="L380" s="244">
        <v>32.804250090937451</v>
      </c>
      <c r="M380" s="244">
        <v>4.1506798006594181E-3</v>
      </c>
      <c r="N380" s="244">
        <v>1.309362705796957E-2</v>
      </c>
      <c r="O380" s="244">
        <v>2.9465475955878775</v>
      </c>
      <c r="P380" s="244">
        <v>8.9416252449154854E-3</v>
      </c>
      <c r="Q380" s="244">
        <v>2.8207018971443176E-2</v>
      </c>
      <c r="R380" s="244">
        <v>0.80633538961410522</v>
      </c>
      <c r="S380" s="244">
        <v>4.4560842514038086</v>
      </c>
      <c r="T380" s="244">
        <v>0</v>
      </c>
      <c r="U380" s="244">
        <v>8.9822397232055664</v>
      </c>
      <c r="V380" s="244" t="s">
        <v>226</v>
      </c>
      <c r="W380" s="244" t="s">
        <v>226</v>
      </c>
      <c r="X380" s="244" t="s">
        <v>226</v>
      </c>
      <c r="Y380" s="244" t="s">
        <v>226</v>
      </c>
      <c r="Z380" s="244">
        <v>0</v>
      </c>
      <c r="AA380" s="244">
        <v>0</v>
      </c>
      <c r="AB380" s="244">
        <v>0</v>
      </c>
      <c r="AC380" s="244">
        <v>0</v>
      </c>
      <c r="AD380" s="244">
        <v>0</v>
      </c>
      <c r="AE380" s="244">
        <v>0</v>
      </c>
      <c r="AF380" s="244">
        <v>0</v>
      </c>
      <c r="AG380" s="244">
        <v>0</v>
      </c>
      <c r="AH380" s="244">
        <v>0.80633538961410522</v>
      </c>
      <c r="AI380" s="244">
        <v>4.4560842514038086</v>
      </c>
      <c r="AJ380" s="244">
        <v>0</v>
      </c>
      <c r="AK380" s="244">
        <v>8.9822397232055664</v>
      </c>
      <c r="AL380" s="244">
        <v>14.24465936422348</v>
      </c>
      <c r="AM380" s="244">
        <v>23.120980313431385</v>
      </c>
      <c r="AN380" s="244">
        <v>0</v>
      </c>
      <c r="AO380" s="244">
        <v>4.0699968338012695</v>
      </c>
      <c r="AP380" s="244">
        <v>17.578985214233398</v>
      </c>
      <c r="AQ380" s="244">
        <v>44.769962310791016</v>
      </c>
      <c r="AR380" s="244">
        <v>0.80633538961410522</v>
      </c>
      <c r="AS380" s="228">
        <v>55.522755094368357</v>
      </c>
      <c r="AT380" s="244">
        <v>23.120980313431385</v>
      </c>
      <c r="AU380" s="244">
        <v>3.7530386447906494</v>
      </c>
      <c r="AV380" s="244">
        <v>4.4453005790710449</v>
      </c>
      <c r="AW380" s="244">
        <v>17.578985214233398</v>
      </c>
      <c r="AX380" s="244">
        <v>48.898303985595703</v>
      </c>
      <c r="AY380" s="244">
        <v>4.4560842514038086</v>
      </c>
      <c r="AZ380" s="228">
        <v>10.9733797641106</v>
      </c>
      <c r="BA380" s="244">
        <v>23.120980313431385</v>
      </c>
      <c r="BB380" s="244">
        <v>3.7530386447906494</v>
      </c>
      <c r="BC380" s="244">
        <v>4.4453005790710449</v>
      </c>
      <c r="BD380" s="244">
        <v>17.578985214233398</v>
      </c>
      <c r="BE380" s="244">
        <v>48.898303985595703</v>
      </c>
      <c r="BF380" s="244">
        <v>5.2624197006225586</v>
      </c>
      <c r="BG380" s="244">
        <v>-50.181575775146484</v>
      </c>
      <c r="BH380" s="228">
        <v>9.2919812723388304</v>
      </c>
      <c r="BI380" s="244">
        <v>1.9723796844482422</v>
      </c>
      <c r="BJ380" s="244">
        <v>10.900043487548828</v>
      </c>
      <c r="BK380" s="244">
        <v>0</v>
      </c>
      <c r="BL380" s="244">
        <v>21.971485137939453</v>
      </c>
      <c r="BM380" s="244">
        <v>34.843906402587891</v>
      </c>
      <c r="BN380" s="244">
        <v>23.120980313431385</v>
      </c>
      <c r="BO380" s="244">
        <v>24.355779822891304</v>
      </c>
      <c r="BP380" s="244">
        <v>3.7530386447906494</v>
      </c>
      <c r="BQ380" s="244">
        <v>0</v>
      </c>
      <c r="BR380" s="244">
        <v>0</v>
      </c>
      <c r="BS380" s="244">
        <v>0</v>
      </c>
      <c r="BT380" s="244">
        <v>17.578985214233398</v>
      </c>
      <c r="BU380" s="244">
        <v>0</v>
      </c>
      <c r="BV380" s="244">
        <v>138.14190673828125</v>
      </c>
      <c r="BW380" s="244">
        <v>4.4453005790710449</v>
      </c>
      <c r="BX380" s="244">
        <v>14.244659423828125</v>
      </c>
      <c r="BY380" s="244"/>
      <c r="BZ380" s="244">
        <v>0</v>
      </c>
      <c r="CA380" s="244">
        <v>0</v>
      </c>
      <c r="CB380" s="244">
        <v>211.39599609375</v>
      </c>
      <c r="CC380" s="244">
        <v>14.244659423828125</v>
      </c>
      <c r="CD380" s="228">
        <v>14.840368240681196</v>
      </c>
      <c r="CE380" s="244">
        <v>-425.69622802734375</v>
      </c>
      <c r="CF380" s="244">
        <v>0.24755023942362617</v>
      </c>
      <c r="CG380" s="244">
        <v>0.27579685494702294</v>
      </c>
      <c r="CH380" s="244">
        <v>0.52334709437064908</v>
      </c>
      <c r="CI380" s="244">
        <v>1.2138483802736806E-2</v>
      </c>
      <c r="CJ380" s="244">
        <v>1.7237303434189079E-2</v>
      </c>
      <c r="CK380" s="244">
        <v>2.9375787236925886E-2</v>
      </c>
      <c r="CL380" s="244"/>
      <c r="CM380" s="244">
        <v>2.9173738570176999</v>
      </c>
      <c r="CN380" s="244" t="s">
        <v>442</v>
      </c>
      <c r="CO380" s="244">
        <v>0.28600001335144043</v>
      </c>
      <c r="CP380" s="244">
        <v>0.31700000166893005</v>
      </c>
      <c r="CQ380" s="244">
        <v>24.355779822891304</v>
      </c>
      <c r="CR380" s="244">
        <v>0</v>
      </c>
      <c r="CS380" s="244">
        <v>0</v>
      </c>
      <c r="CT380" s="244">
        <v>24.355779647827148</v>
      </c>
      <c r="CU380" s="244">
        <v>0</v>
      </c>
      <c r="CV380" s="244">
        <v>0</v>
      </c>
      <c r="CW380" s="228">
        <v>9999</v>
      </c>
    </row>
    <row r="381" spans="1:101">
      <c r="A381" s="221" t="s">
        <v>463</v>
      </c>
      <c r="B381" s="221" t="s">
        <v>440</v>
      </c>
      <c r="C381" s="244">
        <v>10</v>
      </c>
      <c r="D381" s="244">
        <v>101.91926430684568</v>
      </c>
      <c r="E381" s="244">
        <v>0</v>
      </c>
      <c r="F381" s="244">
        <v>8.1096944444444432</v>
      </c>
      <c r="G381" s="244">
        <v>0</v>
      </c>
      <c r="H381" s="244">
        <v>0</v>
      </c>
      <c r="I381" s="244" t="s">
        <v>441</v>
      </c>
      <c r="J381" s="244">
        <v>0.28600001335144043</v>
      </c>
      <c r="K381" s="244">
        <v>0.31700000166893005</v>
      </c>
      <c r="L381" s="244">
        <v>111.14028779949571</v>
      </c>
      <c r="M381" s="244">
        <v>1.4062438160181046E-2</v>
      </c>
      <c r="N381" s="244">
        <v>4.4361002743244171E-2</v>
      </c>
      <c r="O381" s="244">
        <v>0</v>
      </c>
      <c r="P381" s="244">
        <v>0</v>
      </c>
      <c r="Q381" s="244">
        <v>0</v>
      </c>
      <c r="R381" s="244">
        <v>0.80633538961410522</v>
      </c>
      <c r="S381" s="244">
        <v>4.4560842514038086</v>
      </c>
      <c r="T381" s="244">
        <v>0</v>
      </c>
      <c r="U381" s="244">
        <v>8.9822397232055664</v>
      </c>
      <c r="V381" s="244" t="s">
        <v>226</v>
      </c>
      <c r="W381" s="244" t="s">
        <v>226</v>
      </c>
      <c r="X381" s="244" t="s">
        <v>226</v>
      </c>
      <c r="Y381" s="244" t="s">
        <v>226</v>
      </c>
      <c r="Z381" s="244">
        <v>0</v>
      </c>
      <c r="AA381" s="244">
        <v>0</v>
      </c>
      <c r="AB381" s="244">
        <v>0</v>
      </c>
      <c r="AC381" s="244">
        <v>0</v>
      </c>
      <c r="AD381" s="244">
        <v>0</v>
      </c>
      <c r="AE381" s="244">
        <v>0</v>
      </c>
      <c r="AF381" s="244">
        <v>0</v>
      </c>
      <c r="AG381" s="244">
        <v>0</v>
      </c>
      <c r="AH381" s="244">
        <v>0.80633538961410522</v>
      </c>
      <c r="AI381" s="244">
        <v>4.4560842514038086</v>
      </c>
      <c r="AJ381" s="244">
        <v>0</v>
      </c>
      <c r="AK381" s="244">
        <v>8.9822397232055664</v>
      </c>
      <c r="AL381" s="244">
        <v>14.24465936422348</v>
      </c>
      <c r="AM381" s="244">
        <v>78.333520782148156</v>
      </c>
      <c r="AN381" s="244">
        <v>0</v>
      </c>
      <c r="AO381" s="244">
        <v>13.789085388183594</v>
      </c>
      <c r="AP381" s="244">
        <v>59.557334899902344</v>
      </c>
      <c r="AQ381" s="244">
        <v>151.67994689941406</v>
      </c>
      <c r="AR381" s="244">
        <v>0.80633538961410522</v>
      </c>
      <c r="AS381" s="228">
        <v>188.11023678723174</v>
      </c>
      <c r="AT381" s="244">
        <v>78.333520782148156</v>
      </c>
      <c r="AU381" s="244">
        <v>12.715235710144043</v>
      </c>
      <c r="AV381" s="244">
        <v>15.060609817504883</v>
      </c>
      <c r="AW381" s="244">
        <v>59.557334899902344</v>
      </c>
      <c r="AX381" s="244">
        <v>165.66670227050781</v>
      </c>
      <c r="AY381" s="244">
        <v>4.4560842514038086</v>
      </c>
      <c r="AZ381" s="228">
        <v>37.177641144803118</v>
      </c>
      <c r="BA381" s="244">
        <v>78.333520782148156</v>
      </c>
      <c r="BB381" s="244">
        <v>12.715235710144043</v>
      </c>
      <c r="BC381" s="244">
        <v>15.060609817504883</v>
      </c>
      <c r="BD381" s="244">
        <v>59.557334899902344</v>
      </c>
      <c r="BE381" s="244">
        <v>165.66670227050781</v>
      </c>
      <c r="BF381" s="244">
        <v>5.2624197006225586</v>
      </c>
      <c r="BG381" s="244">
        <v>-59.254570007324219</v>
      </c>
      <c r="BH381" s="228">
        <v>31.481089025742232</v>
      </c>
      <c r="BI381" s="244">
        <v>0.5821690559387207</v>
      </c>
      <c r="BJ381" s="244">
        <v>3.2172648906707764</v>
      </c>
      <c r="BK381" s="244">
        <v>0</v>
      </c>
      <c r="BL381" s="244">
        <v>6.4851198196411133</v>
      </c>
      <c r="BM381" s="244">
        <v>10.284553527832031</v>
      </c>
      <c r="BN381" s="244">
        <v>78.333520782148156</v>
      </c>
      <c r="BO381" s="244">
        <v>0</v>
      </c>
      <c r="BP381" s="244">
        <v>12.715235710144043</v>
      </c>
      <c r="BQ381" s="244">
        <v>0</v>
      </c>
      <c r="BR381" s="244">
        <v>0</v>
      </c>
      <c r="BS381" s="244">
        <v>0</v>
      </c>
      <c r="BT381" s="244">
        <v>59.557334899902344</v>
      </c>
      <c r="BU381" s="244">
        <v>0</v>
      </c>
      <c r="BV381" s="244">
        <v>155.40969848632812</v>
      </c>
      <c r="BW381" s="244">
        <v>15.060609817504883</v>
      </c>
      <c r="BX381" s="244">
        <v>14.244659423828125</v>
      </c>
      <c r="BY381" s="244"/>
      <c r="BZ381" s="244">
        <v>0</v>
      </c>
      <c r="CA381" s="244">
        <v>0</v>
      </c>
      <c r="CB381" s="244">
        <v>321.07638549804687</v>
      </c>
      <c r="CC381" s="244">
        <v>14.244659423828125</v>
      </c>
      <c r="CD381" s="228">
        <v>22.54012469816854</v>
      </c>
      <c r="CE381" s="244">
        <v>-164.97427368164062</v>
      </c>
      <c r="CF381" s="244">
        <v>0.83869635117726937</v>
      </c>
      <c r="CG381" s="244">
        <v>0</v>
      </c>
      <c r="CH381" s="244">
        <v>0.83869635117726937</v>
      </c>
      <c r="CI381" s="244">
        <v>4.1124993851280961E-2</v>
      </c>
      <c r="CJ381" s="244">
        <v>0</v>
      </c>
      <c r="CK381" s="244">
        <v>4.1124993851280961E-2</v>
      </c>
      <c r="CL381" s="244"/>
      <c r="CM381" s="244">
        <v>0</v>
      </c>
      <c r="CN381" s="244" t="s">
        <v>442</v>
      </c>
      <c r="CO381" s="244">
        <v>0</v>
      </c>
      <c r="CP381" s="244">
        <v>0</v>
      </c>
      <c r="CQ381" s="244">
        <v>0</v>
      </c>
      <c r="CR381" s="244">
        <v>0</v>
      </c>
      <c r="CS381" s="244">
        <v>0</v>
      </c>
      <c r="CT381" s="244">
        <v>0</v>
      </c>
      <c r="CU381" s="244">
        <v>0</v>
      </c>
      <c r="CV381" s="244">
        <v>9999</v>
      </c>
      <c r="CW381" s="228">
        <v>9999</v>
      </c>
    </row>
    <row r="382" spans="1:101">
      <c r="A382" s="221" t="s">
        <v>464</v>
      </c>
      <c r="B382" s="221" t="s">
        <v>440</v>
      </c>
      <c r="C382" s="244">
        <v>10</v>
      </c>
      <c r="D382" s="244">
        <v>0</v>
      </c>
      <c r="E382" s="244">
        <v>4.5452049611244005</v>
      </c>
      <c r="F382" s="244">
        <v>8.1096944444444432</v>
      </c>
      <c r="G382" s="244">
        <v>0</v>
      </c>
      <c r="H382" s="244">
        <v>0</v>
      </c>
      <c r="I382" s="244" t="s">
        <v>441</v>
      </c>
      <c r="J382" s="244">
        <v>0</v>
      </c>
      <c r="K382" s="244">
        <v>0</v>
      </c>
      <c r="L382" s="244">
        <v>0</v>
      </c>
      <c r="M382" s="244">
        <v>0</v>
      </c>
      <c r="N382" s="244">
        <v>0</v>
      </c>
      <c r="O382" s="244">
        <v>4.5906570107356428</v>
      </c>
      <c r="P382" s="244">
        <v>1.3930856250226498E-2</v>
      </c>
      <c r="Q382" s="244">
        <v>4.3945919722318649E-2</v>
      </c>
      <c r="R382" s="244">
        <v>0.80633538961410522</v>
      </c>
      <c r="S382" s="244">
        <v>4.4560842514038086</v>
      </c>
      <c r="T382" s="244">
        <v>0</v>
      </c>
      <c r="U382" s="244">
        <v>8.9822397232055664</v>
      </c>
      <c r="V382" s="244" t="s">
        <v>226</v>
      </c>
      <c r="W382" s="244" t="s">
        <v>226</v>
      </c>
      <c r="X382" s="244" t="s">
        <v>226</v>
      </c>
      <c r="Y382" s="244" t="s">
        <v>226</v>
      </c>
      <c r="Z382" s="244">
        <v>0</v>
      </c>
      <c r="AA382" s="244">
        <v>0</v>
      </c>
      <c r="AB382" s="244">
        <v>0</v>
      </c>
      <c r="AC382" s="244">
        <v>0</v>
      </c>
      <c r="AD382" s="244">
        <v>0</v>
      </c>
      <c r="AE382" s="244">
        <v>0</v>
      </c>
      <c r="AF382" s="244">
        <v>0</v>
      </c>
      <c r="AG382" s="244">
        <v>0</v>
      </c>
      <c r="AH382" s="244">
        <v>0.80633538961410522</v>
      </c>
      <c r="AI382" s="244">
        <v>4.4560842514038086</v>
      </c>
      <c r="AJ382" s="244">
        <v>0</v>
      </c>
      <c r="AK382" s="244">
        <v>8.9822397232055664</v>
      </c>
      <c r="AL382" s="244">
        <v>14.24465936422348</v>
      </c>
      <c r="AM382" s="244">
        <v>0</v>
      </c>
      <c r="AN382" s="244">
        <v>0</v>
      </c>
      <c r="AO382" s="244">
        <v>0</v>
      </c>
      <c r="AP382" s="244">
        <v>0</v>
      </c>
      <c r="AQ382" s="244">
        <v>0</v>
      </c>
      <c r="AR382" s="244">
        <v>0.80633538961410522</v>
      </c>
      <c r="AS382" s="255">
        <v>0</v>
      </c>
      <c r="AT382" s="244">
        <v>0</v>
      </c>
      <c r="AU382" s="244">
        <v>0</v>
      </c>
      <c r="AV382" s="244">
        <v>0</v>
      </c>
      <c r="AW382" s="244">
        <v>0</v>
      </c>
      <c r="AX382" s="244">
        <v>0</v>
      </c>
      <c r="AY382" s="244">
        <v>4.4560842514038086</v>
      </c>
      <c r="AZ382" s="255">
        <v>0</v>
      </c>
      <c r="BA382" s="244">
        <v>0</v>
      </c>
      <c r="BB382" s="244">
        <v>0</v>
      </c>
      <c r="BC382" s="244">
        <v>0</v>
      </c>
      <c r="BD382" s="244">
        <v>0</v>
      </c>
      <c r="BE382" s="244">
        <v>0</v>
      </c>
      <c r="BF382" s="244">
        <v>5.2624197006225586</v>
      </c>
      <c r="BG382" s="244">
        <v>9999</v>
      </c>
      <c r="BH382" s="255">
        <v>0</v>
      </c>
      <c r="BI382" s="244">
        <v>9999</v>
      </c>
      <c r="BJ382" s="244">
        <v>9999</v>
      </c>
      <c r="BK382" s="244">
        <v>9999</v>
      </c>
      <c r="BL382" s="244">
        <v>9999</v>
      </c>
      <c r="BM382" s="244">
        <v>9999</v>
      </c>
      <c r="BN382" s="244">
        <v>0</v>
      </c>
      <c r="BO382" s="244">
        <v>37.945774764782747</v>
      </c>
      <c r="BP382" s="244">
        <v>0</v>
      </c>
      <c r="BQ382" s="244">
        <v>0</v>
      </c>
      <c r="BR382" s="244">
        <v>0</v>
      </c>
      <c r="BS382" s="244">
        <v>0</v>
      </c>
      <c r="BT382" s="244">
        <v>0</v>
      </c>
      <c r="BU382" s="244">
        <v>0</v>
      </c>
      <c r="BV382" s="244">
        <v>155.40969848632812</v>
      </c>
      <c r="BW382" s="244">
        <v>0</v>
      </c>
      <c r="BX382" s="244">
        <v>14.244659423828125</v>
      </c>
      <c r="BY382" s="244"/>
      <c r="BZ382" s="244">
        <v>0</v>
      </c>
      <c r="CA382" s="244">
        <v>0</v>
      </c>
      <c r="CB382" s="244">
        <v>193.35546875</v>
      </c>
      <c r="CC382" s="244">
        <v>14.244659423828125</v>
      </c>
      <c r="CD382" s="228">
        <v>13.573892326809196</v>
      </c>
      <c r="CE382" s="244">
        <v>9999</v>
      </c>
      <c r="CF382" s="244">
        <v>0</v>
      </c>
      <c r="CG382" s="244">
        <v>0.42968549620485891</v>
      </c>
      <c r="CH382" s="244">
        <v>0.42968549620485891</v>
      </c>
      <c r="CI382" s="244">
        <v>0</v>
      </c>
      <c r="CJ382" s="244">
        <v>2.6855343512803498E-2</v>
      </c>
      <c r="CK382" s="244">
        <v>2.6855343512803498E-2</v>
      </c>
      <c r="CL382" s="244"/>
      <c r="CM382" s="244">
        <v>4.5452049611244005</v>
      </c>
      <c r="CN382" s="244" t="s">
        <v>442</v>
      </c>
      <c r="CO382" s="244">
        <v>0.28600001335144043</v>
      </c>
      <c r="CP382" s="244">
        <v>0.31700000166893005</v>
      </c>
      <c r="CQ382" s="244">
        <v>37.945774764782747</v>
      </c>
      <c r="CR382" s="244">
        <v>0</v>
      </c>
      <c r="CS382" s="244">
        <v>0</v>
      </c>
      <c r="CT382" s="244">
        <v>37.945774078369141</v>
      </c>
      <c r="CU382" s="244">
        <v>0</v>
      </c>
      <c r="CV382" s="244">
        <v>0</v>
      </c>
      <c r="CW382" s="228">
        <v>9999</v>
      </c>
    </row>
    <row r="383" spans="1:101">
      <c r="A383" s="221" t="s">
        <v>465</v>
      </c>
      <c r="B383" s="221" t="s">
        <v>440</v>
      </c>
      <c r="C383" s="244">
        <v>10</v>
      </c>
      <c r="D383" s="244">
        <v>32.104568256656393</v>
      </c>
      <c r="E383" s="244">
        <v>3.1134653983702147</v>
      </c>
      <c r="F383" s="244">
        <v>8.1096944444444432</v>
      </c>
      <c r="G383" s="244">
        <v>0</v>
      </c>
      <c r="H383" s="244">
        <v>0</v>
      </c>
      <c r="I383" s="244" t="s">
        <v>441</v>
      </c>
      <c r="J383" s="244">
        <v>0.28600001335144043</v>
      </c>
      <c r="K383" s="244">
        <v>0.31700000166893005</v>
      </c>
      <c r="L383" s="244">
        <v>35.009190656841142</v>
      </c>
      <c r="M383" s="244">
        <v>4.4296677224338055E-3</v>
      </c>
      <c r="N383" s="244">
        <v>1.3973715715110302E-2</v>
      </c>
      <c r="O383" s="244">
        <v>3.1446000523539159</v>
      </c>
      <c r="P383" s="244">
        <v>9.5426365733146667E-3</v>
      </c>
      <c r="Q383" s="244">
        <v>3.0102955177426338E-2</v>
      </c>
      <c r="R383" s="244">
        <v>0.80633538961410522</v>
      </c>
      <c r="S383" s="244">
        <v>4.4560842514038086</v>
      </c>
      <c r="T383" s="244">
        <v>0</v>
      </c>
      <c r="U383" s="244">
        <v>8.9822397232055664</v>
      </c>
      <c r="V383" s="244" t="s">
        <v>226</v>
      </c>
      <c r="W383" s="244" t="s">
        <v>226</v>
      </c>
      <c r="X383" s="244" t="s">
        <v>226</v>
      </c>
      <c r="Y383" s="244" t="s">
        <v>226</v>
      </c>
      <c r="Z383" s="244">
        <v>0</v>
      </c>
      <c r="AA383" s="244">
        <v>0</v>
      </c>
      <c r="AB383" s="244">
        <v>0</v>
      </c>
      <c r="AC383" s="244">
        <v>0</v>
      </c>
      <c r="AD383" s="244">
        <v>0</v>
      </c>
      <c r="AE383" s="244">
        <v>0</v>
      </c>
      <c r="AF383" s="244">
        <v>0</v>
      </c>
      <c r="AG383" s="244">
        <v>0</v>
      </c>
      <c r="AH383" s="244">
        <v>0.80633538961410522</v>
      </c>
      <c r="AI383" s="244">
        <v>4.4560842514038086</v>
      </c>
      <c r="AJ383" s="244">
        <v>0</v>
      </c>
      <c r="AK383" s="244">
        <v>8.9822397232055664</v>
      </c>
      <c r="AL383" s="244">
        <v>14.24465936422348</v>
      </c>
      <c r="AM383" s="244">
        <v>24.675059046376727</v>
      </c>
      <c r="AN383" s="244">
        <v>0</v>
      </c>
      <c r="AO383" s="244">
        <v>4.3435616493225098</v>
      </c>
      <c r="AP383" s="244">
        <v>18.76055908203125</v>
      </c>
      <c r="AQ383" s="244">
        <v>47.779178619384766</v>
      </c>
      <c r="AR383" s="244">
        <v>0.80633538961410522</v>
      </c>
      <c r="AS383" s="228">
        <v>59.254722530033781</v>
      </c>
      <c r="AT383" s="244">
        <v>24.675059046376727</v>
      </c>
      <c r="AU383" s="244">
        <v>4.0052995681762695</v>
      </c>
      <c r="AV383" s="244">
        <v>4.7440919876098633</v>
      </c>
      <c r="AW383" s="244">
        <v>18.76055908203125</v>
      </c>
      <c r="AX383" s="244">
        <v>52.185009002685547</v>
      </c>
      <c r="AY383" s="244">
        <v>4.4560842514038086</v>
      </c>
      <c r="AZ383" s="228">
        <v>11.710956692022636</v>
      </c>
      <c r="BA383" s="244">
        <v>24.675059046376727</v>
      </c>
      <c r="BB383" s="244">
        <v>4.0052995681762695</v>
      </c>
      <c r="BC383" s="244">
        <v>4.7440919876098633</v>
      </c>
      <c r="BD383" s="244">
        <v>18.76055908203125</v>
      </c>
      <c r="BE383" s="244">
        <v>52.185009002685547</v>
      </c>
      <c r="BF383" s="244">
        <v>5.2624197006225586</v>
      </c>
      <c r="BG383" s="244">
        <v>-50.992305755615234</v>
      </c>
      <c r="BH383" s="228">
        <v>9.9165428156732727</v>
      </c>
      <c r="BI383" s="244">
        <v>1.8481557369232178</v>
      </c>
      <c r="BJ383" s="244">
        <v>10.213539123535156</v>
      </c>
      <c r="BK383" s="244">
        <v>0</v>
      </c>
      <c r="BL383" s="244">
        <v>20.587682723999023</v>
      </c>
      <c r="BM383" s="244">
        <v>32.649375915527344</v>
      </c>
      <c r="BN383" s="244">
        <v>24.675059046376727</v>
      </c>
      <c r="BO383" s="244">
        <v>25.992855713876168</v>
      </c>
      <c r="BP383" s="244">
        <v>4.0052995681762695</v>
      </c>
      <c r="BQ383" s="244">
        <v>0</v>
      </c>
      <c r="BR383" s="244">
        <v>0</v>
      </c>
      <c r="BS383" s="244">
        <v>0</v>
      </c>
      <c r="BT383" s="244">
        <v>18.76055908203125</v>
      </c>
      <c r="BU383" s="244">
        <v>0</v>
      </c>
      <c r="BV383" s="244">
        <v>155.40969848632812</v>
      </c>
      <c r="BW383" s="244">
        <v>4.7440919876098633</v>
      </c>
      <c r="BX383" s="244">
        <v>14.244659423828125</v>
      </c>
      <c r="BY383" s="244"/>
      <c r="BZ383" s="244">
        <v>0</v>
      </c>
      <c r="CA383" s="244">
        <v>0</v>
      </c>
      <c r="CB383" s="244">
        <v>233.58757019042969</v>
      </c>
      <c r="CC383" s="244">
        <v>14.244659423828125</v>
      </c>
      <c r="CD383" s="228">
        <v>16.398255439765638</v>
      </c>
      <c r="CE383" s="244">
        <v>-446.18716430664062</v>
      </c>
      <c r="CF383" s="244">
        <v>0.26418935062084009</v>
      </c>
      <c r="CG383" s="244">
        <v>0.29433456490032633</v>
      </c>
      <c r="CH383" s="244">
        <v>0.55852391552116643</v>
      </c>
      <c r="CI383" s="244">
        <v>1.2954373063153508E-2</v>
      </c>
      <c r="CJ383" s="244">
        <v>1.8395910306270413E-2</v>
      </c>
      <c r="CK383" s="244">
        <v>3.1350283369423922E-2</v>
      </c>
      <c r="CL383" s="244"/>
      <c r="CM383" s="244">
        <v>3.1134653983702147</v>
      </c>
      <c r="CN383" s="244" t="s">
        <v>442</v>
      </c>
      <c r="CO383" s="244">
        <v>0.28600001335144043</v>
      </c>
      <c r="CP383" s="244">
        <v>0.31700000166893005</v>
      </c>
      <c r="CQ383" s="244">
        <v>25.992855713876168</v>
      </c>
      <c r="CR383" s="244">
        <v>0</v>
      </c>
      <c r="CS383" s="244">
        <v>0</v>
      </c>
      <c r="CT383" s="244">
        <v>25.992855072021484</v>
      </c>
      <c r="CU383" s="244">
        <v>0</v>
      </c>
      <c r="CV383" s="244">
        <v>0</v>
      </c>
      <c r="CW383" s="228">
        <v>9999</v>
      </c>
    </row>
    <row r="384" spans="1:101">
      <c r="A384" s="221" t="s">
        <v>466</v>
      </c>
      <c r="B384" s="221" t="s">
        <v>440</v>
      </c>
      <c r="C384" s="244">
        <v>10</v>
      </c>
      <c r="D384" s="244">
        <v>168.50498407866149</v>
      </c>
      <c r="E384" s="244">
        <v>0</v>
      </c>
      <c r="F384" s="244">
        <v>8.1096944444444432</v>
      </c>
      <c r="G384" s="244">
        <v>0</v>
      </c>
      <c r="H384" s="244">
        <v>0</v>
      </c>
      <c r="I384" s="244" t="s">
        <v>441</v>
      </c>
      <c r="J384" s="244">
        <v>0.28600001335144043</v>
      </c>
      <c r="K384" s="244">
        <v>0.31700000166893005</v>
      </c>
      <c r="L384" s="244">
        <v>183.75027089843283</v>
      </c>
      <c r="M384" s="244">
        <v>2.3249685764312744E-2</v>
      </c>
      <c r="N384" s="244">
        <v>7.3342859745025635E-2</v>
      </c>
      <c r="O384" s="244">
        <v>0</v>
      </c>
      <c r="P384" s="244">
        <v>0</v>
      </c>
      <c r="Q384" s="244">
        <v>0</v>
      </c>
      <c r="R384" s="244">
        <v>0.80633538961410522</v>
      </c>
      <c r="S384" s="244">
        <v>4.4560842514038086</v>
      </c>
      <c r="T384" s="244">
        <v>0</v>
      </c>
      <c r="U384" s="244">
        <v>8.9822397232055664</v>
      </c>
      <c r="V384" s="244" t="s">
        <v>226</v>
      </c>
      <c r="W384" s="244" t="s">
        <v>226</v>
      </c>
      <c r="X384" s="244" t="s">
        <v>226</v>
      </c>
      <c r="Y384" s="244" t="s">
        <v>226</v>
      </c>
      <c r="Z384" s="244">
        <v>0</v>
      </c>
      <c r="AA384" s="244">
        <v>0</v>
      </c>
      <c r="AB384" s="244">
        <v>0</v>
      </c>
      <c r="AC384" s="244">
        <v>0</v>
      </c>
      <c r="AD384" s="244">
        <v>0</v>
      </c>
      <c r="AE384" s="244">
        <v>0</v>
      </c>
      <c r="AF384" s="244">
        <v>0</v>
      </c>
      <c r="AG384" s="244">
        <v>0</v>
      </c>
      <c r="AH384" s="244">
        <v>0.80633538961410522</v>
      </c>
      <c r="AI384" s="244">
        <v>4.4560842514038086</v>
      </c>
      <c r="AJ384" s="244">
        <v>0</v>
      </c>
      <c r="AK384" s="244">
        <v>8.9822397232055664</v>
      </c>
      <c r="AL384" s="244">
        <v>14.24465936422348</v>
      </c>
      <c r="AM384" s="244">
        <v>129.5102428573436</v>
      </c>
      <c r="AN384" s="244">
        <v>0</v>
      </c>
      <c r="AO384" s="244">
        <v>22.797746658325195</v>
      </c>
      <c r="AP384" s="244">
        <v>98.46722412109375</v>
      </c>
      <c r="AQ384" s="244">
        <v>250.77520751953125</v>
      </c>
      <c r="AR384" s="244">
        <v>0.80633538961410522</v>
      </c>
      <c r="AS384" s="228">
        <v>311.00608613591692</v>
      </c>
      <c r="AT384" s="244">
        <v>129.5102428573436</v>
      </c>
      <c r="AU384" s="244">
        <v>21.0223388671875</v>
      </c>
      <c r="AV384" s="244">
        <v>24.899980545043945</v>
      </c>
      <c r="AW384" s="244">
        <v>98.46722412109375</v>
      </c>
      <c r="AX384" s="244">
        <v>273.8997802734375</v>
      </c>
      <c r="AY384" s="244">
        <v>4.4560842514038086</v>
      </c>
      <c r="AZ384" s="228">
        <v>61.46647391246735</v>
      </c>
      <c r="BA384" s="244">
        <v>129.5102428573436</v>
      </c>
      <c r="BB384" s="244">
        <v>21.0223388671875</v>
      </c>
      <c r="BC384" s="244">
        <v>24.899980545043945</v>
      </c>
      <c r="BD384" s="244">
        <v>98.46722412109375</v>
      </c>
      <c r="BE384" s="244">
        <v>273.8997802734375</v>
      </c>
      <c r="BF384" s="244">
        <v>5.2624197006225586</v>
      </c>
      <c r="BG384" s="244">
        <v>-60.755939483642578</v>
      </c>
      <c r="BH384" s="228">
        <v>52.048260130332011</v>
      </c>
      <c r="BI384" s="244">
        <v>0.35212159156799316</v>
      </c>
      <c r="BJ384" s="244">
        <v>1.9459439516067505</v>
      </c>
      <c r="BK384" s="244">
        <v>0</v>
      </c>
      <c r="BL384" s="244">
        <v>3.9224872589111328</v>
      </c>
      <c r="BM384" s="244">
        <v>6.220552921295166</v>
      </c>
      <c r="BN384" s="244">
        <v>129.5102428573436</v>
      </c>
      <c r="BO384" s="244">
        <v>0</v>
      </c>
      <c r="BP384" s="244">
        <v>21.0223388671875</v>
      </c>
      <c r="BQ384" s="244">
        <v>0</v>
      </c>
      <c r="BR384" s="244">
        <v>0</v>
      </c>
      <c r="BS384" s="244">
        <v>0</v>
      </c>
      <c r="BT384" s="244">
        <v>98.46722412109375</v>
      </c>
      <c r="BU384" s="244">
        <v>0</v>
      </c>
      <c r="BV384" s="244">
        <v>241.74838256835937</v>
      </c>
      <c r="BW384" s="244">
        <v>24.899980545043945</v>
      </c>
      <c r="BX384" s="244">
        <v>14.244659423828125</v>
      </c>
      <c r="BY384" s="244"/>
      <c r="BZ384" s="244">
        <v>0</v>
      </c>
      <c r="CA384" s="244">
        <v>0</v>
      </c>
      <c r="CB384" s="244">
        <v>515.648193359375</v>
      </c>
      <c r="CC384" s="244">
        <v>14.244659423828125</v>
      </c>
      <c r="CD384" s="228">
        <v>36.199403131847738</v>
      </c>
      <c r="CE384" s="244">
        <v>-162.4034423828125</v>
      </c>
      <c r="CF384" s="244">
        <v>1.386632019600097</v>
      </c>
      <c r="CG384" s="244">
        <v>0</v>
      </c>
      <c r="CH384" s="244">
        <v>1.386632019600097</v>
      </c>
      <c r="CI384" s="244">
        <v>6.7992704630224554E-2</v>
      </c>
      <c r="CJ384" s="244">
        <v>0</v>
      </c>
      <c r="CK384" s="244">
        <v>6.7992704630224554E-2</v>
      </c>
      <c r="CL384" s="244"/>
      <c r="CM384" s="244">
        <v>0</v>
      </c>
      <c r="CN384" s="244" t="s">
        <v>442</v>
      </c>
      <c r="CO384" s="244">
        <v>0</v>
      </c>
      <c r="CP384" s="244">
        <v>0</v>
      </c>
      <c r="CQ384" s="244">
        <v>0</v>
      </c>
      <c r="CR384" s="244">
        <v>0</v>
      </c>
      <c r="CS384" s="244">
        <v>0</v>
      </c>
      <c r="CT384" s="244">
        <v>0</v>
      </c>
      <c r="CU384" s="244">
        <v>0</v>
      </c>
      <c r="CV384" s="244">
        <v>9999</v>
      </c>
      <c r="CW384" s="228">
        <v>9999</v>
      </c>
    </row>
    <row r="385" spans="1:101">
      <c r="A385" s="221" t="s">
        <v>467</v>
      </c>
      <c r="B385" s="221" t="s">
        <v>440</v>
      </c>
      <c r="C385" s="244">
        <v>10</v>
      </c>
      <c r="D385" s="244">
        <v>0</v>
      </c>
      <c r="E385" s="244">
        <v>7.5146705072622604</v>
      </c>
      <c r="F385" s="244">
        <v>8.1096944444444432</v>
      </c>
      <c r="G385" s="244">
        <v>0</v>
      </c>
      <c r="H385" s="244">
        <v>0</v>
      </c>
      <c r="I385" s="244" t="s">
        <v>441</v>
      </c>
      <c r="J385" s="244">
        <v>0</v>
      </c>
      <c r="K385" s="244">
        <v>0</v>
      </c>
      <c r="L385" s="244">
        <v>0</v>
      </c>
      <c r="M385" s="244">
        <v>0</v>
      </c>
      <c r="N385" s="244">
        <v>0</v>
      </c>
      <c r="O385" s="244">
        <v>7.5898172123348813</v>
      </c>
      <c r="P385" s="244">
        <v>2.3032139986753464E-2</v>
      </c>
      <c r="Q385" s="244">
        <v>7.2656594216823578E-2</v>
      </c>
      <c r="R385" s="244">
        <v>0.80633538961410522</v>
      </c>
      <c r="S385" s="244">
        <v>4.4560842514038086</v>
      </c>
      <c r="T385" s="244">
        <v>0</v>
      </c>
      <c r="U385" s="244">
        <v>8.9822397232055664</v>
      </c>
      <c r="V385" s="244" t="s">
        <v>226</v>
      </c>
      <c r="W385" s="244" t="s">
        <v>226</v>
      </c>
      <c r="X385" s="244" t="s">
        <v>226</v>
      </c>
      <c r="Y385" s="244" t="s">
        <v>226</v>
      </c>
      <c r="Z385" s="244">
        <v>0</v>
      </c>
      <c r="AA385" s="244">
        <v>0</v>
      </c>
      <c r="AB385" s="244">
        <v>0</v>
      </c>
      <c r="AC385" s="244">
        <v>0</v>
      </c>
      <c r="AD385" s="244">
        <v>0</v>
      </c>
      <c r="AE385" s="244">
        <v>0</v>
      </c>
      <c r="AF385" s="244">
        <v>0</v>
      </c>
      <c r="AG385" s="244">
        <v>0</v>
      </c>
      <c r="AH385" s="244">
        <v>0.80633538961410522</v>
      </c>
      <c r="AI385" s="244">
        <v>4.4560842514038086</v>
      </c>
      <c r="AJ385" s="244">
        <v>0</v>
      </c>
      <c r="AK385" s="244">
        <v>8.9822397232055664</v>
      </c>
      <c r="AL385" s="244">
        <v>14.24465936422348</v>
      </c>
      <c r="AM385" s="244">
        <v>0</v>
      </c>
      <c r="AN385" s="244">
        <v>0</v>
      </c>
      <c r="AO385" s="244">
        <v>0</v>
      </c>
      <c r="AP385" s="244">
        <v>0</v>
      </c>
      <c r="AQ385" s="244">
        <v>0</v>
      </c>
      <c r="AR385" s="244">
        <v>0.80633538961410522</v>
      </c>
      <c r="AS385" s="255">
        <v>0</v>
      </c>
      <c r="AT385" s="244">
        <v>0</v>
      </c>
      <c r="AU385" s="244">
        <v>0</v>
      </c>
      <c r="AV385" s="244">
        <v>0</v>
      </c>
      <c r="AW385" s="244">
        <v>0</v>
      </c>
      <c r="AX385" s="244">
        <v>0</v>
      </c>
      <c r="AY385" s="244">
        <v>4.4560842514038086</v>
      </c>
      <c r="AZ385" s="255">
        <v>0</v>
      </c>
      <c r="BA385" s="244">
        <v>0</v>
      </c>
      <c r="BB385" s="244">
        <v>0</v>
      </c>
      <c r="BC385" s="244">
        <v>0</v>
      </c>
      <c r="BD385" s="244">
        <v>0</v>
      </c>
      <c r="BE385" s="244">
        <v>0</v>
      </c>
      <c r="BF385" s="244">
        <v>5.2624197006225586</v>
      </c>
      <c r="BG385" s="244">
        <v>9999</v>
      </c>
      <c r="BH385" s="255">
        <v>0</v>
      </c>
      <c r="BI385" s="244">
        <v>9999</v>
      </c>
      <c r="BJ385" s="244">
        <v>9999</v>
      </c>
      <c r="BK385" s="244">
        <v>9999</v>
      </c>
      <c r="BL385" s="244">
        <v>9999</v>
      </c>
      <c r="BM385" s="244">
        <v>9999</v>
      </c>
      <c r="BN385" s="244">
        <v>0</v>
      </c>
      <c r="BO385" s="244">
        <v>62.736443557341495</v>
      </c>
      <c r="BP385" s="244">
        <v>0</v>
      </c>
      <c r="BQ385" s="244">
        <v>0</v>
      </c>
      <c r="BR385" s="244">
        <v>0</v>
      </c>
      <c r="BS385" s="244">
        <v>0</v>
      </c>
      <c r="BT385" s="244">
        <v>0</v>
      </c>
      <c r="BU385" s="244">
        <v>0</v>
      </c>
      <c r="BV385" s="244">
        <v>241.74838256835937</v>
      </c>
      <c r="BW385" s="244">
        <v>0</v>
      </c>
      <c r="BX385" s="244">
        <v>14.244659423828125</v>
      </c>
      <c r="BY385" s="244"/>
      <c r="BZ385" s="244">
        <v>0</v>
      </c>
      <c r="CA385" s="244">
        <v>0</v>
      </c>
      <c r="CB385" s="244">
        <v>304.48483276367187</v>
      </c>
      <c r="CC385" s="244">
        <v>14.244659423828125</v>
      </c>
      <c r="CD385" s="228">
        <v>21.375367221231414</v>
      </c>
      <c r="CE385" s="244">
        <v>9999</v>
      </c>
      <c r="CF385" s="244">
        <v>0</v>
      </c>
      <c r="CG385" s="244">
        <v>0.71040689107453914</v>
      </c>
      <c r="CH385" s="244">
        <v>0.71040689107453914</v>
      </c>
      <c r="CI385" s="244">
        <v>0</v>
      </c>
      <c r="CJ385" s="244">
        <v>4.4400430692159022E-2</v>
      </c>
      <c r="CK385" s="244">
        <v>4.4400430692159022E-2</v>
      </c>
      <c r="CL385" s="244"/>
      <c r="CM385" s="244">
        <v>7.5146705072622604</v>
      </c>
      <c r="CN385" s="244" t="s">
        <v>442</v>
      </c>
      <c r="CO385" s="244">
        <v>0.28600001335144043</v>
      </c>
      <c r="CP385" s="244">
        <v>0.31700000166893005</v>
      </c>
      <c r="CQ385" s="244">
        <v>62.736443557341495</v>
      </c>
      <c r="CR385" s="244">
        <v>0</v>
      </c>
      <c r="CS385" s="244">
        <v>0</v>
      </c>
      <c r="CT385" s="244">
        <v>62.736442565917969</v>
      </c>
      <c r="CU385" s="244">
        <v>0</v>
      </c>
      <c r="CV385" s="244">
        <v>0</v>
      </c>
      <c r="CW385" s="228">
        <v>9999</v>
      </c>
    </row>
    <row r="386" spans="1:101">
      <c r="A386" s="221" t="s">
        <v>468</v>
      </c>
      <c r="B386" s="221" t="s">
        <v>440</v>
      </c>
      <c r="C386" s="244">
        <v>10</v>
      </c>
      <c r="D386" s="244">
        <v>53.079069984778371</v>
      </c>
      <c r="E386" s="244">
        <v>5.1475492974746491</v>
      </c>
      <c r="F386" s="244">
        <v>8.1096944444444432</v>
      </c>
      <c r="G386" s="244">
        <v>0</v>
      </c>
      <c r="H386" s="244">
        <v>0</v>
      </c>
      <c r="I386" s="244" t="s">
        <v>441</v>
      </c>
      <c r="J386" s="244">
        <v>0.28600001335144043</v>
      </c>
      <c r="K386" s="244">
        <v>0.31700000166893005</v>
      </c>
      <c r="L386" s="244">
        <v>57.881335333006398</v>
      </c>
      <c r="M386" s="244">
        <v>7.3236511088907719E-3</v>
      </c>
      <c r="N386" s="244">
        <v>2.3103000596165657E-2</v>
      </c>
      <c r="O386" s="244">
        <v>5.1990247904493962</v>
      </c>
      <c r="P386" s="244">
        <v>1.5777016058564186E-2</v>
      </c>
      <c r="Q386" s="244">
        <v>4.9769766628742218E-2</v>
      </c>
      <c r="R386" s="244">
        <v>0.80633538961410522</v>
      </c>
      <c r="S386" s="244">
        <v>4.4560842514038086</v>
      </c>
      <c r="T386" s="244">
        <v>0</v>
      </c>
      <c r="U386" s="244">
        <v>8.9822397232055664</v>
      </c>
      <c r="V386" s="244" t="s">
        <v>226</v>
      </c>
      <c r="W386" s="244" t="s">
        <v>226</v>
      </c>
      <c r="X386" s="244" t="s">
        <v>226</v>
      </c>
      <c r="Y386" s="244" t="s">
        <v>226</v>
      </c>
      <c r="Z386" s="244">
        <v>0</v>
      </c>
      <c r="AA386" s="244">
        <v>0</v>
      </c>
      <c r="AB386" s="244">
        <v>0</v>
      </c>
      <c r="AC386" s="244">
        <v>0</v>
      </c>
      <c r="AD386" s="244">
        <v>0</v>
      </c>
      <c r="AE386" s="244">
        <v>0</v>
      </c>
      <c r="AF386" s="244">
        <v>0</v>
      </c>
      <c r="AG386" s="244">
        <v>0</v>
      </c>
      <c r="AH386" s="244">
        <v>0.80633538961410522</v>
      </c>
      <c r="AI386" s="244">
        <v>4.4560842514038086</v>
      </c>
      <c r="AJ386" s="244">
        <v>0</v>
      </c>
      <c r="AK386" s="244">
        <v>8.9822397232055664</v>
      </c>
      <c r="AL386" s="244">
        <v>14.24465936422348</v>
      </c>
      <c r="AM386" s="244">
        <v>40.795726500063203</v>
      </c>
      <c r="AN386" s="244">
        <v>0</v>
      </c>
      <c r="AO386" s="244">
        <v>7.1812901496887207</v>
      </c>
      <c r="AP386" s="244">
        <v>31.017175674438477</v>
      </c>
      <c r="AQ386" s="244">
        <v>78.994194030761719</v>
      </c>
      <c r="AR386" s="244">
        <v>0.80633538961410522</v>
      </c>
      <c r="AS386" s="228">
        <v>97.966917168295595</v>
      </c>
      <c r="AT386" s="244">
        <v>40.795726500063203</v>
      </c>
      <c r="AU386" s="244">
        <v>6.6220359802246094</v>
      </c>
      <c r="AV386" s="244">
        <v>7.8434939384460449</v>
      </c>
      <c r="AW386" s="244">
        <v>31.017175674438477</v>
      </c>
      <c r="AX386" s="244">
        <v>86.278434753417969</v>
      </c>
      <c r="AY386" s="244">
        <v>4.4560842514038086</v>
      </c>
      <c r="AZ386" s="228">
        <v>19.361939143316665</v>
      </c>
      <c r="BA386" s="244">
        <v>40.795726500063203</v>
      </c>
      <c r="BB386" s="244">
        <v>6.6220359802246094</v>
      </c>
      <c r="BC386" s="244">
        <v>7.8434939384460449</v>
      </c>
      <c r="BD386" s="244">
        <v>31.017175674438477</v>
      </c>
      <c r="BE386" s="244">
        <v>86.278434753417969</v>
      </c>
      <c r="BF386" s="244">
        <v>5.2624197006225586</v>
      </c>
      <c r="BG386" s="244">
        <v>-55.758556365966797</v>
      </c>
      <c r="BH386" s="228">
        <v>16.395201823259278</v>
      </c>
      <c r="BI386" s="244">
        <v>1.1178462505340576</v>
      </c>
      <c r="BJ386" s="244">
        <v>6.1775999069213867</v>
      </c>
      <c r="BK386" s="244">
        <v>0</v>
      </c>
      <c r="BL386" s="244">
        <v>12.452340126037598</v>
      </c>
      <c r="BM386" s="244">
        <v>19.747787475585937</v>
      </c>
      <c r="BN386" s="244">
        <v>40.795726500063203</v>
      </c>
      <c r="BO386" s="244">
        <v>42.974463836778973</v>
      </c>
      <c r="BP386" s="244">
        <v>6.6220359802246094</v>
      </c>
      <c r="BQ386" s="244">
        <v>0</v>
      </c>
      <c r="BR386" s="244">
        <v>0</v>
      </c>
      <c r="BS386" s="244">
        <v>0</v>
      </c>
      <c r="BT386" s="244">
        <v>31.017175674438477</v>
      </c>
      <c r="BU386" s="244">
        <v>0</v>
      </c>
      <c r="BV386" s="244">
        <v>241.74838256835937</v>
      </c>
      <c r="BW386" s="244">
        <v>7.8434939384460449</v>
      </c>
      <c r="BX386" s="244">
        <v>14.244659423828125</v>
      </c>
      <c r="BY386" s="244"/>
      <c r="BZ386" s="244">
        <v>0</v>
      </c>
      <c r="CA386" s="244">
        <v>0</v>
      </c>
      <c r="CB386" s="244">
        <v>371.00128173828125</v>
      </c>
      <c r="CC386" s="244">
        <v>14.244659423828125</v>
      </c>
      <c r="CD386" s="228">
        <v>26.044938489558312</v>
      </c>
      <c r="CE386" s="244">
        <v>-438.02581787109375</v>
      </c>
      <c r="CF386" s="244">
        <v>0.43678908617403073</v>
      </c>
      <c r="CG386" s="244">
        <v>0.48662872038606325</v>
      </c>
      <c r="CH386" s="244">
        <v>0.92341780656009398</v>
      </c>
      <c r="CI386" s="244">
        <v>2.141770195852076E-2</v>
      </c>
      <c r="CJ386" s="244">
        <v>3.0414295024128967E-2</v>
      </c>
      <c r="CK386" s="244">
        <v>5.1831996982649731E-2</v>
      </c>
      <c r="CL386" s="244"/>
      <c r="CM386" s="244">
        <v>5.1475492974746491</v>
      </c>
      <c r="CN386" s="244" t="s">
        <v>442</v>
      </c>
      <c r="CO386" s="244">
        <v>0.28600001335144043</v>
      </c>
      <c r="CP386" s="244">
        <v>0.31700000166893005</v>
      </c>
      <c r="CQ386" s="244">
        <v>42.974463836778973</v>
      </c>
      <c r="CR386" s="244">
        <v>0</v>
      </c>
      <c r="CS386" s="244">
        <v>0</v>
      </c>
      <c r="CT386" s="244">
        <v>42.974464416503906</v>
      </c>
      <c r="CU386" s="244">
        <v>0</v>
      </c>
      <c r="CV386" s="244">
        <v>0</v>
      </c>
      <c r="CW386" s="228">
        <v>9999</v>
      </c>
    </row>
    <row r="387" spans="1:101">
      <c r="A387" s="221" t="s">
        <v>469</v>
      </c>
      <c r="B387" s="221" t="s">
        <v>440</v>
      </c>
      <c r="C387" s="244">
        <v>10</v>
      </c>
      <c r="D387" s="244">
        <v>91.74064478266537</v>
      </c>
      <c r="E387" s="244">
        <v>0</v>
      </c>
      <c r="F387" s="244">
        <v>3.2966774171383419</v>
      </c>
      <c r="G387" s="244">
        <v>0</v>
      </c>
      <c r="H387" s="244">
        <v>0</v>
      </c>
      <c r="I387" s="244" t="s">
        <v>441</v>
      </c>
      <c r="J387" s="244">
        <v>0.28600001335144043</v>
      </c>
      <c r="K387" s="244">
        <v>0.31700000166893005</v>
      </c>
      <c r="L387" s="244">
        <v>100.04076985249473</v>
      </c>
      <c r="M387" s="244">
        <v>1.2658029794692993E-2</v>
      </c>
      <c r="N387" s="244">
        <v>3.9930693805217743E-2</v>
      </c>
      <c r="O387" s="244">
        <v>0</v>
      </c>
      <c r="P387" s="244">
        <v>0</v>
      </c>
      <c r="Q387" s="244">
        <v>0</v>
      </c>
      <c r="R387" s="244">
        <v>0.32778394222259521</v>
      </c>
      <c r="S387" s="244">
        <v>1.8114458322525024</v>
      </c>
      <c r="T387" s="244">
        <v>0</v>
      </c>
      <c r="U387" s="244">
        <v>3.6513762474060059</v>
      </c>
      <c r="V387" s="244" t="s">
        <v>226</v>
      </c>
      <c r="W387" s="244" t="s">
        <v>226</v>
      </c>
      <c r="X387" s="244" t="s">
        <v>226</v>
      </c>
      <c r="Y387" s="244" t="s">
        <v>226</v>
      </c>
      <c r="Z387" s="244">
        <v>0</v>
      </c>
      <c r="AA387" s="244">
        <v>0</v>
      </c>
      <c r="AB387" s="244">
        <v>0</v>
      </c>
      <c r="AC387" s="244">
        <v>0</v>
      </c>
      <c r="AD387" s="244">
        <v>0</v>
      </c>
      <c r="AE387" s="244">
        <v>0</v>
      </c>
      <c r="AF387" s="244">
        <v>0</v>
      </c>
      <c r="AG387" s="244">
        <v>0</v>
      </c>
      <c r="AH387" s="244">
        <v>0.32778394222259521</v>
      </c>
      <c r="AI387" s="244">
        <v>1.8114458322525024</v>
      </c>
      <c r="AJ387" s="244">
        <v>0</v>
      </c>
      <c r="AK387" s="244">
        <v>3.6513762474060059</v>
      </c>
      <c r="AL387" s="244">
        <v>5.7906060218811035</v>
      </c>
      <c r="AM387" s="244">
        <v>70.510396180007461</v>
      </c>
      <c r="AN387" s="244">
        <v>0</v>
      </c>
      <c r="AO387" s="244">
        <v>12.41197681427002</v>
      </c>
      <c r="AP387" s="244">
        <v>53.609371185302734</v>
      </c>
      <c r="AQ387" s="244">
        <v>136.53173828125</v>
      </c>
      <c r="AR387" s="244">
        <v>0.32778394222259521</v>
      </c>
      <c r="AS387" s="228">
        <v>416.52969103307294</v>
      </c>
      <c r="AT387" s="244">
        <v>70.510396180007461</v>
      </c>
      <c r="AU387" s="244">
        <v>11.445372581481934</v>
      </c>
      <c r="AV387" s="244">
        <v>13.556513786315918</v>
      </c>
      <c r="AW387" s="244">
        <v>53.609371185302734</v>
      </c>
      <c r="AX387" s="244">
        <v>149.12165832519531</v>
      </c>
      <c r="AY387" s="244">
        <v>1.8114458322525024</v>
      </c>
      <c r="AZ387" s="228">
        <v>82.321895072996895</v>
      </c>
      <c r="BA387" s="244">
        <v>70.510396180007461</v>
      </c>
      <c r="BB387" s="244">
        <v>11.445372581481934</v>
      </c>
      <c r="BC387" s="244">
        <v>13.556513786315918</v>
      </c>
      <c r="BD387" s="244">
        <v>53.609371185302734</v>
      </c>
      <c r="BE387" s="244">
        <v>149.12165832519531</v>
      </c>
      <c r="BF387" s="244">
        <v>2.1392297744750977</v>
      </c>
      <c r="BG387" s="244">
        <v>-61.338123321533203</v>
      </c>
      <c r="BH387" s="228">
        <v>69.708104997602703</v>
      </c>
      <c r="BI387" s="244">
        <v>0.26291510462760925</v>
      </c>
      <c r="BJ387" s="244">
        <v>1.4529585838317871</v>
      </c>
      <c r="BK387" s="244">
        <v>0</v>
      </c>
      <c r="BL387" s="244">
        <v>2.9287645816802979</v>
      </c>
      <c r="BM387" s="244">
        <v>4.6446385383605957</v>
      </c>
      <c r="BN387" s="244">
        <v>70.510396180007461</v>
      </c>
      <c r="BO387" s="244">
        <v>0</v>
      </c>
      <c r="BP387" s="244">
        <v>11.445372581481934</v>
      </c>
      <c r="BQ387" s="244">
        <v>0</v>
      </c>
      <c r="BR387" s="244">
        <v>0</v>
      </c>
      <c r="BS387" s="244">
        <v>0</v>
      </c>
      <c r="BT387" s="244">
        <v>53.609371185302734</v>
      </c>
      <c r="BU387" s="244">
        <v>0</v>
      </c>
      <c r="BV387" s="244">
        <v>132.70368957519531</v>
      </c>
      <c r="BW387" s="244">
        <v>13.556513786315918</v>
      </c>
      <c r="BX387" s="244">
        <v>5.7906060218811035</v>
      </c>
      <c r="BY387" s="244"/>
      <c r="BZ387" s="244">
        <v>0</v>
      </c>
      <c r="CA387" s="244">
        <v>0</v>
      </c>
      <c r="CB387" s="244">
        <v>281.82534790039062</v>
      </c>
      <c r="CC387" s="244">
        <v>5.7906060218811035</v>
      </c>
      <c r="CD387" s="228">
        <v>48.669403900621639</v>
      </c>
      <c r="CE387" s="244">
        <v>-164.850830078125</v>
      </c>
      <c r="CF387" s="244">
        <v>0.75493621894897689</v>
      </c>
      <c r="CG387" s="244">
        <v>0</v>
      </c>
      <c r="CH387" s="244">
        <v>0.75493621894897689</v>
      </c>
      <c r="CI387" s="244">
        <v>3.7017863877440223E-2</v>
      </c>
      <c r="CJ387" s="244">
        <v>0</v>
      </c>
      <c r="CK387" s="244">
        <v>3.7017863877440223E-2</v>
      </c>
      <c r="CL387" s="244"/>
      <c r="CM387" s="244">
        <v>0</v>
      </c>
      <c r="CN387" s="244" t="s">
        <v>442</v>
      </c>
      <c r="CO387" s="244">
        <v>0</v>
      </c>
      <c r="CP387" s="244">
        <v>0</v>
      </c>
      <c r="CQ387" s="244">
        <v>0</v>
      </c>
      <c r="CR387" s="244">
        <v>0</v>
      </c>
      <c r="CS387" s="244">
        <v>0</v>
      </c>
      <c r="CT387" s="244">
        <v>0</v>
      </c>
      <c r="CU387" s="244">
        <v>0</v>
      </c>
      <c r="CV387" s="244">
        <v>9999</v>
      </c>
      <c r="CW387" s="228">
        <v>9999</v>
      </c>
    </row>
    <row r="388" spans="1:101">
      <c r="A388" s="221" t="s">
        <v>470</v>
      </c>
      <c r="B388" s="221" t="s">
        <v>440</v>
      </c>
      <c r="C388" s="244">
        <v>10</v>
      </c>
      <c r="D388" s="244">
        <v>0</v>
      </c>
      <c r="E388" s="244">
        <v>4.0912779015705159</v>
      </c>
      <c r="F388" s="244">
        <v>3.2966774171383419</v>
      </c>
      <c r="G388" s="244">
        <v>0</v>
      </c>
      <c r="H388" s="244">
        <v>0</v>
      </c>
      <c r="I388" s="244" t="s">
        <v>441</v>
      </c>
      <c r="J388" s="244">
        <v>0</v>
      </c>
      <c r="K388" s="244">
        <v>0</v>
      </c>
      <c r="L388" s="244">
        <v>0</v>
      </c>
      <c r="M388" s="244">
        <v>0</v>
      </c>
      <c r="N388" s="244">
        <v>0</v>
      </c>
      <c r="O388" s="244">
        <v>4.1321906805862216</v>
      </c>
      <c r="P388" s="244">
        <v>1.2539589777588844E-2</v>
      </c>
      <c r="Q388" s="244">
        <v>3.9557065814733505E-2</v>
      </c>
      <c r="R388" s="244">
        <v>0.32778394222259521</v>
      </c>
      <c r="S388" s="244">
        <v>1.8114458322525024</v>
      </c>
      <c r="T388" s="244">
        <v>0</v>
      </c>
      <c r="U388" s="244">
        <v>3.6513762474060059</v>
      </c>
      <c r="V388" s="244" t="s">
        <v>226</v>
      </c>
      <c r="W388" s="244" t="s">
        <v>226</v>
      </c>
      <c r="X388" s="244" t="s">
        <v>226</v>
      </c>
      <c r="Y388" s="244" t="s">
        <v>226</v>
      </c>
      <c r="Z388" s="244">
        <v>0</v>
      </c>
      <c r="AA388" s="244">
        <v>0</v>
      </c>
      <c r="AB388" s="244">
        <v>0</v>
      </c>
      <c r="AC388" s="244">
        <v>0</v>
      </c>
      <c r="AD388" s="244">
        <v>0</v>
      </c>
      <c r="AE388" s="244">
        <v>0</v>
      </c>
      <c r="AF388" s="244">
        <v>0</v>
      </c>
      <c r="AG388" s="244">
        <v>0</v>
      </c>
      <c r="AH388" s="244">
        <v>0.32778394222259521</v>
      </c>
      <c r="AI388" s="244">
        <v>1.8114458322525024</v>
      </c>
      <c r="AJ388" s="244">
        <v>0</v>
      </c>
      <c r="AK388" s="244">
        <v>3.6513762474060059</v>
      </c>
      <c r="AL388" s="244">
        <v>5.7906060218811035</v>
      </c>
      <c r="AM388" s="244">
        <v>0</v>
      </c>
      <c r="AN388" s="244">
        <v>0</v>
      </c>
      <c r="AO388" s="244">
        <v>0</v>
      </c>
      <c r="AP388" s="244">
        <v>0</v>
      </c>
      <c r="AQ388" s="244">
        <v>0</v>
      </c>
      <c r="AR388" s="244">
        <v>0.32778394222259521</v>
      </c>
      <c r="AS388" s="255">
        <v>0</v>
      </c>
      <c r="AT388" s="244">
        <v>0</v>
      </c>
      <c r="AU388" s="244">
        <v>0</v>
      </c>
      <c r="AV388" s="244">
        <v>0</v>
      </c>
      <c r="AW388" s="244">
        <v>0</v>
      </c>
      <c r="AX388" s="244">
        <v>0</v>
      </c>
      <c r="AY388" s="244">
        <v>1.8114458322525024</v>
      </c>
      <c r="AZ388" s="255">
        <v>0</v>
      </c>
      <c r="BA388" s="244">
        <v>0</v>
      </c>
      <c r="BB388" s="244">
        <v>0</v>
      </c>
      <c r="BC388" s="244">
        <v>0</v>
      </c>
      <c r="BD388" s="244">
        <v>0</v>
      </c>
      <c r="BE388" s="244">
        <v>0</v>
      </c>
      <c r="BF388" s="244">
        <v>2.1392297744750977</v>
      </c>
      <c r="BG388" s="244">
        <v>9999</v>
      </c>
      <c r="BH388" s="255">
        <v>0</v>
      </c>
      <c r="BI388" s="244">
        <v>9999</v>
      </c>
      <c r="BJ388" s="244">
        <v>9999</v>
      </c>
      <c r="BK388" s="244">
        <v>9999</v>
      </c>
      <c r="BL388" s="244">
        <v>9999</v>
      </c>
      <c r="BM388" s="244">
        <v>9999</v>
      </c>
      <c r="BN388" s="244">
        <v>0</v>
      </c>
      <c r="BO388" s="244">
        <v>34.15615161053654</v>
      </c>
      <c r="BP388" s="244">
        <v>0</v>
      </c>
      <c r="BQ388" s="244">
        <v>0</v>
      </c>
      <c r="BR388" s="244">
        <v>0</v>
      </c>
      <c r="BS388" s="244">
        <v>0</v>
      </c>
      <c r="BT388" s="244">
        <v>0</v>
      </c>
      <c r="BU388" s="244">
        <v>0</v>
      </c>
      <c r="BV388" s="244">
        <v>132.70368957519531</v>
      </c>
      <c r="BW388" s="244">
        <v>0</v>
      </c>
      <c r="BX388" s="244">
        <v>5.7906060218811035</v>
      </c>
      <c r="BY388" s="244"/>
      <c r="BZ388" s="244">
        <v>0</v>
      </c>
      <c r="CA388" s="244">
        <v>0</v>
      </c>
      <c r="CB388" s="244">
        <v>166.85984802246094</v>
      </c>
      <c r="CC388" s="244">
        <v>5.7906060218811035</v>
      </c>
      <c r="CD388" s="228">
        <v>28.815609377535704</v>
      </c>
      <c r="CE388" s="244">
        <v>9999</v>
      </c>
      <c r="CF388" s="244">
        <v>0</v>
      </c>
      <c r="CG388" s="244">
        <v>0.38677304770286869</v>
      </c>
      <c r="CH388" s="244">
        <v>0.38677304770286869</v>
      </c>
      <c r="CI388" s="244">
        <v>0</v>
      </c>
      <c r="CJ388" s="244">
        <v>2.4173315481429383E-2</v>
      </c>
      <c r="CK388" s="244">
        <v>2.4173315481429383E-2</v>
      </c>
      <c r="CL388" s="244"/>
      <c r="CM388" s="244">
        <v>4.0912779015705159</v>
      </c>
      <c r="CN388" s="244" t="s">
        <v>442</v>
      </c>
      <c r="CO388" s="244">
        <v>0.28600001335144043</v>
      </c>
      <c r="CP388" s="244">
        <v>0.31700000166893005</v>
      </c>
      <c r="CQ388" s="244">
        <v>34.15615161053654</v>
      </c>
      <c r="CR388" s="244">
        <v>0</v>
      </c>
      <c r="CS388" s="244">
        <v>0</v>
      </c>
      <c r="CT388" s="244">
        <v>34.156150817871094</v>
      </c>
      <c r="CU388" s="244">
        <v>0</v>
      </c>
      <c r="CV388" s="244">
        <v>0</v>
      </c>
      <c r="CW388" s="228">
        <v>9999</v>
      </c>
    </row>
    <row r="389" spans="1:101">
      <c r="A389" s="221" t="s">
        <v>471</v>
      </c>
      <c r="B389" s="221" t="s">
        <v>440</v>
      </c>
      <c r="C389" s="244">
        <v>10</v>
      </c>
      <c r="D389" s="244">
        <v>27.017619888494949</v>
      </c>
      <c r="E389" s="244">
        <v>2.886396559557999</v>
      </c>
      <c r="F389" s="244">
        <v>3.2966774171383419</v>
      </c>
      <c r="G389" s="244">
        <v>0</v>
      </c>
      <c r="H389" s="244">
        <v>0</v>
      </c>
      <c r="I389" s="244" t="s">
        <v>441</v>
      </c>
      <c r="J389" s="244">
        <v>0.28600001335144043</v>
      </c>
      <c r="K389" s="244">
        <v>0.31700000166893005</v>
      </c>
      <c r="L389" s="244">
        <v>29.46200672155971</v>
      </c>
      <c r="M389" s="244">
        <v>3.727789968252182E-3</v>
      </c>
      <c r="N389" s="244">
        <v>1.1759589426219463E-2</v>
      </c>
      <c r="O389" s="244">
        <v>2.9152605251535784</v>
      </c>
      <c r="P389" s="244">
        <v>8.8466815650463104E-3</v>
      </c>
      <c r="Q389" s="244">
        <v>2.7907511219382286E-2</v>
      </c>
      <c r="R389" s="244">
        <v>0.32778394222259521</v>
      </c>
      <c r="S389" s="244">
        <v>1.8114458322525024</v>
      </c>
      <c r="T389" s="244">
        <v>0</v>
      </c>
      <c r="U389" s="244">
        <v>3.6513762474060059</v>
      </c>
      <c r="V389" s="244" t="s">
        <v>226</v>
      </c>
      <c r="W389" s="244" t="s">
        <v>226</v>
      </c>
      <c r="X389" s="244" t="s">
        <v>226</v>
      </c>
      <c r="Y389" s="244" t="s">
        <v>226</v>
      </c>
      <c r="Z389" s="244">
        <v>0</v>
      </c>
      <c r="AA389" s="244">
        <v>0</v>
      </c>
      <c r="AB389" s="244">
        <v>0</v>
      </c>
      <c r="AC389" s="244">
        <v>0</v>
      </c>
      <c r="AD389" s="244">
        <v>0</v>
      </c>
      <c r="AE389" s="244">
        <v>0</v>
      </c>
      <c r="AF389" s="244">
        <v>0</v>
      </c>
      <c r="AG389" s="244">
        <v>0</v>
      </c>
      <c r="AH389" s="244">
        <v>0.32778394222259521</v>
      </c>
      <c r="AI389" s="244">
        <v>1.8114458322525024</v>
      </c>
      <c r="AJ389" s="244">
        <v>0</v>
      </c>
      <c r="AK389" s="244">
        <v>3.6513762474060059</v>
      </c>
      <c r="AL389" s="244">
        <v>5.7906060218811035</v>
      </c>
      <c r="AM389" s="244">
        <v>20.765311675012192</v>
      </c>
      <c r="AN389" s="244">
        <v>0</v>
      </c>
      <c r="AO389" s="244">
        <v>3.655327320098877</v>
      </c>
      <c r="AP389" s="244">
        <v>15.787960052490234</v>
      </c>
      <c r="AQ389" s="244">
        <v>40.208599090576172</v>
      </c>
      <c r="AR389" s="244">
        <v>0.32778394222259521</v>
      </c>
      <c r="AS389" s="228">
        <v>122.66799518902606</v>
      </c>
      <c r="AT389" s="244">
        <v>20.765311675012192</v>
      </c>
      <c r="AU389" s="244">
        <v>3.3706622123718262</v>
      </c>
      <c r="AV389" s="244">
        <v>3.9923934936523437</v>
      </c>
      <c r="AW389" s="244">
        <v>15.787960052490234</v>
      </c>
      <c r="AX389" s="244">
        <v>43.916328430175781</v>
      </c>
      <c r="AY389" s="244">
        <v>1.8114458322525024</v>
      </c>
      <c r="AZ389" s="228">
        <v>24.243798324853788</v>
      </c>
      <c r="BA389" s="244">
        <v>20.765311675012192</v>
      </c>
      <c r="BB389" s="244">
        <v>3.3706622123718262</v>
      </c>
      <c r="BC389" s="244">
        <v>3.9923934936523437</v>
      </c>
      <c r="BD389" s="244">
        <v>15.787960052490234</v>
      </c>
      <c r="BE389" s="244">
        <v>43.916328430175781</v>
      </c>
      <c r="BF389" s="244">
        <v>2.1392297744750977</v>
      </c>
      <c r="BG389" s="244">
        <v>-57.227603912353516</v>
      </c>
      <c r="BH389" s="228">
        <v>20.529037113043334</v>
      </c>
      <c r="BI389" s="244">
        <v>0.89275079965591431</v>
      </c>
      <c r="BJ389" s="244">
        <v>4.9336452484130859</v>
      </c>
      <c r="BK389" s="244">
        <v>0</v>
      </c>
      <c r="BL389" s="244">
        <v>9.9448709487915039</v>
      </c>
      <c r="BM389" s="244">
        <v>15.771267890930176</v>
      </c>
      <c r="BN389" s="244">
        <v>20.765311675012192</v>
      </c>
      <c r="BO389" s="244">
        <v>24.097164961233538</v>
      </c>
      <c r="BP389" s="244">
        <v>3.3706622123718262</v>
      </c>
      <c r="BQ389" s="244">
        <v>0</v>
      </c>
      <c r="BR389" s="244">
        <v>0</v>
      </c>
      <c r="BS389" s="244">
        <v>0</v>
      </c>
      <c r="BT389" s="244">
        <v>15.787960052490234</v>
      </c>
      <c r="BU389" s="244">
        <v>0</v>
      </c>
      <c r="BV389" s="244">
        <v>132.70368957519531</v>
      </c>
      <c r="BW389" s="244">
        <v>3.9923934936523437</v>
      </c>
      <c r="BX389" s="244">
        <v>5.7906060218811035</v>
      </c>
      <c r="BY389" s="244"/>
      <c r="BZ389" s="244">
        <v>0</v>
      </c>
      <c r="CA389" s="244">
        <v>0</v>
      </c>
      <c r="CB389" s="244">
        <v>200.71717834472656</v>
      </c>
      <c r="CC389" s="244">
        <v>5.7906060218811035</v>
      </c>
      <c r="CD389" s="228">
        <v>34.662551935237964</v>
      </c>
      <c r="CE389" s="244">
        <v>-474.34481811523437</v>
      </c>
      <c r="CF389" s="244">
        <v>0.22232871648047339</v>
      </c>
      <c r="CG389" s="244">
        <v>0.27286838515437289</v>
      </c>
      <c r="CH389" s="244">
        <v>0.49519710163484632</v>
      </c>
      <c r="CI389" s="244">
        <v>1.0901760911906146E-2</v>
      </c>
      <c r="CJ389" s="244">
        <v>1.7054274072148441E-2</v>
      </c>
      <c r="CK389" s="244">
        <v>2.7956034984054585E-2</v>
      </c>
      <c r="CL389" s="244"/>
      <c r="CM389" s="244">
        <v>2.886396559557999</v>
      </c>
      <c r="CN389" s="244" t="s">
        <v>442</v>
      </c>
      <c r="CO389" s="244">
        <v>0.28600001335144043</v>
      </c>
      <c r="CP389" s="244">
        <v>0.31700000166893005</v>
      </c>
      <c r="CQ389" s="244">
        <v>24.097164961233538</v>
      </c>
      <c r="CR389" s="244">
        <v>0</v>
      </c>
      <c r="CS389" s="244">
        <v>0</v>
      </c>
      <c r="CT389" s="244">
        <v>24.097164154052734</v>
      </c>
      <c r="CU389" s="244">
        <v>0</v>
      </c>
      <c r="CV389" s="244">
        <v>0</v>
      </c>
      <c r="CW389" s="228">
        <v>9999</v>
      </c>
    </row>
    <row r="390" spans="1:101">
      <c r="A390" s="221" t="s">
        <v>472</v>
      </c>
      <c r="B390" s="221" t="s">
        <v>440</v>
      </c>
      <c r="C390" s="244">
        <v>10</v>
      </c>
      <c r="D390" s="244">
        <v>91.787812800774333</v>
      </c>
      <c r="E390" s="244">
        <v>0</v>
      </c>
      <c r="F390" s="244">
        <v>3.2966774171383419</v>
      </c>
      <c r="G390" s="244">
        <v>0</v>
      </c>
      <c r="H390" s="244">
        <v>0</v>
      </c>
      <c r="I390" s="244" t="s">
        <v>441</v>
      </c>
      <c r="J390" s="244">
        <v>0.28600001335144043</v>
      </c>
      <c r="K390" s="244">
        <v>0.31700000166893005</v>
      </c>
      <c r="L390" s="244">
        <v>100.09220534060604</v>
      </c>
      <c r="M390" s="244">
        <v>1.2664537876844406E-2</v>
      </c>
      <c r="N390" s="244">
        <v>3.9951223880052567E-2</v>
      </c>
      <c r="O390" s="244">
        <v>0</v>
      </c>
      <c r="P390" s="244">
        <v>0</v>
      </c>
      <c r="Q390" s="244">
        <v>0</v>
      </c>
      <c r="R390" s="244">
        <v>0.32778394222259521</v>
      </c>
      <c r="S390" s="244">
        <v>1.8114458322525024</v>
      </c>
      <c r="T390" s="244">
        <v>0</v>
      </c>
      <c r="U390" s="244">
        <v>3.6513762474060059</v>
      </c>
      <c r="V390" s="244" t="s">
        <v>226</v>
      </c>
      <c r="W390" s="244" t="s">
        <v>226</v>
      </c>
      <c r="X390" s="244" t="s">
        <v>226</v>
      </c>
      <c r="Y390" s="244" t="s">
        <v>226</v>
      </c>
      <c r="Z390" s="244">
        <v>0</v>
      </c>
      <c r="AA390" s="244">
        <v>0</v>
      </c>
      <c r="AB390" s="244">
        <v>0</v>
      </c>
      <c r="AC390" s="244">
        <v>0</v>
      </c>
      <c r="AD390" s="244">
        <v>0</v>
      </c>
      <c r="AE390" s="244">
        <v>0</v>
      </c>
      <c r="AF390" s="244">
        <v>0</v>
      </c>
      <c r="AG390" s="244">
        <v>0</v>
      </c>
      <c r="AH390" s="244">
        <v>0.32778394222259521</v>
      </c>
      <c r="AI390" s="244">
        <v>1.8114458322525024</v>
      </c>
      <c r="AJ390" s="244">
        <v>0</v>
      </c>
      <c r="AK390" s="244">
        <v>3.6513762474060059</v>
      </c>
      <c r="AL390" s="244">
        <v>5.7906060218811035</v>
      </c>
      <c r="AM390" s="244">
        <v>70.546648766325958</v>
      </c>
      <c r="AN390" s="244">
        <v>0</v>
      </c>
      <c r="AO390" s="244">
        <v>12.418359756469727</v>
      </c>
      <c r="AP390" s="244">
        <v>53.636943817138672</v>
      </c>
      <c r="AQ390" s="244">
        <v>136.60195922851562</v>
      </c>
      <c r="AR390" s="244">
        <v>0.32778394222259521</v>
      </c>
      <c r="AS390" s="228">
        <v>416.74388139236294</v>
      </c>
      <c r="AT390" s="244">
        <v>70.546648766325958</v>
      </c>
      <c r="AU390" s="244">
        <v>11.451255798339844</v>
      </c>
      <c r="AV390" s="244">
        <v>13.563485145568848</v>
      </c>
      <c r="AW390" s="244">
        <v>53.636943817138672</v>
      </c>
      <c r="AX390" s="244">
        <v>149.19833374023437</v>
      </c>
      <c r="AY390" s="244">
        <v>1.8114458322525024</v>
      </c>
      <c r="AZ390" s="228">
        <v>82.364225786342018</v>
      </c>
      <c r="BA390" s="244">
        <v>70.546648766325958</v>
      </c>
      <c r="BB390" s="244">
        <v>11.451255798339844</v>
      </c>
      <c r="BC390" s="244">
        <v>13.563485145568848</v>
      </c>
      <c r="BD390" s="244">
        <v>53.636943817138672</v>
      </c>
      <c r="BE390" s="244">
        <v>149.19833374023437</v>
      </c>
      <c r="BF390" s="244">
        <v>2.1392297744750977</v>
      </c>
      <c r="BG390" s="244">
        <v>-61.339012145996094</v>
      </c>
      <c r="BH390" s="228">
        <v>69.743949578292543</v>
      </c>
      <c r="BI390" s="244">
        <v>0.26278001070022583</v>
      </c>
      <c r="BJ390" s="244">
        <v>1.4522119760513306</v>
      </c>
      <c r="BK390" s="244">
        <v>0</v>
      </c>
      <c r="BL390" s="244">
        <v>2.9272596836090088</v>
      </c>
      <c r="BM390" s="244">
        <v>4.6422514915466309</v>
      </c>
      <c r="BN390" s="244">
        <v>70.546648766325958</v>
      </c>
      <c r="BO390" s="244">
        <v>0</v>
      </c>
      <c r="BP390" s="244">
        <v>11.451255798339844</v>
      </c>
      <c r="BQ390" s="244">
        <v>0</v>
      </c>
      <c r="BR390" s="244">
        <v>0</v>
      </c>
      <c r="BS390" s="244">
        <v>0</v>
      </c>
      <c r="BT390" s="244">
        <v>53.636943817138672</v>
      </c>
      <c r="BU390" s="244">
        <v>0</v>
      </c>
      <c r="BV390" s="244">
        <v>139.96092224121094</v>
      </c>
      <c r="BW390" s="244">
        <v>13.563485145568848</v>
      </c>
      <c r="BX390" s="244">
        <v>5.7906060218811035</v>
      </c>
      <c r="BY390" s="244"/>
      <c r="BZ390" s="244">
        <v>0</v>
      </c>
      <c r="CA390" s="244">
        <v>0</v>
      </c>
      <c r="CB390" s="244">
        <v>289.15924072265625</v>
      </c>
      <c r="CC390" s="244">
        <v>5.7906060218811035</v>
      </c>
      <c r="CD390" s="228">
        <v>49.935922885433953</v>
      </c>
      <c r="CE390" s="244">
        <v>-170.61656188964844</v>
      </c>
      <c r="CF390" s="244">
        <v>0.75532436583121065</v>
      </c>
      <c r="CG390" s="244">
        <v>0</v>
      </c>
      <c r="CH390" s="244">
        <v>0.75532436583121065</v>
      </c>
      <c r="CI390" s="244">
        <v>3.7036896436867535E-2</v>
      </c>
      <c r="CJ390" s="244">
        <v>0</v>
      </c>
      <c r="CK390" s="244">
        <v>3.7036896436867535E-2</v>
      </c>
      <c r="CL390" s="244"/>
      <c r="CM390" s="244">
        <v>0</v>
      </c>
      <c r="CN390" s="244" t="s">
        <v>442</v>
      </c>
      <c r="CO390" s="244">
        <v>0</v>
      </c>
      <c r="CP390" s="244">
        <v>0</v>
      </c>
      <c r="CQ390" s="244">
        <v>0</v>
      </c>
      <c r="CR390" s="244">
        <v>0</v>
      </c>
      <c r="CS390" s="244">
        <v>0</v>
      </c>
      <c r="CT390" s="244">
        <v>0</v>
      </c>
      <c r="CU390" s="244">
        <v>0</v>
      </c>
      <c r="CV390" s="244">
        <v>9999</v>
      </c>
      <c r="CW390" s="228">
        <v>9999</v>
      </c>
    </row>
    <row r="391" spans="1:101">
      <c r="A391" s="221" t="s">
        <v>473</v>
      </c>
      <c r="B391" s="221" t="s">
        <v>440</v>
      </c>
      <c r="C391" s="244">
        <v>10</v>
      </c>
      <c r="D391" s="244">
        <v>0</v>
      </c>
      <c r="E391" s="244">
        <v>4.0933814127307784</v>
      </c>
      <c r="F391" s="244">
        <v>3.2966774171383419</v>
      </c>
      <c r="G391" s="244">
        <v>0</v>
      </c>
      <c r="H391" s="244">
        <v>0</v>
      </c>
      <c r="I391" s="244" t="s">
        <v>441</v>
      </c>
      <c r="J391" s="244">
        <v>0</v>
      </c>
      <c r="K391" s="244">
        <v>0</v>
      </c>
      <c r="L391" s="244">
        <v>0</v>
      </c>
      <c r="M391" s="244">
        <v>0</v>
      </c>
      <c r="N391" s="244">
        <v>0</v>
      </c>
      <c r="O391" s="244">
        <v>4.1343152268580852</v>
      </c>
      <c r="P391" s="244">
        <v>1.2546037323772907E-2</v>
      </c>
      <c r="Q391" s="244">
        <v>3.9577405899763107E-2</v>
      </c>
      <c r="R391" s="244">
        <v>0.32778394222259521</v>
      </c>
      <c r="S391" s="244">
        <v>1.8114458322525024</v>
      </c>
      <c r="T391" s="244">
        <v>0</v>
      </c>
      <c r="U391" s="244">
        <v>3.6513762474060059</v>
      </c>
      <c r="V391" s="244" t="s">
        <v>226</v>
      </c>
      <c r="W391" s="244" t="s">
        <v>226</v>
      </c>
      <c r="X391" s="244" t="s">
        <v>226</v>
      </c>
      <c r="Y391" s="244" t="s">
        <v>226</v>
      </c>
      <c r="Z391" s="244">
        <v>0</v>
      </c>
      <c r="AA391" s="244">
        <v>0</v>
      </c>
      <c r="AB391" s="244">
        <v>0</v>
      </c>
      <c r="AC391" s="244">
        <v>0</v>
      </c>
      <c r="AD391" s="244">
        <v>0</v>
      </c>
      <c r="AE391" s="244">
        <v>0</v>
      </c>
      <c r="AF391" s="244">
        <v>0</v>
      </c>
      <c r="AG391" s="244">
        <v>0</v>
      </c>
      <c r="AH391" s="244">
        <v>0.32778394222259521</v>
      </c>
      <c r="AI391" s="244">
        <v>1.8114458322525024</v>
      </c>
      <c r="AJ391" s="244">
        <v>0</v>
      </c>
      <c r="AK391" s="244">
        <v>3.6513762474060059</v>
      </c>
      <c r="AL391" s="244">
        <v>5.7906060218811035</v>
      </c>
      <c r="AM391" s="244">
        <v>0</v>
      </c>
      <c r="AN391" s="244">
        <v>0</v>
      </c>
      <c r="AO391" s="244">
        <v>0</v>
      </c>
      <c r="AP391" s="244">
        <v>0</v>
      </c>
      <c r="AQ391" s="244">
        <v>0</v>
      </c>
      <c r="AR391" s="244">
        <v>0.32778394222259521</v>
      </c>
      <c r="AS391" s="255">
        <v>0</v>
      </c>
      <c r="AT391" s="244">
        <v>0</v>
      </c>
      <c r="AU391" s="244">
        <v>0</v>
      </c>
      <c r="AV391" s="244">
        <v>0</v>
      </c>
      <c r="AW391" s="244">
        <v>0</v>
      </c>
      <c r="AX391" s="244">
        <v>0</v>
      </c>
      <c r="AY391" s="244">
        <v>1.8114458322525024</v>
      </c>
      <c r="AZ391" s="255">
        <v>0</v>
      </c>
      <c r="BA391" s="244">
        <v>0</v>
      </c>
      <c r="BB391" s="244">
        <v>0</v>
      </c>
      <c r="BC391" s="244">
        <v>0</v>
      </c>
      <c r="BD391" s="244">
        <v>0</v>
      </c>
      <c r="BE391" s="244">
        <v>0</v>
      </c>
      <c r="BF391" s="244">
        <v>2.1392297744750977</v>
      </c>
      <c r="BG391" s="244">
        <v>9999</v>
      </c>
      <c r="BH391" s="255">
        <v>0</v>
      </c>
      <c r="BI391" s="244">
        <v>9999</v>
      </c>
      <c r="BJ391" s="244">
        <v>9999</v>
      </c>
      <c r="BK391" s="244">
        <v>9999</v>
      </c>
      <c r="BL391" s="244">
        <v>9999</v>
      </c>
      <c r="BM391" s="244">
        <v>9999</v>
      </c>
      <c r="BN391" s="244">
        <v>0</v>
      </c>
      <c r="BO391" s="244">
        <v>34.173712834152404</v>
      </c>
      <c r="BP391" s="244">
        <v>0</v>
      </c>
      <c r="BQ391" s="244">
        <v>0</v>
      </c>
      <c r="BR391" s="244">
        <v>0</v>
      </c>
      <c r="BS391" s="244">
        <v>0</v>
      </c>
      <c r="BT391" s="244">
        <v>0</v>
      </c>
      <c r="BU391" s="244">
        <v>0</v>
      </c>
      <c r="BV391" s="244">
        <v>139.96092224121094</v>
      </c>
      <c r="BW391" s="244">
        <v>0</v>
      </c>
      <c r="BX391" s="244">
        <v>5.7906060218811035</v>
      </c>
      <c r="BY391" s="244"/>
      <c r="BZ391" s="244">
        <v>0</v>
      </c>
      <c r="CA391" s="244">
        <v>0</v>
      </c>
      <c r="CB391" s="244">
        <v>174.13462829589844</v>
      </c>
      <c r="CC391" s="244">
        <v>5.7906060218811035</v>
      </c>
      <c r="CD391" s="228">
        <v>30.071918969682375</v>
      </c>
      <c r="CE391" s="244">
        <v>9999</v>
      </c>
      <c r="CF391" s="244">
        <v>0</v>
      </c>
      <c r="CG391" s="244">
        <v>0.38697190523391367</v>
      </c>
      <c r="CH391" s="244">
        <v>0.38697190523391367</v>
      </c>
      <c r="CI391" s="244">
        <v>0</v>
      </c>
      <c r="CJ391" s="244">
        <v>2.4185744077119795E-2</v>
      </c>
      <c r="CK391" s="244">
        <v>2.4185744077119795E-2</v>
      </c>
      <c r="CL391" s="244"/>
      <c r="CM391" s="244">
        <v>4.0933814127307784</v>
      </c>
      <c r="CN391" s="244" t="s">
        <v>442</v>
      </c>
      <c r="CO391" s="244">
        <v>0.28600001335144043</v>
      </c>
      <c r="CP391" s="244">
        <v>0.31700000166893005</v>
      </c>
      <c r="CQ391" s="244">
        <v>34.173712834152404</v>
      </c>
      <c r="CR391" s="244">
        <v>0</v>
      </c>
      <c r="CS391" s="244">
        <v>0</v>
      </c>
      <c r="CT391" s="244">
        <v>34.173713684082031</v>
      </c>
      <c r="CU391" s="244">
        <v>0</v>
      </c>
      <c r="CV391" s="244">
        <v>0</v>
      </c>
      <c r="CW391" s="228">
        <v>9999</v>
      </c>
    </row>
    <row r="392" spans="1:101">
      <c r="A392" s="221" t="s">
        <v>474</v>
      </c>
      <c r="B392" s="221" t="s">
        <v>440</v>
      </c>
      <c r="C392" s="244">
        <v>10</v>
      </c>
      <c r="D392" s="244">
        <v>27.03151086982804</v>
      </c>
      <c r="E392" s="244">
        <v>2.8878805866815642</v>
      </c>
      <c r="F392" s="244">
        <v>3.2966774171383419</v>
      </c>
      <c r="G392" s="244">
        <v>0</v>
      </c>
      <c r="H392" s="244">
        <v>0</v>
      </c>
      <c r="I392" s="244" t="s">
        <v>441</v>
      </c>
      <c r="J392" s="244">
        <v>0.28600001335144043</v>
      </c>
      <c r="K392" s="244">
        <v>0.31700000166893005</v>
      </c>
      <c r="L392" s="244">
        <v>29.477154472808468</v>
      </c>
      <c r="M392" s="244">
        <v>3.729706397280097E-3</v>
      </c>
      <c r="N392" s="244">
        <v>1.1765635572373867E-2</v>
      </c>
      <c r="O392" s="244">
        <v>2.9167593925483812</v>
      </c>
      <c r="P392" s="244">
        <v>8.8512292131781578E-3</v>
      </c>
      <c r="Q392" s="244">
        <v>2.7921859174966812E-2</v>
      </c>
      <c r="R392" s="244">
        <v>0.32778394222259521</v>
      </c>
      <c r="S392" s="244">
        <v>1.8114458322525024</v>
      </c>
      <c r="T392" s="244">
        <v>0</v>
      </c>
      <c r="U392" s="244">
        <v>3.6513762474060059</v>
      </c>
      <c r="V392" s="244" t="s">
        <v>226</v>
      </c>
      <c r="W392" s="244" t="s">
        <v>226</v>
      </c>
      <c r="X392" s="244" t="s">
        <v>226</v>
      </c>
      <c r="Y392" s="244" t="s">
        <v>226</v>
      </c>
      <c r="Z392" s="244">
        <v>0</v>
      </c>
      <c r="AA392" s="244">
        <v>0</v>
      </c>
      <c r="AB392" s="244">
        <v>0</v>
      </c>
      <c r="AC392" s="244">
        <v>0</v>
      </c>
      <c r="AD392" s="244">
        <v>0</v>
      </c>
      <c r="AE392" s="244">
        <v>0</v>
      </c>
      <c r="AF392" s="244">
        <v>0</v>
      </c>
      <c r="AG392" s="244">
        <v>0</v>
      </c>
      <c r="AH392" s="244">
        <v>0.32778394222259521</v>
      </c>
      <c r="AI392" s="244">
        <v>1.8114458322525024</v>
      </c>
      <c r="AJ392" s="244">
        <v>0</v>
      </c>
      <c r="AK392" s="244">
        <v>3.6513762474060059</v>
      </c>
      <c r="AL392" s="244">
        <v>5.7906060218811035</v>
      </c>
      <c r="AM392" s="244">
        <v>20.775988061682945</v>
      </c>
      <c r="AN392" s="244">
        <v>0</v>
      </c>
      <c r="AO392" s="244">
        <v>3.6572065353393555</v>
      </c>
      <c r="AP392" s="244">
        <v>15.796076774597168</v>
      </c>
      <c r="AQ392" s="244">
        <v>40.229270935058594</v>
      </c>
      <c r="AR392" s="244">
        <v>0.32778394222259521</v>
      </c>
      <c r="AS392" s="228">
        <v>122.73106211011435</v>
      </c>
      <c r="AT392" s="244">
        <v>20.775988061682945</v>
      </c>
      <c r="AU392" s="244">
        <v>3.3723950386047363</v>
      </c>
      <c r="AV392" s="244">
        <v>3.9944460391998291</v>
      </c>
      <c r="AW392" s="244">
        <v>15.796076774597168</v>
      </c>
      <c r="AX392" s="244">
        <v>43.938907623291016</v>
      </c>
      <c r="AY392" s="244">
        <v>1.8114458322525024</v>
      </c>
      <c r="AZ392" s="228">
        <v>24.256262666958904</v>
      </c>
      <c r="BA392" s="244">
        <v>20.775988061682945</v>
      </c>
      <c r="BB392" s="244">
        <v>3.3723950386047363</v>
      </c>
      <c r="BC392" s="244">
        <v>3.9944460391998291</v>
      </c>
      <c r="BD392" s="244">
        <v>15.796076774597168</v>
      </c>
      <c r="BE392" s="244">
        <v>43.938907623291016</v>
      </c>
      <c r="BF392" s="244">
        <v>2.1392297744750977</v>
      </c>
      <c r="BG392" s="244">
        <v>-57.230594635009766</v>
      </c>
      <c r="BH392" s="228">
        <v>20.539591603649008</v>
      </c>
      <c r="BI392" s="244">
        <v>0.89229202270507813</v>
      </c>
      <c r="BJ392" s="244">
        <v>4.9311099052429199</v>
      </c>
      <c r="BK392" s="244">
        <v>0</v>
      </c>
      <c r="BL392" s="244">
        <v>9.9397611618041992</v>
      </c>
      <c r="BM392" s="244">
        <v>15.763162612915039</v>
      </c>
      <c r="BN392" s="244">
        <v>20.775988061682945</v>
      </c>
      <c r="BO392" s="244">
        <v>24.109554404494549</v>
      </c>
      <c r="BP392" s="244">
        <v>3.3723950386047363</v>
      </c>
      <c r="BQ392" s="244">
        <v>0</v>
      </c>
      <c r="BR392" s="244">
        <v>0</v>
      </c>
      <c r="BS392" s="244">
        <v>0</v>
      </c>
      <c r="BT392" s="244">
        <v>15.796076774597168</v>
      </c>
      <c r="BU392" s="244">
        <v>0</v>
      </c>
      <c r="BV392" s="244">
        <v>139.96092224121094</v>
      </c>
      <c r="BW392" s="244">
        <v>3.9944460391998291</v>
      </c>
      <c r="BX392" s="244">
        <v>5.7906060218811035</v>
      </c>
      <c r="BY392" s="244"/>
      <c r="BZ392" s="244">
        <v>0</v>
      </c>
      <c r="CA392" s="244">
        <v>0</v>
      </c>
      <c r="CB392" s="244">
        <v>208.00938415527344</v>
      </c>
      <c r="CC392" s="244">
        <v>5.7906060218811035</v>
      </c>
      <c r="CD392" s="228">
        <v>35.921867551302931</v>
      </c>
      <c r="CE392" s="244">
        <v>-493.92279052734375</v>
      </c>
      <c r="CF392" s="244">
        <v>0.22244302573729113</v>
      </c>
      <c r="CG392" s="244">
        <v>0.27300867914252763</v>
      </c>
      <c r="CH392" s="244">
        <v>0.49545170487981877</v>
      </c>
      <c r="CI392" s="244">
        <v>1.0907366000657486E-2</v>
      </c>
      <c r="CJ392" s="244">
        <v>1.7063042446408033E-2</v>
      </c>
      <c r="CK392" s="244">
        <v>2.7970408447065519E-2</v>
      </c>
      <c r="CL392" s="244"/>
      <c r="CM392" s="244">
        <v>2.8878805866815642</v>
      </c>
      <c r="CN392" s="244" t="s">
        <v>442</v>
      </c>
      <c r="CO392" s="244">
        <v>0.28600001335144043</v>
      </c>
      <c r="CP392" s="244">
        <v>0.31700000166893005</v>
      </c>
      <c r="CQ392" s="244">
        <v>24.109554404494549</v>
      </c>
      <c r="CR392" s="244">
        <v>0</v>
      </c>
      <c r="CS392" s="244">
        <v>0</v>
      </c>
      <c r="CT392" s="244">
        <v>24.109554290771484</v>
      </c>
      <c r="CU392" s="244">
        <v>0</v>
      </c>
      <c r="CV392" s="244">
        <v>0</v>
      </c>
      <c r="CW392" s="228">
        <v>9999</v>
      </c>
    </row>
    <row r="393" spans="1:101">
      <c r="A393" s="221" t="s">
        <v>475</v>
      </c>
      <c r="B393" s="221" t="s">
        <v>440</v>
      </c>
      <c r="C393" s="244">
        <v>10</v>
      </c>
      <c r="D393" s="244">
        <v>141.63750530525959</v>
      </c>
      <c r="E393" s="244">
        <v>0</v>
      </c>
      <c r="F393" s="244">
        <v>3.2966774171383419</v>
      </c>
      <c r="G393" s="244">
        <v>0</v>
      </c>
      <c r="H393" s="244">
        <v>0</v>
      </c>
      <c r="I393" s="244" t="s">
        <v>441</v>
      </c>
      <c r="J393" s="244">
        <v>0.28600001335144043</v>
      </c>
      <c r="K393" s="244">
        <v>0.31700000166893005</v>
      </c>
      <c r="L393" s="244">
        <v>154.45198912971179</v>
      </c>
      <c r="M393" s="244">
        <v>1.9542612135410309E-2</v>
      </c>
      <c r="N393" s="244">
        <v>6.1648618429899216E-2</v>
      </c>
      <c r="O393" s="244">
        <v>0</v>
      </c>
      <c r="P393" s="244">
        <v>0</v>
      </c>
      <c r="Q393" s="244">
        <v>0</v>
      </c>
      <c r="R393" s="244">
        <v>0.32778394222259521</v>
      </c>
      <c r="S393" s="244">
        <v>1.8114458322525024</v>
      </c>
      <c r="T393" s="244">
        <v>0</v>
      </c>
      <c r="U393" s="244">
        <v>3.6513762474060059</v>
      </c>
      <c r="V393" s="244" t="s">
        <v>226</v>
      </c>
      <c r="W393" s="244" t="s">
        <v>226</v>
      </c>
      <c r="X393" s="244" t="s">
        <v>226</v>
      </c>
      <c r="Y393" s="244" t="s">
        <v>226</v>
      </c>
      <c r="Z393" s="244">
        <v>0</v>
      </c>
      <c r="AA393" s="244">
        <v>0</v>
      </c>
      <c r="AB393" s="244">
        <v>0</v>
      </c>
      <c r="AC393" s="244">
        <v>0</v>
      </c>
      <c r="AD393" s="244">
        <v>0</v>
      </c>
      <c r="AE393" s="244">
        <v>0</v>
      </c>
      <c r="AF393" s="244">
        <v>0</v>
      </c>
      <c r="AG393" s="244">
        <v>0</v>
      </c>
      <c r="AH393" s="244">
        <v>0.32778394222259521</v>
      </c>
      <c r="AI393" s="244">
        <v>1.8114458322525024</v>
      </c>
      <c r="AJ393" s="244">
        <v>0</v>
      </c>
      <c r="AK393" s="244">
        <v>3.6513762474060059</v>
      </c>
      <c r="AL393" s="244">
        <v>5.7906060218811035</v>
      </c>
      <c r="AM393" s="244">
        <v>108.86032724841753</v>
      </c>
      <c r="AN393" s="244">
        <v>0</v>
      </c>
      <c r="AO393" s="244">
        <v>19.16273307800293</v>
      </c>
      <c r="AP393" s="244">
        <v>82.766998291015625</v>
      </c>
      <c r="AQ393" s="244">
        <v>210.79005432128906</v>
      </c>
      <c r="AR393" s="244">
        <v>0.32778394222259521</v>
      </c>
      <c r="AS393" s="228">
        <v>643.07622023256533</v>
      </c>
      <c r="AT393" s="244">
        <v>108.86032724841753</v>
      </c>
      <c r="AU393" s="244">
        <v>17.670402526855469</v>
      </c>
      <c r="AV393" s="244">
        <v>20.929773330688477</v>
      </c>
      <c r="AW393" s="244">
        <v>82.766998291015625</v>
      </c>
      <c r="AX393" s="244">
        <v>230.22750854492187</v>
      </c>
      <c r="AY393" s="244">
        <v>1.8114458322525024</v>
      </c>
      <c r="AZ393" s="228">
        <v>127.09599000854091</v>
      </c>
      <c r="BA393" s="244">
        <v>108.86032724841753</v>
      </c>
      <c r="BB393" s="244">
        <v>17.670402526855469</v>
      </c>
      <c r="BC393" s="244">
        <v>20.929773330688477</v>
      </c>
      <c r="BD393" s="244">
        <v>82.766998291015625</v>
      </c>
      <c r="BE393" s="244">
        <v>230.22750854492187</v>
      </c>
      <c r="BF393" s="244">
        <v>2.1392297744750977</v>
      </c>
      <c r="BG393" s="244">
        <v>-61.942604064941406</v>
      </c>
      <c r="BH393" s="228">
        <v>107.62167960824497</v>
      </c>
      <c r="BI393" s="244">
        <v>0.1702938973903656</v>
      </c>
      <c r="BJ393" s="244">
        <v>0.94110208749771118</v>
      </c>
      <c r="BK393" s="244">
        <v>0</v>
      </c>
      <c r="BL393" s="244">
        <v>1.8970028162002563</v>
      </c>
      <c r="BM393" s="244">
        <v>3.0083987712860107</v>
      </c>
      <c r="BN393" s="244">
        <v>108.86032724841753</v>
      </c>
      <c r="BO393" s="244">
        <v>0</v>
      </c>
      <c r="BP393" s="244">
        <v>17.670402526855469</v>
      </c>
      <c r="BQ393" s="244">
        <v>0</v>
      </c>
      <c r="BR393" s="244">
        <v>0</v>
      </c>
      <c r="BS393" s="244">
        <v>0</v>
      </c>
      <c r="BT393" s="244">
        <v>82.766998291015625</v>
      </c>
      <c r="BU393" s="244">
        <v>0</v>
      </c>
      <c r="BV393" s="244">
        <v>203.2025146484375</v>
      </c>
      <c r="BW393" s="244">
        <v>20.929773330688477</v>
      </c>
      <c r="BX393" s="244">
        <v>5.7906060218811035</v>
      </c>
      <c r="BY393" s="244"/>
      <c r="BZ393" s="244">
        <v>0</v>
      </c>
      <c r="CA393" s="244">
        <v>0</v>
      </c>
      <c r="CB393" s="244">
        <v>433.43002319335937</v>
      </c>
      <c r="CC393" s="244">
        <v>5.7906060218811035</v>
      </c>
      <c r="CD393" s="228">
        <v>74.850544901103973</v>
      </c>
      <c r="CE393" s="244">
        <v>-165.61558532714844</v>
      </c>
      <c r="CF393" s="244">
        <v>1.1655388183703106</v>
      </c>
      <c r="CG393" s="244">
        <v>0</v>
      </c>
      <c r="CH393" s="244">
        <v>1.1655388183703106</v>
      </c>
      <c r="CI393" s="244">
        <v>5.7151526498983349E-2</v>
      </c>
      <c r="CJ393" s="244">
        <v>0</v>
      </c>
      <c r="CK393" s="244">
        <v>5.7151526498983349E-2</v>
      </c>
      <c r="CL393" s="244"/>
      <c r="CM393" s="244">
        <v>0</v>
      </c>
      <c r="CN393" s="244" t="s">
        <v>442</v>
      </c>
      <c r="CO393" s="244">
        <v>0</v>
      </c>
      <c r="CP393" s="244">
        <v>0</v>
      </c>
      <c r="CQ393" s="244">
        <v>0</v>
      </c>
      <c r="CR393" s="244">
        <v>0</v>
      </c>
      <c r="CS393" s="244">
        <v>0</v>
      </c>
      <c r="CT393" s="244">
        <v>0</v>
      </c>
      <c r="CU393" s="244">
        <v>0</v>
      </c>
      <c r="CV393" s="244">
        <v>9999</v>
      </c>
      <c r="CW393" s="228">
        <v>9999</v>
      </c>
    </row>
    <row r="394" spans="1:101">
      <c r="A394" s="221" t="s">
        <v>476</v>
      </c>
      <c r="B394" s="221" t="s">
        <v>440</v>
      </c>
      <c r="C394" s="244">
        <v>10</v>
      </c>
      <c r="D394" s="244">
        <v>0</v>
      </c>
      <c r="E394" s="244">
        <v>6.3164848782322842</v>
      </c>
      <c r="F394" s="244">
        <v>3.2966774171383419</v>
      </c>
      <c r="G394" s="244">
        <v>0</v>
      </c>
      <c r="H394" s="244">
        <v>0</v>
      </c>
      <c r="I394" s="244" t="s">
        <v>441</v>
      </c>
      <c r="J394" s="244">
        <v>0</v>
      </c>
      <c r="K394" s="244">
        <v>0</v>
      </c>
      <c r="L394" s="244">
        <v>0</v>
      </c>
      <c r="M394" s="244">
        <v>0</v>
      </c>
      <c r="N394" s="244">
        <v>0</v>
      </c>
      <c r="O394" s="244">
        <v>6.3796497270146082</v>
      </c>
      <c r="P394" s="244">
        <v>1.9359752535820007E-2</v>
      </c>
      <c r="Q394" s="244">
        <v>6.1071775853633881E-2</v>
      </c>
      <c r="R394" s="244">
        <v>0.32778394222259521</v>
      </c>
      <c r="S394" s="244">
        <v>1.8114458322525024</v>
      </c>
      <c r="T394" s="244">
        <v>0</v>
      </c>
      <c r="U394" s="244">
        <v>3.6513762474060059</v>
      </c>
      <c r="V394" s="244" t="s">
        <v>226</v>
      </c>
      <c r="W394" s="244" t="s">
        <v>226</v>
      </c>
      <c r="X394" s="244" t="s">
        <v>226</v>
      </c>
      <c r="Y394" s="244" t="s">
        <v>226</v>
      </c>
      <c r="Z394" s="244">
        <v>0</v>
      </c>
      <c r="AA394" s="244">
        <v>0</v>
      </c>
      <c r="AB394" s="244">
        <v>0</v>
      </c>
      <c r="AC394" s="244">
        <v>0</v>
      </c>
      <c r="AD394" s="244">
        <v>0</v>
      </c>
      <c r="AE394" s="244">
        <v>0</v>
      </c>
      <c r="AF394" s="244">
        <v>0</v>
      </c>
      <c r="AG394" s="244">
        <v>0</v>
      </c>
      <c r="AH394" s="244">
        <v>0.32778394222259521</v>
      </c>
      <c r="AI394" s="244">
        <v>1.8114458322525024</v>
      </c>
      <c r="AJ394" s="244">
        <v>0</v>
      </c>
      <c r="AK394" s="244">
        <v>3.6513762474060059</v>
      </c>
      <c r="AL394" s="244">
        <v>5.7906060218811035</v>
      </c>
      <c r="AM394" s="244">
        <v>0</v>
      </c>
      <c r="AN394" s="244">
        <v>0</v>
      </c>
      <c r="AO394" s="244">
        <v>0</v>
      </c>
      <c r="AP394" s="244">
        <v>0</v>
      </c>
      <c r="AQ394" s="244">
        <v>0</v>
      </c>
      <c r="AR394" s="244">
        <v>0.32778394222259521</v>
      </c>
      <c r="AS394" s="255">
        <v>0</v>
      </c>
      <c r="AT394" s="244">
        <v>0</v>
      </c>
      <c r="AU394" s="244">
        <v>0</v>
      </c>
      <c r="AV394" s="244">
        <v>0</v>
      </c>
      <c r="AW394" s="244">
        <v>0</v>
      </c>
      <c r="AX394" s="244">
        <v>0</v>
      </c>
      <c r="AY394" s="244">
        <v>1.8114458322525024</v>
      </c>
      <c r="AZ394" s="255">
        <v>0</v>
      </c>
      <c r="BA394" s="244">
        <v>0</v>
      </c>
      <c r="BB394" s="244">
        <v>0</v>
      </c>
      <c r="BC394" s="244">
        <v>0</v>
      </c>
      <c r="BD394" s="244">
        <v>0</v>
      </c>
      <c r="BE394" s="244">
        <v>0</v>
      </c>
      <c r="BF394" s="244">
        <v>2.1392297744750977</v>
      </c>
      <c r="BG394" s="244">
        <v>9999</v>
      </c>
      <c r="BH394" s="255">
        <v>0</v>
      </c>
      <c r="BI394" s="244">
        <v>9999</v>
      </c>
      <c r="BJ394" s="244">
        <v>9999</v>
      </c>
      <c r="BK394" s="244">
        <v>9999</v>
      </c>
      <c r="BL394" s="244">
        <v>9999</v>
      </c>
      <c r="BM394" s="244">
        <v>9999</v>
      </c>
      <c r="BN394" s="244">
        <v>0</v>
      </c>
      <c r="BO394" s="244">
        <v>52.73335626107044</v>
      </c>
      <c r="BP394" s="244">
        <v>0</v>
      </c>
      <c r="BQ394" s="244">
        <v>0</v>
      </c>
      <c r="BR394" s="244">
        <v>0</v>
      </c>
      <c r="BS394" s="244">
        <v>0</v>
      </c>
      <c r="BT394" s="244">
        <v>0</v>
      </c>
      <c r="BU394" s="244">
        <v>0</v>
      </c>
      <c r="BV394" s="244">
        <v>203.2025146484375</v>
      </c>
      <c r="BW394" s="244">
        <v>0</v>
      </c>
      <c r="BX394" s="244">
        <v>5.7906060218811035</v>
      </c>
      <c r="BY394" s="244"/>
      <c r="BZ394" s="244">
        <v>0</v>
      </c>
      <c r="CA394" s="244">
        <v>0</v>
      </c>
      <c r="CB394" s="244">
        <v>255.93586730957031</v>
      </c>
      <c r="CC394" s="244">
        <v>5.7906060218811035</v>
      </c>
      <c r="CD394" s="228">
        <v>44.198460392987684</v>
      </c>
      <c r="CE394" s="244">
        <v>9999</v>
      </c>
      <c r="CF394" s="244">
        <v>0</v>
      </c>
      <c r="CG394" s="244">
        <v>0.59713521444856743</v>
      </c>
      <c r="CH394" s="244">
        <v>0.59713521444856743</v>
      </c>
      <c r="CI394" s="244">
        <v>0</v>
      </c>
      <c r="CJ394" s="244">
        <v>3.7320950903035437E-2</v>
      </c>
      <c r="CK394" s="244">
        <v>3.7320950903035437E-2</v>
      </c>
      <c r="CL394" s="244"/>
      <c r="CM394" s="244">
        <v>6.3164848782322842</v>
      </c>
      <c r="CN394" s="244" t="s">
        <v>442</v>
      </c>
      <c r="CO394" s="244">
        <v>0.28600001335144043</v>
      </c>
      <c r="CP394" s="244">
        <v>0.31700000166893005</v>
      </c>
      <c r="CQ394" s="244">
        <v>52.73335626107044</v>
      </c>
      <c r="CR394" s="244">
        <v>0</v>
      </c>
      <c r="CS394" s="244">
        <v>0</v>
      </c>
      <c r="CT394" s="244">
        <v>52.733356475830078</v>
      </c>
      <c r="CU394" s="244">
        <v>0</v>
      </c>
      <c r="CV394" s="244">
        <v>0</v>
      </c>
      <c r="CW394" s="228">
        <v>9999</v>
      </c>
    </row>
    <row r="395" spans="1:101">
      <c r="A395" s="221" t="s">
        <v>477</v>
      </c>
      <c r="B395" s="221" t="s">
        <v>440</v>
      </c>
      <c r="C395" s="244">
        <v>10</v>
      </c>
      <c r="D395" s="244">
        <v>41.712245312398956</v>
      </c>
      <c r="E395" s="244">
        <v>4.4562800815928769</v>
      </c>
      <c r="F395" s="244">
        <v>3.2966774171383419</v>
      </c>
      <c r="G395" s="244">
        <v>0</v>
      </c>
      <c r="H395" s="244">
        <v>0</v>
      </c>
      <c r="I395" s="244" t="s">
        <v>441</v>
      </c>
      <c r="J395" s="244">
        <v>0.28600001335144043</v>
      </c>
      <c r="K395" s="244">
        <v>0.31700000166893005</v>
      </c>
      <c r="L395" s="244">
        <v>45.486110798700132</v>
      </c>
      <c r="M395" s="244">
        <v>5.7552997022867203E-3</v>
      </c>
      <c r="N395" s="244">
        <v>1.8155518919229507E-2</v>
      </c>
      <c r="O395" s="244">
        <v>4.5008428824088034</v>
      </c>
      <c r="P395" s="244">
        <v>1.3658305630087852E-2</v>
      </c>
      <c r="Q395" s="244">
        <v>4.3086137622594833E-2</v>
      </c>
      <c r="R395" s="244">
        <v>0.32778394222259521</v>
      </c>
      <c r="S395" s="244">
        <v>1.8114458322525024</v>
      </c>
      <c r="T395" s="244">
        <v>0</v>
      </c>
      <c r="U395" s="244">
        <v>3.6513762474060059</v>
      </c>
      <c r="V395" s="244" t="s">
        <v>226</v>
      </c>
      <c r="W395" s="244" t="s">
        <v>226</v>
      </c>
      <c r="X395" s="244" t="s">
        <v>226</v>
      </c>
      <c r="Y395" s="244" t="s">
        <v>226</v>
      </c>
      <c r="Z395" s="244">
        <v>0</v>
      </c>
      <c r="AA395" s="244">
        <v>0</v>
      </c>
      <c r="AB395" s="244">
        <v>0</v>
      </c>
      <c r="AC395" s="244">
        <v>0</v>
      </c>
      <c r="AD395" s="244">
        <v>0</v>
      </c>
      <c r="AE395" s="244">
        <v>0</v>
      </c>
      <c r="AF395" s="244">
        <v>0</v>
      </c>
      <c r="AG395" s="244">
        <v>0</v>
      </c>
      <c r="AH395" s="244">
        <v>0.32778394222259521</v>
      </c>
      <c r="AI395" s="244">
        <v>1.8114458322525024</v>
      </c>
      <c r="AJ395" s="244">
        <v>0</v>
      </c>
      <c r="AK395" s="244">
        <v>3.6513762474060059</v>
      </c>
      <c r="AL395" s="244">
        <v>5.7906060218811035</v>
      </c>
      <c r="AM395" s="244">
        <v>32.059366374658985</v>
      </c>
      <c r="AN395" s="244">
        <v>0</v>
      </c>
      <c r="AO395" s="244">
        <v>5.6434249877929687</v>
      </c>
      <c r="AP395" s="244">
        <v>24.374881744384766</v>
      </c>
      <c r="AQ395" s="244">
        <v>62.077674865722656</v>
      </c>
      <c r="AR395" s="244">
        <v>0.32778394222259521</v>
      </c>
      <c r="AS395" s="228">
        <v>189.38594943336275</v>
      </c>
      <c r="AT395" s="244">
        <v>32.059366374658985</v>
      </c>
      <c r="AU395" s="244">
        <v>5.2039337158203125</v>
      </c>
      <c r="AV395" s="244">
        <v>6.163818359375</v>
      </c>
      <c r="AW395" s="244">
        <v>24.374881744384766</v>
      </c>
      <c r="AX395" s="244">
        <v>67.802001953125</v>
      </c>
      <c r="AY395" s="244">
        <v>1.8114458322525024</v>
      </c>
      <c r="AZ395" s="228">
        <v>37.429769627683775</v>
      </c>
      <c r="BA395" s="244">
        <v>32.059366374658985</v>
      </c>
      <c r="BB395" s="244">
        <v>5.2039337158203125</v>
      </c>
      <c r="BC395" s="244">
        <v>6.163818359375</v>
      </c>
      <c r="BD395" s="244">
        <v>24.374881744384766</v>
      </c>
      <c r="BE395" s="244">
        <v>67.802001953125</v>
      </c>
      <c r="BF395" s="244">
        <v>2.1392297744750977</v>
      </c>
      <c r="BG395" s="244">
        <v>-59.280162811279297</v>
      </c>
      <c r="BH395" s="228">
        <v>31.694585127432433</v>
      </c>
      <c r="BI395" s="244">
        <v>0.57824748754501343</v>
      </c>
      <c r="BJ395" s="244">
        <v>3.1955928802490234</v>
      </c>
      <c r="BK395" s="244">
        <v>0</v>
      </c>
      <c r="BL395" s="244">
        <v>6.4414358139038086</v>
      </c>
      <c r="BM395" s="244">
        <v>10.215276718139648</v>
      </c>
      <c r="BN395" s="244">
        <v>32.059366374658985</v>
      </c>
      <c r="BO395" s="244">
        <v>37.203382842185199</v>
      </c>
      <c r="BP395" s="244">
        <v>5.2039337158203125</v>
      </c>
      <c r="BQ395" s="244">
        <v>0</v>
      </c>
      <c r="BR395" s="244">
        <v>0</v>
      </c>
      <c r="BS395" s="244">
        <v>0</v>
      </c>
      <c r="BT395" s="244">
        <v>24.374881744384766</v>
      </c>
      <c r="BU395" s="244">
        <v>0</v>
      </c>
      <c r="BV395" s="244">
        <v>203.2025146484375</v>
      </c>
      <c r="BW395" s="244">
        <v>6.163818359375</v>
      </c>
      <c r="BX395" s="244">
        <v>5.7906060218811035</v>
      </c>
      <c r="BY395" s="244"/>
      <c r="BZ395" s="244">
        <v>0</v>
      </c>
      <c r="CA395" s="244">
        <v>0</v>
      </c>
      <c r="CB395" s="244">
        <v>308.2078857421875</v>
      </c>
      <c r="CC395" s="244">
        <v>5.7906060218811035</v>
      </c>
      <c r="CD395" s="228">
        <v>53.225499458990839</v>
      </c>
      <c r="CE395" s="244">
        <v>-476.94161987304687</v>
      </c>
      <c r="CF395" s="244">
        <v>0.34325118201005717</v>
      </c>
      <c r="CG395" s="244">
        <v>0.42127889379346167</v>
      </c>
      <c r="CH395" s="244">
        <v>0.76453007580351884</v>
      </c>
      <c r="CI395" s="244">
        <v>1.6831124553950583E-2</v>
      </c>
      <c r="CJ395" s="244">
        <v>2.632993086209149E-2</v>
      </c>
      <c r="CK395" s="244">
        <v>4.3161055416042073E-2</v>
      </c>
      <c r="CL395" s="244"/>
      <c r="CM395" s="244">
        <v>4.4562800815928769</v>
      </c>
      <c r="CN395" s="244" t="s">
        <v>442</v>
      </c>
      <c r="CO395" s="244">
        <v>0.28600001335144043</v>
      </c>
      <c r="CP395" s="244">
        <v>0.31700000166893005</v>
      </c>
      <c r="CQ395" s="244">
        <v>37.203382842185199</v>
      </c>
      <c r="CR395" s="244">
        <v>0</v>
      </c>
      <c r="CS395" s="244">
        <v>0</v>
      </c>
      <c r="CT395" s="244">
        <v>37.203384399414063</v>
      </c>
      <c r="CU395" s="244">
        <v>0</v>
      </c>
      <c r="CV395" s="244">
        <v>0</v>
      </c>
      <c r="CW395" s="228">
        <v>9999</v>
      </c>
    </row>
    <row r="396" spans="1:101">
      <c r="A396" s="221" t="s">
        <v>478</v>
      </c>
      <c r="B396" s="221" t="s">
        <v>440</v>
      </c>
      <c r="C396" s="244">
        <v>10</v>
      </c>
      <c r="D396" s="244">
        <v>103.20822538049855</v>
      </c>
      <c r="E396" s="244">
        <v>0</v>
      </c>
      <c r="F396" s="244">
        <v>11.336666666666666</v>
      </c>
      <c r="G396" s="244">
        <v>0</v>
      </c>
      <c r="H396" s="244">
        <v>0</v>
      </c>
      <c r="I396" s="244" t="s">
        <v>441</v>
      </c>
      <c r="J396" s="244">
        <v>0.28600001335144043</v>
      </c>
      <c r="K396" s="244">
        <v>0.31700000166893005</v>
      </c>
      <c r="L396" s="244">
        <v>112.54586608405658</v>
      </c>
      <c r="M396" s="244">
        <v>1.4240284450352192E-2</v>
      </c>
      <c r="N396" s="244">
        <v>4.4922031462192535E-2</v>
      </c>
      <c r="O396" s="244">
        <v>0</v>
      </c>
      <c r="P396" s="244">
        <v>0</v>
      </c>
      <c r="Q396" s="244">
        <v>0</v>
      </c>
      <c r="R396" s="244">
        <v>1.1271885633468628</v>
      </c>
      <c r="S396" s="244">
        <v>6.2292284965515137</v>
      </c>
      <c r="T396" s="244">
        <v>0</v>
      </c>
      <c r="U396" s="244">
        <v>12.556410789489746</v>
      </c>
      <c r="V396" s="244" t="s">
        <v>226</v>
      </c>
      <c r="W396" s="244" t="s">
        <v>226</v>
      </c>
      <c r="X396" s="244" t="s">
        <v>226</v>
      </c>
      <c r="Y396" s="244" t="s">
        <v>226</v>
      </c>
      <c r="Z396" s="244">
        <v>0</v>
      </c>
      <c r="AA396" s="244">
        <v>0</v>
      </c>
      <c r="AB396" s="244">
        <v>0</v>
      </c>
      <c r="AC396" s="244">
        <v>0</v>
      </c>
      <c r="AD396" s="244">
        <v>0</v>
      </c>
      <c r="AE396" s="244">
        <v>0</v>
      </c>
      <c r="AF396" s="244">
        <v>0</v>
      </c>
      <c r="AG396" s="244">
        <v>0</v>
      </c>
      <c r="AH396" s="244">
        <v>1.1271885633468628</v>
      </c>
      <c r="AI396" s="244">
        <v>6.2292284965515137</v>
      </c>
      <c r="AJ396" s="244">
        <v>0</v>
      </c>
      <c r="AK396" s="244">
        <v>12.556410789489746</v>
      </c>
      <c r="AL396" s="244">
        <v>19.912827849388123</v>
      </c>
      <c r="AM396" s="244">
        <v>79.324195702508661</v>
      </c>
      <c r="AN396" s="244">
        <v>0</v>
      </c>
      <c r="AO396" s="244">
        <v>13.963474273681641</v>
      </c>
      <c r="AP396" s="244">
        <v>60.310546875</v>
      </c>
      <c r="AQ396" s="244">
        <v>153.59822082519531</v>
      </c>
      <c r="AR396" s="244">
        <v>1.1271885633468628</v>
      </c>
      <c r="AS396" s="228">
        <v>136.26665656997486</v>
      </c>
      <c r="AT396" s="244">
        <v>79.324195702508661</v>
      </c>
      <c r="AU396" s="244">
        <v>12.876044273376465</v>
      </c>
      <c r="AV396" s="244">
        <v>15.251078605651855</v>
      </c>
      <c r="AW396" s="244">
        <v>60.310546875</v>
      </c>
      <c r="AX396" s="244">
        <v>167.76187133789062</v>
      </c>
      <c r="AY396" s="244">
        <v>6.2292284965515137</v>
      </c>
      <c r="AZ396" s="228">
        <v>26.931403391191953</v>
      </c>
      <c r="BA396" s="244">
        <v>79.324195702508661</v>
      </c>
      <c r="BB396" s="244">
        <v>12.876044273376465</v>
      </c>
      <c r="BC396" s="244">
        <v>15.251078605651855</v>
      </c>
      <c r="BD396" s="244">
        <v>60.310546875</v>
      </c>
      <c r="BE396" s="244">
        <v>167.76187133789062</v>
      </c>
      <c r="BF396" s="244">
        <v>7.356417179107666</v>
      </c>
      <c r="BG396" s="244">
        <v>-57.809047698974609</v>
      </c>
      <c r="BH396" s="228">
        <v>22.804833397911576</v>
      </c>
      <c r="BI396" s="244">
        <v>0.80365926027297974</v>
      </c>
      <c r="BJ396" s="244">
        <v>4.4412951469421387</v>
      </c>
      <c r="BK396" s="244">
        <v>0</v>
      </c>
      <c r="BL396" s="244">
        <v>8.9524288177490234</v>
      </c>
      <c r="BM396" s="244">
        <v>14.197382926940918</v>
      </c>
      <c r="BN396" s="244">
        <v>79.324195702508661</v>
      </c>
      <c r="BO396" s="244">
        <v>0</v>
      </c>
      <c r="BP396" s="244">
        <v>12.876044273376465</v>
      </c>
      <c r="BQ396" s="244">
        <v>0</v>
      </c>
      <c r="BR396" s="244">
        <v>0</v>
      </c>
      <c r="BS396" s="244">
        <v>0</v>
      </c>
      <c r="BT396" s="244">
        <v>60.310546875</v>
      </c>
      <c r="BU396" s="244">
        <v>0</v>
      </c>
      <c r="BV396" s="244">
        <v>149.29165649414062</v>
      </c>
      <c r="BW396" s="244">
        <v>15.251078605651855</v>
      </c>
      <c r="BX396" s="244">
        <v>19.91282844543457</v>
      </c>
      <c r="BY396" s="244"/>
      <c r="BZ396" s="244">
        <v>0</v>
      </c>
      <c r="CA396" s="244">
        <v>0</v>
      </c>
      <c r="CB396" s="244">
        <v>317.05352783203125</v>
      </c>
      <c r="CC396" s="244">
        <v>19.91282844543457</v>
      </c>
      <c r="CD396" s="228">
        <v>15.922073693321487</v>
      </c>
      <c r="CE396" s="244">
        <v>-155.298095703125</v>
      </c>
      <c r="CF396" s="244">
        <v>0.84930324631759857</v>
      </c>
      <c r="CG396" s="244">
        <v>0</v>
      </c>
      <c r="CH396" s="244">
        <v>0.84930324631759857</v>
      </c>
      <c r="CI396" s="244">
        <v>4.1645096862120201E-2</v>
      </c>
      <c r="CJ396" s="244">
        <v>0</v>
      </c>
      <c r="CK396" s="244">
        <v>4.1645096862120201E-2</v>
      </c>
      <c r="CL396" s="244"/>
      <c r="CM396" s="244">
        <v>0</v>
      </c>
      <c r="CN396" s="244" t="s">
        <v>442</v>
      </c>
      <c r="CO396" s="244">
        <v>0</v>
      </c>
      <c r="CP396" s="244">
        <v>0</v>
      </c>
      <c r="CQ396" s="244">
        <v>0</v>
      </c>
      <c r="CR396" s="244">
        <v>0</v>
      </c>
      <c r="CS396" s="244">
        <v>0</v>
      </c>
      <c r="CT396" s="244">
        <v>0</v>
      </c>
      <c r="CU396" s="244">
        <v>0</v>
      </c>
      <c r="CV396" s="244">
        <v>9999</v>
      </c>
      <c r="CW396" s="228">
        <v>9999</v>
      </c>
    </row>
    <row r="397" spans="1:101">
      <c r="A397" s="221" t="s">
        <v>479</v>
      </c>
      <c r="B397" s="221" t="s">
        <v>440</v>
      </c>
      <c r="C397" s="244">
        <v>10</v>
      </c>
      <c r="D397" s="244">
        <v>0</v>
      </c>
      <c r="E397" s="244">
        <v>4.6026876392668301</v>
      </c>
      <c r="F397" s="244">
        <v>11.336666666666666</v>
      </c>
      <c r="G397" s="244">
        <v>0</v>
      </c>
      <c r="H397" s="244">
        <v>0</v>
      </c>
      <c r="I397" s="244" t="s">
        <v>441</v>
      </c>
      <c r="J397" s="244">
        <v>0</v>
      </c>
      <c r="K397" s="244">
        <v>0</v>
      </c>
      <c r="L397" s="244">
        <v>0</v>
      </c>
      <c r="M397" s="244">
        <v>0</v>
      </c>
      <c r="N397" s="244">
        <v>0</v>
      </c>
      <c r="O397" s="244">
        <v>4.6487145156594982</v>
      </c>
      <c r="P397" s="244">
        <v>1.4107039198279381E-2</v>
      </c>
      <c r="Q397" s="244">
        <v>4.4501699507236481E-2</v>
      </c>
      <c r="R397" s="244">
        <v>1.1271885633468628</v>
      </c>
      <c r="S397" s="244">
        <v>6.2292284965515137</v>
      </c>
      <c r="T397" s="244">
        <v>0</v>
      </c>
      <c r="U397" s="244">
        <v>12.556410789489746</v>
      </c>
      <c r="V397" s="244" t="s">
        <v>226</v>
      </c>
      <c r="W397" s="244" t="s">
        <v>226</v>
      </c>
      <c r="X397" s="244" t="s">
        <v>226</v>
      </c>
      <c r="Y397" s="244" t="s">
        <v>226</v>
      </c>
      <c r="Z397" s="244">
        <v>0</v>
      </c>
      <c r="AA397" s="244">
        <v>0</v>
      </c>
      <c r="AB397" s="244">
        <v>0</v>
      </c>
      <c r="AC397" s="244">
        <v>0</v>
      </c>
      <c r="AD397" s="244">
        <v>0</v>
      </c>
      <c r="AE397" s="244">
        <v>0</v>
      </c>
      <c r="AF397" s="244">
        <v>0</v>
      </c>
      <c r="AG397" s="244">
        <v>0</v>
      </c>
      <c r="AH397" s="244">
        <v>1.1271885633468628</v>
      </c>
      <c r="AI397" s="244">
        <v>6.2292284965515137</v>
      </c>
      <c r="AJ397" s="244">
        <v>0</v>
      </c>
      <c r="AK397" s="244">
        <v>12.556410789489746</v>
      </c>
      <c r="AL397" s="244">
        <v>19.912827849388123</v>
      </c>
      <c r="AM397" s="244">
        <v>0</v>
      </c>
      <c r="AN397" s="244">
        <v>0</v>
      </c>
      <c r="AO397" s="244">
        <v>0</v>
      </c>
      <c r="AP397" s="244">
        <v>0</v>
      </c>
      <c r="AQ397" s="244">
        <v>0</v>
      </c>
      <c r="AR397" s="244">
        <v>1.1271885633468628</v>
      </c>
      <c r="AS397" s="255">
        <v>0</v>
      </c>
      <c r="AT397" s="244">
        <v>0</v>
      </c>
      <c r="AU397" s="244">
        <v>0</v>
      </c>
      <c r="AV397" s="244">
        <v>0</v>
      </c>
      <c r="AW397" s="244">
        <v>0</v>
      </c>
      <c r="AX397" s="244">
        <v>0</v>
      </c>
      <c r="AY397" s="244">
        <v>6.2292284965515137</v>
      </c>
      <c r="AZ397" s="255">
        <v>0</v>
      </c>
      <c r="BA397" s="244">
        <v>0</v>
      </c>
      <c r="BB397" s="244">
        <v>0</v>
      </c>
      <c r="BC397" s="244">
        <v>0</v>
      </c>
      <c r="BD397" s="244">
        <v>0</v>
      </c>
      <c r="BE397" s="244">
        <v>0</v>
      </c>
      <c r="BF397" s="244">
        <v>7.356417179107666</v>
      </c>
      <c r="BG397" s="244">
        <v>9999</v>
      </c>
      <c r="BH397" s="255">
        <v>0</v>
      </c>
      <c r="BI397" s="244">
        <v>9999</v>
      </c>
      <c r="BJ397" s="244">
        <v>9999</v>
      </c>
      <c r="BK397" s="244">
        <v>9999</v>
      </c>
      <c r="BL397" s="244">
        <v>9999</v>
      </c>
      <c r="BM397" s="244">
        <v>9999</v>
      </c>
      <c r="BN397" s="244">
        <v>0</v>
      </c>
      <c r="BO397" s="244">
        <v>38.4256705618536</v>
      </c>
      <c r="BP397" s="244">
        <v>0</v>
      </c>
      <c r="BQ397" s="244">
        <v>0</v>
      </c>
      <c r="BR397" s="244">
        <v>0</v>
      </c>
      <c r="BS397" s="244">
        <v>0</v>
      </c>
      <c r="BT397" s="244">
        <v>0</v>
      </c>
      <c r="BU397" s="244">
        <v>0</v>
      </c>
      <c r="BV397" s="244">
        <v>149.29165649414062</v>
      </c>
      <c r="BW397" s="244">
        <v>0</v>
      </c>
      <c r="BX397" s="244">
        <v>19.91282844543457</v>
      </c>
      <c r="BY397" s="244"/>
      <c r="BZ397" s="244">
        <v>0</v>
      </c>
      <c r="CA397" s="244">
        <v>0</v>
      </c>
      <c r="CB397" s="244">
        <v>187.71733093261719</v>
      </c>
      <c r="CC397" s="244">
        <v>19.91282844543457</v>
      </c>
      <c r="CD397" s="228">
        <v>9.4269544665831901</v>
      </c>
      <c r="CE397" s="244">
        <v>9999</v>
      </c>
      <c r="CF397" s="244">
        <v>0</v>
      </c>
      <c r="CG397" s="244">
        <v>0.43511967866572843</v>
      </c>
      <c r="CH397" s="244">
        <v>0.43511967866572843</v>
      </c>
      <c r="CI397" s="244">
        <v>0</v>
      </c>
      <c r="CJ397" s="244">
        <v>2.7194979916608065E-2</v>
      </c>
      <c r="CK397" s="244">
        <v>2.7194979916608065E-2</v>
      </c>
      <c r="CL397" s="244"/>
      <c r="CM397" s="244">
        <v>4.6026876392668301</v>
      </c>
      <c r="CN397" s="244" t="s">
        <v>442</v>
      </c>
      <c r="CO397" s="244">
        <v>0.28600001335144043</v>
      </c>
      <c r="CP397" s="244">
        <v>0.31700000166893005</v>
      </c>
      <c r="CQ397" s="244">
        <v>38.4256705618536</v>
      </c>
      <c r="CR397" s="244">
        <v>0</v>
      </c>
      <c r="CS397" s="244">
        <v>0</v>
      </c>
      <c r="CT397" s="244">
        <v>38.425670623779297</v>
      </c>
      <c r="CU397" s="244">
        <v>0</v>
      </c>
      <c r="CV397" s="244">
        <v>0</v>
      </c>
      <c r="CW397" s="228">
        <v>9999</v>
      </c>
    </row>
    <row r="398" spans="1:101">
      <c r="A398" s="221" t="s">
        <v>480</v>
      </c>
      <c r="B398" s="221" t="s">
        <v>440</v>
      </c>
      <c r="C398" s="244">
        <v>10</v>
      </c>
      <c r="D398" s="244">
        <v>30.394822374556817</v>
      </c>
      <c r="E398" s="244">
        <v>3.2471961295027487</v>
      </c>
      <c r="F398" s="244">
        <v>11.336666666666666</v>
      </c>
      <c r="G398" s="244">
        <v>0</v>
      </c>
      <c r="H398" s="244">
        <v>0</v>
      </c>
      <c r="I398" s="244" t="s">
        <v>441</v>
      </c>
      <c r="J398" s="244">
        <v>0.28600001335144043</v>
      </c>
      <c r="K398" s="244">
        <v>0.31700000166893005</v>
      </c>
      <c r="L398" s="244">
        <v>33.144757561754666</v>
      </c>
      <c r="M398" s="244">
        <v>4.1937637142837048E-3</v>
      </c>
      <c r="N398" s="244">
        <v>1.3229538686573505E-2</v>
      </c>
      <c r="O398" s="244">
        <v>3.2796680907977747</v>
      </c>
      <c r="P398" s="244">
        <v>9.9525162950158119E-3</v>
      </c>
      <c r="Q398" s="244">
        <v>3.1395949423313141E-2</v>
      </c>
      <c r="R398" s="244">
        <v>1.1271885633468628</v>
      </c>
      <c r="S398" s="244">
        <v>6.2292284965515137</v>
      </c>
      <c r="T398" s="244">
        <v>0</v>
      </c>
      <c r="U398" s="244">
        <v>12.556410789489746</v>
      </c>
      <c r="V398" s="244" t="s">
        <v>226</v>
      </c>
      <c r="W398" s="244" t="s">
        <v>226</v>
      </c>
      <c r="X398" s="244" t="s">
        <v>226</v>
      </c>
      <c r="Y398" s="244" t="s">
        <v>226</v>
      </c>
      <c r="Z398" s="244">
        <v>0</v>
      </c>
      <c r="AA398" s="244">
        <v>0</v>
      </c>
      <c r="AB398" s="244">
        <v>0</v>
      </c>
      <c r="AC398" s="244">
        <v>0</v>
      </c>
      <c r="AD398" s="244">
        <v>0</v>
      </c>
      <c r="AE398" s="244">
        <v>0</v>
      </c>
      <c r="AF398" s="244">
        <v>0</v>
      </c>
      <c r="AG398" s="244">
        <v>0</v>
      </c>
      <c r="AH398" s="244">
        <v>1.1271885633468628</v>
      </c>
      <c r="AI398" s="244">
        <v>6.2292284965515137</v>
      </c>
      <c r="AJ398" s="244">
        <v>0</v>
      </c>
      <c r="AK398" s="244">
        <v>12.556410789489746</v>
      </c>
      <c r="AL398" s="244">
        <v>19.912827849388123</v>
      </c>
      <c r="AM398" s="244">
        <v>23.36097563438874</v>
      </c>
      <c r="AN398" s="244">
        <v>0</v>
      </c>
      <c r="AO398" s="244">
        <v>4.1122431755065918</v>
      </c>
      <c r="AP398" s="244">
        <v>17.761457443237305</v>
      </c>
      <c r="AQ398" s="244">
        <v>45.234676361083984</v>
      </c>
      <c r="AR398" s="244">
        <v>1.1271885633468628</v>
      </c>
      <c r="AS398" s="228">
        <v>40.130531593419697</v>
      </c>
      <c r="AT398" s="244">
        <v>23.36097563438874</v>
      </c>
      <c r="AU398" s="244">
        <v>3.7919960021972656</v>
      </c>
      <c r="AV398" s="244">
        <v>4.4914431571960449</v>
      </c>
      <c r="AW398" s="244">
        <v>17.761457443237305</v>
      </c>
      <c r="AX398" s="244">
        <v>49.405872344970703</v>
      </c>
      <c r="AY398" s="244">
        <v>6.2292284965515137</v>
      </c>
      <c r="AZ398" s="228">
        <v>7.9312987578430185</v>
      </c>
      <c r="BA398" s="244">
        <v>23.36097563438874</v>
      </c>
      <c r="BB398" s="244">
        <v>3.7919960021972656</v>
      </c>
      <c r="BC398" s="244">
        <v>4.4914431571960449</v>
      </c>
      <c r="BD398" s="244">
        <v>17.761457443237305</v>
      </c>
      <c r="BE398" s="244">
        <v>49.405872344970703</v>
      </c>
      <c r="BF398" s="244">
        <v>7.356417179107666</v>
      </c>
      <c r="BG398" s="244">
        <v>-45.244316101074219</v>
      </c>
      <c r="BH398" s="228">
        <v>6.716023824470585</v>
      </c>
      <c r="BI398" s="244">
        <v>2.7288939952850342</v>
      </c>
      <c r="BJ398" s="244">
        <v>15.080798149108887</v>
      </c>
      <c r="BK398" s="244">
        <v>0</v>
      </c>
      <c r="BL398" s="244">
        <v>30.398740768432617</v>
      </c>
      <c r="BM398" s="244">
        <v>48.208431243896484</v>
      </c>
      <c r="BN398" s="244">
        <v>23.36097563438874</v>
      </c>
      <c r="BO398" s="244">
        <v>27.109310581387703</v>
      </c>
      <c r="BP398" s="244">
        <v>3.7919960021972656</v>
      </c>
      <c r="BQ398" s="244">
        <v>0</v>
      </c>
      <c r="BR398" s="244">
        <v>0</v>
      </c>
      <c r="BS398" s="244">
        <v>0</v>
      </c>
      <c r="BT398" s="244">
        <v>17.761457443237305</v>
      </c>
      <c r="BU398" s="244">
        <v>0</v>
      </c>
      <c r="BV398" s="244">
        <v>149.29165649414062</v>
      </c>
      <c r="BW398" s="244">
        <v>4.4914431571960449</v>
      </c>
      <c r="BX398" s="244">
        <v>19.91282844543457</v>
      </c>
      <c r="BY398" s="244"/>
      <c r="BZ398" s="244">
        <v>0</v>
      </c>
      <c r="CA398" s="244">
        <v>0</v>
      </c>
      <c r="CB398" s="244">
        <v>225.80683898925781</v>
      </c>
      <c r="CC398" s="244">
        <v>19.91282844543457</v>
      </c>
      <c r="CD398" s="228">
        <v>11.339767222487101</v>
      </c>
      <c r="CE398" s="244">
        <v>-441.90768432617188</v>
      </c>
      <c r="CF398" s="244">
        <v>0.25011980604053341</v>
      </c>
      <c r="CG398" s="244">
        <v>0.30697693329867343</v>
      </c>
      <c r="CH398" s="244">
        <v>0.55709673933920678</v>
      </c>
      <c r="CI398" s="244">
        <v>1.2264481025894407E-2</v>
      </c>
      <c r="CJ398" s="244">
        <v>1.9186058331166985E-2</v>
      </c>
      <c r="CK398" s="244">
        <v>3.1450539357061394E-2</v>
      </c>
      <c r="CL398" s="244"/>
      <c r="CM398" s="244">
        <v>3.2471961295027487</v>
      </c>
      <c r="CN398" s="244" t="s">
        <v>442</v>
      </c>
      <c r="CO398" s="244">
        <v>0.28600001335144043</v>
      </c>
      <c r="CP398" s="244">
        <v>0.31700000166893005</v>
      </c>
      <c r="CQ398" s="244">
        <v>27.109310581387703</v>
      </c>
      <c r="CR398" s="244">
        <v>0</v>
      </c>
      <c r="CS398" s="244">
        <v>0</v>
      </c>
      <c r="CT398" s="244">
        <v>27.109310150146484</v>
      </c>
      <c r="CU398" s="244">
        <v>0</v>
      </c>
      <c r="CV398" s="244">
        <v>0</v>
      </c>
      <c r="CW398" s="228">
        <v>9999</v>
      </c>
    </row>
    <row r="399" spans="1:101">
      <c r="A399" s="221" t="s">
        <v>481</v>
      </c>
      <c r="B399" s="221" t="s">
        <v>440</v>
      </c>
      <c r="C399" s="244">
        <v>10</v>
      </c>
      <c r="D399" s="244">
        <v>110.14537536092921</v>
      </c>
      <c r="E399" s="244">
        <v>0</v>
      </c>
      <c r="F399" s="244">
        <v>11.336666666666666</v>
      </c>
      <c r="G399" s="244">
        <v>0</v>
      </c>
      <c r="H399" s="244">
        <v>0</v>
      </c>
      <c r="I399" s="244" t="s">
        <v>441</v>
      </c>
      <c r="J399" s="244">
        <v>0.28600001335144043</v>
      </c>
      <c r="K399" s="244">
        <v>0.31700000166893005</v>
      </c>
      <c r="L399" s="244">
        <v>120.11064640872722</v>
      </c>
      <c r="M399" s="244">
        <v>1.5197445638477802E-2</v>
      </c>
      <c r="N399" s="244">
        <v>4.794146865606308E-2</v>
      </c>
      <c r="O399" s="244">
        <v>0</v>
      </c>
      <c r="P399" s="244">
        <v>0</v>
      </c>
      <c r="Q399" s="244">
        <v>0</v>
      </c>
      <c r="R399" s="244">
        <v>1.1271885633468628</v>
      </c>
      <c r="S399" s="244">
        <v>6.2292284965515137</v>
      </c>
      <c r="T399" s="244">
        <v>0</v>
      </c>
      <c r="U399" s="244">
        <v>12.556410789489746</v>
      </c>
      <c r="V399" s="244" t="s">
        <v>226</v>
      </c>
      <c r="W399" s="244" t="s">
        <v>226</v>
      </c>
      <c r="X399" s="244" t="s">
        <v>226</v>
      </c>
      <c r="Y399" s="244" t="s">
        <v>226</v>
      </c>
      <c r="Z399" s="244">
        <v>0</v>
      </c>
      <c r="AA399" s="244">
        <v>0</v>
      </c>
      <c r="AB399" s="244">
        <v>0</v>
      </c>
      <c r="AC399" s="244">
        <v>0</v>
      </c>
      <c r="AD399" s="244">
        <v>0</v>
      </c>
      <c r="AE399" s="244">
        <v>0</v>
      </c>
      <c r="AF399" s="244">
        <v>0</v>
      </c>
      <c r="AG399" s="244">
        <v>0</v>
      </c>
      <c r="AH399" s="244">
        <v>1.1271885633468628</v>
      </c>
      <c r="AI399" s="244">
        <v>6.2292284965515137</v>
      </c>
      <c r="AJ399" s="244">
        <v>0</v>
      </c>
      <c r="AK399" s="244">
        <v>12.556410789489746</v>
      </c>
      <c r="AL399" s="244">
        <v>19.912827849388123</v>
      </c>
      <c r="AM399" s="244">
        <v>84.655978519591187</v>
      </c>
      <c r="AN399" s="244">
        <v>0</v>
      </c>
      <c r="AO399" s="244">
        <v>14.902030944824219</v>
      </c>
      <c r="AP399" s="244">
        <v>64.364326477050781</v>
      </c>
      <c r="AQ399" s="244">
        <v>163.92233276367187</v>
      </c>
      <c r="AR399" s="244">
        <v>1.1271885633468628</v>
      </c>
      <c r="AS399" s="228">
        <v>145.42583314964259</v>
      </c>
      <c r="AT399" s="244">
        <v>84.655978519591187</v>
      </c>
      <c r="AU399" s="244">
        <v>13.741506576538086</v>
      </c>
      <c r="AV399" s="244">
        <v>16.276182174682617</v>
      </c>
      <c r="AW399" s="244">
        <v>64.364326477050781</v>
      </c>
      <c r="AX399" s="244">
        <v>179.03799438476562</v>
      </c>
      <c r="AY399" s="244">
        <v>6.2292284965515137</v>
      </c>
      <c r="AZ399" s="228">
        <v>28.741599998615833</v>
      </c>
      <c r="BA399" s="244">
        <v>84.655978519591187</v>
      </c>
      <c r="BB399" s="244">
        <v>13.741506576538086</v>
      </c>
      <c r="BC399" s="244">
        <v>16.276182174682617</v>
      </c>
      <c r="BD399" s="244">
        <v>64.364326477050781</v>
      </c>
      <c r="BE399" s="244">
        <v>179.03799438476562</v>
      </c>
      <c r="BF399" s="244">
        <v>7.356417179107666</v>
      </c>
      <c r="BG399" s="244">
        <v>-58.139385223388672</v>
      </c>
      <c r="BH399" s="228">
        <v>24.337662246454521</v>
      </c>
      <c r="BI399" s="244">
        <v>0.75304335355758667</v>
      </c>
      <c r="BJ399" s="244">
        <v>4.1615743637084961</v>
      </c>
      <c r="BK399" s="244">
        <v>0</v>
      </c>
      <c r="BL399" s="244">
        <v>8.3885889053344727</v>
      </c>
      <c r="BM399" s="244">
        <v>13.303207397460938</v>
      </c>
      <c r="BN399" s="244">
        <v>84.655978519591187</v>
      </c>
      <c r="BO399" s="244">
        <v>0</v>
      </c>
      <c r="BP399" s="244">
        <v>13.741506576538086</v>
      </c>
      <c r="BQ399" s="244">
        <v>0</v>
      </c>
      <c r="BR399" s="244">
        <v>0</v>
      </c>
      <c r="BS399" s="244">
        <v>0</v>
      </c>
      <c r="BT399" s="244">
        <v>64.364326477050781</v>
      </c>
      <c r="BU399" s="244">
        <v>0</v>
      </c>
      <c r="BV399" s="244">
        <v>167.953125</v>
      </c>
      <c r="BW399" s="244">
        <v>16.276182174682617</v>
      </c>
      <c r="BX399" s="244">
        <v>19.91282844543457</v>
      </c>
      <c r="BY399" s="244"/>
      <c r="BZ399" s="244">
        <v>0</v>
      </c>
      <c r="CA399" s="244">
        <v>0</v>
      </c>
      <c r="CB399" s="244">
        <v>346.99111938476562</v>
      </c>
      <c r="CC399" s="244">
        <v>19.91282844543457</v>
      </c>
      <c r="CD399" s="228">
        <v>17.425506361323453</v>
      </c>
      <c r="CE399" s="244">
        <v>-161.95561218261719</v>
      </c>
      <c r="CF399" s="244">
        <v>0.90638923899745261</v>
      </c>
      <c r="CG399" s="244">
        <v>0</v>
      </c>
      <c r="CH399" s="244">
        <v>0.90638923899745261</v>
      </c>
      <c r="CI399" s="244">
        <v>4.4444275724241041E-2</v>
      </c>
      <c r="CJ399" s="244">
        <v>0</v>
      </c>
      <c r="CK399" s="244">
        <v>4.4444275724241041E-2</v>
      </c>
      <c r="CL399" s="244"/>
      <c r="CM399" s="244">
        <v>0</v>
      </c>
      <c r="CN399" s="244" t="s">
        <v>442</v>
      </c>
      <c r="CO399" s="244">
        <v>0</v>
      </c>
      <c r="CP399" s="244">
        <v>0</v>
      </c>
      <c r="CQ399" s="244">
        <v>0</v>
      </c>
      <c r="CR399" s="244">
        <v>0</v>
      </c>
      <c r="CS399" s="244">
        <v>0</v>
      </c>
      <c r="CT399" s="244">
        <v>0</v>
      </c>
      <c r="CU399" s="244">
        <v>0</v>
      </c>
      <c r="CV399" s="244">
        <v>9999</v>
      </c>
      <c r="CW399" s="228">
        <v>9999</v>
      </c>
    </row>
    <row r="400" spans="1:101">
      <c r="A400" s="221" t="s">
        <v>482</v>
      </c>
      <c r="B400" s="221" t="s">
        <v>440</v>
      </c>
      <c r="C400" s="244">
        <v>10</v>
      </c>
      <c r="D400" s="244">
        <v>0</v>
      </c>
      <c r="E400" s="244">
        <v>4.9120576952769346</v>
      </c>
      <c r="F400" s="244">
        <v>11.336666666666666</v>
      </c>
      <c r="G400" s="244">
        <v>0</v>
      </c>
      <c r="H400" s="244">
        <v>0</v>
      </c>
      <c r="I400" s="244" t="s">
        <v>441</v>
      </c>
      <c r="J400" s="244">
        <v>0</v>
      </c>
      <c r="K400" s="244">
        <v>0</v>
      </c>
      <c r="L400" s="244">
        <v>0</v>
      </c>
      <c r="M400" s="244">
        <v>0</v>
      </c>
      <c r="N400" s="244">
        <v>0</v>
      </c>
      <c r="O400" s="244">
        <v>4.9611782722297066</v>
      </c>
      <c r="P400" s="244">
        <v>1.5055244788527489E-2</v>
      </c>
      <c r="Q400" s="244">
        <v>4.749288409948349E-2</v>
      </c>
      <c r="R400" s="244">
        <v>1.1271885633468628</v>
      </c>
      <c r="S400" s="244">
        <v>6.2292284965515137</v>
      </c>
      <c r="T400" s="244">
        <v>0</v>
      </c>
      <c r="U400" s="244">
        <v>12.556410789489746</v>
      </c>
      <c r="V400" s="244" t="s">
        <v>226</v>
      </c>
      <c r="W400" s="244" t="s">
        <v>226</v>
      </c>
      <c r="X400" s="244" t="s">
        <v>226</v>
      </c>
      <c r="Y400" s="244" t="s">
        <v>226</v>
      </c>
      <c r="Z400" s="244">
        <v>0</v>
      </c>
      <c r="AA400" s="244">
        <v>0</v>
      </c>
      <c r="AB400" s="244">
        <v>0</v>
      </c>
      <c r="AC400" s="244">
        <v>0</v>
      </c>
      <c r="AD400" s="244">
        <v>0</v>
      </c>
      <c r="AE400" s="244">
        <v>0</v>
      </c>
      <c r="AF400" s="244">
        <v>0</v>
      </c>
      <c r="AG400" s="244">
        <v>0</v>
      </c>
      <c r="AH400" s="244">
        <v>1.1271885633468628</v>
      </c>
      <c r="AI400" s="244">
        <v>6.2292284965515137</v>
      </c>
      <c r="AJ400" s="244">
        <v>0</v>
      </c>
      <c r="AK400" s="244">
        <v>12.556410789489746</v>
      </c>
      <c r="AL400" s="244">
        <v>19.912827849388123</v>
      </c>
      <c r="AM400" s="244">
        <v>0</v>
      </c>
      <c r="AN400" s="244">
        <v>0</v>
      </c>
      <c r="AO400" s="244">
        <v>0</v>
      </c>
      <c r="AP400" s="244">
        <v>0</v>
      </c>
      <c r="AQ400" s="244">
        <v>0</v>
      </c>
      <c r="AR400" s="244">
        <v>1.1271885633468628</v>
      </c>
      <c r="AS400" s="255">
        <v>0</v>
      </c>
      <c r="AT400" s="244">
        <v>0</v>
      </c>
      <c r="AU400" s="244">
        <v>0</v>
      </c>
      <c r="AV400" s="244">
        <v>0</v>
      </c>
      <c r="AW400" s="244">
        <v>0</v>
      </c>
      <c r="AX400" s="244">
        <v>0</v>
      </c>
      <c r="AY400" s="244">
        <v>6.2292284965515137</v>
      </c>
      <c r="AZ400" s="255">
        <v>0</v>
      </c>
      <c r="BA400" s="244">
        <v>0</v>
      </c>
      <c r="BB400" s="244">
        <v>0</v>
      </c>
      <c r="BC400" s="244">
        <v>0</v>
      </c>
      <c r="BD400" s="244">
        <v>0</v>
      </c>
      <c r="BE400" s="244">
        <v>0</v>
      </c>
      <c r="BF400" s="244">
        <v>7.356417179107666</v>
      </c>
      <c r="BG400" s="244">
        <v>9999</v>
      </c>
      <c r="BH400" s="255">
        <v>0</v>
      </c>
      <c r="BI400" s="244">
        <v>9999</v>
      </c>
      <c r="BJ400" s="244">
        <v>9999</v>
      </c>
      <c r="BK400" s="244">
        <v>9999</v>
      </c>
      <c r="BL400" s="244">
        <v>9999</v>
      </c>
      <c r="BM400" s="244">
        <v>9999</v>
      </c>
      <c r="BN400" s="244">
        <v>0</v>
      </c>
      <c r="BO400" s="244">
        <v>41.008455400982967</v>
      </c>
      <c r="BP400" s="244">
        <v>0</v>
      </c>
      <c r="BQ400" s="244">
        <v>0</v>
      </c>
      <c r="BR400" s="244">
        <v>0</v>
      </c>
      <c r="BS400" s="244">
        <v>0</v>
      </c>
      <c r="BT400" s="244">
        <v>0</v>
      </c>
      <c r="BU400" s="244">
        <v>0</v>
      </c>
      <c r="BV400" s="244">
        <v>167.953125</v>
      </c>
      <c r="BW400" s="244">
        <v>0</v>
      </c>
      <c r="BX400" s="244">
        <v>19.91282844543457</v>
      </c>
      <c r="BY400" s="244"/>
      <c r="BZ400" s="244">
        <v>0</v>
      </c>
      <c r="CA400" s="244">
        <v>0</v>
      </c>
      <c r="CB400" s="244">
        <v>208.96157836914062</v>
      </c>
      <c r="CC400" s="244">
        <v>19.91282844543457</v>
      </c>
      <c r="CD400" s="228">
        <v>10.493817137710126</v>
      </c>
      <c r="CE400" s="244">
        <v>9999</v>
      </c>
      <c r="CF400" s="244">
        <v>0</v>
      </c>
      <c r="CG400" s="244">
        <v>0.46436628628070337</v>
      </c>
      <c r="CH400" s="244">
        <v>0.46436628628070337</v>
      </c>
      <c r="CI400" s="244">
        <v>0</v>
      </c>
      <c r="CJ400" s="244">
        <v>2.9022892892543783E-2</v>
      </c>
      <c r="CK400" s="244">
        <v>2.9022892892543783E-2</v>
      </c>
      <c r="CL400" s="244"/>
      <c r="CM400" s="244">
        <v>4.9120576952769346</v>
      </c>
      <c r="CN400" s="244" t="s">
        <v>442</v>
      </c>
      <c r="CO400" s="244">
        <v>0.28600001335144043</v>
      </c>
      <c r="CP400" s="244">
        <v>0.31700000166893005</v>
      </c>
      <c r="CQ400" s="244">
        <v>41.008455400982967</v>
      </c>
      <c r="CR400" s="244">
        <v>0</v>
      </c>
      <c r="CS400" s="244">
        <v>0</v>
      </c>
      <c r="CT400" s="244">
        <v>41.008457183837891</v>
      </c>
      <c r="CU400" s="244">
        <v>0</v>
      </c>
      <c r="CV400" s="244">
        <v>0</v>
      </c>
      <c r="CW400" s="228">
        <v>9999</v>
      </c>
    </row>
    <row r="401" spans="1:101">
      <c r="A401" s="221" t="s">
        <v>483</v>
      </c>
      <c r="B401" s="221" t="s">
        <v>440</v>
      </c>
      <c r="C401" s="244">
        <v>10</v>
      </c>
      <c r="D401" s="244">
        <v>32.437813043793653</v>
      </c>
      <c r="E401" s="244">
        <v>3.4654567040178774</v>
      </c>
      <c r="F401" s="244">
        <v>11.336666666666666</v>
      </c>
      <c r="G401" s="244">
        <v>0</v>
      </c>
      <c r="H401" s="244">
        <v>0</v>
      </c>
      <c r="I401" s="244" t="s">
        <v>441</v>
      </c>
      <c r="J401" s="244">
        <v>0.28600001335144043</v>
      </c>
      <c r="K401" s="244">
        <v>0.31700000166893005</v>
      </c>
      <c r="L401" s="244">
        <v>35.372585367370178</v>
      </c>
      <c r="M401" s="244">
        <v>4.4756475836038589E-3</v>
      </c>
      <c r="N401" s="244">
        <v>1.411876268684864E-2</v>
      </c>
      <c r="O401" s="244">
        <v>3.5001112710580555</v>
      </c>
      <c r="P401" s="244">
        <v>1.0621475055813789E-2</v>
      </c>
      <c r="Q401" s="244">
        <v>3.3506229519844055E-2</v>
      </c>
      <c r="R401" s="244">
        <v>1.1271885633468628</v>
      </c>
      <c r="S401" s="244">
        <v>6.2292284965515137</v>
      </c>
      <c r="T401" s="244">
        <v>0</v>
      </c>
      <c r="U401" s="244">
        <v>12.556410789489746</v>
      </c>
      <c r="V401" s="244" t="s">
        <v>226</v>
      </c>
      <c r="W401" s="244" t="s">
        <v>226</v>
      </c>
      <c r="X401" s="244" t="s">
        <v>226</v>
      </c>
      <c r="Y401" s="244" t="s">
        <v>226</v>
      </c>
      <c r="Z401" s="244">
        <v>0</v>
      </c>
      <c r="AA401" s="244">
        <v>0</v>
      </c>
      <c r="AB401" s="244">
        <v>0</v>
      </c>
      <c r="AC401" s="244">
        <v>0</v>
      </c>
      <c r="AD401" s="244">
        <v>0</v>
      </c>
      <c r="AE401" s="244">
        <v>0</v>
      </c>
      <c r="AF401" s="244">
        <v>0</v>
      </c>
      <c r="AG401" s="244">
        <v>0</v>
      </c>
      <c r="AH401" s="244">
        <v>1.1271885633468628</v>
      </c>
      <c r="AI401" s="244">
        <v>6.2292284965515137</v>
      </c>
      <c r="AJ401" s="244">
        <v>0</v>
      </c>
      <c r="AK401" s="244">
        <v>12.556410789489746</v>
      </c>
      <c r="AL401" s="244">
        <v>19.912827849388123</v>
      </c>
      <c r="AM401" s="244">
        <v>24.931185674019623</v>
      </c>
      <c r="AN401" s="244">
        <v>0</v>
      </c>
      <c r="AO401" s="244">
        <v>4.3886480331420898</v>
      </c>
      <c r="AP401" s="244">
        <v>18.955295562744141</v>
      </c>
      <c r="AQ401" s="244">
        <v>48.275127410888672</v>
      </c>
      <c r="AR401" s="244">
        <v>1.1271885633468628</v>
      </c>
      <c r="AS401" s="228">
        <v>42.827909047060167</v>
      </c>
      <c r="AT401" s="244">
        <v>24.931185674019623</v>
      </c>
      <c r="AU401" s="244">
        <v>4.0468740463256836</v>
      </c>
      <c r="AV401" s="244">
        <v>4.7933354377746582</v>
      </c>
      <c r="AW401" s="244">
        <v>18.955295562744141</v>
      </c>
      <c r="AX401" s="244">
        <v>52.726692199707031</v>
      </c>
      <c r="AY401" s="244">
        <v>6.2292284965515137</v>
      </c>
      <c r="AZ401" s="228">
        <v>8.4644014503647576</v>
      </c>
      <c r="BA401" s="244">
        <v>24.931185674019623</v>
      </c>
      <c r="BB401" s="244">
        <v>4.0468740463256836</v>
      </c>
      <c r="BC401" s="244">
        <v>4.7933354377746582</v>
      </c>
      <c r="BD401" s="244">
        <v>18.955295562744141</v>
      </c>
      <c r="BE401" s="244">
        <v>52.726692199707031</v>
      </c>
      <c r="BF401" s="244">
        <v>7.356417179107666</v>
      </c>
      <c r="BG401" s="244">
        <v>-46.365997314453125</v>
      </c>
      <c r="BH401" s="228">
        <v>7.167441743928598</v>
      </c>
      <c r="BI401" s="244">
        <v>2.557023286819458</v>
      </c>
      <c r="BJ401" s="244">
        <v>14.130983352661133</v>
      </c>
      <c r="BK401" s="244">
        <v>0</v>
      </c>
      <c r="BL401" s="244">
        <v>28.484174728393555</v>
      </c>
      <c r="BM401" s="244">
        <v>45.17218017578125</v>
      </c>
      <c r="BN401" s="244">
        <v>24.931185674019623</v>
      </c>
      <c r="BO401" s="244">
        <v>28.931465285393468</v>
      </c>
      <c r="BP401" s="244">
        <v>4.0468740463256836</v>
      </c>
      <c r="BQ401" s="244">
        <v>0</v>
      </c>
      <c r="BR401" s="244">
        <v>0</v>
      </c>
      <c r="BS401" s="244">
        <v>0</v>
      </c>
      <c r="BT401" s="244">
        <v>18.955295562744141</v>
      </c>
      <c r="BU401" s="244">
        <v>0</v>
      </c>
      <c r="BV401" s="244">
        <v>167.953125</v>
      </c>
      <c r="BW401" s="244">
        <v>4.7933354377746582</v>
      </c>
      <c r="BX401" s="244">
        <v>19.91282844543457</v>
      </c>
      <c r="BY401" s="244"/>
      <c r="BZ401" s="244">
        <v>0</v>
      </c>
      <c r="CA401" s="244">
        <v>0</v>
      </c>
      <c r="CB401" s="244">
        <v>249.61128234863281</v>
      </c>
      <c r="CC401" s="244">
        <v>19.91282844543457</v>
      </c>
      <c r="CD401" s="228">
        <v>12.535199692512098</v>
      </c>
      <c r="CE401" s="244">
        <v>-464.51382446289062</v>
      </c>
      <c r="CF401" s="244">
        <v>0.2669316308847498</v>
      </c>
      <c r="CG401" s="244">
        <v>0.32761041497103394</v>
      </c>
      <c r="CH401" s="244">
        <v>0.59454204585578374</v>
      </c>
      <c r="CI401" s="244">
        <v>1.3088839200788989E-2</v>
      </c>
      <c r="CJ401" s="244">
        <v>2.0475650935689618E-2</v>
      </c>
      <c r="CK401" s="244">
        <v>3.3564490136478609E-2</v>
      </c>
      <c r="CL401" s="244"/>
      <c r="CM401" s="244">
        <v>3.4654567040178774</v>
      </c>
      <c r="CN401" s="244" t="s">
        <v>442</v>
      </c>
      <c r="CO401" s="244">
        <v>0.28600001335144043</v>
      </c>
      <c r="CP401" s="244">
        <v>0.31700000166893005</v>
      </c>
      <c r="CQ401" s="244">
        <v>28.931465285393468</v>
      </c>
      <c r="CR401" s="244">
        <v>0</v>
      </c>
      <c r="CS401" s="244">
        <v>0</v>
      </c>
      <c r="CT401" s="244">
        <v>28.931465148925781</v>
      </c>
      <c r="CU401" s="244">
        <v>0</v>
      </c>
      <c r="CV401" s="244">
        <v>0</v>
      </c>
      <c r="CW401" s="228">
        <v>9999</v>
      </c>
    </row>
    <row r="402" spans="1:101">
      <c r="A402" s="221" t="s">
        <v>484</v>
      </c>
      <c r="B402" s="221" t="s">
        <v>440</v>
      </c>
      <c r="C402" s="244">
        <v>10</v>
      </c>
      <c r="D402" s="244">
        <v>182.10536396390523</v>
      </c>
      <c r="E402" s="244">
        <v>0</v>
      </c>
      <c r="F402" s="244">
        <v>11.336666666666666</v>
      </c>
      <c r="G402" s="244">
        <v>0</v>
      </c>
      <c r="H402" s="244">
        <v>0</v>
      </c>
      <c r="I402" s="244" t="s">
        <v>441</v>
      </c>
      <c r="J402" s="244">
        <v>0.28600001335144043</v>
      </c>
      <c r="K402" s="244">
        <v>0.31700000166893005</v>
      </c>
      <c r="L402" s="244">
        <v>198.58112888105808</v>
      </c>
      <c r="M402" s="244">
        <v>2.5126215070486069E-2</v>
      </c>
      <c r="N402" s="244">
        <v>7.9262509942054749E-2</v>
      </c>
      <c r="O402" s="244">
        <v>0</v>
      </c>
      <c r="P402" s="244">
        <v>0</v>
      </c>
      <c r="Q402" s="244">
        <v>0</v>
      </c>
      <c r="R402" s="244">
        <v>1.1271885633468628</v>
      </c>
      <c r="S402" s="244">
        <v>6.2292284965515137</v>
      </c>
      <c r="T402" s="244">
        <v>0</v>
      </c>
      <c r="U402" s="244">
        <v>12.556410789489746</v>
      </c>
      <c r="V402" s="244" t="s">
        <v>226</v>
      </c>
      <c r="W402" s="244" t="s">
        <v>226</v>
      </c>
      <c r="X402" s="244" t="s">
        <v>226</v>
      </c>
      <c r="Y402" s="244" t="s">
        <v>226</v>
      </c>
      <c r="Z402" s="244">
        <v>0</v>
      </c>
      <c r="AA402" s="244">
        <v>0</v>
      </c>
      <c r="AB402" s="244">
        <v>0</v>
      </c>
      <c r="AC402" s="244">
        <v>0</v>
      </c>
      <c r="AD402" s="244">
        <v>0</v>
      </c>
      <c r="AE402" s="244">
        <v>0</v>
      </c>
      <c r="AF402" s="244">
        <v>0</v>
      </c>
      <c r="AG402" s="244">
        <v>0</v>
      </c>
      <c r="AH402" s="244">
        <v>1.1271885633468628</v>
      </c>
      <c r="AI402" s="244">
        <v>6.2292284965515137</v>
      </c>
      <c r="AJ402" s="244">
        <v>0</v>
      </c>
      <c r="AK402" s="244">
        <v>12.556410789489746</v>
      </c>
      <c r="AL402" s="244">
        <v>19.912827849388123</v>
      </c>
      <c r="AM402" s="244">
        <v>139.96327789082233</v>
      </c>
      <c r="AN402" s="244">
        <v>0</v>
      </c>
      <c r="AO402" s="244">
        <v>24.637798309326172</v>
      </c>
      <c r="AP402" s="244">
        <v>106.41471099853516</v>
      </c>
      <c r="AQ402" s="244">
        <v>271.01577758789062</v>
      </c>
      <c r="AR402" s="244">
        <v>1.1271885633468628</v>
      </c>
      <c r="AS402" s="228">
        <v>240.43518184214014</v>
      </c>
      <c r="AT402" s="244">
        <v>139.96327789082233</v>
      </c>
      <c r="AU402" s="244">
        <v>22.719091415405273</v>
      </c>
      <c r="AV402" s="244">
        <v>26.909708023071289</v>
      </c>
      <c r="AW402" s="244">
        <v>106.41471099853516</v>
      </c>
      <c r="AX402" s="244">
        <v>296.00677490234375</v>
      </c>
      <c r="AY402" s="244">
        <v>6.2292284965515137</v>
      </c>
      <c r="AZ402" s="228">
        <v>47.51901274639431</v>
      </c>
      <c r="BA402" s="244">
        <v>139.96327789082233</v>
      </c>
      <c r="BB402" s="244">
        <v>22.719091415405273</v>
      </c>
      <c r="BC402" s="244">
        <v>26.909708023071289</v>
      </c>
      <c r="BD402" s="244">
        <v>106.41471099853516</v>
      </c>
      <c r="BE402" s="244">
        <v>296.00677490234375</v>
      </c>
      <c r="BF402" s="244">
        <v>7.356417179107666</v>
      </c>
      <c r="BG402" s="244">
        <v>-60.0814208984375</v>
      </c>
      <c r="BH402" s="228">
        <v>40.237901945695718</v>
      </c>
      <c r="BI402" s="244">
        <v>0.45547392964363098</v>
      </c>
      <c r="BJ402" s="244">
        <v>2.5171041488647461</v>
      </c>
      <c r="BK402" s="244">
        <v>0</v>
      </c>
      <c r="BL402" s="244">
        <v>5.0737895965576172</v>
      </c>
      <c r="BM402" s="244">
        <v>8.0463676452636719</v>
      </c>
      <c r="BN402" s="244">
        <v>139.96327789082233</v>
      </c>
      <c r="BO402" s="244">
        <v>0</v>
      </c>
      <c r="BP402" s="244">
        <v>22.719091415405273</v>
      </c>
      <c r="BQ402" s="244">
        <v>0</v>
      </c>
      <c r="BR402" s="244">
        <v>0</v>
      </c>
      <c r="BS402" s="244">
        <v>0</v>
      </c>
      <c r="BT402" s="244">
        <v>106.41471099853516</v>
      </c>
      <c r="BU402" s="244">
        <v>0</v>
      </c>
      <c r="BV402" s="244">
        <v>261.2603759765625</v>
      </c>
      <c r="BW402" s="244">
        <v>26.909708023071289</v>
      </c>
      <c r="BX402" s="244">
        <v>19.91282844543457</v>
      </c>
      <c r="BY402" s="244"/>
      <c r="BZ402" s="244">
        <v>0</v>
      </c>
      <c r="CA402" s="244">
        <v>0</v>
      </c>
      <c r="CB402" s="244">
        <v>557.26715087890625</v>
      </c>
      <c r="CC402" s="244">
        <v>19.91282844543457</v>
      </c>
      <c r="CD402" s="228">
        <v>27.985334470762322</v>
      </c>
      <c r="CE402" s="244">
        <v>-160.57762145996094</v>
      </c>
      <c r="CF402" s="244">
        <v>1.4985499093332546</v>
      </c>
      <c r="CG402" s="244">
        <v>0</v>
      </c>
      <c r="CH402" s="244">
        <v>1.4985499093332546</v>
      </c>
      <c r="CI402" s="244">
        <v>7.348053407012145E-2</v>
      </c>
      <c r="CJ402" s="244">
        <v>0</v>
      </c>
      <c r="CK402" s="244">
        <v>7.348053407012145E-2</v>
      </c>
      <c r="CL402" s="244"/>
      <c r="CM402" s="244">
        <v>0</v>
      </c>
      <c r="CN402" s="244" t="s">
        <v>442</v>
      </c>
      <c r="CO402" s="244">
        <v>0</v>
      </c>
      <c r="CP402" s="244">
        <v>0</v>
      </c>
      <c r="CQ402" s="244">
        <v>0</v>
      </c>
      <c r="CR402" s="244">
        <v>0</v>
      </c>
      <c r="CS402" s="244">
        <v>0</v>
      </c>
      <c r="CT402" s="244">
        <v>0</v>
      </c>
      <c r="CU402" s="244">
        <v>0</v>
      </c>
      <c r="CV402" s="244">
        <v>9999</v>
      </c>
      <c r="CW402" s="228">
        <v>9999</v>
      </c>
    </row>
    <row r="403" spans="1:101">
      <c r="A403" s="221" t="s">
        <v>485</v>
      </c>
      <c r="B403" s="221" t="s">
        <v>440</v>
      </c>
      <c r="C403" s="244">
        <v>10</v>
      </c>
      <c r="D403" s="244">
        <v>0</v>
      </c>
      <c r="E403" s="244">
        <v>8.1211948434415095</v>
      </c>
      <c r="F403" s="244">
        <v>11.336666666666666</v>
      </c>
      <c r="G403" s="244">
        <v>0</v>
      </c>
      <c r="H403" s="244">
        <v>0</v>
      </c>
      <c r="I403" s="244" t="s">
        <v>441</v>
      </c>
      <c r="J403" s="244">
        <v>0</v>
      </c>
      <c r="K403" s="244">
        <v>0</v>
      </c>
      <c r="L403" s="244">
        <v>0</v>
      </c>
      <c r="M403" s="244">
        <v>0</v>
      </c>
      <c r="N403" s="244">
        <v>0</v>
      </c>
      <c r="O403" s="244">
        <v>8.2024067918759194</v>
      </c>
      <c r="P403" s="244">
        <v>2.4891111999750137E-2</v>
      </c>
      <c r="Q403" s="244">
        <v>7.852085679769516E-2</v>
      </c>
      <c r="R403" s="244">
        <v>1.1271885633468628</v>
      </c>
      <c r="S403" s="244">
        <v>6.2292284965515137</v>
      </c>
      <c r="T403" s="244">
        <v>0</v>
      </c>
      <c r="U403" s="244">
        <v>12.556410789489746</v>
      </c>
      <c r="V403" s="244" t="s">
        <v>226</v>
      </c>
      <c r="W403" s="244" t="s">
        <v>226</v>
      </c>
      <c r="X403" s="244" t="s">
        <v>226</v>
      </c>
      <c r="Y403" s="244" t="s">
        <v>226</v>
      </c>
      <c r="Z403" s="244">
        <v>0</v>
      </c>
      <c r="AA403" s="244">
        <v>0</v>
      </c>
      <c r="AB403" s="244">
        <v>0</v>
      </c>
      <c r="AC403" s="244">
        <v>0</v>
      </c>
      <c r="AD403" s="244">
        <v>0</v>
      </c>
      <c r="AE403" s="244">
        <v>0</v>
      </c>
      <c r="AF403" s="244">
        <v>0</v>
      </c>
      <c r="AG403" s="244">
        <v>0</v>
      </c>
      <c r="AH403" s="244">
        <v>1.1271885633468628</v>
      </c>
      <c r="AI403" s="244">
        <v>6.2292284965515137</v>
      </c>
      <c r="AJ403" s="244">
        <v>0</v>
      </c>
      <c r="AK403" s="244">
        <v>12.556410789489746</v>
      </c>
      <c r="AL403" s="244">
        <v>19.912827849388123</v>
      </c>
      <c r="AM403" s="244">
        <v>0</v>
      </c>
      <c r="AN403" s="244">
        <v>0</v>
      </c>
      <c r="AO403" s="244">
        <v>0</v>
      </c>
      <c r="AP403" s="244">
        <v>0</v>
      </c>
      <c r="AQ403" s="244">
        <v>0</v>
      </c>
      <c r="AR403" s="244">
        <v>1.1271885633468628</v>
      </c>
      <c r="AS403" s="255">
        <v>0</v>
      </c>
      <c r="AT403" s="244">
        <v>0</v>
      </c>
      <c r="AU403" s="244">
        <v>0</v>
      </c>
      <c r="AV403" s="244">
        <v>0</v>
      </c>
      <c r="AW403" s="244">
        <v>0</v>
      </c>
      <c r="AX403" s="244">
        <v>0</v>
      </c>
      <c r="AY403" s="244">
        <v>6.2292284965515137</v>
      </c>
      <c r="AZ403" s="255">
        <v>0</v>
      </c>
      <c r="BA403" s="244">
        <v>0</v>
      </c>
      <c r="BB403" s="244">
        <v>0</v>
      </c>
      <c r="BC403" s="244">
        <v>0</v>
      </c>
      <c r="BD403" s="244">
        <v>0</v>
      </c>
      <c r="BE403" s="244">
        <v>0</v>
      </c>
      <c r="BF403" s="244">
        <v>7.356417179107666</v>
      </c>
      <c r="BG403" s="244">
        <v>9999</v>
      </c>
      <c r="BH403" s="255">
        <v>0</v>
      </c>
      <c r="BI403" s="244">
        <v>9999</v>
      </c>
      <c r="BJ403" s="244">
        <v>9999</v>
      </c>
      <c r="BK403" s="244">
        <v>9999</v>
      </c>
      <c r="BL403" s="244">
        <v>9999</v>
      </c>
      <c r="BM403" s="244">
        <v>9999</v>
      </c>
      <c r="BN403" s="244">
        <v>0</v>
      </c>
      <c r="BO403" s="244">
        <v>67.800029478519434</v>
      </c>
      <c r="BP403" s="244">
        <v>0</v>
      </c>
      <c r="BQ403" s="244">
        <v>0</v>
      </c>
      <c r="BR403" s="244">
        <v>0</v>
      </c>
      <c r="BS403" s="244">
        <v>0</v>
      </c>
      <c r="BT403" s="244">
        <v>0</v>
      </c>
      <c r="BU403" s="244">
        <v>0</v>
      </c>
      <c r="BV403" s="244">
        <v>261.2603759765625</v>
      </c>
      <c r="BW403" s="244">
        <v>0</v>
      </c>
      <c r="BX403" s="244">
        <v>19.91282844543457</v>
      </c>
      <c r="BY403" s="244"/>
      <c r="BZ403" s="244">
        <v>0</v>
      </c>
      <c r="CA403" s="244">
        <v>0</v>
      </c>
      <c r="CB403" s="244">
        <v>329.06039428710937</v>
      </c>
      <c r="CC403" s="244">
        <v>19.91282844543457</v>
      </c>
      <c r="CD403" s="228">
        <v>16.52504597007794</v>
      </c>
      <c r="CE403" s="244">
        <v>9999</v>
      </c>
      <c r="CF403" s="244">
        <v>0</v>
      </c>
      <c r="CG403" s="244">
        <v>0.76774527571958473</v>
      </c>
      <c r="CH403" s="244">
        <v>0.76774527571958473</v>
      </c>
      <c r="CI403" s="244">
        <v>0</v>
      </c>
      <c r="CJ403" s="244">
        <v>4.7984079732474115E-2</v>
      </c>
      <c r="CK403" s="244">
        <v>4.7984079732474115E-2</v>
      </c>
      <c r="CL403" s="244"/>
      <c r="CM403" s="244">
        <v>8.1211948434415095</v>
      </c>
      <c r="CN403" s="244" t="s">
        <v>442</v>
      </c>
      <c r="CO403" s="244">
        <v>0.28600001335144043</v>
      </c>
      <c r="CP403" s="244">
        <v>0.31700000166893005</v>
      </c>
      <c r="CQ403" s="244">
        <v>67.800029478519434</v>
      </c>
      <c r="CR403" s="244">
        <v>0</v>
      </c>
      <c r="CS403" s="244">
        <v>0</v>
      </c>
      <c r="CT403" s="244">
        <v>67.800025939941406</v>
      </c>
      <c r="CU403" s="244">
        <v>0</v>
      </c>
      <c r="CV403" s="244">
        <v>0</v>
      </c>
      <c r="CW403" s="228">
        <v>9999</v>
      </c>
    </row>
    <row r="404" spans="1:101">
      <c r="A404" s="221" t="s">
        <v>486</v>
      </c>
      <c r="B404" s="221" t="s">
        <v>440</v>
      </c>
      <c r="C404" s="244">
        <v>10</v>
      </c>
      <c r="D404" s="244">
        <v>53.630029687370083</v>
      </c>
      <c r="E404" s="244">
        <v>5.7295029620479854</v>
      </c>
      <c r="F404" s="244">
        <v>11.336666666666666</v>
      </c>
      <c r="G404" s="244">
        <v>0</v>
      </c>
      <c r="H404" s="244">
        <v>0</v>
      </c>
      <c r="I404" s="244" t="s">
        <v>441</v>
      </c>
      <c r="J404" s="244">
        <v>0.28600001335144043</v>
      </c>
      <c r="K404" s="244">
        <v>0.31700000166893005</v>
      </c>
      <c r="L404" s="244">
        <v>58.48214245547161</v>
      </c>
      <c r="M404" s="244">
        <v>7.3996703140437603E-3</v>
      </c>
      <c r="N404" s="244">
        <v>2.3342808708548546E-2</v>
      </c>
      <c r="O404" s="244">
        <v>5.786797991668462</v>
      </c>
      <c r="P404" s="244">
        <v>1.7560679465532303E-2</v>
      </c>
      <c r="Q404" s="244">
        <v>5.5396463721990585E-2</v>
      </c>
      <c r="R404" s="244">
        <v>1.1271885633468628</v>
      </c>
      <c r="S404" s="244">
        <v>6.2292284965515137</v>
      </c>
      <c r="T404" s="244">
        <v>0</v>
      </c>
      <c r="U404" s="244">
        <v>12.556410789489746</v>
      </c>
      <c r="V404" s="244" t="s">
        <v>226</v>
      </c>
      <c r="W404" s="244" t="s">
        <v>226</v>
      </c>
      <c r="X404" s="244" t="s">
        <v>226</v>
      </c>
      <c r="Y404" s="244" t="s">
        <v>226</v>
      </c>
      <c r="Z404" s="244">
        <v>0</v>
      </c>
      <c r="AA404" s="244">
        <v>0</v>
      </c>
      <c r="AB404" s="244">
        <v>0</v>
      </c>
      <c r="AC404" s="244">
        <v>0</v>
      </c>
      <c r="AD404" s="244">
        <v>0</v>
      </c>
      <c r="AE404" s="244">
        <v>0</v>
      </c>
      <c r="AF404" s="244">
        <v>0</v>
      </c>
      <c r="AG404" s="244">
        <v>0</v>
      </c>
      <c r="AH404" s="244">
        <v>1.1271885633468628</v>
      </c>
      <c r="AI404" s="244">
        <v>6.2292284965515137</v>
      </c>
      <c r="AJ404" s="244">
        <v>0</v>
      </c>
      <c r="AK404" s="244">
        <v>12.556410789489746</v>
      </c>
      <c r="AL404" s="244">
        <v>19.912827849388123</v>
      </c>
      <c r="AM404" s="244">
        <v>41.219185338847318</v>
      </c>
      <c r="AN404" s="244">
        <v>0</v>
      </c>
      <c r="AO404" s="244">
        <v>7.2558317184448242</v>
      </c>
      <c r="AP404" s="244">
        <v>31.339130401611328</v>
      </c>
      <c r="AQ404" s="244">
        <v>79.81414794921875</v>
      </c>
      <c r="AR404" s="244">
        <v>1.1271885633468628</v>
      </c>
      <c r="AS404" s="228">
        <v>70.808159392531707</v>
      </c>
      <c r="AT404" s="244">
        <v>41.219185338847318</v>
      </c>
      <c r="AU404" s="244">
        <v>6.6907715797424316</v>
      </c>
      <c r="AV404" s="244">
        <v>7.9249086380004883</v>
      </c>
      <c r="AW404" s="244">
        <v>31.339130401611328</v>
      </c>
      <c r="AX404" s="244">
        <v>87.173995971679688</v>
      </c>
      <c r="AY404" s="244">
        <v>6.2292284965515137</v>
      </c>
      <c r="AZ404" s="228">
        <v>13.994348739408242</v>
      </c>
      <c r="BA404" s="244">
        <v>41.219185338847318</v>
      </c>
      <c r="BB404" s="244">
        <v>6.6907715797424316</v>
      </c>
      <c r="BC404" s="244">
        <v>7.9249086380004883</v>
      </c>
      <c r="BD404" s="244">
        <v>31.339130401611328</v>
      </c>
      <c r="BE404" s="244">
        <v>87.173995971679688</v>
      </c>
      <c r="BF404" s="244">
        <v>7.356417179107666</v>
      </c>
      <c r="BG404" s="244">
        <v>-52.960353851318359</v>
      </c>
      <c r="BH404" s="228">
        <v>11.850061687422302</v>
      </c>
      <c r="BI404" s="244">
        <v>1.5466008186340332</v>
      </c>
      <c r="BJ404" s="244">
        <v>8.5470428466796875</v>
      </c>
      <c r="BK404" s="244">
        <v>0</v>
      </c>
      <c r="BL404" s="244">
        <v>17.228488922119141</v>
      </c>
      <c r="BM404" s="244">
        <v>27.322132110595703</v>
      </c>
      <c r="BN404" s="244">
        <v>41.219185338847318</v>
      </c>
      <c r="BO404" s="244">
        <v>47.832920797095348</v>
      </c>
      <c r="BP404" s="244">
        <v>6.6907715797424316</v>
      </c>
      <c r="BQ404" s="244">
        <v>0</v>
      </c>
      <c r="BR404" s="244">
        <v>0</v>
      </c>
      <c r="BS404" s="244">
        <v>0</v>
      </c>
      <c r="BT404" s="244">
        <v>31.339130401611328</v>
      </c>
      <c r="BU404" s="244">
        <v>0</v>
      </c>
      <c r="BV404" s="244">
        <v>261.2603759765625</v>
      </c>
      <c r="BW404" s="244">
        <v>7.9249086380004883</v>
      </c>
      <c r="BX404" s="244">
        <v>19.91282844543457</v>
      </c>
      <c r="BY404" s="244"/>
      <c r="BZ404" s="244">
        <v>0</v>
      </c>
      <c r="CA404" s="244">
        <v>0</v>
      </c>
      <c r="CB404" s="244">
        <v>396.26730346679687</v>
      </c>
      <c r="CC404" s="244">
        <v>19.91282844543457</v>
      </c>
      <c r="CD404" s="228">
        <v>19.900100772610831</v>
      </c>
      <c r="CE404" s="244">
        <v>-459.83474731445312</v>
      </c>
      <c r="CF404" s="244">
        <v>0.44132294829864499</v>
      </c>
      <c r="CG404" s="244">
        <v>0.54164429202016673</v>
      </c>
      <c r="CH404" s="244">
        <v>0.98296724031881166</v>
      </c>
      <c r="CI404" s="244">
        <v>2.1640017283650757E-2</v>
      </c>
      <c r="CJ404" s="244">
        <v>3.3852768251260497E-2</v>
      </c>
      <c r="CK404" s="244">
        <v>5.5492785534911257E-2</v>
      </c>
      <c r="CL404" s="244"/>
      <c r="CM404" s="244">
        <v>5.7295029620479854</v>
      </c>
      <c r="CN404" s="244" t="s">
        <v>442</v>
      </c>
      <c r="CO404" s="244">
        <v>0.28600001335144043</v>
      </c>
      <c r="CP404" s="244">
        <v>0.31700000166893005</v>
      </c>
      <c r="CQ404" s="244">
        <v>47.832920797095348</v>
      </c>
      <c r="CR404" s="244">
        <v>0</v>
      </c>
      <c r="CS404" s="244">
        <v>0</v>
      </c>
      <c r="CT404" s="244">
        <v>47.832920074462891</v>
      </c>
      <c r="CU404" s="244">
        <v>0</v>
      </c>
      <c r="CV404" s="244">
        <v>0</v>
      </c>
      <c r="CW404" s="228">
        <v>9999</v>
      </c>
    </row>
    <row r="405" spans="1:101">
      <c r="A405" s="221" t="s">
        <v>487</v>
      </c>
      <c r="B405" s="221" t="s">
        <v>440</v>
      </c>
      <c r="C405" s="244">
        <v>10</v>
      </c>
      <c r="D405" s="244">
        <v>68.805483586999017</v>
      </c>
      <c r="E405" s="244">
        <v>0</v>
      </c>
      <c r="F405" s="244">
        <v>8.1096944444444432</v>
      </c>
      <c r="G405" s="244">
        <v>0</v>
      </c>
      <c r="H405" s="244">
        <v>0</v>
      </c>
      <c r="I405" s="244" t="s">
        <v>441</v>
      </c>
      <c r="J405" s="244">
        <v>0.28600001335144043</v>
      </c>
      <c r="K405" s="244">
        <v>0.31700000166893005</v>
      </c>
      <c r="L405" s="244">
        <v>75.030577389371061</v>
      </c>
      <c r="M405" s="244">
        <v>9.4935223460197449E-3</v>
      </c>
      <c r="N405" s="244">
        <v>2.9948020353913307E-2</v>
      </c>
      <c r="O405" s="244">
        <v>0</v>
      </c>
      <c r="P405" s="244">
        <v>0</v>
      </c>
      <c r="Q405" s="244">
        <v>0</v>
      </c>
      <c r="R405" s="244">
        <v>0.80633538961410522</v>
      </c>
      <c r="S405" s="244">
        <v>4.4560842514038086</v>
      </c>
      <c r="T405" s="244">
        <v>0</v>
      </c>
      <c r="U405" s="244">
        <v>8.9822397232055664</v>
      </c>
      <c r="V405" s="244" t="s">
        <v>226</v>
      </c>
      <c r="W405" s="244" t="s">
        <v>226</v>
      </c>
      <c r="X405" s="244" t="s">
        <v>226</v>
      </c>
      <c r="Y405" s="244" t="s">
        <v>226</v>
      </c>
      <c r="Z405" s="244">
        <v>0</v>
      </c>
      <c r="AA405" s="244">
        <v>0</v>
      </c>
      <c r="AB405" s="244">
        <v>0</v>
      </c>
      <c r="AC405" s="244">
        <v>0</v>
      </c>
      <c r="AD405" s="244">
        <v>0</v>
      </c>
      <c r="AE405" s="244">
        <v>0</v>
      </c>
      <c r="AF405" s="244">
        <v>0</v>
      </c>
      <c r="AG405" s="244">
        <v>0</v>
      </c>
      <c r="AH405" s="244">
        <v>0.80633538961410522</v>
      </c>
      <c r="AI405" s="244">
        <v>4.4560842514038086</v>
      </c>
      <c r="AJ405" s="244">
        <v>0</v>
      </c>
      <c r="AK405" s="244">
        <v>8.9822397232055664</v>
      </c>
      <c r="AL405" s="244">
        <v>14.24465936422348</v>
      </c>
      <c r="AM405" s="244">
        <v>52.882797135005625</v>
      </c>
      <c r="AN405" s="244">
        <v>0</v>
      </c>
      <c r="AO405" s="244">
        <v>9.3089828491210937</v>
      </c>
      <c r="AP405" s="244">
        <v>40.20703125</v>
      </c>
      <c r="AQ405" s="244">
        <v>102.39881134033203</v>
      </c>
      <c r="AR405" s="244">
        <v>0.80633538961410522</v>
      </c>
      <c r="AS405" s="228">
        <v>126.99282774024417</v>
      </c>
      <c r="AT405" s="244">
        <v>52.882797135005625</v>
      </c>
      <c r="AU405" s="244">
        <v>8.5840291976928711</v>
      </c>
      <c r="AV405" s="244">
        <v>10.167386054992676</v>
      </c>
      <c r="AW405" s="244">
        <v>40.20703125</v>
      </c>
      <c r="AX405" s="244">
        <v>111.84123992919922</v>
      </c>
      <c r="AY405" s="244">
        <v>4.4560842514038086</v>
      </c>
      <c r="AZ405" s="228">
        <v>25.098547811895077</v>
      </c>
      <c r="BA405" s="244">
        <v>52.882797135005625</v>
      </c>
      <c r="BB405" s="244">
        <v>8.5840291976928711</v>
      </c>
      <c r="BC405" s="244">
        <v>10.167386054992676</v>
      </c>
      <c r="BD405" s="244">
        <v>40.20703125</v>
      </c>
      <c r="BE405" s="244">
        <v>111.84123992919922</v>
      </c>
      <c r="BF405" s="244">
        <v>5.2624197006225586</v>
      </c>
      <c r="BG405" s="244">
        <v>-57.426029205322266</v>
      </c>
      <c r="BH405" s="228">
        <v>21.252817385741142</v>
      </c>
      <c r="BI405" s="244">
        <v>0.86234754323959351</v>
      </c>
      <c r="BJ405" s="244">
        <v>4.7656269073486328</v>
      </c>
      <c r="BK405" s="244">
        <v>0</v>
      </c>
      <c r="BL405" s="244">
        <v>9.6061916351318359</v>
      </c>
      <c r="BM405" s="244">
        <v>15.234166145324707</v>
      </c>
      <c r="BN405" s="244">
        <v>52.882797135005625</v>
      </c>
      <c r="BO405" s="244">
        <v>0</v>
      </c>
      <c r="BP405" s="244">
        <v>8.5840291976928711</v>
      </c>
      <c r="BQ405" s="244">
        <v>0</v>
      </c>
      <c r="BR405" s="244">
        <v>0</v>
      </c>
      <c r="BS405" s="244">
        <v>0</v>
      </c>
      <c r="BT405" s="244">
        <v>40.20703125</v>
      </c>
      <c r="BU405" s="244">
        <v>0</v>
      </c>
      <c r="BV405" s="244">
        <v>99.52777099609375</v>
      </c>
      <c r="BW405" s="244">
        <v>10.167386054992676</v>
      </c>
      <c r="BX405" s="244">
        <v>14.244659423828125</v>
      </c>
      <c r="BY405" s="244"/>
      <c r="BZ405" s="244">
        <v>0</v>
      </c>
      <c r="CA405" s="244">
        <v>0</v>
      </c>
      <c r="CB405" s="244">
        <v>211.3690185546875</v>
      </c>
      <c r="CC405" s="244">
        <v>14.244659423828125</v>
      </c>
      <c r="CD405" s="228">
        <v>14.83847443064956</v>
      </c>
      <c r="CE405" s="244">
        <v>-154.26132202148437</v>
      </c>
      <c r="CF405" s="244">
        <v>0.56620216421173353</v>
      </c>
      <c r="CG405" s="244">
        <v>0</v>
      </c>
      <c r="CH405" s="244">
        <v>0.56620216421173353</v>
      </c>
      <c r="CI405" s="244">
        <v>2.7763397908080162E-2</v>
      </c>
      <c r="CJ405" s="244">
        <v>0</v>
      </c>
      <c r="CK405" s="244">
        <v>2.7763397908080162E-2</v>
      </c>
      <c r="CL405" s="244"/>
      <c r="CM405" s="244">
        <v>0</v>
      </c>
      <c r="CN405" s="244" t="s">
        <v>442</v>
      </c>
      <c r="CO405" s="244">
        <v>0</v>
      </c>
      <c r="CP405" s="244">
        <v>0</v>
      </c>
      <c r="CQ405" s="244">
        <v>0</v>
      </c>
      <c r="CR405" s="244">
        <v>0</v>
      </c>
      <c r="CS405" s="244">
        <v>0</v>
      </c>
      <c r="CT405" s="244">
        <v>0</v>
      </c>
      <c r="CU405" s="244">
        <v>0</v>
      </c>
      <c r="CV405" s="244">
        <v>9999</v>
      </c>
      <c r="CW405" s="228">
        <v>9999</v>
      </c>
    </row>
    <row r="406" spans="1:101">
      <c r="A406" s="221" t="s">
        <v>488</v>
      </c>
      <c r="B406" s="221" t="s">
        <v>440</v>
      </c>
      <c r="C406" s="244">
        <v>10</v>
      </c>
      <c r="D406" s="244">
        <v>0</v>
      </c>
      <c r="E406" s="244">
        <v>3.0684584261778864</v>
      </c>
      <c r="F406" s="244">
        <v>8.1096944444444432</v>
      </c>
      <c r="G406" s="244">
        <v>0</v>
      </c>
      <c r="H406" s="244">
        <v>0</v>
      </c>
      <c r="I406" s="244" t="s">
        <v>441</v>
      </c>
      <c r="J406" s="244">
        <v>0</v>
      </c>
      <c r="K406" s="244">
        <v>0</v>
      </c>
      <c r="L406" s="244">
        <v>0</v>
      </c>
      <c r="M406" s="244">
        <v>0</v>
      </c>
      <c r="N406" s="244">
        <v>0</v>
      </c>
      <c r="O406" s="244">
        <v>3.0991430104396653</v>
      </c>
      <c r="P406" s="244">
        <v>9.4046927988529205E-3</v>
      </c>
      <c r="Q406" s="244">
        <v>2.9667800292372704E-2</v>
      </c>
      <c r="R406" s="244">
        <v>0.80633538961410522</v>
      </c>
      <c r="S406" s="244">
        <v>4.4560842514038086</v>
      </c>
      <c r="T406" s="244">
        <v>0</v>
      </c>
      <c r="U406" s="244">
        <v>8.9822397232055664</v>
      </c>
      <c r="V406" s="244" t="s">
        <v>226</v>
      </c>
      <c r="W406" s="244" t="s">
        <v>226</v>
      </c>
      <c r="X406" s="244" t="s">
        <v>226</v>
      </c>
      <c r="Y406" s="244" t="s">
        <v>226</v>
      </c>
      <c r="Z406" s="244">
        <v>0</v>
      </c>
      <c r="AA406" s="244">
        <v>0</v>
      </c>
      <c r="AB406" s="244">
        <v>0</v>
      </c>
      <c r="AC406" s="244">
        <v>0</v>
      </c>
      <c r="AD406" s="244">
        <v>0</v>
      </c>
      <c r="AE406" s="244">
        <v>0</v>
      </c>
      <c r="AF406" s="244">
        <v>0</v>
      </c>
      <c r="AG406" s="244">
        <v>0</v>
      </c>
      <c r="AH406" s="244">
        <v>0.80633538961410522</v>
      </c>
      <c r="AI406" s="244">
        <v>4.4560842514038086</v>
      </c>
      <c r="AJ406" s="244">
        <v>0</v>
      </c>
      <c r="AK406" s="244">
        <v>8.9822397232055664</v>
      </c>
      <c r="AL406" s="244">
        <v>14.24465936422348</v>
      </c>
      <c r="AM406" s="244">
        <v>0</v>
      </c>
      <c r="AN406" s="244">
        <v>0</v>
      </c>
      <c r="AO406" s="244">
        <v>0</v>
      </c>
      <c r="AP406" s="244">
        <v>0</v>
      </c>
      <c r="AQ406" s="244">
        <v>0</v>
      </c>
      <c r="AR406" s="244">
        <v>0.80633538961410522</v>
      </c>
      <c r="AS406" s="255">
        <v>0</v>
      </c>
      <c r="AT406" s="244">
        <v>0</v>
      </c>
      <c r="AU406" s="244">
        <v>0</v>
      </c>
      <c r="AV406" s="244">
        <v>0</v>
      </c>
      <c r="AW406" s="244">
        <v>0</v>
      </c>
      <c r="AX406" s="244">
        <v>0</v>
      </c>
      <c r="AY406" s="244">
        <v>4.4560842514038086</v>
      </c>
      <c r="AZ406" s="255">
        <v>0</v>
      </c>
      <c r="BA406" s="244">
        <v>0</v>
      </c>
      <c r="BB406" s="244">
        <v>0</v>
      </c>
      <c r="BC406" s="244">
        <v>0</v>
      </c>
      <c r="BD406" s="244">
        <v>0</v>
      </c>
      <c r="BE406" s="244">
        <v>0</v>
      </c>
      <c r="BF406" s="244">
        <v>5.2624197006225586</v>
      </c>
      <c r="BG406" s="244">
        <v>9999</v>
      </c>
      <c r="BH406" s="255">
        <v>0</v>
      </c>
      <c r="BI406" s="244">
        <v>9999</v>
      </c>
      <c r="BJ406" s="244">
        <v>9999</v>
      </c>
      <c r="BK406" s="244">
        <v>9999</v>
      </c>
      <c r="BL406" s="244">
        <v>9999</v>
      </c>
      <c r="BM406" s="244">
        <v>9999</v>
      </c>
      <c r="BN406" s="244">
        <v>0</v>
      </c>
      <c r="BO406" s="244">
        <v>25.617113707902398</v>
      </c>
      <c r="BP406" s="244">
        <v>0</v>
      </c>
      <c r="BQ406" s="244">
        <v>0</v>
      </c>
      <c r="BR406" s="244">
        <v>0</v>
      </c>
      <c r="BS406" s="244">
        <v>0</v>
      </c>
      <c r="BT406" s="244">
        <v>0</v>
      </c>
      <c r="BU406" s="244">
        <v>0</v>
      </c>
      <c r="BV406" s="244">
        <v>99.52777099609375</v>
      </c>
      <c r="BW406" s="244">
        <v>0</v>
      </c>
      <c r="BX406" s="244">
        <v>14.244659423828125</v>
      </c>
      <c r="BY406" s="244"/>
      <c r="BZ406" s="244">
        <v>0</v>
      </c>
      <c r="CA406" s="244">
        <v>0</v>
      </c>
      <c r="CB406" s="244">
        <v>125.14488220214844</v>
      </c>
      <c r="CC406" s="244">
        <v>14.244659423828125</v>
      </c>
      <c r="CD406" s="228">
        <v>8.7853897366374927</v>
      </c>
      <c r="CE406" s="244">
        <v>9999</v>
      </c>
      <c r="CF406" s="244">
        <v>0</v>
      </c>
      <c r="CG406" s="244">
        <v>0.29007978577714871</v>
      </c>
      <c r="CH406" s="244">
        <v>0.29007978577714871</v>
      </c>
      <c r="CI406" s="244">
        <v>0</v>
      </c>
      <c r="CJ406" s="244">
        <v>1.8129986611072041E-2</v>
      </c>
      <c r="CK406" s="244">
        <v>1.8129986611072041E-2</v>
      </c>
      <c r="CL406" s="244"/>
      <c r="CM406" s="244">
        <v>3.0684584261778864</v>
      </c>
      <c r="CN406" s="244" t="s">
        <v>442</v>
      </c>
      <c r="CO406" s="244">
        <v>0.28600001335144043</v>
      </c>
      <c r="CP406" s="244">
        <v>0.31700000166893005</v>
      </c>
      <c r="CQ406" s="244">
        <v>25.617113707902398</v>
      </c>
      <c r="CR406" s="244">
        <v>0</v>
      </c>
      <c r="CS406" s="244">
        <v>0</v>
      </c>
      <c r="CT406" s="244">
        <v>25.61711311340332</v>
      </c>
      <c r="CU406" s="244">
        <v>0</v>
      </c>
      <c r="CV406" s="244">
        <v>0</v>
      </c>
      <c r="CW406" s="228">
        <v>9999</v>
      </c>
    </row>
    <row r="407" spans="1:101">
      <c r="A407" s="221" t="s">
        <v>489</v>
      </c>
      <c r="B407" s="221" t="s">
        <v>440</v>
      </c>
      <c r="C407" s="244">
        <v>10</v>
      </c>
      <c r="D407" s="244">
        <v>20.263214916371211</v>
      </c>
      <c r="E407" s="244">
        <v>2.1647974196684991</v>
      </c>
      <c r="F407" s="244">
        <v>8.1096944444444432</v>
      </c>
      <c r="G407" s="244">
        <v>0</v>
      </c>
      <c r="H407" s="244">
        <v>0</v>
      </c>
      <c r="I407" s="244" t="s">
        <v>441</v>
      </c>
      <c r="J407" s="244">
        <v>0.28600001335144043</v>
      </c>
      <c r="K407" s="244">
        <v>0.31700000166893005</v>
      </c>
      <c r="L407" s="244">
        <v>22.096505041169785</v>
      </c>
      <c r="M407" s="244">
        <v>2.7958422433584929E-3</v>
      </c>
      <c r="N407" s="244">
        <v>8.8196918368339539E-3</v>
      </c>
      <c r="O407" s="244">
        <v>2.1864453938651844</v>
      </c>
      <c r="P407" s="244">
        <v>6.6350107081234455E-3</v>
      </c>
      <c r="Q407" s="244">
        <v>2.0930632948875427E-2</v>
      </c>
      <c r="R407" s="244">
        <v>0.80633538961410522</v>
      </c>
      <c r="S407" s="244">
        <v>4.4560842514038086</v>
      </c>
      <c r="T407" s="244">
        <v>0</v>
      </c>
      <c r="U407" s="244">
        <v>8.9822397232055664</v>
      </c>
      <c r="V407" s="244" t="s">
        <v>226</v>
      </c>
      <c r="W407" s="244" t="s">
        <v>226</v>
      </c>
      <c r="X407" s="244" t="s">
        <v>226</v>
      </c>
      <c r="Y407" s="244" t="s">
        <v>226</v>
      </c>
      <c r="Z407" s="244">
        <v>0</v>
      </c>
      <c r="AA407" s="244">
        <v>0</v>
      </c>
      <c r="AB407" s="244">
        <v>0</v>
      </c>
      <c r="AC407" s="244">
        <v>0</v>
      </c>
      <c r="AD407" s="244">
        <v>0</v>
      </c>
      <c r="AE407" s="244">
        <v>0</v>
      </c>
      <c r="AF407" s="244">
        <v>0</v>
      </c>
      <c r="AG407" s="244">
        <v>0</v>
      </c>
      <c r="AH407" s="244">
        <v>0.80633538961410522</v>
      </c>
      <c r="AI407" s="244">
        <v>4.4560842514038086</v>
      </c>
      <c r="AJ407" s="244">
        <v>0</v>
      </c>
      <c r="AK407" s="244">
        <v>8.9822397232055664</v>
      </c>
      <c r="AL407" s="244">
        <v>14.24465936422348</v>
      </c>
      <c r="AM407" s="244">
        <v>15.573983756259183</v>
      </c>
      <c r="AN407" s="244">
        <v>0</v>
      </c>
      <c r="AO407" s="244">
        <v>2.7414956092834473</v>
      </c>
      <c r="AP407" s="244">
        <v>11.840971946716309</v>
      </c>
      <c r="AQ407" s="244">
        <v>30.156452178955078</v>
      </c>
      <c r="AR407" s="244">
        <v>0.80633538961410522</v>
      </c>
      <c r="AS407" s="228">
        <v>37.399389510475494</v>
      </c>
      <c r="AT407" s="244">
        <v>15.573983756259183</v>
      </c>
      <c r="AU407" s="244">
        <v>2.5279965400695801</v>
      </c>
      <c r="AV407" s="244">
        <v>2.9942953586578369</v>
      </c>
      <c r="AW407" s="244">
        <v>11.840971946716309</v>
      </c>
      <c r="AX407" s="244">
        <v>32.937248229980469</v>
      </c>
      <c r="AY407" s="244">
        <v>4.4560842514038086</v>
      </c>
      <c r="AZ407" s="228">
        <v>7.3915226336500766</v>
      </c>
      <c r="BA407" s="244">
        <v>15.573983756259183</v>
      </c>
      <c r="BB407" s="244">
        <v>2.5279965400695801</v>
      </c>
      <c r="BC407" s="244">
        <v>2.9942953586578369</v>
      </c>
      <c r="BD407" s="244">
        <v>11.840971946716309</v>
      </c>
      <c r="BE407" s="244">
        <v>32.937248229980469</v>
      </c>
      <c r="BF407" s="244">
        <v>5.2624197006225586</v>
      </c>
      <c r="BG407" s="244">
        <v>-43.943737030029297</v>
      </c>
      <c r="BH407" s="228">
        <v>6.2589549767133033</v>
      </c>
      <c r="BI407" s="244">
        <v>2.9281752109527588</v>
      </c>
      <c r="BJ407" s="244">
        <v>16.182094573974609</v>
      </c>
      <c r="BK407" s="244">
        <v>0</v>
      </c>
      <c r="BL407" s="244">
        <v>32.618648529052734</v>
      </c>
      <c r="BM407" s="244">
        <v>51.728916168212891</v>
      </c>
      <c r="BN407" s="244">
        <v>15.573983756259183</v>
      </c>
      <c r="BO407" s="244">
        <v>18.072873720925156</v>
      </c>
      <c r="BP407" s="244">
        <v>2.5279965400695801</v>
      </c>
      <c r="BQ407" s="244">
        <v>0</v>
      </c>
      <c r="BR407" s="244">
        <v>0</v>
      </c>
      <c r="BS407" s="244">
        <v>0</v>
      </c>
      <c r="BT407" s="244">
        <v>11.840971946716309</v>
      </c>
      <c r="BU407" s="244">
        <v>0</v>
      </c>
      <c r="BV407" s="244">
        <v>99.52777099609375</v>
      </c>
      <c r="BW407" s="244">
        <v>2.9942953586578369</v>
      </c>
      <c r="BX407" s="244">
        <v>14.244659423828125</v>
      </c>
      <c r="BY407" s="244"/>
      <c r="BZ407" s="244">
        <v>0</v>
      </c>
      <c r="CA407" s="244">
        <v>0</v>
      </c>
      <c r="CB407" s="244">
        <v>150.53788757324219</v>
      </c>
      <c r="CC407" s="244">
        <v>14.244659423828125</v>
      </c>
      <c r="CD407" s="228">
        <v>10.568023273824688</v>
      </c>
      <c r="CE407" s="244">
        <v>-438.38717651367187</v>
      </c>
      <c r="CF407" s="244">
        <v>0.16674653736035547</v>
      </c>
      <c r="CG407" s="244">
        <v>0.20465128886578093</v>
      </c>
      <c r="CH407" s="244">
        <v>0.37139782622613637</v>
      </c>
      <c r="CI407" s="244">
        <v>8.1763206839296117E-3</v>
      </c>
      <c r="CJ407" s="244">
        <v>1.2790705554111331E-2</v>
      </c>
      <c r="CK407" s="244">
        <v>2.0967026238040941E-2</v>
      </c>
      <c r="CL407" s="244"/>
      <c r="CM407" s="244">
        <v>2.1647974196684991</v>
      </c>
      <c r="CN407" s="244" t="s">
        <v>442</v>
      </c>
      <c r="CO407" s="244">
        <v>0.28600001335144043</v>
      </c>
      <c r="CP407" s="244">
        <v>0.31700000166893005</v>
      </c>
      <c r="CQ407" s="244">
        <v>18.072873720925156</v>
      </c>
      <c r="CR407" s="244">
        <v>0</v>
      </c>
      <c r="CS407" s="244">
        <v>0</v>
      </c>
      <c r="CT407" s="244">
        <v>18.072874069213867</v>
      </c>
      <c r="CU407" s="244">
        <v>0</v>
      </c>
      <c r="CV407" s="244">
        <v>0</v>
      </c>
      <c r="CW407" s="228">
        <v>9999</v>
      </c>
    </row>
    <row r="408" spans="1:101">
      <c r="A408" s="221" t="s">
        <v>490</v>
      </c>
      <c r="B408" s="221" t="s">
        <v>440</v>
      </c>
      <c r="C408" s="244">
        <v>10</v>
      </c>
      <c r="D408" s="244">
        <v>73.430250240619458</v>
      </c>
      <c r="E408" s="244">
        <v>0</v>
      </c>
      <c r="F408" s="244">
        <v>8.1096944444444432</v>
      </c>
      <c r="G408" s="244">
        <v>0</v>
      </c>
      <c r="H408" s="244">
        <v>0</v>
      </c>
      <c r="I408" s="244" t="s">
        <v>441</v>
      </c>
      <c r="J408" s="244">
        <v>0.28600001335144043</v>
      </c>
      <c r="K408" s="244">
        <v>0.31700000166893005</v>
      </c>
      <c r="L408" s="244">
        <v>80.073764272484823</v>
      </c>
      <c r="M408" s="244">
        <v>1.013163011521101E-2</v>
      </c>
      <c r="N408" s="244">
        <v>3.1960979104042053E-2</v>
      </c>
      <c r="O408" s="244">
        <v>0</v>
      </c>
      <c r="P408" s="244">
        <v>0</v>
      </c>
      <c r="Q408" s="244">
        <v>0</v>
      </c>
      <c r="R408" s="244">
        <v>0.80633538961410522</v>
      </c>
      <c r="S408" s="244">
        <v>4.4560842514038086</v>
      </c>
      <c r="T408" s="244">
        <v>0</v>
      </c>
      <c r="U408" s="244">
        <v>8.9822397232055664</v>
      </c>
      <c r="V408" s="244" t="s">
        <v>226</v>
      </c>
      <c r="W408" s="244" t="s">
        <v>226</v>
      </c>
      <c r="X408" s="244" t="s">
        <v>226</v>
      </c>
      <c r="Y408" s="244" t="s">
        <v>226</v>
      </c>
      <c r="Z408" s="244">
        <v>0</v>
      </c>
      <c r="AA408" s="244">
        <v>0</v>
      </c>
      <c r="AB408" s="244">
        <v>0</v>
      </c>
      <c r="AC408" s="244">
        <v>0</v>
      </c>
      <c r="AD408" s="244">
        <v>0</v>
      </c>
      <c r="AE408" s="244">
        <v>0</v>
      </c>
      <c r="AF408" s="244">
        <v>0</v>
      </c>
      <c r="AG408" s="244">
        <v>0</v>
      </c>
      <c r="AH408" s="244">
        <v>0.80633538961410522</v>
      </c>
      <c r="AI408" s="244">
        <v>4.4560842514038086</v>
      </c>
      <c r="AJ408" s="244">
        <v>0</v>
      </c>
      <c r="AK408" s="244">
        <v>8.9822397232055664</v>
      </c>
      <c r="AL408" s="244">
        <v>14.24465936422348</v>
      </c>
      <c r="AM408" s="244">
        <v>56.437319013060737</v>
      </c>
      <c r="AN408" s="244">
        <v>0</v>
      </c>
      <c r="AO408" s="244">
        <v>9.9346866607666016</v>
      </c>
      <c r="AP408" s="244">
        <v>42.9095458984375</v>
      </c>
      <c r="AQ408" s="244">
        <v>109.28155517578125</v>
      </c>
      <c r="AR408" s="244">
        <v>0.80633538961410522</v>
      </c>
      <c r="AS408" s="228">
        <v>135.52865591644769</v>
      </c>
      <c r="AT408" s="244">
        <v>56.437319013060737</v>
      </c>
      <c r="AU408" s="244">
        <v>9.1610050201416016</v>
      </c>
      <c r="AV408" s="244">
        <v>10.850787162780762</v>
      </c>
      <c r="AW408" s="244">
        <v>42.9095458984375</v>
      </c>
      <c r="AX408" s="244">
        <v>119.35865783691406</v>
      </c>
      <c r="AY408" s="244">
        <v>4.4560842514038086</v>
      </c>
      <c r="AZ408" s="228">
        <v>26.785547660329541</v>
      </c>
      <c r="BA408" s="244">
        <v>56.437319013060737</v>
      </c>
      <c r="BB408" s="244">
        <v>9.1610050201416016</v>
      </c>
      <c r="BC408" s="244">
        <v>10.850787162780762</v>
      </c>
      <c r="BD408" s="244">
        <v>42.9095458984375</v>
      </c>
      <c r="BE408" s="244">
        <v>119.35865783691406</v>
      </c>
      <c r="BF408" s="244">
        <v>5.2624197006225586</v>
      </c>
      <c r="BG408" s="244">
        <v>-57.780483245849609</v>
      </c>
      <c r="BH408" s="228">
        <v>22.681326316905615</v>
      </c>
      <c r="BI408" s="244">
        <v>0.80803537368774414</v>
      </c>
      <c r="BJ408" s="244">
        <v>4.4654793739318848</v>
      </c>
      <c r="BK408" s="244">
        <v>0</v>
      </c>
      <c r="BL408" s="244">
        <v>9.0011768341064453</v>
      </c>
      <c r="BM408" s="244">
        <v>14.274691581726074</v>
      </c>
      <c r="BN408" s="244">
        <v>56.437319013060737</v>
      </c>
      <c r="BO408" s="244">
        <v>0</v>
      </c>
      <c r="BP408" s="244">
        <v>9.1610050201416016</v>
      </c>
      <c r="BQ408" s="244">
        <v>0</v>
      </c>
      <c r="BR408" s="244">
        <v>0</v>
      </c>
      <c r="BS408" s="244">
        <v>0</v>
      </c>
      <c r="BT408" s="244">
        <v>42.9095458984375</v>
      </c>
      <c r="BU408" s="244">
        <v>0</v>
      </c>
      <c r="BV408" s="244">
        <v>111.96872711181641</v>
      </c>
      <c r="BW408" s="244">
        <v>10.850787162780762</v>
      </c>
      <c r="BX408" s="244">
        <v>14.244659423828125</v>
      </c>
      <c r="BY408" s="244"/>
      <c r="BZ408" s="244">
        <v>0</v>
      </c>
      <c r="CA408" s="244">
        <v>0</v>
      </c>
      <c r="CB408" s="244">
        <v>231.32737731933594</v>
      </c>
      <c r="CC408" s="244">
        <v>14.244659423828125</v>
      </c>
      <c r="CD408" s="228">
        <v>16.23958687417111</v>
      </c>
      <c r="CE408" s="244">
        <v>-160.98410034179687</v>
      </c>
      <c r="CF408" s="244">
        <v>0.60425949266496959</v>
      </c>
      <c r="CG408" s="244">
        <v>0</v>
      </c>
      <c r="CH408" s="244">
        <v>0.60425949266496959</v>
      </c>
      <c r="CI408" s="244">
        <v>2.9629517149494022E-2</v>
      </c>
      <c r="CJ408" s="244">
        <v>0</v>
      </c>
      <c r="CK408" s="244">
        <v>2.9629517149494022E-2</v>
      </c>
      <c r="CL408" s="244"/>
      <c r="CM408" s="244">
        <v>0</v>
      </c>
      <c r="CN408" s="244" t="s">
        <v>442</v>
      </c>
      <c r="CO408" s="244">
        <v>0</v>
      </c>
      <c r="CP408" s="244">
        <v>0</v>
      </c>
      <c r="CQ408" s="244">
        <v>0</v>
      </c>
      <c r="CR408" s="244">
        <v>0</v>
      </c>
      <c r="CS408" s="244">
        <v>0</v>
      </c>
      <c r="CT408" s="244">
        <v>0</v>
      </c>
      <c r="CU408" s="244">
        <v>0</v>
      </c>
      <c r="CV408" s="244">
        <v>9999</v>
      </c>
      <c r="CW408" s="228">
        <v>9999</v>
      </c>
    </row>
    <row r="409" spans="1:101">
      <c r="A409" s="221" t="s">
        <v>491</v>
      </c>
      <c r="B409" s="221" t="s">
        <v>440</v>
      </c>
      <c r="C409" s="244">
        <v>10</v>
      </c>
      <c r="D409" s="244">
        <v>0</v>
      </c>
      <c r="E409" s="244">
        <v>3.2747051301846226</v>
      </c>
      <c r="F409" s="244">
        <v>8.1096944444444432</v>
      </c>
      <c r="G409" s="244">
        <v>0</v>
      </c>
      <c r="H409" s="244">
        <v>0</v>
      </c>
      <c r="I409" s="244" t="s">
        <v>441</v>
      </c>
      <c r="J409" s="244">
        <v>0</v>
      </c>
      <c r="K409" s="244">
        <v>0</v>
      </c>
      <c r="L409" s="244">
        <v>0</v>
      </c>
      <c r="M409" s="244">
        <v>0</v>
      </c>
      <c r="N409" s="244">
        <v>0</v>
      </c>
      <c r="O409" s="244">
        <v>3.307452181486469</v>
      </c>
      <c r="P409" s="244">
        <v>1.0036829859018326E-2</v>
      </c>
      <c r="Q409" s="244">
        <v>3.1661923974752426E-2</v>
      </c>
      <c r="R409" s="244">
        <v>0.80633538961410522</v>
      </c>
      <c r="S409" s="244">
        <v>4.4560842514038086</v>
      </c>
      <c r="T409" s="244">
        <v>0</v>
      </c>
      <c r="U409" s="244">
        <v>8.9822397232055664</v>
      </c>
      <c r="V409" s="244" t="s">
        <v>226</v>
      </c>
      <c r="W409" s="244" t="s">
        <v>226</v>
      </c>
      <c r="X409" s="244" t="s">
        <v>226</v>
      </c>
      <c r="Y409" s="244" t="s">
        <v>226</v>
      </c>
      <c r="Z409" s="244">
        <v>0</v>
      </c>
      <c r="AA409" s="244">
        <v>0</v>
      </c>
      <c r="AB409" s="244">
        <v>0</v>
      </c>
      <c r="AC409" s="244">
        <v>0</v>
      </c>
      <c r="AD409" s="244">
        <v>0</v>
      </c>
      <c r="AE409" s="244">
        <v>0</v>
      </c>
      <c r="AF409" s="244">
        <v>0</v>
      </c>
      <c r="AG409" s="244">
        <v>0</v>
      </c>
      <c r="AH409" s="244">
        <v>0.80633538961410522</v>
      </c>
      <c r="AI409" s="244">
        <v>4.4560842514038086</v>
      </c>
      <c r="AJ409" s="244">
        <v>0</v>
      </c>
      <c r="AK409" s="244">
        <v>8.9822397232055664</v>
      </c>
      <c r="AL409" s="244">
        <v>14.24465936422348</v>
      </c>
      <c r="AM409" s="244">
        <v>0</v>
      </c>
      <c r="AN409" s="244">
        <v>0</v>
      </c>
      <c r="AO409" s="244">
        <v>0</v>
      </c>
      <c r="AP409" s="244">
        <v>0</v>
      </c>
      <c r="AQ409" s="244">
        <v>0</v>
      </c>
      <c r="AR409" s="244">
        <v>0.80633538961410522</v>
      </c>
      <c r="AS409" s="255">
        <v>0</v>
      </c>
      <c r="AT409" s="244">
        <v>0</v>
      </c>
      <c r="AU409" s="244">
        <v>0</v>
      </c>
      <c r="AV409" s="244">
        <v>0</v>
      </c>
      <c r="AW409" s="244">
        <v>0</v>
      </c>
      <c r="AX409" s="244">
        <v>0</v>
      </c>
      <c r="AY409" s="244">
        <v>4.4560842514038086</v>
      </c>
      <c r="AZ409" s="255">
        <v>0</v>
      </c>
      <c r="BA409" s="244">
        <v>0</v>
      </c>
      <c r="BB409" s="244">
        <v>0</v>
      </c>
      <c r="BC409" s="244">
        <v>0</v>
      </c>
      <c r="BD409" s="244">
        <v>0</v>
      </c>
      <c r="BE409" s="244">
        <v>0</v>
      </c>
      <c r="BF409" s="244">
        <v>5.2624197006225586</v>
      </c>
      <c r="BG409" s="244">
        <v>9999</v>
      </c>
      <c r="BH409" s="255">
        <v>0</v>
      </c>
      <c r="BI409" s="244">
        <v>9999</v>
      </c>
      <c r="BJ409" s="244">
        <v>9999</v>
      </c>
      <c r="BK409" s="244">
        <v>9999</v>
      </c>
      <c r="BL409" s="244">
        <v>9999</v>
      </c>
      <c r="BM409" s="244">
        <v>9999</v>
      </c>
      <c r="BN409" s="244">
        <v>0</v>
      </c>
      <c r="BO409" s="244">
        <v>27.338970267321958</v>
      </c>
      <c r="BP409" s="244">
        <v>0</v>
      </c>
      <c r="BQ409" s="244">
        <v>0</v>
      </c>
      <c r="BR409" s="244">
        <v>0</v>
      </c>
      <c r="BS409" s="244">
        <v>0</v>
      </c>
      <c r="BT409" s="244">
        <v>0</v>
      </c>
      <c r="BU409" s="244">
        <v>0</v>
      </c>
      <c r="BV409" s="244">
        <v>111.96872711181641</v>
      </c>
      <c r="BW409" s="244">
        <v>0</v>
      </c>
      <c r="BX409" s="244">
        <v>14.244659423828125</v>
      </c>
      <c r="BY409" s="244"/>
      <c r="BZ409" s="244">
        <v>0</v>
      </c>
      <c r="CA409" s="244">
        <v>0</v>
      </c>
      <c r="CB409" s="244">
        <v>139.30769348144531</v>
      </c>
      <c r="CC409" s="244">
        <v>14.244659423828125</v>
      </c>
      <c r="CD409" s="228">
        <v>9.7796439517611624</v>
      </c>
      <c r="CE409" s="244">
        <v>9999</v>
      </c>
      <c r="CF409" s="244">
        <v>0</v>
      </c>
      <c r="CG409" s="244">
        <v>0.30957752418713136</v>
      </c>
      <c r="CH409" s="244">
        <v>0.30957752418713136</v>
      </c>
      <c r="CI409" s="244">
        <v>0</v>
      </c>
      <c r="CJ409" s="244">
        <v>1.9348595261695842E-2</v>
      </c>
      <c r="CK409" s="244">
        <v>1.9348595261695842E-2</v>
      </c>
      <c r="CL409" s="244"/>
      <c r="CM409" s="244">
        <v>3.2747051301846226</v>
      </c>
      <c r="CN409" s="244" t="s">
        <v>442</v>
      </c>
      <c r="CO409" s="244">
        <v>0.28600001335144043</v>
      </c>
      <c r="CP409" s="244">
        <v>0.31700000166893005</v>
      </c>
      <c r="CQ409" s="244">
        <v>27.338970267321958</v>
      </c>
      <c r="CR409" s="244">
        <v>0</v>
      </c>
      <c r="CS409" s="244">
        <v>0</v>
      </c>
      <c r="CT409" s="244">
        <v>27.338970184326172</v>
      </c>
      <c r="CU409" s="244">
        <v>0</v>
      </c>
      <c r="CV409" s="244">
        <v>0</v>
      </c>
      <c r="CW409" s="228">
        <v>9999</v>
      </c>
    </row>
    <row r="410" spans="1:101">
      <c r="A410" s="221" t="s">
        <v>492</v>
      </c>
      <c r="B410" s="221" t="s">
        <v>440</v>
      </c>
      <c r="C410" s="244">
        <v>10</v>
      </c>
      <c r="D410" s="244">
        <v>21.625208695862433</v>
      </c>
      <c r="E410" s="244">
        <v>2.3103044693452515</v>
      </c>
      <c r="F410" s="244">
        <v>8.1096944444444432</v>
      </c>
      <c r="G410" s="244">
        <v>0</v>
      </c>
      <c r="H410" s="244">
        <v>0</v>
      </c>
      <c r="I410" s="244" t="s">
        <v>441</v>
      </c>
      <c r="J410" s="244">
        <v>0.28600001335144043</v>
      </c>
      <c r="K410" s="244">
        <v>0.31700000166893005</v>
      </c>
      <c r="L410" s="244">
        <v>23.58172357824678</v>
      </c>
      <c r="M410" s="244">
        <v>2.9837652109563351E-3</v>
      </c>
      <c r="N410" s="244">
        <v>9.4125084578990936E-3</v>
      </c>
      <c r="O410" s="244">
        <v>2.3334075140387029</v>
      </c>
      <c r="P410" s="244">
        <v>7.0809833705425262E-3</v>
      </c>
      <c r="Q410" s="244">
        <v>2.233748696744442E-2</v>
      </c>
      <c r="R410" s="244">
        <v>0.80633538961410522</v>
      </c>
      <c r="S410" s="244">
        <v>4.4560842514038086</v>
      </c>
      <c r="T410" s="244">
        <v>0</v>
      </c>
      <c r="U410" s="244">
        <v>8.9822397232055664</v>
      </c>
      <c r="V410" s="244" t="s">
        <v>226</v>
      </c>
      <c r="W410" s="244" t="s">
        <v>226</v>
      </c>
      <c r="X410" s="244" t="s">
        <v>226</v>
      </c>
      <c r="Y410" s="244" t="s">
        <v>226</v>
      </c>
      <c r="Z410" s="244">
        <v>0</v>
      </c>
      <c r="AA410" s="244">
        <v>0</v>
      </c>
      <c r="AB410" s="244">
        <v>0</v>
      </c>
      <c r="AC410" s="244">
        <v>0</v>
      </c>
      <c r="AD410" s="244">
        <v>0</v>
      </c>
      <c r="AE410" s="244">
        <v>0</v>
      </c>
      <c r="AF410" s="244">
        <v>0</v>
      </c>
      <c r="AG410" s="244">
        <v>0</v>
      </c>
      <c r="AH410" s="244">
        <v>0.80633538961410522</v>
      </c>
      <c r="AI410" s="244">
        <v>4.4560842514038086</v>
      </c>
      <c r="AJ410" s="244">
        <v>0</v>
      </c>
      <c r="AK410" s="244">
        <v>8.9822397232055664</v>
      </c>
      <c r="AL410" s="244">
        <v>14.24465936422348</v>
      </c>
      <c r="AM410" s="244">
        <v>16.620790449346405</v>
      </c>
      <c r="AN410" s="244">
        <v>0</v>
      </c>
      <c r="AO410" s="244">
        <v>2.9257652759552002</v>
      </c>
      <c r="AP410" s="244">
        <v>12.636862754821777</v>
      </c>
      <c r="AQ410" s="244">
        <v>32.183418273925781</v>
      </c>
      <c r="AR410" s="244">
        <v>0.80633538961410522</v>
      </c>
      <c r="AS410" s="228">
        <v>39.913191079862777</v>
      </c>
      <c r="AT410" s="244">
        <v>16.620790449346405</v>
      </c>
      <c r="AU410" s="244">
        <v>2.6979165077209473</v>
      </c>
      <c r="AV410" s="244">
        <v>3.1955571174621582</v>
      </c>
      <c r="AW410" s="244">
        <v>12.636862754821777</v>
      </c>
      <c r="AX410" s="244">
        <v>35.151126861572266</v>
      </c>
      <c r="AY410" s="244">
        <v>4.4560842514038086</v>
      </c>
      <c r="AZ410" s="228">
        <v>7.8883443054914322</v>
      </c>
      <c r="BA410" s="244">
        <v>16.620790449346405</v>
      </c>
      <c r="BB410" s="244">
        <v>2.6979165077209473</v>
      </c>
      <c r="BC410" s="244">
        <v>3.1955571174621582</v>
      </c>
      <c r="BD410" s="244">
        <v>12.636862754821777</v>
      </c>
      <c r="BE410" s="244">
        <v>35.151126861572266</v>
      </c>
      <c r="BF410" s="244">
        <v>5.2624197006225586</v>
      </c>
      <c r="BG410" s="244">
        <v>-45.147335052490234</v>
      </c>
      <c r="BH410" s="228">
        <v>6.6796510402488494</v>
      </c>
      <c r="BI410" s="244">
        <v>2.7437534332275391</v>
      </c>
      <c r="BJ410" s="244">
        <v>15.162918090820313</v>
      </c>
      <c r="BK410" s="244">
        <v>0</v>
      </c>
      <c r="BL410" s="244">
        <v>30.564266204833984</v>
      </c>
      <c r="BM410" s="244">
        <v>48.470939636230469</v>
      </c>
      <c r="BN410" s="244">
        <v>16.620790449346405</v>
      </c>
      <c r="BO410" s="244">
        <v>19.287643523595648</v>
      </c>
      <c r="BP410" s="244">
        <v>2.6979165077209473</v>
      </c>
      <c r="BQ410" s="244">
        <v>0</v>
      </c>
      <c r="BR410" s="244">
        <v>0</v>
      </c>
      <c r="BS410" s="244">
        <v>0</v>
      </c>
      <c r="BT410" s="244">
        <v>12.636862754821777</v>
      </c>
      <c r="BU410" s="244">
        <v>0</v>
      </c>
      <c r="BV410" s="244">
        <v>111.96872711181641</v>
      </c>
      <c r="BW410" s="244">
        <v>3.1955571174621582</v>
      </c>
      <c r="BX410" s="244">
        <v>14.244659423828125</v>
      </c>
      <c r="BY410" s="244"/>
      <c r="BZ410" s="244">
        <v>0</v>
      </c>
      <c r="CA410" s="244">
        <v>0</v>
      </c>
      <c r="CB410" s="244">
        <v>166.40750122070312</v>
      </c>
      <c r="CC410" s="244">
        <v>14.244659423828125</v>
      </c>
      <c r="CD410" s="228">
        <v>11.682097304931059</v>
      </c>
      <c r="CE410" s="244">
        <v>-461.21499633789062</v>
      </c>
      <c r="CF410" s="244">
        <v>0.17795442058983332</v>
      </c>
      <c r="CG410" s="244">
        <v>0.21840694331402244</v>
      </c>
      <c r="CH410" s="244">
        <v>0.39636136390385579</v>
      </c>
      <c r="CI410" s="244">
        <v>8.7258928005259882E-3</v>
      </c>
      <c r="CJ410" s="244">
        <v>1.3650433957126413E-2</v>
      </c>
      <c r="CK410" s="244">
        <v>2.2376326757652401E-2</v>
      </c>
      <c r="CL410" s="244"/>
      <c r="CM410" s="244">
        <v>2.3103044693452515</v>
      </c>
      <c r="CN410" s="244" t="s">
        <v>442</v>
      </c>
      <c r="CO410" s="244">
        <v>0.28600001335144043</v>
      </c>
      <c r="CP410" s="244">
        <v>0.31700000166893005</v>
      </c>
      <c r="CQ410" s="244">
        <v>19.287643523595648</v>
      </c>
      <c r="CR410" s="244">
        <v>0</v>
      </c>
      <c r="CS410" s="244">
        <v>0</v>
      </c>
      <c r="CT410" s="244">
        <v>19.287643432617188</v>
      </c>
      <c r="CU410" s="244">
        <v>0</v>
      </c>
      <c r="CV410" s="244">
        <v>0</v>
      </c>
      <c r="CW410" s="228">
        <v>9999</v>
      </c>
    </row>
    <row r="411" spans="1:101">
      <c r="A411" s="221" t="s">
        <v>493</v>
      </c>
      <c r="B411" s="221" t="s">
        <v>440</v>
      </c>
      <c r="C411" s="244">
        <v>10</v>
      </c>
      <c r="D411" s="244">
        <v>121.4035759759368</v>
      </c>
      <c r="E411" s="244">
        <v>0</v>
      </c>
      <c r="F411" s="244">
        <v>8.1096944444444432</v>
      </c>
      <c r="G411" s="244">
        <v>0</v>
      </c>
      <c r="H411" s="244">
        <v>0</v>
      </c>
      <c r="I411" s="244" t="s">
        <v>441</v>
      </c>
      <c r="J411" s="244">
        <v>0.28600001335144043</v>
      </c>
      <c r="K411" s="244">
        <v>0.31700000166893005</v>
      </c>
      <c r="L411" s="244">
        <v>132.38741925403875</v>
      </c>
      <c r="M411" s="244">
        <v>1.6750810667872429E-2</v>
      </c>
      <c r="N411" s="244">
        <v>5.2841674536466599E-2</v>
      </c>
      <c r="O411" s="244">
        <v>0</v>
      </c>
      <c r="P411" s="244">
        <v>0</v>
      </c>
      <c r="Q411" s="244">
        <v>0</v>
      </c>
      <c r="R411" s="244">
        <v>0.80633538961410522</v>
      </c>
      <c r="S411" s="244">
        <v>4.4560842514038086</v>
      </c>
      <c r="T411" s="244">
        <v>0</v>
      </c>
      <c r="U411" s="244">
        <v>8.9822397232055664</v>
      </c>
      <c r="V411" s="244" t="s">
        <v>226</v>
      </c>
      <c r="W411" s="244" t="s">
        <v>226</v>
      </c>
      <c r="X411" s="244" t="s">
        <v>226</v>
      </c>
      <c r="Y411" s="244" t="s">
        <v>226</v>
      </c>
      <c r="Z411" s="244">
        <v>0</v>
      </c>
      <c r="AA411" s="244">
        <v>0</v>
      </c>
      <c r="AB411" s="244">
        <v>0</v>
      </c>
      <c r="AC411" s="244">
        <v>0</v>
      </c>
      <c r="AD411" s="244">
        <v>0</v>
      </c>
      <c r="AE411" s="244">
        <v>0</v>
      </c>
      <c r="AF411" s="244">
        <v>0</v>
      </c>
      <c r="AG411" s="244">
        <v>0</v>
      </c>
      <c r="AH411" s="244">
        <v>0.80633538961410522</v>
      </c>
      <c r="AI411" s="244">
        <v>4.4560842514038086</v>
      </c>
      <c r="AJ411" s="244">
        <v>0</v>
      </c>
      <c r="AK411" s="244">
        <v>8.9822397232055664</v>
      </c>
      <c r="AL411" s="244">
        <v>14.24465936422348</v>
      </c>
      <c r="AM411" s="244">
        <v>93.308851927215088</v>
      </c>
      <c r="AN411" s="244">
        <v>0</v>
      </c>
      <c r="AO411" s="244">
        <v>16.425199508666992</v>
      </c>
      <c r="AP411" s="244">
        <v>70.943145751953125</v>
      </c>
      <c r="AQ411" s="244">
        <v>180.67720031738281</v>
      </c>
      <c r="AR411" s="244">
        <v>0.80633538961410522</v>
      </c>
      <c r="AS411" s="228">
        <v>224.07201707257747</v>
      </c>
      <c r="AT411" s="244">
        <v>93.308851927215088</v>
      </c>
      <c r="AU411" s="244">
        <v>15.146059989929199</v>
      </c>
      <c r="AV411" s="244">
        <v>17.93980598449707</v>
      </c>
      <c r="AW411" s="244">
        <v>70.943145751953125</v>
      </c>
      <c r="AX411" s="244">
        <v>197.33786010742187</v>
      </c>
      <c r="AY411" s="244">
        <v>4.4560842514038086</v>
      </c>
      <c r="AZ411" s="228">
        <v>44.285038729109921</v>
      </c>
      <c r="BA411" s="244">
        <v>93.308851927215088</v>
      </c>
      <c r="BB411" s="244">
        <v>15.146059989929199</v>
      </c>
      <c r="BC411" s="244">
        <v>17.93980598449707</v>
      </c>
      <c r="BD411" s="244">
        <v>70.943145751953125</v>
      </c>
      <c r="BE411" s="244">
        <v>197.33786010742187</v>
      </c>
      <c r="BF411" s="244">
        <v>5.2624197006225586</v>
      </c>
      <c r="BG411" s="244">
        <v>-59.864349365234375</v>
      </c>
      <c r="BH411" s="228">
        <v>37.499454075354443</v>
      </c>
      <c r="BI411" s="244">
        <v>0.48873552680015564</v>
      </c>
      <c r="BJ411" s="244">
        <v>2.7009193897247314</v>
      </c>
      <c r="BK411" s="244">
        <v>0</v>
      </c>
      <c r="BL411" s="244">
        <v>5.4443097114562988</v>
      </c>
      <c r="BM411" s="244">
        <v>8.6339645385742187</v>
      </c>
      <c r="BN411" s="244">
        <v>93.308851927215088</v>
      </c>
      <c r="BO411" s="244">
        <v>0</v>
      </c>
      <c r="BP411" s="244">
        <v>15.146059989929199</v>
      </c>
      <c r="BQ411" s="244">
        <v>0</v>
      </c>
      <c r="BR411" s="244">
        <v>0</v>
      </c>
      <c r="BS411" s="244">
        <v>0</v>
      </c>
      <c r="BT411" s="244">
        <v>70.943145751953125</v>
      </c>
      <c r="BU411" s="244">
        <v>0</v>
      </c>
      <c r="BV411" s="244">
        <v>174.173583984375</v>
      </c>
      <c r="BW411" s="244">
        <v>17.93980598449707</v>
      </c>
      <c r="BX411" s="244">
        <v>14.244659423828125</v>
      </c>
      <c r="BY411" s="244"/>
      <c r="BZ411" s="244">
        <v>0</v>
      </c>
      <c r="CA411" s="244">
        <v>0</v>
      </c>
      <c r="CB411" s="244">
        <v>371.51144409179687</v>
      </c>
      <c r="CC411" s="244">
        <v>14.244659423828125</v>
      </c>
      <c r="CD411" s="228">
        <v>26.080753255252564</v>
      </c>
      <c r="CE411" s="244">
        <v>-159.99003601074219</v>
      </c>
      <c r="CF411" s="244">
        <v>0.99903327288883981</v>
      </c>
      <c r="CG411" s="244">
        <v>0</v>
      </c>
      <c r="CH411" s="244">
        <v>0.99903327288883981</v>
      </c>
      <c r="CI411" s="244">
        <v>4.8987022713414333E-2</v>
      </c>
      <c r="CJ411" s="244">
        <v>0</v>
      </c>
      <c r="CK411" s="244">
        <v>4.8987022713414333E-2</v>
      </c>
      <c r="CL411" s="244"/>
      <c r="CM411" s="244">
        <v>0</v>
      </c>
      <c r="CN411" s="244" t="s">
        <v>442</v>
      </c>
      <c r="CO411" s="244">
        <v>0</v>
      </c>
      <c r="CP411" s="244">
        <v>0</v>
      </c>
      <c r="CQ411" s="244">
        <v>0</v>
      </c>
      <c r="CR411" s="244">
        <v>0</v>
      </c>
      <c r="CS411" s="244">
        <v>0</v>
      </c>
      <c r="CT411" s="244">
        <v>0</v>
      </c>
      <c r="CU411" s="244">
        <v>0</v>
      </c>
      <c r="CV411" s="244">
        <v>9999</v>
      </c>
      <c r="CW411" s="228">
        <v>9999</v>
      </c>
    </row>
    <row r="412" spans="1:101">
      <c r="A412" s="221" t="s">
        <v>494</v>
      </c>
      <c r="B412" s="221" t="s">
        <v>440</v>
      </c>
      <c r="C412" s="244">
        <v>10</v>
      </c>
      <c r="D412" s="244">
        <v>0</v>
      </c>
      <c r="E412" s="244">
        <v>5.4141298956276724</v>
      </c>
      <c r="F412" s="244">
        <v>8.1096944444444432</v>
      </c>
      <c r="G412" s="244">
        <v>0</v>
      </c>
      <c r="H412" s="244">
        <v>0</v>
      </c>
      <c r="I412" s="244" t="s">
        <v>441</v>
      </c>
      <c r="J412" s="244">
        <v>0</v>
      </c>
      <c r="K412" s="244">
        <v>0</v>
      </c>
      <c r="L412" s="244">
        <v>0</v>
      </c>
      <c r="M412" s="244">
        <v>0</v>
      </c>
      <c r="N412" s="244">
        <v>0</v>
      </c>
      <c r="O412" s="244">
        <v>5.4682711945839477</v>
      </c>
      <c r="P412" s="244">
        <v>1.6594074666500092E-2</v>
      </c>
      <c r="Q412" s="244">
        <v>5.2347239106893539E-2</v>
      </c>
      <c r="R412" s="244">
        <v>0.80633538961410522</v>
      </c>
      <c r="S412" s="244">
        <v>4.4560842514038086</v>
      </c>
      <c r="T412" s="244">
        <v>0</v>
      </c>
      <c r="U412" s="244">
        <v>8.9822397232055664</v>
      </c>
      <c r="V412" s="244" t="s">
        <v>226</v>
      </c>
      <c r="W412" s="244" t="s">
        <v>226</v>
      </c>
      <c r="X412" s="244" t="s">
        <v>226</v>
      </c>
      <c r="Y412" s="244" t="s">
        <v>226</v>
      </c>
      <c r="Z412" s="244">
        <v>0</v>
      </c>
      <c r="AA412" s="244">
        <v>0</v>
      </c>
      <c r="AB412" s="244">
        <v>0</v>
      </c>
      <c r="AC412" s="244">
        <v>0</v>
      </c>
      <c r="AD412" s="244">
        <v>0</v>
      </c>
      <c r="AE412" s="244">
        <v>0</v>
      </c>
      <c r="AF412" s="244">
        <v>0</v>
      </c>
      <c r="AG412" s="244">
        <v>0</v>
      </c>
      <c r="AH412" s="244">
        <v>0.80633538961410522</v>
      </c>
      <c r="AI412" s="244">
        <v>4.4560842514038086</v>
      </c>
      <c r="AJ412" s="244">
        <v>0</v>
      </c>
      <c r="AK412" s="244">
        <v>8.9822397232055664</v>
      </c>
      <c r="AL412" s="244">
        <v>14.24465936422348</v>
      </c>
      <c r="AM412" s="244">
        <v>0</v>
      </c>
      <c r="AN412" s="244">
        <v>0</v>
      </c>
      <c r="AO412" s="244">
        <v>0</v>
      </c>
      <c r="AP412" s="244">
        <v>0</v>
      </c>
      <c r="AQ412" s="244">
        <v>0</v>
      </c>
      <c r="AR412" s="244">
        <v>0.80633538961410522</v>
      </c>
      <c r="AS412" s="255">
        <v>0</v>
      </c>
      <c r="AT412" s="244">
        <v>0</v>
      </c>
      <c r="AU412" s="244">
        <v>0</v>
      </c>
      <c r="AV412" s="244">
        <v>0</v>
      </c>
      <c r="AW412" s="244">
        <v>0</v>
      </c>
      <c r="AX412" s="244">
        <v>0</v>
      </c>
      <c r="AY412" s="244">
        <v>4.4560842514038086</v>
      </c>
      <c r="AZ412" s="255">
        <v>0</v>
      </c>
      <c r="BA412" s="244">
        <v>0</v>
      </c>
      <c r="BB412" s="244">
        <v>0</v>
      </c>
      <c r="BC412" s="244">
        <v>0</v>
      </c>
      <c r="BD412" s="244">
        <v>0</v>
      </c>
      <c r="BE412" s="244">
        <v>0</v>
      </c>
      <c r="BF412" s="244">
        <v>5.2624197006225586</v>
      </c>
      <c r="BG412" s="244">
        <v>9999</v>
      </c>
      <c r="BH412" s="255">
        <v>0</v>
      </c>
      <c r="BI412" s="244">
        <v>9999</v>
      </c>
      <c r="BJ412" s="244">
        <v>9999</v>
      </c>
      <c r="BK412" s="244">
        <v>9999</v>
      </c>
      <c r="BL412" s="244">
        <v>9999</v>
      </c>
      <c r="BM412" s="244">
        <v>9999</v>
      </c>
      <c r="BN412" s="244">
        <v>0</v>
      </c>
      <c r="BO412" s="244">
        <v>45.200019652346207</v>
      </c>
      <c r="BP412" s="244">
        <v>0</v>
      </c>
      <c r="BQ412" s="244">
        <v>0</v>
      </c>
      <c r="BR412" s="244">
        <v>0</v>
      </c>
      <c r="BS412" s="244">
        <v>0</v>
      </c>
      <c r="BT412" s="244">
        <v>0</v>
      </c>
      <c r="BU412" s="244">
        <v>0</v>
      </c>
      <c r="BV412" s="244">
        <v>174.173583984375</v>
      </c>
      <c r="BW412" s="244">
        <v>0</v>
      </c>
      <c r="BX412" s="244">
        <v>14.244659423828125</v>
      </c>
      <c r="BY412" s="244"/>
      <c r="BZ412" s="244">
        <v>0</v>
      </c>
      <c r="CA412" s="244">
        <v>0</v>
      </c>
      <c r="CB412" s="244">
        <v>219.37359619140625</v>
      </c>
      <c r="CC412" s="244">
        <v>14.244659423828125</v>
      </c>
      <c r="CD412" s="228">
        <v>15.40041057561252</v>
      </c>
      <c r="CE412" s="244">
        <v>9999</v>
      </c>
      <c r="CF412" s="244">
        <v>0</v>
      </c>
      <c r="CG412" s="244">
        <v>0.511830183813057</v>
      </c>
      <c r="CH412" s="244">
        <v>0.511830183813057</v>
      </c>
      <c r="CI412" s="244">
        <v>0</v>
      </c>
      <c r="CJ412" s="244">
        <v>3.1989386488316097E-2</v>
      </c>
      <c r="CK412" s="244">
        <v>3.1989386488316097E-2</v>
      </c>
      <c r="CL412" s="244"/>
      <c r="CM412" s="244">
        <v>5.4141298956276724</v>
      </c>
      <c r="CN412" s="244" t="s">
        <v>442</v>
      </c>
      <c r="CO412" s="244">
        <v>0.28600001335144043</v>
      </c>
      <c r="CP412" s="244">
        <v>0.31700000166893005</v>
      </c>
      <c r="CQ412" s="244">
        <v>45.200019652346207</v>
      </c>
      <c r="CR412" s="244">
        <v>0</v>
      </c>
      <c r="CS412" s="244">
        <v>0</v>
      </c>
      <c r="CT412" s="244">
        <v>45.200019836425781</v>
      </c>
      <c r="CU412" s="244">
        <v>0</v>
      </c>
      <c r="CV412" s="244">
        <v>0</v>
      </c>
      <c r="CW412" s="228">
        <v>9999</v>
      </c>
    </row>
    <row r="413" spans="1:101">
      <c r="A413" s="221" t="s">
        <v>495</v>
      </c>
      <c r="B413" s="221" t="s">
        <v>440</v>
      </c>
      <c r="C413" s="244">
        <v>10</v>
      </c>
      <c r="D413" s="244">
        <v>35.753353124913389</v>
      </c>
      <c r="E413" s="244">
        <v>3.8196686413653231</v>
      </c>
      <c r="F413" s="244">
        <v>8.1096944444444432</v>
      </c>
      <c r="G413" s="244">
        <v>0</v>
      </c>
      <c r="H413" s="244">
        <v>0</v>
      </c>
      <c r="I413" s="244" t="s">
        <v>441</v>
      </c>
      <c r="J413" s="244">
        <v>0.28600001335144043</v>
      </c>
      <c r="K413" s="244">
        <v>0.31700000166893005</v>
      </c>
      <c r="L413" s="244">
        <v>38.988094970314393</v>
      </c>
      <c r="M413" s="244">
        <v>4.9331136979162693E-3</v>
      </c>
      <c r="N413" s="244">
        <v>1.5561872161924839E-2</v>
      </c>
      <c r="O413" s="244">
        <v>3.8578653277789758</v>
      </c>
      <c r="P413" s="244">
        <v>1.1707118712365627E-2</v>
      </c>
      <c r="Q413" s="244">
        <v>3.6930974572896957E-2</v>
      </c>
      <c r="R413" s="244">
        <v>0.80633538961410522</v>
      </c>
      <c r="S413" s="244">
        <v>4.4560842514038086</v>
      </c>
      <c r="T413" s="244">
        <v>0</v>
      </c>
      <c r="U413" s="244">
        <v>8.9822397232055664</v>
      </c>
      <c r="V413" s="244" t="s">
        <v>226</v>
      </c>
      <c r="W413" s="244" t="s">
        <v>226</v>
      </c>
      <c r="X413" s="244" t="s">
        <v>226</v>
      </c>
      <c r="Y413" s="244" t="s">
        <v>226</v>
      </c>
      <c r="Z413" s="244">
        <v>0</v>
      </c>
      <c r="AA413" s="244">
        <v>0</v>
      </c>
      <c r="AB413" s="244">
        <v>0</v>
      </c>
      <c r="AC413" s="244">
        <v>0</v>
      </c>
      <c r="AD413" s="244">
        <v>0</v>
      </c>
      <c r="AE413" s="244">
        <v>0</v>
      </c>
      <c r="AF413" s="244">
        <v>0</v>
      </c>
      <c r="AG413" s="244">
        <v>0</v>
      </c>
      <c r="AH413" s="244">
        <v>0.80633538961410522</v>
      </c>
      <c r="AI413" s="244">
        <v>4.4560842514038086</v>
      </c>
      <c r="AJ413" s="244">
        <v>0</v>
      </c>
      <c r="AK413" s="244">
        <v>8.9822397232055664</v>
      </c>
      <c r="AL413" s="244">
        <v>14.24465936422348</v>
      </c>
      <c r="AM413" s="244">
        <v>27.479456892564812</v>
      </c>
      <c r="AN413" s="244">
        <v>0</v>
      </c>
      <c r="AO413" s="244">
        <v>4.8372211456298828</v>
      </c>
      <c r="AP413" s="244">
        <v>20.892755508422852</v>
      </c>
      <c r="AQ413" s="244">
        <v>53.209434509277344</v>
      </c>
      <c r="AR413" s="244">
        <v>0.80633538961410522</v>
      </c>
      <c r="AS413" s="228">
        <v>65.989207756442937</v>
      </c>
      <c r="AT413" s="244">
        <v>27.479456892564812</v>
      </c>
      <c r="AU413" s="244">
        <v>4.4605140686035156</v>
      </c>
      <c r="AV413" s="244">
        <v>5.2832727432250977</v>
      </c>
      <c r="AW413" s="244">
        <v>20.892755508422852</v>
      </c>
      <c r="AX413" s="244">
        <v>58.115997314453125</v>
      </c>
      <c r="AY413" s="244">
        <v>4.4560842514038086</v>
      </c>
      <c r="AZ413" s="228">
        <v>13.041943539220087</v>
      </c>
      <c r="BA413" s="244">
        <v>27.479456892564812</v>
      </c>
      <c r="BB413" s="244">
        <v>4.4605140686035156</v>
      </c>
      <c r="BC413" s="244">
        <v>5.2832727432250977</v>
      </c>
      <c r="BD413" s="244">
        <v>20.892755508422852</v>
      </c>
      <c r="BE413" s="244">
        <v>58.115997314453125</v>
      </c>
      <c r="BF413" s="244">
        <v>5.2624197006225586</v>
      </c>
      <c r="BG413" s="244">
        <v>-52.223255157470703</v>
      </c>
      <c r="BH413" s="228">
        <v>11.043588914846566</v>
      </c>
      <c r="BI413" s="244">
        <v>1.6595433950424194</v>
      </c>
      <c r="BJ413" s="244">
        <v>9.1712026596069336</v>
      </c>
      <c r="BK413" s="244">
        <v>0</v>
      </c>
      <c r="BL413" s="244">
        <v>18.48661994934082</v>
      </c>
      <c r="BM413" s="244">
        <v>29.317367553710938</v>
      </c>
      <c r="BN413" s="244">
        <v>27.479456892564812</v>
      </c>
      <c r="BO413" s="244">
        <v>31.888613864730239</v>
      </c>
      <c r="BP413" s="244">
        <v>4.4605140686035156</v>
      </c>
      <c r="BQ413" s="244">
        <v>0</v>
      </c>
      <c r="BR413" s="244">
        <v>0</v>
      </c>
      <c r="BS413" s="244">
        <v>0</v>
      </c>
      <c r="BT413" s="244">
        <v>20.892755508422852</v>
      </c>
      <c r="BU413" s="244">
        <v>0</v>
      </c>
      <c r="BV413" s="244">
        <v>174.173583984375</v>
      </c>
      <c r="BW413" s="244">
        <v>5.2832727432250977</v>
      </c>
      <c r="BX413" s="244">
        <v>14.244659423828125</v>
      </c>
      <c r="BY413" s="244"/>
      <c r="BZ413" s="244">
        <v>0</v>
      </c>
      <c r="CA413" s="244">
        <v>0</v>
      </c>
      <c r="CB413" s="244">
        <v>264.17819213867187</v>
      </c>
      <c r="CC413" s="244">
        <v>14.244659423828125</v>
      </c>
      <c r="CD413" s="228">
        <v>18.545771380115315</v>
      </c>
      <c r="CE413" s="244">
        <v>-457.83950805664062</v>
      </c>
      <c r="CF413" s="244">
        <v>0.29421529886576264</v>
      </c>
      <c r="CG413" s="244">
        <v>0.36109619468011223</v>
      </c>
      <c r="CH413" s="244">
        <v>0.65531149354587481</v>
      </c>
      <c r="CI413" s="244">
        <v>1.4426678189100515E-2</v>
      </c>
      <c r="CJ413" s="244">
        <v>2.2568512167507E-2</v>
      </c>
      <c r="CK413" s="244">
        <v>3.6995190356607519E-2</v>
      </c>
      <c r="CL413" s="244"/>
      <c r="CM413" s="244">
        <v>3.8196686413653231</v>
      </c>
      <c r="CN413" s="244" t="s">
        <v>442</v>
      </c>
      <c r="CO413" s="244">
        <v>0.28600001335144043</v>
      </c>
      <c r="CP413" s="244">
        <v>0.31700000166893005</v>
      </c>
      <c r="CQ413" s="244">
        <v>31.888613864730239</v>
      </c>
      <c r="CR413" s="244">
        <v>0</v>
      </c>
      <c r="CS413" s="244">
        <v>0</v>
      </c>
      <c r="CT413" s="244">
        <v>31.888614654541016</v>
      </c>
      <c r="CU413" s="244">
        <v>0</v>
      </c>
      <c r="CV413" s="244">
        <v>0</v>
      </c>
      <c r="CW413" s="228">
        <v>9999</v>
      </c>
    </row>
    <row r="414" spans="1:101">
      <c r="A414" s="221" t="s">
        <v>496</v>
      </c>
      <c r="B414" s="221" t="s">
        <v>440</v>
      </c>
      <c r="C414" s="244">
        <v>10</v>
      </c>
      <c r="D414" s="244">
        <v>68.732003374446776</v>
      </c>
      <c r="E414" s="244">
        <v>0</v>
      </c>
      <c r="F414" s="244">
        <v>3.2966774171383419</v>
      </c>
      <c r="G414" s="244">
        <v>0</v>
      </c>
      <c r="H414" s="244">
        <v>0</v>
      </c>
      <c r="I414" s="244" t="s">
        <v>441</v>
      </c>
      <c r="J414" s="244">
        <v>0.28600001335144043</v>
      </c>
      <c r="K414" s="244">
        <v>0.31700000166893005</v>
      </c>
      <c r="L414" s="244">
        <v>74.950449142506613</v>
      </c>
      <c r="M414" s="244">
        <v>9.4833839684724808E-3</v>
      </c>
      <c r="N414" s="244">
        <v>2.9916038736701012E-2</v>
      </c>
      <c r="O414" s="244">
        <v>0</v>
      </c>
      <c r="P414" s="244">
        <v>0</v>
      </c>
      <c r="Q414" s="244">
        <v>0</v>
      </c>
      <c r="R414" s="244">
        <v>0.32778394222259521</v>
      </c>
      <c r="S414" s="244">
        <v>1.8114458322525024</v>
      </c>
      <c r="T414" s="244">
        <v>0</v>
      </c>
      <c r="U414" s="244">
        <v>3.6513762474060059</v>
      </c>
      <c r="V414" s="244" t="s">
        <v>226</v>
      </c>
      <c r="W414" s="244" t="s">
        <v>226</v>
      </c>
      <c r="X414" s="244" t="s">
        <v>226</v>
      </c>
      <c r="Y414" s="244" t="s">
        <v>226</v>
      </c>
      <c r="Z414" s="244">
        <v>0</v>
      </c>
      <c r="AA414" s="244">
        <v>0</v>
      </c>
      <c r="AB414" s="244">
        <v>0</v>
      </c>
      <c r="AC414" s="244">
        <v>0</v>
      </c>
      <c r="AD414" s="244">
        <v>0</v>
      </c>
      <c r="AE414" s="244">
        <v>0</v>
      </c>
      <c r="AF414" s="244">
        <v>0</v>
      </c>
      <c r="AG414" s="244">
        <v>0</v>
      </c>
      <c r="AH414" s="244">
        <v>0.32778394222259521</v>
      </c>
      <c r="AI414" s="244">
        <v>1.8114458322525024</v>
      </c>
      <c r="AJ414" s="244">
        <v>0</v>
      </c>
      <c r="AK414" s="244">
        <v>3.6513762474060059</v>
      </c>
      <c r="AL414" s="244">
        <v>5.7906060218811035</v>
      </c>
      <c r="AM414" s="244">
        <v>52.826321415756858</v>
      </c>
      <c r="AN414" s="244">
        <v>0</v>
      </c>
      <c r="AO414" s="244">
        <v>9.2990407943725586</v>
      </c>
      <c r="AP414" s="244">
        <v>40.164089202880859</v>
      </c>
      <c r="AQ414" s="244">
        <v>102.28945159912109</v>
      </c>
      <c r="AR414" s="244">
        <v>0.32778394222259521</v>
      </c>
      <c r="AS414" s="228">
        <v>312.06364387290944</v>
      </c>
      <c r="AT414" s="244">
        <v>52.826321415756858</v>
      </c>
      <c r="AU414" s="244">
        <v>8.5748615264892578</v>
      </c>
      <c r="AV414" s="244">
        <v>10.156527519226074</v>
      </c>
      <c r="AW414" s="244">
        <v>40.164089202880859</v>
      </c>
      <c r="AX414" s="244">
        <v>111.7218017578125</v>
      </c>
      <c r="AY414" s="244">
        <v>1.8114458322525024</v>
      </c>
      <c r="AZ414" s="228">
        <v>61.675484673714408</v>
      </c>
      <c r="BA414" s="244">
        <v>52.826321415756858</v>
      </c>
      <c r="BB414" s="244">
        <v>8.5748615264892578</v>
      </c>
      <c r="BC414" s="244">
        <v>10.156527519226074</v>
      </c>
      <c r="BD414" s="244">
        <v>40.164089202880859</v>
      </c>
      <c r="BE414" s="244">
        <v>111.7218017578125</v>
      </c>
      <c r="BF414" s="244">
        <v>2.1392297744750977</v>
      </c>
      <c r="BG414" s="244">
        <v>-60.763721466064453</v>
      </c>
      <c r="BH414" s="228">
        <v>52.225245271638109</v>
      </c>
      <c r="BI414" s="244">
        <v>0.35092824697494507</v>
      </c>
      <c r="BJ414" s="244">
        <v>1.9393491744995117</v>
      </c>
      <c r="BK414" s="244">
        <v>0</v>
      </c>
      <c r="BL414" s="244">
        <v>3.9091942310333252</v>
      </c>
      <c r="BM414" s="244">
        <v>6.1994719505310059</v>
      </c>
      <c r="BN414" s="244">
        <v>52.826321415756858</v>
      </c>
      <c r="BO414" s="244">
        <v>0</v>
      </c>
      <c r="BP414" s="244">
        <v>8.5748615264892578</v>
      </c>
      <c r="BQ414" s="244">
        <v>0</v>
      </c>
      <c r="BR414" s="244">
        <v>0</v>
      </c>
      <c r="BS414" s="244">
        <v>0</v>
      </c>
      <c r="BT414" s="244">
        <v>40.164089202880859</v>
      </c>
      <c r="BU414" s="244">
        <v>0</v>
      </c>
      <c r="BV414" s="244">
        <v>99.421493530273438</v>
      </c>
      <c r="BW414" s="244">
        <v>10.156527519226074</v>
      </c>
      <c r="BX414" s="244">
        <v>5.7906060218811035</v>
      </c>
      <c r="BY414" s="244"/>
      <c r="BZ414" s="244">
        <v>0</v>
      </c>
      <c r="CA414" s="244">
        <v>0</v>
      </c>
      <c r="CB414" s="244">
        <v>211.14329528808594</v>
      </c>
      <c r="CC414" s="244">
        <v>5.7906060218811035</v>
      </c>
      <c r="CD414" s="228">
        <v>36.463073536133216</v>
      </c>
      <c r="CE414" s="244">
        <v>-163.2960205078125</v>
      </c>
      <c r="CF414" s="244">
        <v>0.56559749357787059</v>
      </c>
      <c r="CG414" s="244">
        <v>0</v>
      </c>
      <c r="CH414" s="244">
        <v>0.56559749357787059</v>
      </c>
      <c r="CI414" s="244">
        <v>2.7733748230858158E-2</v>
      </c>
      <c r="CJ414" s="244">
        <v>0</v>
      </c>
      <c r="CK414" s="244">
        <v>2.7733748230858158E-2</v>
      </c>
      <c r="CL414" s="244"/>
      <c r="CM414" s="244">
        <v>0</v>
      </c>
      <c r="CN414" s="244" t="s">
        <v>442</v>
      </c>
      <c r="CO414" s="244">
        <v>0</v>
      </c>
      <c r="CP414" s="244">
        <v>0</v>
      </c>
      <c r="CQ414" s="244">
        <v>0</v>
      </c>
      <c r="CR414" s="244">
        <v>0</v>
      </c>
      <c r="CS414" s="244">
        <v>0</v>
      </c>
      <c r="CT414" s="244">
        <v>0</v>
      </c>
      <c r="CU414" s="244">
        <v>0</v>
      </c>
      <c r="CV414" s="244">
        <v>9999</v>
      </c>
      <c r="CW414" s="228">
        <v>9999</v>
      </c>
    </row>
    <row r="415" spans="1:101">
      <c r="A415" s="221" t="s">
        <v>497</v>
      </c>
      <c r="B415" s="221" t="s">
        <v>440</v>
      </c>
      <c r="C415" s="244">
        <v>10</v>
      </c>
      <c r="D415" s="244">
        <v>0</v>
      </c>
      <c r="E415" s="244">
        <v>3.0651814929218575</v>
      </c>
      <c r="F415" s="244">
        <v>3.2966774171383419</v>
      </c>
      <c r="G415" s="244">
        <v>0</v>
      </c>
      <c r="H415" s="244">
        <v>0</v>
      </c>
      <c r="I415" s="244" t="s">
        <v>441</v>
      </c>
      <c r="J415" s="244">
        <v>0</v>
      </c>
      <c r="K415" s="244">
        <v>0</v>
      </c>
      <c r="L415" s="244">
        <v>0</v>
      </c>
      <c r="M415" s="244">
        <v>0</v>
      </c>
      <c r="N415" s="244">
        <v>0</v>
      </c>
      <c r="O415" s="244">
        <v>3.095833307851076</v>
      </c>
      <c r="P415" s="244">
        <v>9.3946494162082672E-3</v>
      </c>
      <c r="Q415" s="244">
        <v>2.9636116698384285E-2</v>
      </c>
      <c r="R415" s="244">
        <v>0.32778394222259521</v>
      </c>
      <c r="S415" s="244">
        <v>1.8114458322525024</v>
      </c>
      <c r="T415" s="244">
        <v>0</v>
      </c>
      <c r="U415" s="244">
        <v>3.6513762474060059</v>
      </c>
      <c r="V415" s="244" t="s">
        <v>226</v>
      </c>
      <c r="W415" s="244" t="s">
        <v>226</v>
      </c>
      <c r="X415" s="244" t="s">
        <v>226</v>
      </c>
      <c r="Y415" s="244" t="s">
        <v>226</v>
      </c>
      <c r="Z415" s="244">
        <v>0</v>
      </c>
      <c r="AA415" s="244">
        <v>0</v>
      </c>
      <c r="AB415" s="244">
        <v>0</v>
      </c>
      <c r="AC415" s="244">
        <v>0</v>
      </c>
      <c r="AD415" s="244">
        <v>0</v>
      </c>
      <c r="AE415" s="244">
        <v>0</v>
      </c>
      <c r="AF415" s="244">
        <v>0</v>
      </c>
      <c r="AG415" s="244">
        <v>0</v>
      </c>
      <c r="AH415" s="244">
        <v>0.32778394222259521</v>
      </c>
      <c r="AI415" s="244">
        <v>1.8114458322525024</v>
      </c>
      <c r="AJ415" s="244">
        <v>0</v>
      </c>
      <c r="AK415" s="244">
        <v>3.6513762474060059</v>
      </c>
      <c r="AL415" s="244">
        <v>5.7906060218811035</v>
      </c>
      <c r="AM415" s="244">
        <v>0</v>
      </c>
      <c r="AN415" s="244">
        <v>0</v>
      </c>
      <c r="AO415" s="244">
        <v>0</v>
      </c>
      <c r="AP415" s="244">
        <v>0</v>
      </c>
      <c r="AQ415" s="244">
        <v>0</v>
      </c>
      <c r="AR415" s="244">
        <v>0.32778394222259521</v>
      </c>
      <c r="AS415" s="255">
        <v>0</v>
      </c>
      <c r="AT415" s="244">
        <v>0</v>
      </c>
      <c r="AU415" s="244">
        <v>0</v>
      </c>
      <c r="AV415" s="244">
        <v>0</v>
      </c>
      <c r="AW415" s="244">
        <v>0</v>
      </c>
      <c r="AX415" s="244">
        <v>0</v>
      </c>
      <c r="AY415" s="244">
        <v>1.8114458322525024</v>
      </c>
      <c r="AZ415" s="255">
        <v>0</v>
      </c>
      <c r="BA415" s="244">
        <v>0</v>
      </c>
      <c r="BB415" s="244">
        <v>0</v>
      </c>
      <c r="BC415" s="244">
        <v>0</v>
      </c>
      <c r="BD415" s="244">
        <v>0</v>
      </c>
      <c r="BE415" s="244">
        <v>0</v>
      </c>
      <c r="BF415" s="244">
        <v>2.1392297744750977</v>
      </c>
      <c r="BG415" s="244">
        <v>9999</v>
      </c>
      <c r="BH415" s="255">
        <v>0</v>
      </c>
      <c r="BI415" s="244">
        <v>9999</v>
      </c>
      <c r="BJ415" s="244">
        <v>9999</v>
      </c>
      <c r="BK415" s="244">
        <v>9999</v>
      </c>
      <c r="BL415" s="244">
        <v>9999</v>
      </c>
      <c r="BM415" s="244">
        <v>9999</v>
      </c>
      <c r="BN415" s="244">
        <v>0</v>
      </c>
      <c r="BO415" s="244">
        <v>25.589756136062125</v>
      </c>
      <c r="BP415" s="244">
        <v>0</v>
      </c>
      <c r="BQ415" s="244">
        <v>0</v>
      </c>
      <c r="BR415" s="244">
        <v>0</v>
      </c>
      <c r="BS415" s="244">
        <v>0</v>
      </c>
      <c r="BT415" s="244">
        <v>0</v>
      </c>
      <c r="BU415" s="244">
        <v>0</v>
      </c>
      <c r="BV415" s="244">
        <v>99.421493530273438</v>
      </c>
      <c r="BW415" s="244">
        <v>0</v>
      </c>
      <c r="BX415" s="244">
        <v>5.7906060218811035</v>
      </c>
      <c r="BY415" s="244"/>
      <c r="BZ415" s="244">
        <v>0</v>
      </c>
      <c r="CA415" s="244">
        <v>0</v>
      </c>
      <c r="CB415" s="244">
        <v>125.01125335693359</v>
      </c>
      <c r="CC415" s="244">
        <v>5.7906060218811035</v>
      </c>
      <c r="CD415" s="228">
        <v>21.588629790034499</v>
      </c>
      <c r="CE415" s="244">
        <v>9999</v>
      </c>
      <c r="CF415" s="244">
        <v>0</v>
      </c>
      <c r="CG415" s="244">
        <v>0.28976999761486133</v>
      </c>
      <c r="CH415" s="244">
        <v>0.28976999761486133</v>
      </c>
      <c r="CI415" s="244">
        <v>0</v>
      </c>
      <c r="CJ415" s="244">
        <v>1.8110624850928798E-2</v>
      </c>
      <c r="CK415" s="244">
        <v>1.8110624850928798E-2</v>
      </c>
      <c r="CL415" s="244"/>
      <c r="CM415" s="244">
        <v>3.0651814929218575</v>
      </c>
      <c r="CN415" s="244" t="s">
        <v>442</v>
      </c>
      <c r="CO415" s="244">
        <v>0.28600001335144043</v>
      </c>
      <c r="CP415" s="244">
        <v>0.31700000166893005</v>
      </c>
      <c r="CQ415" s="244">
        <v>25.589756136062125</v>
      </c>
      <c r="CR415" s="244">
        <v>0</v>
      </c>
      <c r="CS415" s="244">
        <v>0</v>
      </c>
      <c r="CT415" s="244">
        <v>25.589756011962891</v>
      </c>
      <c r="CU415" s="244">
        <v>0</v>
      </c>
      <c r="CV415" s="244">
        <v>0</v>
      </c>
      <c r="CW415" s="228">
        <v>9999</v>
      </c>
    </row>
    <row r="416" spans="1:101">
      <c r="A416" s="221" t="s">
        <v>498</v>
      </c>
      <c r="B416" s="221" t="s">
        <v>440</v>
      </c>
      <c r="C416" s="244">
        <v>10</v>
      </c>
      <c r="D416" s="244">
        <v>33.678681653478918</v>
      </c>
      <c r="E416" s="244">
        <v>1.5632425613901473</v>
      </c>
      <c r="F416" s="244">
        <v>3.2966774171383419</v>
      </c>
      <c r="G416" s="244">
        <v>0</v>
      </c>
      <c r="H416" s="244">
        <v>0</v>
      </c>
      <c r="I416" s="244" t="s">
        <v>441</v>
      </c>
      <c r="J416" s="244">
        <v>0.28600001335144043</v>
      </c>
      <c r="K416" s="244">
        <v>0.31700000166893005</v>
      </c>
      <c r="L416" s="244">
        <v>36.725720079828228</v>
      </c>
      <c r="M416" s="244">
        <v>4.6468582004308701E-3</v>
      </c>
      <c r="N416" s="244">
        <v>1.4658858999609947E-2</v>
      </c>
      <c r="O416" s="244">
        <v>1.578874987004049</v>
      </c>
      <c r="P416" s="244">
        <v>4.7912709414958954E-3</v>
      </c>
      <c r="Q416" s="244">
        <v>1.5114419162273407E-2</v>
      </c>
      <c r="R416" s="244">
        <v>0.32778394222259521</v>
      </c>
      <c r="S416" s="244">
        <v>1.8114458322525024</v>
      </c>
      <c r="T416" s="244">
        <v>0</v>
      </c>
      <c r="U416" s="244">
        <v>3.6513762474060059</v>
      </c>
      <c r="V416" s="244" t="s">
        <v>226</v>
      </c>
      <c r="W416" s="244" t="s">
        <v>226</v>
      </c>
      <c r="X416" s="244" t="s">
        <v>226</v>
      </c>
      <c r="Y416" s="244" t="s">
        <v>226</v>
      </c>
      <c r="Z416" s="244">
        <v>0</v>
      </c>
      <c r="AA416" s="244">
        <v>0</v>
      </c>
      <c r="AB416" s="244">
        <v>0</v>
      </c>
      <c r="AC416" s="244">
        <v>0</v>
      </c>
      <c r="AD416" s="244">
        <v>0</v>
      </c>
      <c r="AE416" s="244">
        <v>0</v>
      </c>
      <c r="AF416" s="244">
        <v>0</v>
      </c>
      <c r="AG416" s="244">
        <v>0</v>
      </c>
      <c r="AH416" s="244">
        <v>0.32778394222259521</v>
      </c>
      <c r="AI416" s="244">
        <v>1.8114458322525024</v>
      </c>
      <c r="AJ416" s="244">
        <v>0</v>
      </c>
      <c r="AK416" s="244">
        <v>3.6513762474060059</v>
      </c>
      <c r="AL416" s="244">
        <v>5.7906060218811035</v>
      </c>
      <c r="AM416" s="244">
        <v>25.884897493720878</v>
      </c>
      <c r="AN416" s="244">
        <v>0</v>
      </c>
      <c r="AO416" s="244">
        <v>4.5565304756164551</v>
      </c>
      <c r="AP416" s="244">
        <v>19.680404663085938</v>
      </c>
      <c r="AQ416" s="244">
        <v>50.121833801269531</v>
      </c>
      <c r="AR416" s="244">
        <v>0.32778394222259521</v>
      </c>
      <c r="AS416" s="228">
        <v>152.91118989101051</v>
      </c>
      <c r="AT416" s="244">
        <v>25.884897493720878</v>
      </c>
      <c r="AU416" s="244">
        <v>4.2016830444335938</v>
      </c>
      <c r="AV416" s="244">
        <v>4.9766983985900879</v>
      </c>
      <c r="AW416" s="244">
        <v>19.680404663085938</v>
      </c>
      <c r="AX416" s="244">
        <v>54.743682861328125</v>
      </c>
      <c r="AY416" s="244">
        <v>1.8114458322525024</v>
      </c>
      <c r="AZ416" s="228">
        <v>30.220988464092049</v>
      </c>
      <c r="BA416" s="244">
        <v>25.884897493720878</v>
      </c>
      <c r="BB416" s="244">
        <v>4.2016830444335938</v>
      </c>
      <c r="BC416" s="244">
        <v>4.9766983985900879</v>
      </c>
      <c r="BD416" s="244">
        <v>19.680404663085938</v>
      </c>
      <c r="BE416" s="244">
        <v>54.743682861328125</v>
      </c>
      <c r="BF416" s="244">
        <v>2.1392297744750977</v>
      </c>
      <c r="BG416" s="244">
        <v>-58.379966735839844</v>
      </c>
      <c r="BH416" s="228">
        <v>25.590371007837597</v>
      </c>
      <c r="BI416" s="244">
        <v>0.71618008613586426</v>
      </c>
      <c r="BJ416" s="244">
        <v>3.9578554630279541</v>
      </c>
      <c r="BK416" s="244">
        <v>0</v>
      </c>
      <c r="BL416" s="244">
        <v>7.9779477119445801</v>
      </c>
      <c r="BM416" s="244">
        <v>12.651983261108398</v>
      </c>
      <c r="BN416" s="244">
        <v>25.884897493720878</v>
      </c>
      <c r="BO416" s="244">
        <v>13.050775629391731</v>
      </c>
      <c r="BP416" s="244">
        <v>4.2016830444335938</v>
      </c>
      <c r="BQ416" s="244">
        <v>0</v>
      </c>
      <c r="BR416" s="244">
        <v>0</v>
      </c>
      <c r="BS416" s="244">
        <v>0</v>
      </c>
      <c r="BT416" s="244">
        <v>19.680404663085938</v>
      </c>
      <c r="BU416" s="244">
        <v>0</v>
      </c>
      <c r="BV416" s="244">
        <v>99.421493530273438</v>
      </c>
      <c r="BW416" s="244">
        <v>4.9766983985900879</v>
      </c>
      <c r="BX416" s="244">
        <v>5.7906060218811035</v>
      </c>
      <c r="BY416" s="244"/>
      <c r="BZ416" s="244">
        <v>0</v>
      </c>
      <c r="CA416" s="244">
        <v>0</v>
      </c>
      <c r="CB416" s="244">
        <v>167.21595764160156</v>
      </c>
      <c r="CC416" s="244">
        <v>5.7906060218811035</v>
      </c>
      <c r="CD416" s="228">
        <v>28.87710753030558</v>
      </c>
      <c r="CE416" s="244">
        <v>-296.14437866210937</v>
      </c>
      <c r="CF416" s="244">
        <v>0.27714277185315639</v>
      </c>
      <c r="CG416" s="244">
        <v>0.14778269878357908</v>
      </c>
      <c r="CH416" s="244">
        <v>0.42492547063673547</v>
      </c>
      <c r="CI416" s="244">
        <v>1.3589536633120493E-2</v>
      </c>
      <c r="CJ416" s="244">
        <v>9.2364186739736839E-3</v>
      </c>
      <c r="CK416" s="244">
        <v>2.2825955307094178E-2</v>
      </c>
      <c r="CL416" s="244"/>
      <c r="CM416" s="244">
        <v>1.5632425613901473</v>
      </c>
      <c r="CN416" s="244" t="s">
        <v>442</v>
      </c>
      <c r="CO416" s="244">
        <v>0.28600001335144043</v>
      </c>
      <c r="CP416" s="244">
        <v>0.31700000166893005</v>
      </c>
      <c r="CQ416" s="244">
        <v>13.050775629391731</v>
      </c>
      <c r="CR416" s="244">
        <v>0</v>
      </c>
      <c r="CS416" s="244">
        <v>0</v>
      </c>
      <c r="CT416" s="244">
        <v>13.050775527954102</v>
      </c>
      <c r="CU416" s="244">
        <v>0</v>
      </c>
      <c r="CV416" s="244">
        <v>0</v>
      </c>
      <c r="CW416" s="228">
        <v>9999</v>
      </c>
    </row>
    <row r="417" spans="1:101">
      <c r="A417" s="221" t="s">
        <v>499</v>
      </c>
      <c r="B417" s="221" t="s">
        <v>440</v>
      </c>
      <c r="C417" s="244">
        <v>10</v>
      </c>
      <c r="D417" s="244">
        <v>68.767341608525214</v>
      </c>
      <c r="E417" s="244">
        <v>0</v>
      </c>
      <c r="F417" s="244">
        <v>3.2966774171383419</v>
      </c>
      <c r="G417" s="244">
        <v>0</v>
      </c>
      <c r="H417" s="244">
        <v>0</v>
      </c>
      <c r="I417" s="244" t="s">
        <v>441</v>
      </c>
      <c r="J417" s="244">
        <v>0.28600001335144043</v>
      </c>
      <c r="K417" s="244">
        <v>0.31700000166893005</v>
      </c>
      <c r="L417" s="244">
        <v>74.988984561031387</v>
      </c>
      <c r="M417" s="244">
        <v>9.4882594421505928E-3</v>
      </c>
      <c r="N417" s="244">
        <v>2.9931418597698212E-2</v>
      </c>
      <c r="O417" s="244">
        <v>0</v>
      </c>
      <c r="P417" s="244">
        <v>0</v>
      </c>
      <c r="Q417" s="244">
        <v>0</v>
      </c>
      <c r="R417" s="244">
        <v>0.32778394222259521</v>
      </c>
      <c r="S417" s="244">
        <v>1.8114458322525024</v>
      </c>
      <c r="T417" s="244">
        <v>0</v>
      </c>
      <c r="U417" s="244">
        <v>3.6513762474060059</v>
      </c>
      <c r="V417" s="244" t="s">
        <v>226</v>
      </c>
      <c r="W417" s="244" t="s">
        <v>226</v>
      </c>
      <c r="X417" s="244" t="s">
        <v>226</v>
      </c>
      <c r="Y417" s="244" t="s">
        <v>226</v>
      </c>
      <c r="Z417" s="244">
        <v>0</v>
      </c>
      <c r="AA417" s="244">
        <v>0</v>
      </c>
      <c r="AB417" s="244">
        <v>0</v>
      </c>
      <c r="AC417" s="244">
        <v>0</v>
      </c>
      <c r="AD417" s="244">
        <v>0</v>
      </c>
      <c r="AE417" s="244">
        <v>0</v>
      </c>
      <c r="AF417" s="244">
        <v>0</v>
      </c>
      <c r="AG417" s="244">
        <v>0</v>
      </c>
      <c r="AH417" s="244">
        <v>0.32778394222259521</v>
      </c>
      <c r="AI417" s="244">
        <v>1.8114458322525024</v>
      </c>
      <c r="AJ417" s="244">
        <v>0</v>
      </c>
      <c r="AK417" s="244">
        <v>3.6513762474060059</v>
      </c>
      <c r="AL417" s="244">
        <v>5.7906060218811035</v>
      </c>
      <c r="AM417" s="244">
        <v>52.853481818772039</v>
      </c>
      <c r="AN417" s="244">
        <v>0</v>
      </c>
      <c r="AO417" s="244">
        <v>9.3038225173950195</v>
      </c>
      <c r="AP417" s="244">
        <v>40.184741973876953</v>
      </c>
      <c r="AQ417" s="244">
        <v>102.34204864501953</v>
      </c>
      <c r="AR417" s="244">
        <v>0.32778394222259521</v>
      </c>
      <c r="AS417" s="228">
        <v>312.22409986314835</v>
      </c>
      <c r="AT417" s="244">
        <v>52.853481818772039</v>
      </c>
      <c r="AU417" s="244">
        <v>8.5792722702026367</v>
      </c>
      <c r="AV417" s="244">
        <v>10.161749839782715</v>
      </c>
      <c r="AW417" s="244">
        <v>40.184741973876953</v>
      </c>
      <c r="AX417" s="244">
        <v>111.77924346923828</v>
      </c>
      <c r="AY417" s="244">
        <v>1.8114458322525024</v>
      </c>
      <c r="AZ417" s="228">
        <v>61.707197594552817</v>
      </c>
      <c r="BA417" s="244">
        <v>52.853481818772039</v>
      </c>
      <c r="BB417" s="244">
        <v>8.5792722702026367</v>
      </c>
      <c r="BC417" s="244">
        <v>10.161749839782715</v>
      </c>
      <c r="BD417" s="244">
        <v>40.184741973876953</v>
      </c>
      <c r="BE417" s="244">
        <v>111.77924346923828</v>
      </c>
      <c r="BF417" s="244">
        <v>2.1392297744750977</v>
      </c>
      <c r="BG417" s="244">
        <v>-60.764904022216797</v>
      </c>
      <c r="BH417" s="228">
        <v>52.252098973361377</v>
      </c>
      <c r="BI417" s="244">
        <v>0.35074791312217712</v>
      </c>
      <c r="BJ417" s="244">
        <v>1.9383525848388672</v>
      </c>
      <c r="BK417" s="244">
        <v>0</v>
      </c>
      <c r="BL417" s="244">
        <v>3.9071853160858154</v>
      </c>
      <c r="BM417" s="244">
        <v>6.1962857246398926</v>
      </c>
      <c r="BN417" s="244">
        <v>52.853481818772039</v>
      </c>
      <c r="BO417" s="244">
        <v>0</v>
      </c>
      <c r="BP417" s="244">
        <v>8.5792722702026367</v>
      </c>
      <c r="BQ417" s="244">
        <v>0</v>
      </c>
      <c r="BR417" s="244">
        <v>0</v>
      </c>
      <c r="BS417" s="244">
        <v>0</v>
      </c>
      <c r="BT417" s="244">
        <v>40.184741973876953</v>
      </c>
      <c r="BU417" s="244">
        <v>0</v>
      </c>
      <c r="BV417" s="244">
        <v>104.85858917236328</v>
      </c>
      <c r="BW417" s="244">
        <v>10.161749839782715</v>
      </c>
      <c r="BX417" s="244">
        <v>5.7906060218811035</v>
      </c>
      <c r="BY417" s="244"/>
      <c r="BZ417" s="244">
        <v>0</v>
      </c>
      <c r="CA417" s="244">
        <v>0</v>
      </c>
      <c r="CB417" s="244">
        <v>216.63783264160156</v>
      </c>
      <c r="CC417" s="244">
        <v>5.7906060218811035</v>
      </c>
      <c r="CD417" s="228">
        <v>37.411945184387086</v>
      </c>
      <c r="CE417" s="244">
        <v>-169.06251525878906</v>
      </c>
      <c r="CF417" s="244">
        <v>0.56588829285100328</v>
      </c>
      <c r="CG417" s="244">
        <v>0</v>
      </c>
      <c r="CH417" s="244">
        <v>0.56588829285100328</v>
      </c>
      <c r="CI417" s="244">
        <v>2.7748007406187523E-2</v>
      </c>
      <c r="CJ417" s="244">
        <v>0</v>
      </c>
      <c r="CK417" s="244">
        <v>2.7748007406187523E-2</v>
      </c>
      <c r="CL417" s="244"/>
      <c r="CM417" s="244">
        <v>0</v>
      </c>
      <c r="CN417" s="244" t="s">
        <v>442</v>
      </c>
      <c r="CO417" s="244">
        <v>0</v>
      </c>
      <c r="CP417" s="244">
        <v>0</v>
      </c>
      <c r="CQ417" s="244">
        <v>0</v>
      </c>
      <c r="CR417" s="244">
        <v>0</v>
      </c>
      <c r="CS417" s="244">
        <v>0</v>
      </c>
      <c r="CT417" s="244">
        <v>0</v>
      </c>
      <c r="CU417" s="244">
        <v>0</v>
      </c>
      <c r="CV417" s="244">
        <v>9999</v>
      </c>
      <c r="CW417" s="228">
        <v>9999</v>
      </c>
    </row>
    <row r="418" spans="1:101">
      <c r="A418" s="221" t="s">
        <v>500</v>
      </c>
      <c r="B418" s="221" t="s">
        <v>440</v>
      </c>
      <c r="C418" s="244">
        <v>10</v>
      </c>
      <c r="D418" s="244">
        <v>0</v>
      </c>
      <c r="E418" s="244">
        <v>3.0667574414723386</v>
      </c>
      <c r="F418" s="244">
        <v>3.2966774171383419</v>
      </c>
      <c r="G418" s="244">
        <v>0</v>
      </c>
      <c r="H418" s="244">
        <v>0</v>
      </c>
      <c r="I418" s="244" t="s">
        <v>441</v>
      </c>
      <c r="J418" s="244">
        <v>0</v>
      </c>
      <c r="K418" s="244">
        <v>0</v>
      </c>
      <c r="L418" s="244">
        <v>0</v>
      </c>
      <c r="M418" s="244">
        <v>0</v>
      </c>
      <c r="N418" s="244">
        <v>0</v>
      </c>
      <c r="O418" s="244">
        <v>3.0974250158870604</v>
      </c>
      <c r="P418" s="244">
        <v>9.3994792550802231E-3</v>
      </c>
      <c r="Q418" s="244">
        <v>2.9651353135704994E-2</v>
      </c>
      <c r="R418" s="244">
        <v>0.32778394222259521</v>
      </c>
      <c r="S418" s="244">
        <v>1.8114458322525024</v>
      </c>
      <c r="T418" s="244">
        <v>0</v>
      </c>
      <c r="U418" s="244">
        <v>3.6513762474060059</v>
      </c>
      <c r="V418" s="244" t="s">
        <v>226</v>
      </c>
      <c r="W418" s="244" t="s">
        <v>226</v>
      </c>
      <c r="X418" s="244" t="s">
        <v>226</v>
      </c>
      <c r="Y418" s="244" t="s">
        <v>226</v>
      </c>
      <c r="Z418" s="244">
        <v>0</v>
      </c>
      <c r="AA418" s="244">
        <v>0</v>
      </c>
      <c r="AB418" s="244">
        <v>0</v>
      </c>
      <c r="AC418" s="244">
        <v>0</v>
      </c>
      <c r="AD418" s="244">
        <v>0</v>
      </c>
      <c r="AE418" s="244">
        <v>0</v>
      </c>
      <c r="AF418" s="244">
        <v>0</v>
      </c>
      <c r="AG418" s="244">
        <v>0</v>
      </c>
      <c r="AH418" s="244">
        <v>0.32778394222259521</v>
      </c>
      <c r="AI418" s="244">
        <v>1.8114458322525024</v>
      </c>
      <c r="AJ418" s="244">
        <v>0</v>
      </c>
      <c r="AK418" s="244">
        <v>3.6513762474060059</v>
      </c>
      <c r="AL418" s="244">
        <v>5.7906060218811035</v>
      </c>
      <c r="AM418" s="244">
        <v>0</v>
      </c>
      <c r="AN418" s="244">
        <v>0</v>
      </c>
      <c r="AO418" s="244">
        <v>0</v>
      </c>
      <c r="AP418" s="244">
        <v>0</v>
      </c>
      <c r="AQ418" s="244">
        <v>0</v>
      </c>
      <c r="AR418" s="244">
        <v>0.32778394222259521</v>
      </c>
      <c r="AS418" s="255">
        <v>0</v>
      </c>
      <c r="AT418" s="244">
        <v>0</v>
      </c>
      <c r="AU418" s="244">
        <v>0</v>
      </c>
      <c r="AV418" s="244">
        <v>0</v>
      </c>
      <c r="AW418" s="244">
        <v>0</v>
      </c>
      <c r="AX418" s="244">
        <v>0</v>
      </c>
      <c r="AY418" s="244">
        <v>1.8114458322525024</v>
      </c>
      <c r="AZ418" s="255">
        <v>0</v>
      </c>
      <c r="BA418" s="244">
        <v>0</v>
      </c>
      <c r="BB418" s="244">
        <v>0</v>
      </c>
      <c r="BC418" s="244">
        <v>0</v>
      </c>
      <c r="BD418" s="244">
        <v>0</v>
      </c>
      <c r="BE418" s="244">
        <v>0</v>
      </c>
      <c r="BF418" s="244">
        <v>2.1392297744750977</v>
      </c>
      <c r="BG418" s="244">
        <v>9999</v>
      </c>
      <c r="BH418" s="255">
        <v>0</v>
      </c>
      <c r="BI418" s="244">
        <v>9999</v>
      </c>
      <c r="BJ418" s="244">
        <v>9999</v>
      </c>
      <c r="BK418" s="244">
        <v>9999</v>
      </c>
      <c r="BL418" s="244">
        <v>9999</v>
      </c>
      <c r="BM418" s="244">
        <v>9999</v>
      </c>
      <c r="BN418" s="244">
        <v>0</v>
      </c>
      <c r="BO418" s="244">
        <v>25.602912988008079</v>
      </c>
      <c r="BP418" s="244">
        <v>0</v>
      </c>
      <c r="BQ418" s="244">
        <v>0</v>
      </c>
      <c r="BR418" s="244">
        <v>0</v>
      </c>
      <c r="BS418" s="244">
        <v>0</v>
      </c>
      <c r="BT418" s="244">
        <v>0</v>
      </c>
      <c r="BU418" s="244">
        <v>0</v>
      </c>
      <c r="BV418" s="244">
        <v>104.85858917236328</v>
      </c>
      <c r="BW418" s="244">
        <v>0</v>
      </c>
      <c r="BX418" s="244">
        <v>5.7906060218811035</v>
      </c>
      <c r="BY418" s="244"/>
      <c r="BZ418" s="244">
        <v>0</v>
      </c>
      <c r="CA418" s="244">
        <v>0</v>
      </c>
      <c r="CB418" s="244">
        <v>130.46150207519531</v>
      </c>
      <c r="CC418" s="244">
        <v>5.7906060218811035</v>
      </c>
      <c r="CD418" s="228">
        <v>22.529852949310197</v>
      </c>
      <c r="CE418" s="244">
        <v>9999</v>
      </c>
      <c r="CF418" s="244">
        <v>0</v>
      </c>
      <c r="CG418" s="244">
        <v>0.28991898148703049</v>
      </c>
      <c r="CH418" s="244">
        <v>0.28991898148703049</v>
      </c>
      <c r="CI418" s="244">
        <v>0</v>
      </c>
      <c r="CJ418" s="244">
        <v>1.8119936342939302E-2</v>
      </c>
      <c r="CK418" s="244">
        <v>1.8119936342939302E-2</v>
      </c>
      <c r="CL418" s="244"/>
      <c r="CM418" s="244">
        <v>3.0667574414723386</v>
      </c>
      <c r="CN418" s="244" t="s">
        <v>442</v>
      </c>
      <c r="CO418" s="244">
        <v>0.28600001335144043</v>
      </c>
      <c r="CP418" s="244">
        <v>0.31700000166893005</v>
      </c>
      <c r="CQ418" s="244">
        <v>25.602912988008079</v>
      </c>
      <c r="CR418" s="244">
        <v>0</v>
      </c>
      <c r="CS418" s="244">
        <v>0</v>
      </c>
      <c r="CT418" s="244">
        <v>25.602912902832031</v>
      </c>
      <c r="CU418" s="244">
        <v>0</v>
      </c>
      <c r="CV418" s="244">
        <v>0</v>
      </c>
      <c r="CW418" s="228">
        <v>9999</v>
      </c>
    </row>
    <row r="419" spans="1:101">
      <c r="A419" s="221" t="s">
        <v>501</v>
      </c>
      <c r="B419" s="221" t="s">
        <v>440</v>
      </c>
      <c r="C419" s="244">
        <v>10</v>
      </c>
      <c r="D419" s="244">
        <v>33.695997388177354</v>
      </c>
      <c r="E419" s="244">
        <v>1.5640462951508927</v>
      </c>
      <c r="F419" s="244">
        <v>3.2966774171383419</v>
      </c>
      <c r="G419" s="244">
        <v>0</v>
      </c>
      <c r="H419" s="244">
        <v>0</v>
      </c>
      <c r="I419" s="244" t="s">
        <v>441</v>
      </c>
      <c r="J419" s="244">
        <v>0.28600001335144043</v>
      </c>
      <c r="K419" s="244">
        <v>0.31700000166893005</v>
      </c>
      <c r="L419" s="244">
        <v>36.744602434905389</v>
      </c>
      <c r="M419" s="244">
        <v>4.6492475084960461E-3</v>
      </c>
      <c r="N419" s="244">
        <v>1.4666395261883736E-2</v>
      </c>
      <c r="O419" s="244">
        <v>1.5796867581024012</v>
      </c>
      <c r="P419" s="244">
        <v>4.7937342897057533E-3</v>
      </c>
      <c r="Q419" s="244">
        <v>1.5122190117835999E-2</v>
      </c>
      <c r="R419" s="244">
        <v>0.32778394222259521</v>
      </c>
      <c r="S419" s="244">
        <v>1.8114458322525024</v>
      </c>
      <c r="T419" s="244">
        <v>0</v>
      </c>
      <c r="U419" s="244">
        <v>3.6513762474060059</v>
      </c>
      <c r="V419" s="244" t="s">
        <v>226</v>
      </c>
      <c r="W419" s="244" t="s">
        <v>226</v>
      </c>
      <c r="X419" s="244" t="s">
        <v>226</v>
      </c>
      <c r="Y419" s="244" t="s">
        <v>226</v>
      </c>
      <c r="Z419" s="244">
        <v>0</v>
      </c>
      <c r="AA419" s="244">
        <v>0</v>
      </c>
      <c r="AB419" s="244">
        <v>0</v>
      </c>
      <c r="AC419" s="244">
        <v>0</v>
      </c>
      <c r="AD419" s="244">
        <v>0</v>
      </c>
      <c r="AE419" s="244">
        <v>0</v>
      </c>
      <c r="AF419" s="244">
        <v>0</v>
      </c>
      <c r="AG419" s="244">
        <v>0</v>
      </c>
      <c r="AH419" s="244">
        <v>0.32778394222259521</v>
      </c>
      <c r="AI419" s="244">
        <v>1.8114458322525024</v>
      </c>
      <c r="AJ419" s="244">
        <v>0</v>
      </c>
      <c r="AK419" s="244">
        <v>3.6513762474060059</v>
      </c>
      <c r="AL419" s="244">
        <v>5.7906060218811035</v>
      </c>
      <c r="AM419" s="244">
        <v>25.898206091198361</v>
      </c>
      <c r="AN419" s="244">
        <v>0</v>
      </c>
      <c r="AO419" s="244">
        <v>4.558873176574707</v>
      </c>
      <c r="AP419" s="244">
        <v>19.690523147583008</v>
      </c>
      <c r="AQ419" s="244">
        <v>50.147602081298828</v>
      </c>
      <c r="AR419" s="244">
        <v>0.32778394222259521</v>
      </c>
      <c r="AS419" s="228">
        <v>152.98980808919944</v>
      </c>
      <c r="AT419" s="244">
        <v>25.898206091198361</v>
      </c>
      <c r="AU419" s="244">
        <v>4.2038431167602539</v>
      </c>
      <c r="AV419" s="244">
        <v>4.9792571067810059</v>
      </c>
      <c r="AW419" s="244">
        <v>19.690523147583008</v>
      </c>
      <c r="AX419" s="244">
        <v>54.771827697753906</v>
      </c>
      <c r="AY419" s="244">
        <v>1.8114458322525024</v>
      </c>
      <c r="AZ419" s="228">
        <v>30.236526252741864</v>
      </c>
      <c r="BA419" s="244">
        <v>25.898206091198361</v>
      </c>
      <c r="BB419" s="244">
        <v>4.2038431167602539</v>
      </c>
      <c r="BC419" s="244">
        <v>4.9792571067810059</v>
      </c>
      <c r="BD419" s="244">
        <v>19.690523147583008</v>
      </c>
      <c r="BE419" s="244">
        <v>54.771827697753906</v>
      </c>
      <c r="BF419" s="244">
        <v>2.1392297744750977</v>
      </c>
      <c r="BG419" s="244">
        <v>-58.382366180419922</v>
      </c>
      <c r="BH419" s="228">
        <v>25.603528015480236</v>
      </c>
      <c r="BI419" s="244">
        <v>0.715812087059021</v>
      </c>
      <c r="BJ419" s="244">
        <v>3.9558217525482178</v>
      </c>
      <c r="BK419" s="244">
        <v>0</v>
      </c>
      <c r="BL419" s="244">
        <v>7.9738478660583496</v>
      </c>
      <c r="BM419" s="244">
        <v>12.645481109619141</v>
      </c>
      <c r="BN419" s="244">
        <v>25.898206091198361</v>
      </c>
      <c r="BO419" s="244">
        <v>13.057485623884135</v>
      </c>
      <c r="BP419" s="244">
        <v>4.2038431167602539</v>
      </c>
      <c r="BQ419" s="244">
        <v>0</v>
      </c>
      <c r="BR419" s="244">
        <v>0</v>
      </c>
      <c r="BS419" s="244">
        <v>0</v>
      </c>
      <c r="BT419" s="244">
        <v>19.690523147583008</v>
      </c>
      <c r="BU419" s="244">
        <v>0</v>
      </c>
      <c r="BV419" s="244">
        <v>104.85858917236328</v>
      </c>
      <c r="BW419" s="244">
        <v>4.9792571067810059</v>
      </c>
      <c r="BX419" s="244">
        <v>5.7906060218811035</v>
      </c>
      <c r="BY419" s="244"/>
      <c r="BZ419" s="244">
        <v>0</v>
      </c>
      <c r="CA419" s="244">
        <v>0</v>
      </c>
      <c r="CB419" s="244">
        <v>172.68789672851562</v>
      </c>
      <c r="CC419" s="244">
        <v>5.7906060218811035</v>
      </c>
      <c r="CD419" s="228">
        <v>29.822077966629063</v>
      </c>
      <c r="CE419" s="244">
        <v>-307.91275024414062</v>
      </c>
      <c r="CF419" s="244">
        <v>0.27728526349699073</v>
      </c>
      <c r="CG419" s="244">
        <v>0.1478586805583845</v>
      </c>
      <c r="CH419" s="244">
        <v>0.42514394405537526</v>
      </c>
      <c r="CI419" s="244">
        <v>1.359652362903189E-2</v>
      </c>
      <c r="CJ419" s="244">
        <v>9.2411675348990415E-3</v>
      </c>
      <c r="CK419" s="244">
        <v>2.2837691163930932E-2</v>
      </c>
      <c r="CL419" s="244"/>
      <c r="CM419" s="244">
        <v>1.5640462951508927</v>
      </c>
      <c r="CN419" s="244" t="s">
        <v>442</v>
      </c>
      <c r="CO419" s="244">
        <v>0.28600001335144043</v>
      </c>
      <c r="CP419" s="244">
        <v>0.31700000166893005</v>
      </c>
      <c r="CQ419" s="244">
        <v>13.057485623884135</v>
      </c>
      <c r="CR419" s="244">
        <v>0</v>
      </c>
      <c r="CS419" s="244">
        <v>0</v>
      </c>
      <c r="CT419" s="244">
        <v>13.057485580444336</v>
      </c>
      <c r="CU419" s="244">
        <v>0</v>
      </c>
      <c r="CV419" s="244">
        <v>0</v>
      </c>
      <c r="CW419" s="228">
        <v>9999</v>
      </c>
    </row>
    <row r="420" spans="1:101">
      <c r="A420" s="221" t="s">
        <v>502</v>
      </c>
      <c r="B420" s="221" t="s">
        <v>440</v>
      </c>
      <c r="C420" s="244">
        <v>10</v>
      </c>
      <c r="D420" s="244">
        <v>106.1146835805626</v>
      </c>
      <c r="E420" s="244">
        <v>0</v>
      </c>
      <c r="F420" s="244">
        <v>3.2966774171383419</v>
      </c>
      <c r="G420" s="244">
        <v>0</v>
      </c>
      <c r="H420" s="244">
        <v>0</v>
      </c>
      <c r="I420" s="244" t="s">
        <v>441</v>
      </c>
      <c r="J420" s="244">
        <v>0.28600001335144043</v>
      </c>
      <c r="K420" s="244">
        <v>0.31700000166893005</v>
      </c>
      <c r="L420" s="244">
        <v>115.71528261221954</v>
      </c>
      <c r="M420" s="244">
        <v>1.4641305431723595E-2</v>
      </c>
      <c r="N420" s="244">
        <v>4.6187084168195724E-2</v>
      </c>
      <c r="O420" s="244">
        <v>0</v>
      </c>
      <c r="P420" s="244">
        <v>0</v>
      </c>
      <c r="Q420" s="244">
        <v>0</v>
      </c>
      <c r="R420" s="244">
        <v>0.32778394222259521</v>
      </c>
      <c r="S420" s="244">
        <v>1.8114458322525024</v>
      </c>
      <c r="T420" s="244">
        <v>0</v>
      </c>
      <c r="U420" s="244">
        <v>3.6513762474060059</v>
      </c>
      <c r="V420" s="244" t="s">
        <v>226</v>
      </c>
      <c r="W420" s="244" t="s">
        <v>226</v>
      </c>
      <c r="X420" s="244" t="s">
        <v>226</v>
      </c>
      <c r="Y420" s="244" t="s">
        <v>226</v>
      </c>
      <c r="Z420" s="244">
        <v>0</v>
      </c>
      <c r="AA420" s="244">
        <v>0</v>
      </c>
      <c r="AB420" s="244">
        <v>0</v>
      </c>
      <c r="AC420" s="244">
        <v>0</v>
      </c>
      <c r="AD420" s="244">
        <v>0</v>
      </c>
      <c r="AE420" s="244">
        <v>0</v>
      </c>
      <c r="AF420" s="244">
        <v>0</v>
      </c>
      <c r="AG420" s="244">
        <v>0</v>
      </c>
      <c r="AH420" s="244">
        <v>0.32778394222259521</v>
      </c>
      <c r="AI420" s="244">
        <v>1.8114458322525024</v>
      </c>
      <c r="AJ420" s="244">
        <v>0</v>
      </c>
      <c r="AK420" s="244">
        <v>3.6513762474060059</v>
      </c>
      <c r="AL420" s="244">
        <v>5.7906060218811035</v>
      </c>
      <c r="AM420" s="244">
        <v>81.558053112739884</v>
      </c>
      <c r="AN420" s="244">
        <v>0</v>
      </c>
      <c r="AO420" s="244">
        <v>14.356701850891113</v>
      </c>
      <c r="AP420" s="244">
        <v>62.008964538574219</v>
      </c>
      <c r="AQ420" s="244">
        <v>157.92372131347656</v>
      </c>
      <c r="AR420" s="244">
        <v>0.32778394222259521</v>
      </c>
      <c r="AS420" s="228">
        <v>481.79211718358243</v>
      </c>
      <c r="AT420" s="244">
        <v>81.558053112739884</v>
      </c>
      <c r="AU420" s="244">
        <v>13.238648414611816</v>
      </c>
      <c r="AV420" s="244">
        <v>15.680566787719727</v>
      </c>
      <c r="AW420" s="244">
        <v>62.008964538574219</v>
      </c>
      <c r="AX420" s="244">
        <v>172.48623657226562</v>
      </c>
      <c r="AY420" s="244">
        <v>1.8114458322525024</v>
      </c>
      <c r="AZ420" s="228">
        <v>95.220199126330996</v>
      </c>
      <c r="BA420" s="244">
        <v>81.558053112739884</v>
      </c>
      <c r="BB420" s="244">
        <v>13.238648414611816</v>
      </c>
      <c r="BC420" s="244">
        <v>15.680566787719727</v>
      </c>
      <c r="BD420" s="244">
        <v>62.008964538574219</v>
      </c>
      <c r="BE420" s="244">
        <v>172.48623657226562</v>
      </c>
      <c r="BF420" s="244">
        <v>2.1392297744750977</v>
      </c>
      <c r="BG420" s="244">
        <v>-61.570560455322266</v>
      </c>
      <c r="BH420" s="228">
        <v>80.630063638661042</v>
      </c>
      <c r="BI420" s="244">
        <v>0.22730126976966858</v>
      </c>
      <c r="BJ420" s="244">
        <v>1.2561442852020264</v>
      </c>
      <c r="BK420" s="244">
        <v>0</v>
      </c>
      <c r="BL420" s="244">
        <v>2.5320413112640381</v>
      </c>
      <c r="BM420" s="244">
        <v>4.0154867172241211</v>
      </c>
      <c r="BN420" s="244">
        <v>81.558053112739884</v>
      </c>
      <c r="BO420" s="244">
        <v>0</v>
      </c>
      <c r="BP420" s="244">
        <v>13.238648414611816</v>
      </c>
      <c r="BQ420" s="244">
        <v>0</v>
      </c>
      <c r="BR420" s="244">
        <v>0</v>
      </c>
      <c r="BS420" s="244">
        <v>0</v>
      </c>
      <c r="BT420" s="244">
        <v>62.008964538574219</v>
      </c>
      <c r="BU420" s="244">
        <v>0</v>
      </c>
      <c r="BV420" s="244">
        <v>152.23915100097656</v>
      </c>
      <c r="BW420" s="244">
        <v>15.680566787719727</v>
      </c>
      <c r="BX420" s="244">
        <v>5.7906060218811035</v>
      </c>
      <c r="BY420" s="244"/>
      <c r="BZ420" s="244">
        <v>0</v>
      </c>
      <c r="CA420" s="244">
        <v>0</v>
      </c>
      <c r="CB420" s="244">
        <v>324.72537231445312</v>
      </c>
      <c r="CC420" s="244">
        <v>5.7906060218811035</v>
      </c>
      <c r="CD420" s="228">
        <v>56.077961896833344</v>
      </c>
      <c r="CE420" s="244">
        <v>-164.6085205078125</v>
      </c>
      <c r="CF420" s="244">
        <v>0.87322056856105768</v>
      </c>
      <c r="CG420" s="244">
        <v>0</v>
      </c>
      <c r="CH420" s="244">
        <v>0.87322056856105768</v>
      </c>
      <c r="CI420" s="244">
        <v>4.2817869020745518E-2</v>
      </c>
      <c r="CJ420" s="244">
        <v>0</v>
      </c>
      <c r="CK420" s="244">
        <v>4.2817869020745518E-2</v>
      </c>
      <c r="CL420" s="244"/>
      <c r="CM420" s="244">
        <v>0</v>
      </c>
      <c r="CN420" s="244" t="s">
        <v>442</v>
      </c>
      <c r="CO420" s="244">
        <v>0</v>
      </c>
      <c r="CP420" s="244">
        <v>0</v>
      </c>
      <c r="CQ420" s="244">
        <v>0</v>
      </c>
      <c r="CR420" s="244">
        <v>0</v>
      </c>
      <c r="CS420" s="244">
        <v>0</v>
      </c>
      <c r="CT420" s="244">
        <v>0</v>
      </c>
      <c r="CU420" s="244">
        <v>0</v>
      </c>
      <c r="CV420" s="244">
        <v>9999</v>
      </c>
      <c r="CW420" s="228">
        <v>9999</v>
      </c>
    </row>
    <row r="421" spans="1:101">
      <c r="A421" s="221" t="s">
        <v>503</v>
      </c>
      <c r="B421" s="221" t="s">
        <v>440</v>
      </c>
      <c r="C421" s="244">
        <v>10</v>
      </c>
      <c r="D421" s="244">
        <v>0</v>
      </c>
      <c r="E421" s="244">
        <v>4.7323044327167834</v>
      </c>
      <c r="F421" s="244">
        <v>3.2966774171383419</v>
      </c>
      <c r="G421" s="244">
        <v>0</v>
      </c>
      <c r="H421" s="244">
        <v>0</v>
      </c>
      <c r="I421" s="244" t="s">
        <v>441</v>
      </c>
      <c r="J421" s="244">
        <v>0</v>
      </c>
      <c r="K421" s="244">
        <v>0</v>
      </c>
      <c r="L421" s="244">
        <v>0</v>
      </c>
      <c r="M421" s="244">
        <v>0</v>
      </c>
      <c r="N421" s="244">
        <v>0</v>
      </c>
      <c r="O421" s="244">
        <v>4.7796274770439489</v>
      </c>
      <c r="P421" s="244">
        <v>1.4504308812320232E-2</v>
      </c>
      <c r="Q421" s="244">
        <v>4.5754916965961456E-2</v>
      </c>
      <c r="R421" s="244">
        <v>0.32778394222259521</v>
      </c>
      <c r="S421" s="244">
        <v>1.8114458322525024</v>
      </c>
      <c r="T421" s="244">
        <v>0</v>
      </c>
      <c r="U421" s="244">
        <v>3.6513762474060059</v>
      </c>
      <c r="V421" s="244" t="s">
        <v>226</v>
      </c>
      <c r="W421" s="244" t="s">
        <v>226</v>
      </c>
      <c r="X421" s="244" t="s">
        <v>226</v>
      </c>
      <c r="Y421" s="244" t="s">
        <v>226</v>
      </c>
      <c r="Z421" s="244">
        <v>0</v>
      </c>
      <c r="AA421" s="244">
        <v>0</v>
      </c>
      <c r="AB421" s="244">
        <v>0</v>
      </c>
      <c r="AC421" s="244">
        <v>0</v>
      </c>
      <c r="AD421" s="244">
        <v>0</v>
      </c>
      <c r="AE421" s="244">
        <v>0</v>
      </c>
      <c r="AF421" s="244">
        <v>0</v>
      </c>
      <c r="AG421" s="244">
        <v>0</v>
      </c>
      <c r="AH421" s="244">
        <v>0.32778394222259521</v>
      </c>
      <c r="AI421" s="244">
        <v>1.8114458322525024</v>
      </c>
      <c r="AJ421" s="244">
        <v>0</v>
      </c>
      <c r="AK421" s="244">
        <v>3.6513762474060059</v>
      </c>
      <c r="AL421" s="244">
        <v>5.7906060218811035</v>
      </c>
      <c r="AM421" s="244">
        <v>0</v>
      </c>
      <c r="AN421" s="244">
        <v>0</v>
      </c>
      <c r="AO421" s="244">
        <v>0</v>
      </c>
      <c r="AP421" s="244">
        <v>0</v>
      </c>
      <c r="AQ421" s="244">
        <v>0</v>
      </c>
      <c r="AR421" s="244">
        <v>0.32778394222259521</v>
      </c>
      <c r="AS421" s="255">
        <v>0</v>
      </c>
      <c r="AT421" s="244">
        <v>0</v>
      </c>
      <c r="AU421" s="244">
        <v>0</v>
      </c>
      <c r="AV421" s="244">
        <v>0</v>
      </c>
      <c r="AW421" s="244">
        <v>0</v>
      </c>
      <c r="AX421" s="244">
        <v>0</v>
      </c>
      <c r="AY421" s="244">
        <v>1.8114458322525024</v>
      </c>
      <c r="AZ421" s="255">
        <v>0</v>
      </c>
      <c r="BA421" s="244">
        <v>0</v>
      </c>
      <c r="BB421" s="244">
        <v>0</v>
      </c>
      <c r="BC421" s="244">
        <v>0</v>
      </c>
      <c r="BD421" s="244">
        <v>0</v>
      </c>
      <c r="BE421" s="244">
        <v>0</v>
      </c>
      <c r="BF421" s="244">
        <v>2.1392297744750977</v>
      </c>
      <c r="BG421" s="244">
        <v>9999</v>
      </c>
      <c r="BH421" s="255">
        <v>0</v>
      </c>
      <c r="BI421" s="244">
        <v>9999</v>
      </c>
      <c r="BJ421" s="244">
        <v>9999</v>
      </c>
      <c r="BK421" s="244">
        <v>9999</v>
      </c>
      <c r="BL421" s="244">
        <v>9999</v>
      </c>
      <c r="BM421" s="244">
        <v>9999</v>
      </c>
      <c r="BN421" s="244">
        <v>0</v>
      </c>
      <c r="BO421" s="244">
        <v>39.507780101919039</v>
      </c>
      <c r="BP421" s="244">
        <v>0</v>
      </c>
      <c r="BQ421" s="244">
        <v>0</v>
      </c>
      <c r="BR421" s="244">
        <v>0</v>
      </c>
      <c r="BS421" s="244">
        <v>0</v>
      </c>
      <c r="BT421" s="244">
        <v>0</v>
      </c>
      <c r="BU421" s="244">
        <v>0</v>
      </c>
      <c r="BV421" s="244">
        <v>152.23915100097656</v>
      </c>
      <c r="BW421" s="244">
        <v>0</v>
      </c>
      <c r="BX421" s="244">
        <v>5.7906060218811035</v>
      </c>
      <c r="BY421" s="244"/>
      <c r="BZ421" s="244">
        <v>0</v>
      </c>
      <c r="CA421" s="244">
        <v>0</v>
      </c>
      <c r="CB421" s="244">
        <v>191.74693298339844</v>
      </c>
      <c r="CC421" s="244">
        <v>5.7906060218811035</v>
      </c>
      <c r="CD421" s="228">
        <v>33.113447949720083</v>
      </c>
      <c r="CE421" s="244">
        <v>9999</v>
      </c>
      <c r="CF421" s="244">
        <v>0</v>
      </c>
      <c r="CG421" s="244">
        <v>0.44737313185131677</v>
      </c>
      <c r="CH421" s="244">
        <v>0.44737313185131677</v>
      </c>
      <c r="CI421" s="244">
        <v>0</v>
      </c>
      <c r="CJ421" s="244">
        <v>2.7960820740707087E-2</v>
      </c>
      <c r="CK421" s="244">
        <v>2.7960820740707087E-2</v>
      </c>
      <c r="CL421" s="244"/>
      <c r="CM421" s="244">
        <v>4.7323044327167834</v>
      </c>
      <c r="CN421" s="244" t="s">
        <v>442</v>
      </c>
      <c r="CO421" s="244">
        <v>0.28600001335144043</v>
      </c>
      <c r="CP421" s="244">
        <v>0.31700000166893005</v>
      </c>
      <c r="CQ421" s="244">
        <v>39.507780101919039</v>
      </c>
      <c r="CR421" s="244">
        <v>0</v>
      </c>
      <c r="CS421" s="244">
        <v>0</v>
      </c>
      <c r="CT421" s="244">
        <v>39.507781982421875</v>
      </c>
      <c r="CU421" s="244">
        <v>0</v>
      </c>
      <c r="CV421" s="244">
        <v>0</v>
      </c>
      <c r="CW421" s="228">
        <v>9999</v>
      </c>
    </row>
    <row r="422" spans="1:101">
      <c r="A422" s="221" t="s">
        <v>504</v>
      </c>
      <c r="B422" s="221" t="s">
        <v>440</v>
      </c>
      <c r="C422" s="244">
        <v>10</v>
      </c>
      <c r="D422" s="244">
        <v>51.996194954475676</v>
      </c>
      <c r="E422" s="244">
        <v>2.4134752606855594</v>
      </c>
      <c r="F422" s="244">
        <v>3.2966774171383419</v>
      </c>
      <c r="G422" s="244">
        <v>0</v>
      </c>
      <c r="H422" s="244">
        <v>0</v>
      </c>
      <c r="I422" s="244" t="s">
        <v>441</v>
      </c>
      <c r="J422" s="244">
        <v>0.28600001335144043</v>
      </c>
      <c r="K422" s="244">
        <v>0.31700000166893005</v>
      </c>
      <c r="L422" s="244">
        <v>56.700488479987591</v>
      </c>
      <c r="M422" s="244">
        <v>7.1742399595677853E-3</v>
      </c>
      <c r="N422" s="244">
        <v>2.2631671279668808E-2</v>
      </c>
      <c r="O422" s="244">
        <v>2.4376100132924154</v>
      </c>
      <c r="P422" s="244">
        <v>7.3971976526081562E-3</v>
      </c>
      <c r="Q422" s="244">
        <v>2.3335007950663567E-2</v>
      </c>
      <c r="R422" s="244">
        <v>0.32778394222259521</v>
      </c>
      <c r="S422" s="244">
        <v>1.8114458322525024</v>
      </c>
      <c r="T422" s="244">
        <v>0</v>
      </c>
      <c r="U422" s="244">
        <v>3.6513762474060059</v>
      </c>
      <c r="V422" s="244" t="s">
        <v>226</v>
      </c>
      <c r="W422" s="244" t="s">
        <v>226</v>
      </c>
      <c r="X422" s="244" t="s">
        <v>226</v>
      </c>
      <c r="Y422" s="244" t="s">
        <v>226</v>
      </c>
      <c r="Z422" s="244">
        <v>0</v>
      </c>
      <c r="AA422" s="244">
        <v>0</v>
      </c>
      <c r="AB422" s="244">
        <v>0</v>
      </c>
      <c r="AC422" s="244">
        <v>0</v>
      </c>
      <c r="AD422" s="244">
        <v>0</v>
      </c>
      <c r="AE422" s="244">
        <v>0</v>
      </c>
      <c r="AF422" s="244">
        <v>0</v>
      </c>
      <c r="AG422" s="244">
        <v>0</v>
      </c>
      <c r="AH422" s="244">
        <v>0.32778394222259521</v>
      </c>
      <c r="AI422" s="244">
        <v>1.8114458322525024</v>
      </c>
      <c r="AJ422" s="244">
        <v>0</v>
      </c>
      <c r="AK422" s="244">
        <v>3.6513762474060059</v>
      </c>
      <c r="AL422" s="244">
        <v>5.7906060218811035</v>
      </c>
      <c r="AM422" s="244">
        <v>39.96344602524259</v>
      </c>
      <c r="AN422" s="244">
        <v>0</v>
      </c>
      <c r="AO422" s="244">
        <v>7.0347833633422852</v>
      </c>
      <c r="AP422" s="244">
        <v>30.384387969970703</v>
      </c>
      <c r="AQ422" s="244">
        <v>77.382614135742188</v>
      </c>
      <c r="AR422" s="244">
        <v>0.32778394222259521</v>
      </c>
      <c r="AS422" s="228">
        <v>236.07812156339776</v>
      </c>
      <c r="AT422" s="244">
        <v>39.96344602524259</v>
      </c>
      <c r="AU422" s="244">
        <v>6.4869370460510254</v>
      </c>
      <c r="AV422" s="244">
        <v>7.6834774017333984</v>
      </c>
      <c r="AW422" s="244">
        <v>30.384387969970703</v>
      </c>
      <c r="AX422" s="244">
        <v>84.51824951171875</v>
      </c>
      <c r="AY422" s="244">
        <v>1.8114458322525024</v>
      </c>
      <c r="AZ422" s="228">
        <v>46.657894449927156</v>
      </c>
      <c r="BA422" s="244">
        <v>39.96344602524259</v>
      </c>
      <c r="BB422" s="244">
        <v>6.4869370460510254</v>
      </c>
      <c r="BC422" s="244">
        <v>7.6834774017333984</v>
      </c>
      <c r="BD422" s="244">
        <v>30.384387969970703</v>
      </c>
      <c r="BE422" s="244">
        <v>84.51824951171875</v>
      </c>
      <c r="BF422" s="244">
        <v>2.1392297744750977</v>
      </c>
      <c r="BG422" s="244">
        <v>-60.026557922363281</v>
      </c>
      <c r="BH422" s="228">
        <v>39.508728539334179</v>
      </c>
      <c r="BI422" s="244">
        <v>0.46388015151023865</v>
      </c>
      <c r="BJ422" s="244">
        <v>2.5635597705841064</v>
      </c>
      <c r="BK422" s="244">
        <v>0</v>
      </c>
      <c r="BL422" s="244">
        <v>5.1674308776855469</v>
      </c>
      <c r="BM422" s="244">
        <v>8.1948709487915039</v>
      </c>
      <c r="BN422" s="244">
        <v>39.96344602524259</v>
      </c>
      <c r="BO422" s="244">
        <v>20.148967851978718</v>
      </c>
      <c r="BP422" s="244">
        <v>6.4869370460510254</v>
      </c>
      <c r="BQ422" s="244">
        <v>0</v>
      </c>
      <c r="BR422" s="244">
        <v>0</v>
      </c>
      <c r="BS422" s="244">
        <v>0</v>
      </c>
      <c r="BT422" s="244">
        <v>30.384387969970703</v>
      </c>
      <c r="BU422" s="244">
        <v>0</v>
      </c>
      <c r="BV422" s="244">
        <v>152.23915100097656</v>
      </c>
      <c r="BW422" s="244">
        <v>7.6834774017333984</v>
      </c>
      <c r="BX422" s="244">
        <v>5.7906060218811035</v>
      </c>
      <c r="BY422" s="244"/>
      <c r="BZ422" s="244">
        <v>0</v>
      </c>
      <c r="CA422" s="244">
        <v>0</v>
      </c>
      <c r="CB422" s="244">
        <v>256.9063720703125</v>
      </c>
      <c r="CC422" s="244">
        <v>5.7906060218811035</v>
      </c>
      <c r="CD422" s="228">
        <v>44.366058807174014</v>
      </c>
      <c r="CE422" s="244">
        <v>-298.82296752929687</v>
      </c>
      <c r="CF422" s="244">
        <v>0.42787807859491778</v>
      </c>
      <c r="CG422" s="244">
        <v>0.22816029724417114</v>
      </c>
      <c r="CH422" s="244">
        <v>0.65603837583908886</v>
      </c>
      <c r="CI422" s="244">
        <v>2.09807558201653E-2</v>
      </c>
      <c r="CJ422" s="244">
        <v>1.4260018577760634E-2</v>
      </c>
      <c r="CK422" s="244">
        <v>3.5240774397925931E-2</v>
      </c>
      <c r="CL422" s="244"/>
      <c r="CM422" s="244">
        <v>2.4134752606855594</v>
      </c>
      <c r="CN422" s="244" t="s">
        <v>442</v>
      </c>
      <c r="CO422" s="244">
        <v>0.28600001335144043</v>
      </c>
      <c r="CP422" s="244">
        <v>0.31700000166893005</v>
      </c>
      <c r="CQ422" s="244">
        <v>20.148967851978718</v>
      </c>
      <c r="CR422" s="244">
        <v>0</v>
      </c>
      <c r="CS422" s="244">
        <v>0</v>
      </c>
      <c r="CT422" s="244">
        <v>20.148967742919922</v>
      </c>
      <c r="CU422" s="244">
        <v>0</v>
      </c>
      <c r="CV422" s="244">
        <v>0</v>
      </c>
      <c r="CW422" s="228">
        <v>9999</v>
      </c>
    </row>
    <row r="423" spans="1:101">
      <c r="A423" s="221" t="s">
        <v>505</v>
      </c>
      <c r="B423" s="221" t="s">
        <v>440</v>
      </c>
      <c r="C423" s="244">
        <v>10</v>
      </c>
      <c r="D423" s="244">
        <v>77.323503796252623</v>
      </c>
      <c r="E423" s="244">
        <v>0</v>
      </c>
      <c r="F423" s="244">
        <v>11.336666666666666</v>
      </c>
      <c r="G423" s="244">
        <v>0</v>
      </c>
      <c r="H423" s="244">
        <v>0</v>
      </c>
      <c r="I423" s="244" t="s">
        <v>441</v>
      </c>
      <c r="J423" s="244">
        <v>0.28600001335144043</v>
      </c>
      <c r="K423" s="244">
        <v>0.31700000166893005</v>
      </c>
      <c r="L423" s="244">
        <v>84.319255285319926</v>
      </c>
      <c r="M423" s="244">
        <v>1.0668806731700897E-2</v>
      </c>
      <c r="N423" s="244">
        <v>3.3655542880296707E-2</v>
      </c>
      <c r="O423" s="244">
        <v>0</v>
      </c>
      <c r="P423" s="244">
        <v>0</v>
      </c>
      <c r="Q423" s="244">
        <v>0</v>
      </c>
      <c r="R423" s="244">
        <v>1.1271885633468628</v>
      </c>
      <c r="S423" s="244">
        <v>6.2292284965515137</v>
      </c>
      <c r="T423" s="244">
        <v>0</v>
      </c>
      <c r="U423" s="244">
        <v>12.556410789489746</v>
      </c>
      <c r="V423" s="244" t="s">
        <v>226</v>
      </c>
      <c r="W423" s="244" t="s">
        <v>226</v>
      </c>
      <c r="X423" s="244" t="s">
        <v>226</v>
      </c>
      <c r="Y423" s="244" t="s">
        <v>226</v>
      </c>
      <c r="Z423" s="244">
        <v>0</v>
      </c>
      <c r="AA423" s="244">
        <v>0</v>
      </c>
      <c r="AB423" s="244">
        <v>0</v>
      </c>
      <c r="AC423" s="244">
        <v>0</v>
      </c>
      <c r="AD423" s="244">
        <v>0</v>
      </c>
      <c r="AE423" s="244">
        <v>0</v>
      </c>
      <c r="AF423" s="244">
        <v>0</v>
      </c>
      <c r="AG423" s="244">
        <v>0</v>
      </c>
      <c r="AH423" s="244">
        <v>1.1271885633468628</v>
      </c>
      <c r="AI423" s="244">
        <v>6.2292284965515137</v>
      </c>
      <c r="AJ423" s="244">
        <v>0</v>
      </c>
      <c r="AK423" s="244">
        <v>12.556410789489746</v>
      </c>
      <c r="AL423" s="244">
        <v>19.912827849388123</v>
      </c>
      <c r="AM423" s="244">
        <v>59.429611592726523</v>
      </c>
      <c r="AN423" s="244">
        <v>0</v>
      </c>
      <c r="AO423" s="244">
        <v>10.461421966552734</v>
      </c>
      <c r="AP423" s="244">
        <v>45.184604644775391</v>
      </c>
      <c r="AQ423" s="244">
        <v>115.07563781738281</v>
      </c>
      <c r="AR423" s="244">
        <v>1.1271885633468628</v>
      </c>
      <c r="AS423" s="228">
        <v>102.09084969986795</v>
      </c>
      <c r="AT423" s="244">
        <v>59.429611592726523</v>
      </c>
      <c r="AU423" s="244">
        <v>9.6467208862304687</v>
      </c>
      <c r="AV423" s="244">
        <v>11.426094055175781</v>
      </c>
      <c r="AW423" s="244">
        <v>45.184604644775391</v>
      </c>
      <c r="AX423" s="244">
        <v>125.68703460693359</v>
      </c>
      <c r="AY423" s="244">
        <v>6.2292284965515137</v>
      </c>
      <c r="AZ423" s="228">
        <v>20.176981988778902</v>
      </c>
      <c r="BA423" s="244">
        <v>59.429611592726523</v>
      </c>
      <c r="BB423" s="244">
        <v>9.6467208862304687</v>
      </c>
      <c r="BC423" s="244">
        <v>11.426094055175781</v>
      </c>
      <c r="BD423" s="244">
        <v>45.184604644775391</v>
      </c>
      <c r="BE423" s="244">
        <v>125.68703460693359</v>
      </c>
      <c r="BF423" s="244">
        <v>7.356417179107666</v>
      </c>
      <c r="BG423" s="244">
        <v>-56.053253173828125</v>
      </c>
      <c r="BH423" s="228">
        <v>17.085359646621836</v>
      </c>
      <c r="BI423" s="244">
        <v>1.0726912021636963</v>
      </c>
      <c r="BJ423" s="244">
        <v>5.9280576705932617</v>
      </c>
      <c r="BK423" s="244">
        <v>0</v>
      </c>
      <c r="BL423" s="244">
        <v>11.949333190917969</v>
      </c>
      <c r="BM423" s="244">
        <v>18.950082778930664</v>
      </c>
      <c r="BN423" s="244">
        <v>59.429611592726523</v>
      </c>
      <c r="BO423" s="244">
        <v>0</v>
      </c>
      <c r="BP423" s="244">
        <v>9.6467208862304687</v>
      </c>
      <c r="BQ423" s="244">
        <v>0</v>
      </c>
      <c r="BR423" s="244">
        <v>0</v>
      </c>
      <c r="BS423" s="244">
        <v>0</v>
      </c>
      <c r="BT423" s="244">
        <v>45.184604644775391</v>
      </c>
      <c r="BU423" s="244">
        <v>0</v>
      </c>
      <c r="BV423" s="244">
        <v>111.84915161132812</v>
      </c>
      <c r="BW423" s="244">
        <v>11.426094055175781</v>
      </c>
      <c r="BX423" s="244">
        <v>19.91282844543457</v>
      </c>
      <c r="BY423" s="244"/>
      <c r="BZ423" s="244">
        <v>0</v>
      </c>
      <c r="CA423" s="244">
        <v>0</v>
      </c>
      <c r="CB423" s="244">
        <v>237.53617858886719</v>
      </c>
      <c r="CC423" s="244">
        <v>19.91282844543457</v>
      </c>
      <c r="CD423" s="228">
        <v>11.928801749140584</v>
      </c>
      <c r="CE423" s="244">
        <v>-150.54537963867187</v>
      </c>
      <c r="CF423" s="244">
        <v>0.63629718027510351</v>
      </c>
      <c r="CG423" s="244">
        <v>0</v>
      </c>
      <c r="CH423" s="244">
        <v>0.63629718027510351</v>
      </c>
      <c r="CI423" s="244">
        <v>3.1200466759715433E-2</v>
      </c>
      <c r="CJ423" s="244">
        <v>0</v>
      </c>
      <c r="CK423" s="244">
        <v>3.1200466759715433E-2</v>
      </c>
      <c r="CL423" s="244"/>
      <c r="CM423" s="244">
        <v>0</v>
      </c>
      <c r="CN423" s="244" t="s">
        <v>442</v>
      </c>
      <c r="CO423" s="244">
        <v>0</v>
      </c>
      <c r="CP423" s="244">
        <v>0</v>
      </c>
      <c r="CQ423" s="244">
        <v>0</v>
      </c>
      <c r="CR423" s="244">
        <v>0</v>
      </c>
      <c r="CS423" s="244">
        <v>0</v>
      </c>
      <c r="CT423" s="244">
        <v>0</v>
      </c>
      <c r="CU423" s="244">
        <v>0</v>
      </c>
      <c r="CV423" s="244">
        <v>9999</v>
      </c>
      <c r="CW423" s="228">
        <v>9999</v>
      </c>
    </row>
    <row r="424" spans="1:101">
      <c r="A424" s="221" t="s">
        <v>506</v>
      </c>
      <c r="B424" s="221" t="s">
        <v>440</v>
      </c>
      <c r="C424" s="244">
        <v>10</v>
      </c>
      <c r="D424" s="244">
        <v>0</v>
      </c>
      <c r="E424" s="244">
        <v>3.4483291795370898</v>
      </c>
      <c r="F424" s="244">
        <v>11.336666666666666</v>
      </c>
      <c r="G424" s="244">
        <v>0</v>
      </c>
      <c r="H424" s="244">
        <v>0</v>
      </c>
      <c r="I424" s="244" t="s">
        <v>441</v>
      </c>
      <c r="J424" s="244">
        <v>0</v>
      </c>
      <c r="K424" s="244">
        <v>0</v>
      </c>
      <c r="L424" s="244">
        <v>0</v>
      </c>
      <c r="M424" s="244">
        <v>0</v>
      </c>
      <c r="N424" s="244">
        <v>0</v>
      </c>
      <c r="O424" s="244">
        <v>3.4828124713324615</v>
      </c>
      <c r="P424" s="244">
        <v>1.0568979196250439E-2</v>
      </c>
      <c r="Q424" s="244">
        <v>3.3340629190206528E-2</v>
      </c>
      <c r="R424" s="244">
        <v>1.1271885633468628</v>
      </c>
      <c r="S424" s="244">
        <v>6.2292284965515137</v>
      </c>
      <c r="T424" s="244">
        <v>0</v>
      </c>
      <c r="U424" s="244">
        <v>12.556410789489746</v>
      </c>
      <c r="V424" s="244" t="s">
        <v>226</v>
      </c>
      <c r="W424" s="244" t="s">
        <v>226</v>
      </c>
      <c r="X424" s="244" t="s">
        <v>226</v>
      </c>
      <c r="Y424" s="244" t="s">
        <v>226</v>
      </c>
      <c r="Z424" s="244">
        <v>0</v>
      </c>
      <c r="AA424" s="244">
        <v>0</v>
      </c>
      <c r="AB424" s="244">
        <v>0</v>
      </c>
      <c r="AC424" s="244">
        <v>0</v>
      </c>
      <c r="AD424" s="244">
        <v>0</v>
      </c>
      <c r="AE424" s="244">
        <v>0</v>
      </c>
      <c r="AF424" s="244">
        <v>0</v>
      </c>
      <c r="AG424" s="244">
        <v>0</v>
      </c>
      <c r="AH424" s="244">
        <v>1.1271885633468628</v>
      </c>
      <c r="AI424" s="244">
        <v>6.2292284965515137</v>
      </c>
      <c r="AJ424" s="244">
        <v>0</v>
      </c>
      <c r="AK424" s="244">
        <v>12.556410789489746</v>
      </c>
      <c r="AL424" s="244">
        <v>19.912827849388123</v>
      </c>
      <c r="AM424" s="244">
        <v>0</v>
      </c>
      <c r="AN424" s="244">
        <v>0</v>
      </c>
      <c r="AO424" s="244">
        <v>0</v>
      </c>
      <c r="AP424" s="244">
        <v>0</v>
      </c>
      <c r="AQ424" s="244">
        <v>0</v>
      </c>
      <c r="AR424" s="244">
        <v>1.1271885633468628</v>
      </c>
      <c r="AS424" s="255">
        <v>0</v>
      </c>
      <c r="AT424" s="244">
        <v>0</v>
      </c>
      <c r="AU424" s="244">
        <v>0</v>
      </c>
      <c r="AV424" s="244">
        <v>0</v>
      </c>
      <c r="AW424" s="244">
        <v>0</v>
      </c>
      <c r="AX424" s="244">
        <v>0</v>
      </c>
      <c r="AY424" s="244">
        <v>6.2292284965515137</v>
      </c>
      <c r="AZ424" s="255">
        <v>0</v>
      </c>
      <c r="BA424" s="244">
        <v>0</v>
      </c>
      <c r="BB424" s="244">
        <v>0</v>
      </c>
      <c r="BC424" s="244">
        <v>0</v>
      </c>
      <c r="BD424" s="244">
        <v>0</v>
      </c>
      <c r="BE424" s="244">
        <v>0</v>
      </c>
      <c r="BF424" s="244">
        <v>7.356417179107666</v>
      </c>
      <c r="BG424" s="244">
        <v>9999</v>
      </c>
      <c r="BH424" s="255">
        <v>0</v>
      </c>
      <c r="BI424" s="244">
        <v>9999</v>
      </c>
      <c r="BJ424" s="244">
        <v>9999</v>
      </c>
      <c r="BK424" s="244">
        <v>9999</v>
      </c>
      <c r="BL424" s="244">
        <v>9999</v>
      </c>
      <c r="BM424" s="244">
        <v>9999</v>
      </c>
      <c r="BN424" s="244">
        <v>0</v>
      </c>
      <c r="BO424" s="244">
        <v>28.788475653069977</v>
      </c>
      <c r="BP424" s="244">
        <v>0</v>
      </c>
      <c r="BQ424" s="244">
        <v>0</v>
      </c>
      <c r="BR424" s="244">
        <v>0</v>
      </c>
      <c r="BS424" s="244">
        <v>0</v>
      </c>
      <c r="BT424" s="244">
        <v>0</v>
      </c>
      <c r="BU424" s="244">
        <v>0</v>
      </c>
      <c r="BV424" s="244">
        <v>111.84915161132812</v>
      </c>
      <c r="BW424" s="244">
        <v>0</v>
      </c>
      <c r="BX424" s="244">
        <v>19.91282844543457</v>
      </c>
      <c r="BY424" s="244"/>
      <c r="BZ424" s="244">
        <v>0</v>
      </c>
      <c r="CA424" s="244">
        <v>0</v>
      </c>
      <c r="CB424" s="244">
        <v>140.63763427734375</v>
      </c>
      <c r="CC424" s="244">
        <v>19.91282844543457</v>
      </c>
      <c r="CD424" s="228">
        <v>7.0626645355668796</v>
      </c>
      <c r="CE424" s="244">
        <v>9999</v>
      </c>
      <c r="CF424" s="244">
        <v>0</v>
      </c>
      <c r="CG424" s="244">
        <v>0.32599124731671653</v>
      </c>
      <c r="CH424" s="244">
        <v>0.32599124731671653</v>
      </c>
      <c r="CI424" s="244">
        <v>0</v>
      </c>
      <c r="CJ424" s="244">
        <v>2.0374452957294908E-2</v>
      </c>
      <c r="CK424" s="244">
        <v>2.0374452957294908E-2</v>
      </c>
      <c r="CL424" s="244"/>
      <c r="CM424" s="244">
        <v>3.4483291795370898</v>
      </c>
      <c r="CN424" s="244" t="s">
        <v>442</v>
      </c>
      <c r="CO424" s="244">
        <v>0.28600001335144043</v>
      </c>
      <c r="CP424" s="244">
        <v>0.31700000166893005</v>
      </c>
      <c r="CQ424" s="244">
        <v>28.788475653069977</v>
      </c>
      <c r="CR424" s="244">
        <v>0</v>
      </c>
      <c r="CS424" s="244">
        <v>0</v>
      </c>
      <c r="CT424" s="244">
        <v>28.788475036621094</v>
      </c>
      <c r="CU424" s="244">
        <v>0</v>
      </c>
      <c r="CV424" s="244">
        <v>0</v>
      </c>
      <c r="CW424" s="228">
        <v>9999</v>
      </c>
    </row>
    <row r="425" spans="1:101">
      <c r="A425" s="221" t="s">
        <v>507</v>
      </c>
      <c r="B425" s="221" t="s">
        <v>440</v>
      </c>
      <c r="C425" s="244">
        <v>10</v>
      </c>
      <c r="D425" s="244">
        <v>37.888516860163783</v>
      </c>
      <c r="E425" s="244">
        <v>1.7586478815639159</v>
      </c>
      <c r="F425" s="244">
        <v>11.336666666666666</v>
      </c>
      <c r="G425" s="244">
        <v>0</v>
      </c>
      <c r="H425" s="244">
        <v>0</v>
      </c>
      <c r="I425" s="244" t="s">
        <v>441</v>
      </c>
      <c r="J425" s="244">
        <v>0.28600001335144043</v>
      </c>
      <c r="K425" s="244">
        <v>0.31700000166893005</v>
      </c>
      <c r="L425" s="244">
        <v>41.316435089806767</v>
      </c>
      <c r="M425" s="244">
        <v>5.2277152426540852E-3</v>
      </c>
      <c r="N425" s="244">
        <v>1.649121567606926E-2</v>
      </c>
      <c r="O425" s="244">
        <v>1.7762343603795545</v>
      </c>
      <c r="P425" s="244">
        <v>5.3901802748441696E-3</v>
      </c>
      <c r="Q425" s="244">
        <v>1.7003722488880157E-2</v>
      </c>
      <c r="R425" s="244">
        <v>1.1271885633468628</v>
      </c>
      <c r="S425" s="244">
        <v>6.2292284965515137</v>
      </c>
      <c r="T425" s="244">
        <v>0</v>
      </c>
      <c r="U425" s="244">
        <v>12.556410789489746</v>
      </c>
      <c r="V425" s="244" t="s">
        <v>226</v>
      </c>
      <c r="W425" s="244" t="s">
        <v>226</v>
      </c>
      <c r="X425" s="244" t="s">
        <v>226</v>
      </c>
      <c r="Y425" s="244" t="s">
        <v>226</v>
      </c>
      <c r="Z425" s="244">
        <v>0</v>
      </c>
      <c r="AA425" s="244">
        <v>0</v>
      </c>
      <c r="AB425" s="244">
        <v>0</v>
      </c>
      <c r="AC425" s="244">
        <v>0</v>
      </c>
      <c r="AD425" s="244">
        <v>0</v>
      </c>
      <c r="AE425" s="244">
        <v>0</v>
      </c>
      <c r="AF425" s="244">
        <v>0</v>
      </c>
      <c r="AG425" s="244">
        <v>0</v>
      </c>
      <c r="AH425" s="244">
        <v>1.1271885633468628</v>
      </c>
      <c r="AI425" s="244">
        <v>6.2292284965515137</v>
      </c>
      <c r="AJ425" s="244">
        <v>0</v>
      </c>
      <c r="AK425" s="244">
        <v>12.556410789489746</v>
      </c>
      <c r="AL425" s="244">
        <v>19.912827849388123</v>
      </c>
      <c r="AM425" s="244">
        <v>29.120509680436001</v>
      </c>
      <c r="AN425" s="244">
        <v>0</v>
      </c>
      <c r="AO425" s="244">
        <v>5.1260967254638672</v>
      </c>
      <c r="AP425" s="244">
        <v>22.14045524597168</v>
      </c>
      <c r="AQ425" s="244">
        <v>56.387062072753906</v>
      </c>
      <c r="AR425" s="244">
        <v>1.1271885633468628</v>
      </c>
      <c r="AS425" s="228">
        <v>50.024515405342967</v>
      </c>
      <c r="AT425" s="244">
        <v>29.120509680436001</v>
      </c>
      <c r="AU425" s="244">
        <v>4.7268924713134766</v>
      </c>
      <c r="AV425" s="244">
        <v>5.5987858772277832</v>
      </c>
      <c r="AW425" s="244">
        <v>22.14045524597168</v>
      </c>
      <c r="AX425" s="244">
        <v>61.586643218994141</v>
      </c>
      <c r="AY425" s="244">
        <v>6.2292284965515137</v>
      </c>
      <c r="AZ425" s="228">
        <v>9.8867208529985948</v>
      </c>
      <c r="BA425" s="244">
        <v>29.120509680436001</v>
      </c>
      <c r="BB425" s="244">
        <v>4.7268924713134766</v>
      </c>
      <c r="BC425" s="244">
        <v>5.5987858772277832</v>
      </c>
      <c r="BD425" s="244">
        <v>22.14045524597168</v>
      </c>
      <c r="BE425" s="244">
        <v>61.586643218994141</v>
      </c>
      <c r="BF425" s="244">
        <v>7.356417179107666</v>
      </c>
      <c r="BG425" s="244">
        <v>-48.766757965087891</v>
      </c>
      <c r="BH425" s="228">
        <v>8.3718259546040095</v>
      </c>
      <c r="BI425" s="244">
        <v>2.1891658306121826</v>
      </c>
      <c r="BJ425" s="244">
        <v>12.098076820373535</v>
      </c>
      <c r="BK425" s="244">
        <v>0</v>
      </c>
      <c r="BL425" s="244">
        <v>24.386394500732422</v>
      </c>
      <c r="BM425" s="244">
        <v>38.673637390136719</v>
      </c>
      <c r="BN425" s="244">
        <v>29.120509680436001</v>
      </c>
      <c r="BO425" s="244">
        <v>14.682122583065652</v>
      </c>
      <c r="BP425" s="244">
        <v>4.7268924713134766</v>
      </c>
      <c r="BQ425" s="244">
        <v>0</v>
      </c>
      <c r="BR425" s="244">
        <v>0</v>
      </c>
      <c r="BS425" s="244">
        <v>0</v>
      </c>
      <c r="BT425" s="244">
        <v>22.14045524597168</v>
      </c>
      <c r="BU425" s="244">
        <v>0</v>
      </c>
      <c r="BV425" s="244">
        <v>111.84915161132812</v>
      </c>
      <c r="BW425" s="244">
        <v>5.5987858772277832</v>
      </c>
      <c r="BX425" s="244">
        <v>19.91282844543457</v>
      </c>
      <c r="BY425" s="244"/>
      <c r="BZ425" s="244">
        <v>0</v>
      </c>
      <c r="CA425" s="244">
        <v>0</v>
      </c>
      <c r="CB425" s="244">
        <v>188.117919921875</v>
      </c>
      <c r="CC425" s="244">
        <v>19.91282844543457</v>
      </c>
      <c r="CD425" s="228">
        <v>9.4470716696438295</v>
      </c>
      <c r="CE425" s="244">
        <v>-270.1226806640625</v>
      </c>
      <c r="CF425" s="244">
        <v>0.31178561833480095</v>
      </c>
      <c r="CG425" s="244">
        <v>0.16625553613152741</v>
      </c>
      <c r="CH425" s="244">
        <v>0.47804115446632833</v>
      </c>
      <c r="CI425" s="244">
        <v>1.5288228712260567E-2</v>
      </c>
      <c r="CJ425" s="244">
        <v>1.0390971008220388E-2</v>
      </c>
      <c r="CK425" s="244">
        <v>2.5679199720480956E-2</v>
      </c>
      <c r="CL425" s="244"/>
      <c r="CM425" s="244">
        <v>1.7586478815639159</v>
      </c>
      <c r="CN425" s="244" t="s">
        <v>442</v>
      </c>
      <c r="CO425" s="244">
        <v>0.28600001335144043</v>
      </c>
      <c r="CP425" s="244">
        <v>0.31700000166893005</v>
      </c>
      <c r="CQ425" s="244">
        <v>14.682122583065652</v>
      </c>
      <c r="CR425" s="244">
        <v>0</v>
      </c>
      <c r="CS425" s="244">
        <v>0</v>
      </c>
      <c r="CT425" s="244">
        <v>14.682122230529785</v>
      </c>
      <c r="CU425" s="244">
        <v>0</v>
      </c>
      <c r="CV425" s="244">
        <v>0</v>
      </c>
      <c r="CW425" s="228">
        <v>9999</v>
      </c>
    </row>
    <row r="426" spans="1:101">
      <c r="A426" s="221" t="s">
        <v>508</v>
      </c>
      <c r="B426" s="221" t="s">
        <v>440</v>
      </c>
      <c r="C426" s="244">
        <v>10</v>
      </c>
      <c r="D426" s="244">
        <v>82.520809930230257</v>
      </c>
      <c r="E426" s="244">
        <v>0</v>
      </c>
      <c r="F426" s="244">
        <v>11.336666666666666</v>
      </c>
      <c r="G426" s="244">
        <v>0</v>
      </c>
      <c r="H426" s="244">
        <v>0</v>
      </c>
      <c r="I426" s="244" t="s">
        <v>441</v>
      </c>
      <c r="J426" s="244">
        <v>0.28600001335144043</v>
      </c>
      <c r="K426" s="244">
        <v>0.31700000166893005</v>
      </c>
      <c r="L426" s="244">
        <v>89.986781473237684</v>
      </c>
      <c r="M426" s="244">
        <v>1.1385912075638771E-2</v>
      </c>
      <c r="N426" s="244">
        <v>3.5917703062295914E-2</v>
      </c>
      <c r="O426" s="244">
        <v>0</v>
      </c>
      <c r="P426" s="244">
        <v>0</v>
      </c>
      <c r="Q426" s="244">
        <v>0</v>
      </c>
      <c r="R426" s="244">
        <v>1.1271885633468628</v>
      </c>
      <c r="S426" s="244">
        <v>6.2292284965515137</v>
      </c>
      <c r="T426" s="244">
        <v>0</v>
      </c>
      <c r="U426" s="244">
        <v>12.556410789489746</v>
      </c>
      <c r="V426" s="244" t="s">
        <v>226</v>
      </c>
      <c r="W426" s="244" t="s">
        <v>226</v>
      </c>
      <c r="X426" s="244" t="s">
        <v>226</v>
      </c>
      <c r="Y426" s="244" t="s">
        <v>226</v>
      </c>
      <c r="Z426" s="244">
        <v>0</v>
      </c>
      <c r="AA426" s="244">
        <v>0</v>
      </c>
      <c r="AB426" s="244">
        <v>0</v>
      </c>
      <c r="AC426" s="244">
        <v>0</v>
      </c>
      <c r="AD426" s="244">
        <v>0</v>
      </c>
      <c r="AE426" s="244">
        <v>0</v>
      </c>
      <c r="AF426" s="244">
        <v>0</v>
      </c>
      <c r="AG426" s="244">
        <v>0</v>
      </c>
      <c r="AH426" s="244">
        <v>1.1271885633468628</v>
      </c>
      <c r="AI426" s="244">
        <v>6.2292284965515137</v>
      </c>
      <c r="AJ426" s="244">
        <v>0</v>
      </c>
      <c r="AK426" s="244">
        <v>12.556410789489746</v>
      </c>
      <c r="AL426" s="244">
        <v>19.912827849388123</v>
      </c>
      <c r="AM426" s="244">
        <v>63.424178182526553</v>
      </c>
      <c r="AN426" s="244">
        <v>0</v>
      </c>
      <c r="AO426" s="244">
        <v>11.164587020874023</v>
      </c>
      <c r="AP426" s="244">
        <v>48.221687316894531</v>
      </c>
      <c r="AQ426" s="244">
        <v>122.81045532226562</v>
      </c>
      <c r="AR426" s="244">
        <v>1.1271885633468628</v>
      </c>
      <c r="AS426" s="228">
        <v>108.95289085940044</v>
      </c>
      <c r="AT426" s="244">
        <v>63.424178182526553</v>
      </c>
      <c r="AU426" s="244">
        <v>10.295125007629395</v>
      </c>
      <c r="AV426" s="244">
        <v>12.194099426269531</v>
      </c>
      <c r="AW426" s="244">
        <v>48.221687316894531</v>
      </c>
      <c r="AX426" s="244">
        <v>134.13508605957031</v>
      </c>
      <c r="AY426" s="244">
        <v>6.2292284965515137</v>
      </c>
      <c r="AZ426" s="228">
        <v>21.533178628393049</v>
      </c>
      <c r="BA426" s="244">
        <v>63.424178182526553</v>
      </c>
      <c r="BB426" s="244">
        <v>10.295125007629395</v>
      </c>
      <c r="BC426" s="244">
        <v>12.194099426269531</v>
      </c>
      <c r="BD426" s="244">
        <v>48.221687316894531</v>
      </c>
      <c r="BE426" s="244">
        <v>134.13508605957031</v>
      </c>
      <c r="BF426" s="244">
        <v>7.356417179107666</v>
      </c>
      <c r="BG426" s="244">
        <v>-56.494167327880859</v>
      </c>
      <c r="BH426" s="228">
        <v>18.233752768657329</v>
      </c>
      <c r="BI426" s="244">
        <v>1.0051312446594238</v>
      </c>
      <c r="BJ426" s="244">
        <v>5.5546979904174805</v>
      </c>
      <c r="BK426" s="244">
        <v>0</v>
      </c>
      <c r="BL426" s="244">
        <v>11.196743011474609</v>
      </c>
      <c r="BM426" s="244">
        <v>17.756572723388672</v>
      </c>
      <c r="BN426" s="244">
        <v>63.424178182526553</v>
      </c>
      <c r="BO426" s="244">
        <v>0</v>
      </c>
      <c r="BP426" s="244">
        <v>10.295125007629395</v>
      </c>
      <c r="BQ426" s="244">
        <v>0</v>
      </c>
      <c r="BR426" s="244">
        <v>0</v>
      </c>
      <c r="BS426" s="244">
        <v>0</v>
      </c>
      <c r="BT426" s="244">
        <v>48.221687316894531</v>
      </c>
      <c r="BU426" s="244">
        <v>0</v>
      </c>
      <c r="BV426" s="244">
        <v>125.83030700683594</v>
      </c>
      <c r="BW426" s="244">
        <v>12.194099426269531</v>
      </c>
      <c r="BX426" s="244">
        <v>19.91282844543457</v>
      </c>
      <c r="BY426" s="244"/>
      <c r="BZ426" s="244">
        <v>0</v>
      </c>
      <c r="CA426" s="244">
        <v>0</v>
      </c>
      <c r="CB426" s="244">
        <v>259.96539306640625</v>
      </c>
      <c r="CC426" s="244">
        <v>19.91282844543457</v>
      </c>
      <c r="CD426" s="228">
        <v>13.055171828176848</v>
      </c>
      <c r="CE426" s="244">
        <v>-157.50222778320312</v>
      </c>
      <c r="CF426" s="244">
        <v>0.67906595142120219</v>
      </c>
      <c r="CG426" s="244">
        <v>0</v>
      </c>
      <c r="CH426" s="244">
        <v>0.67906595142120219</v>
      </c>
      <c r="CI426" s="244">
        <v>3.3297608887425036E-2</v>
      </c>
      <c r="CJ426" s="244">
        <v>0</v>
      </c>
      <c r="CK426" s="244">
        <v>3.3297608887425036E-2</v>
      </c>
      <c r="CL426" s="244"/>
      <c r="CM426" s="244">
        <v>0</v>
      </c>
      <c r="CN426" s="244" t="s">
        <v>442</v>
      </c>
      <c r="CO426" s="244">
        <v>0</v>
      </c>
      <c r="CP426" s="244">
        <v>0</v>
      </c>
      <c r="CQ426" s="244">
        <v>0</v>
      </c>
      <c r="CR426" s="244">
        <v>0</v>
      </c>
      <c r="CS426" s="244">
        <v>0</v>
      </c>
      <c r="CT426" s="244">
        <v>0</v>
      </c>
      <c r="CU426" s="244">
        <v>0</v>
      </c>
      <c r="CV426" s="244">
        <v>9999</v>
      </c>
      <c r="CW426" s="228">
        <v>9999</v>
      </c>
    </row>
    <row r="427" spans="1:101">
      <c r="A427" s="221" t="s">
        <v>509</v>
      </c>
      <c r="B427" s="221" t="s">
        <v>440</v>
      </c>
      <c r="C427" s="244">
        <v>10</v>
      </c>
      <c r="D427" s="244">
        <v>0</v>
      </c>
      <c r="E427" s="244">
        <v>3.6801089297668064</v>
      </c>
      <c r="F427" s="244">
        <v>11.336666666666666</v>
      </c>
      <c r="G427" s="244">
        <v>0</v>
      </c>
      <c r="H427" s="244">
        <v>0</v>
      </c>
      <c r="I427" s="244" t="s">
        <v>441</v>
      </c>
      <c r="J427" s="244">
        <v>0</v>
      </c>
      <c r="K427" s="244">
        <v>0</v>
      </c>
      <c r="L427" s="244">
        <v>0</v>
      </c>
      <c r="M427" s="244">
        <v>0</v>
      </c>
      <c r="N427" s="244">
        <v>0</v>
      </c>
      <c r="O427" s="244">
        <v>3.7169100190644748</v>
      </c>
      <c r="P427" s="244">
        <v>1.1279375292360783E-2</v>
      </c>
      <c r="Q427" s="244">
        <v>3.5581625998020172E-2</v>
      </c>
      <c r="R427" s="244">
        <v>1.1271885633468628</v>
      </c>
      <c r="S427" s="244">
        <v>6.2292284965515137</v>
      </c>
      <c r="T427" s="244">
        <v>0</v>
      </c>
      <c r="U427" s="244">
        <v>12.556410789489746</v>
      </c>
      <c r="V427" s="244" t="s">
        <v>226</v>
      </c>
      <c r="W427" s="244" t="s">
        <v>226</v>
      </c>
      <c r="X427" s="244" t="s">
        <v>226</v>
      </c>
      <c r="Y427" s="244" t="s">
        <v>226</v>
      </c>
      <c r="Z427" s="244">
        <v>0</v>
      </c>
      <c r="AA427" s="244">
        <v>0</v>
      </c>
      <c r="AB427" s="244">
        <v>0</v>
      </c>
      <c r="AC427" s="244">
        <v>0</v>
      </c>
      <c r="AD427" s="244">
        <v>0</v>
      </c>
      <c r="AE427" s="244">
        <v>0</v>
      </c>
      <c r="AF427" s="244">
        <v>0</v>
      </c>
      <c r="AG427" s="244">
        <v>0</v>
      </c>
      <c r="AH427" s="244">
        <v>1.1271885633468628</v>
      </c>
      <c r="AI427" s="244">
        <v>6.2292284965515137</v>
      </c>
      <c r="AJ427" s="244">
        <v>0</v>
      </c>
      <c r="AK427" s="244">
        <v>12.556410789489746</v>
      </c>
      <c r="AL427" s="244">
        <v>19.912827849388123</v>
      </c>
      <c r="AM427" s="244">
        <v>0</v>
      </c>
      <c r="AN427" s="244">
        <v>0</v>
      </c>
      <c r="AO427" s="244">
        <v>0</v>
      </c>
      <c r="AP427" s="244">
        <v>0</v>
      </c>
      <c r="AQ427" s="244">
        <v>0</v>
      </c>
      <c r="AR427" s="244">
        <v>1.1271885633468628</v>
      </c>
      <c r="AS427" s="255">
        <v>0</v>
      </c>
      <c r="AT427" s="244">
        <v>0</v>
      </c>
      <c r="AU427" s="244">
        <v>0</v>
      </c>
      <c r="AV427" s="244">
        <v>0</v>
      </c>
      <c r="AW427" s="244">
        <v>0</v>
      </c>
      <c r="AX427" s="244">
        <v>0</v>
      </c>
      <c r="AY427" s="244">
        <v>6.2292284965515137</v>
      </c>
      <c r="AZ427" s="255">
        <v>0</v>
      </c>
      <c r="BA427" s="244">
        <v>0</v>
      </c>
      <c r="BB427" s="244">
        <v>0</v>
      </c>
      <c r="BC427" s="244">
        <v>0</v>
      </c>
      <c r="BD427" s="244">
        <v>0</v>
      </c>
      <c r="BE427" s="244">
        <v>0</v>
      </c>
      <c r="BF427" s="244">
        <v>7.356417179107666</v>
      </c>
      <c r="BG427" s="244">
        <v>9999</v>
      </c>
      <c r="BH427" s="255">
        <v>0</v>
      </c>
      <c r="BI427" s="244">
        <v>9999</v>
      </c>
      <c r="BJ427" s="244">
        <v>9999</v>
      </c>
      <c r="BK427" s="244">
        <v>9999</v>
      </c>
      <c r="BL427" s="244">
        <v>9999</v>
      </c>
      <c r="BM427" s="244">
        <v>9999</v>
      </c>
      <c r="BN427" s="244">
        <v>0</v>
      </c>
      <c r="BO427" s="244">
        <v>30.723495585609694</v>
      </c>
      <c r="BP427" s="244">
        <v>0</v>
      </c>
      <c r="BQ427" s="244">
        <v>0</v>
      </c>
      <c r="BR427" s="244">
        <v>0</v>
      </c>
      <c r="BS427" s="244">
        <v>0</v>
      </c>
      <c r="BT427" s="244">
        <v>0</v>
      </c>
      <c r="BU427" s="244">
        <v>0</v>
      </c>
      <c r="BV427" s="244">
        <v>125.83030700683594</v>
      </c>
      <c r="BW427" s="244">
        <v>0</v>
      </c>
      <c r="BX427" s="244">
        <v>19.91282844543457</v>
      </c>
      <c r="BY427" s="244"/>
      <c r="BZ427" s="244">
        <v>0</v>
      </c>
      <c r="CA427" s="244">
        <v>0</v>
      </c>
      <c r="CB427" s="244">
        <v>156.55380249023437</v>
      </c>
      <c r="CC427" s="244">
        <v>19.91282844543457</v>
      </c>
      <c r="CD427" s="228">
        <v>7.8619570806546495</v>
      </c>
      <c r="CE427" s="244">
        <v>9999</v>
      </c>
      <c r="CF427" s="244">
        <v>0</v>
      </c>
      <c r="CG427" s="244">
        <v>0.34790277778443518</v>
      </c>
      <c r="CH427" s="244">
        <v>0.34790277778443518</v>
      </c>
      <c r="CI427" s="244">
        <v>0</v>
      </c>
      <c r="CJ427" s="244">
        <v>2.1743923611527164E-2</v>
      </c>
      <c r="CK427" s="244">
        <v>2.1743923611527164E-2</v>
      </c>
      <c r="CL427" s="244"/>
      <c r="CM427" s="244">
        <v>3.6801089297668064</v>
      </c>
      <c r="CN427" s="244" t="s">
        <v>442</v>
      </c>
      <c r="CO427" s="244">
        <v>0.28600001335144043</v>
      </c>
      <c r="CP427" s="244">
        <v>0.31700000166893005</v>
      </c>
      <c r="CQ427" s="244">
        <v>30.723495585609694</v>
      </c>
      <c r="CR427" s="244">
        <v>0</v>
      </c>
      <c r="CS427" s="244">
        <v>0</v>
      </c>
      <c r="CT427" s="244">
        <v>30.723495483398438</v>
      </c>
      <c r="CU427" s="244">
        <v>0</v>
      </c>
      <c r="CV427" s="244">
        <v>0</v>
      </c>
      <c r="CW427" s="228">
        <v>9999</v>
      </c>
    </row>
    <row r="428" spans="1:101">
      <c r="A428" s="221" t="s">
        <v>510</v>
      </c>
      <c r="B428" s="221" t="s">
        <v>440</v>
      </c>
      <c r="C428" s="244">
        <v>10</v>
      </c>
      <c r="D428" s="244">
        <v>40.43519686581282</v>
      </c>
      <c r="E428" s="244">
        <v>1.8768555541810712</v>
      </c>
      <c r="F428" s="244">
        <v>11.336666666666666</v>
      </c>
      <c r="G428" s="244">
        <v>0</v>
      </c>
      <c r="H428" s="244">
        <v>0</v>
      </c>
      <c r="I428" s="244" t="s">
        <v>441</v>
      </c>
      <c r="J428" s="244">
        <v>0.28600001335144043</v>
      </c>
      <c r="K428" s="244">
        <v>0.31700000166893005</v>
      </c>
      <c r="L428" s="244">
        <v>44.093522921886454</v>
      </c>
      <c r="M428" s="244">
        <v>5.5790967307984829E-3</v>
      </c>
      <c r="N428" s="244">
        <v>1.7599673941731453E-2</v>
      </c>
      <c r="O428" s="244">
        <v>1.8956241097228819</v>
      </c>
      <c r="P428" s="244">
        <v>5.7524810545146465E-3</v>
      </c>
      <c r="Q428" s="244">
        <v>1.8146628513932228E-2</v>
      </c>
      <c r="R428" s="244">
        <v>1.1271885633468628</v>
      </c>
      <c r="S428" s="244">
        <v>6.2292284965515137</v>
      </c>
      <c r="T428" s="244">
        <v>0</v>
      </c>
      <c r="U428" s="244">
        <v>12.556410789489746</v>
      </c>
      <c r="V428" s="244" t="s">
        <v>226</v>
      </c>
      <c r="W428" s="244" t="s">
        <v>226</v>
      </c>
      <c r="X428" s="244" t="s">
        <v>226</v>
      </c>
      <c r="Y428" s="244" t="s">
        <v>226</v>
      </c>
      <c r="Z428" s="244">
        <v>0</v>
      </c>
      <c r="AA428" s="244">
        <v>0</v>
      </c>
      <c r="AB428" s="244">
        <v>0</v>
      </c>
      <c r="AC428" s="244">
        <v>0</v>
      </c>
      <c r="AD428" s="244">
        <v>0</v>
      </c>
      <c r="AE428" s="244">
        <v>0</v>
      </c>
      <c r="AF428" s="244">
        <v>0</v>
      </c>
      <c r="AG428" s="244">
        <v>0</v>
      </c>
      <c r="AH428" s="244">
        <v>1.1271885633468628</v>
      </c>
      <c r="AI428" s="244">
        <v>6.2292284965515137</v>
      </c>
      <c r="AJ428" s="244">
        <v>0</v>
      </c>
      <c r="AK428" s="244">
        <v>12.556410789489746</v>
      </c>
      <c r="AL428" s="244">
        <v>19.912827849388123</v>
      </c>
      <c r="AM428" s="244">
        <v>31.077847309437963</v>
      </c>
      <c r="AN428" s="244">
        <v>0</v>
      </c>
      <c r="AO428" s="244">
        <v>5.4706473350524902</v>
      </c>
      <c r="AP428" s="244">
        <v>23.628625869750977</v>
      </c>
      <c r="AQ428" s="244">
        <v>60.177120208740234</v>
      </c>
      <c r="AR428" s="244">
        <v>1.1271885633468628</v>
      </c>
      <c r="AS428" s="228">
        <v>53.386915438143511</v>
      </c>
      <c r="AT428" s="244">
        <v>31.077847309437963</v>
      </c>
      <c r="AU428" s="244">
        <v>5.0446105003356934</v>
      </c>
      <c r="AV428" s="244">
        <v>5.9751086235046387</v>
      </c>
      <c r="AW428" s="244">
        <v>23.628625869750977</v>
      </c>
      <c r="AX428" s="244">
        <v>65.726188659667969</v>
      </c>
      <c r="AY428" s="244">
        <v>6.2292284965515137</v>
      </c>
      <c r="AZ428" s="228">
        <v>10.551257244683695</v>
      </c>
      <c r="BA428" s="244">
        <v>31.077847309437963</v>
      </c>
      <c r="BB428" s="244">
        <v>5.0446105003356934</v>
      </c>
      <c r="BC428" s="244">
        <v>5.9751086235046387</v>
      </c>
      <c r="BD428" s="244">
        <v>23.628625869750977</v>
      </c>
      <c r="BE428" s="244">
        <v>65.726188659667969</v>
      </c>
      <c r="BF428" s="244">
        <v>7.356417179107666</v>
      </c>
      <c r="BG428" s="244">
        <v>-49.666587829589844</v>
      </c>
      <c r="BH428" s="228">
        <v>8.9345386168109986</v>
      </c>
      <c r="BI428" s="244">
        <v>2.051288366317749</v>
      </c>
      <c r="BJ428" s="244">
        <v>11.336118698120117</v>
      </c>
      <c r="BK428" s="244">
        <v>0</v>
      </c>
      <c r="BL428" s="244">
        <v>22.850496292114258</v>
      </c>
      <c r="BM428" s="244">
        <v>36.237903594970703</v>
      </c>
      <c r="BN428" s="244">
        <v>31.077847309437963</v>
      </c>
      <c r="BO428" s="244">
        <v>15.66898274866098</v>
      </c>
      <c r="BP428" s="244">
        <v>5.0446105003356934</v>
      </c>
      <c r="BQ428" s="244">
        <v>0</v>
      </c>
      <c r="BR428" s="244">
        <v>0</v>
      </c>
      <c r="BS428" s="244">
        <v>0</v>
      </c>
      <c r="BT428" s="244">
        <v>23.628625869750977</v>
      </c>
      <c r="BU428" s="244">
        <v>0</v>
      </c>
      <c r="BV428" s="244">
        <v>125.83030700683594</v>
      </c>
      <c r="BW428" s="244">
        <v>5.9751086235046387</v>
      </c>
      <c r="BX428" s="244">
        <v>19.91282844543457</v>
      </c>
      <c r="BY428" s="244"/>
      <c r="BZ428" s="244">
        <v>0</v>
      </c>
      <c r="CA428" s="244">
        <v>0</v>
      </c>
      <c r="CB428" s="244">
        <v>207.22547912597656</v>
      </c>
      <c r="CC428" s="244">
        <v>19.91282844543457</v>
      </c>
      <c r="CD428" s="228">
        <v>10.406632218339478</v>
      </c>
      <c r="CE428" s="244">
        <v>-284.3203125</v>
      </c>
      <c r="CF428" s="244">
        <v>0.33274231619638978</v>
      </c>
      <c r="CG428" s="244">
        <v>0.17743041667006187</v>
      </c>
      <c r="CH428" s="244">
        <v>0.51017273286645159</v>
      </c>
      <c r="CI428" s="244">
        <v>1.6315828354838253E-2</v>
      </c>
      <c r="CJ428" s="244">
        <v>1.1089401041878857E-2</v>
      </c>
      <c r="CK428" s="244">
        <v>2.740522939671711E-2</v>
      </c>
      <c r="CL428" s="244"/>
      <c r="CM428" s="244">
        <v>1.8768555541810712</v>
      </c>
      <c r="CN428" s="244" t="s">
        <v>442</v>
      </c>
      <c r="CO428" s="244">
        <v>0.28600001335144043</v>
      </c>
      <c r="CP428" s="244">
        <v>0.31700000166893005</v>
      </c>
      <c r="CQ428" s="244">
        <v>15.66898274866098</v>
      </c>
      <c r="CR428" s="244">
        <v>0</v>
      </c>
      <c r="CS428" s="244">
        <v>0</v>
      </c>
      <c r="CT428" s="244">
        <v>15.66898250579834</v>
      </c>
      <c r="CU428" s="244">
        <v>0</v>
      </c>
      <c r="CV428" s="244">
        <v>0</v>
      </c>
      <c r="CW428" s="228">
        <v>9999</v>
      </c>
    </row>
    <row r="429" spans="1:101">
      <c r="A429" s="221" t="s">
        <v>511</v>
      </c>
      <c r="B429" s="221" t="s">
        <v>440</v>
      </c>
      <c r="C429" s="244">
        <v>10</v>
      </c>
      <c r="D429" s="244">
        <v>136.43316460358051</v>
      </c>
      <c r="E429" s="244">
        <v>0</v>
      </c>
      <c r="F429" s="244">
        <v>11.336666666666666</v>
      </c>
      <c r="G429" s="244">
        <v>0</v>
      </c>
      <c r="H429" s="244">
        <v>0</v>
      </c>
      <c r="I429" s="244" t="s">
        <v>441</v>
      </c>
      <c r="J429" s="244">
        <v>0.28600001335144043</v>
      </c>
      <c r="K429" s="244">
        <v>0.31700000166893005</v>
      </c>
      <c r="L429" s="244">
        <v>148.77679192999662</v>
      </c>
      <c r="M429" s="244">
        <v>1.8824536353349686E-2</v>
      </c>
      <c r="N429" s="244">
        <v>5.9383396059274673E-2</v>
      </c>
      <c r="O429" s="244">
        <v>0</v>
      </c>
      <c r="P429" s="244">
        <v>0</v>
      </c>
      <c r="Q429" s="244">
        <v>0</v>
      </c>
      <c r="R429" s="244">
        <v>1.1271885633468628</v>
      </c>
      <c r="S429" s="244">
        <v>6.2292284965515137</v>
      </c>
      <c r="T429" s="244">
        <v>0</v>
      </c>
      <c r="U429" s="244">
        <v>12.556410789489746</v>
      </c>
      <c r="V429" s="244" t="s">
        <v>226</v>
      </c>
      <c r="W429" s="244" t="s">
        <v>226</v>
      </c>
      <c r="X429" s="244" t="s">
        <v>226</v>
      </c>
      <c r="Y429" s="244" t="s">
        <v>226</v>
      </c>
      <c r="Z429" s="244">
        <v>0</v>
      </c>
      <c r="AA429" s="244">
        <v>0</v>
      </c>
      <c r="AB429" s="244">
        <v>0</v>
      </c>
      <c r="AC429" s="244">
        <v>0</v>
      </c>
      <c r="AD429" s="244">
        <v>0</v>
      </c>
      <c r="AE429" s="244">
        <v>0</v>
      </c>
      <c r="AF429" s="244">
        <v>0</v>
      </c>
      <c r="AG429" s="244">
        <v>0</v>
      </c>
      <c r="AH429" s="244">
        <v>1.1271885633468628</v>
      </c>
      <c r="AI429" s="244">
        <v>6.2292284965515137</v>
      </c>
      <c r="AJ429" s="244">
        <v>0</v>
      </c>
      <c r="AK429" s="244">
        <v>12.556410789489746</v>
      </c>
      <c r="AL429" s="244">
        <v>19.912827849388123</v>
      </c>
      <c r="AM429" s="244">
        <v>104.8603540020941</v>
      </c>
      <c r="AN429" s="244">
        <v>0</v>
      </c>
      <c r="AO429" s="244">
        <v>18.458616256713867</v>
      </c>
      <c r="AP429" s="244">
        <v>79.725799560546875</v>
      </c>
      <c r="AQ429" s="244">
        <v>203.04476928710937</v>
      </c>
      <c r="AR429" s="244">
        <v>1.1271885633468628</v>
      </c>
      <c r="AS429" s="228">
        <v>180.13380939252229</v>
      </c>
      <c r="AT429" s="244">
        <v>104.8603540020941</v>
      </c>
      <c r="AU429" s="244">
        <v>17.021120071411133</v>
      </c>
      <c r="AV429" s="244">
        <v>20.160728454589844</v>
      </c>
      <c r="AW429" s="244">
        <v>79.725799560546875</v>
      </c>
      <c r="AX429" s="244">
        <v>221.76800537109375</v>
      </c>
      <c r="AY429" s="244">
        <v>6.2292284965515137</v>
      </c>
      <c r="AZ429" s="228">
        <v>35.601198801972373</v>
      </c>
      <c r="BA429" s="244">
        <v>104.8603540020941</v>
      </c>
      <c r="BB429" s="244">
        <v>17.021120071411133</v>
      </c>
      <c r="BC429" s="244">
        <v>20.160728454589844</v>
      </c>
      <c r="BD429" s="244">
        <v>79.725799560546875</v>
      </c>
      <c r="BE429" s="244">
        <v>221.76800537109375</v>
      </c>
      <c r="BF429" s="244">
        <v>7.356417179107666</v>
      </c>
      <c r="BG429" s="244">
        <v>-59.086326599121094</v>
      </c>
      <c r="BH429" s="228">
        <v>30.146197569133676</v>
      </c>
      <c r="BI429" s="244">
        <v>0.60794782638549805</v>
      </c>
      <c r="BJ429" s="244">
        <v>3.3597269058227539</v>
      </c>
      <c r="BK429" s="244">
        <v>0</v>
      </c>
      <c r="BL429" s="244">
        <v>6.7722854614257812</v>
      </c>
      <c r="BM429" s="244">
        <v>10.739959716796875</v>
      </c>
      <c r="BN429" s="244">
        <v>104.8603540020941</v>
      </c>
      <c r="BO429" s="244">
        <v>0</v>
      </c>
      <c r="BP429" s="244">
        <v>17.021120071411133</v>
      </c>
      <c r="BQ429" s="244">
        <v>0</v>
      </c>
      <c r="BR429" s="244">
        <v>0</v>
      </c>
      <c r="BS429" s="244">
        <v>0</v>
      </c>
      <c r="BT429" s="244">
        <v>79.725799560546875</v>
      </c>
      <c r="BU429" s="244">
        <v>0</v>
      </c>
      <c r="BV429" s="244">
        <v>195.73603820800781</v>
      </c>
      <c r="BW429" s="244">
        <v>20.160728454589844</v>
      </c>
      <c r="BX429" s="244">
        <v>19.91282844543457</v>
      </c>
      <c r="BY429" s="244"/>
      <c r="BZ429" s="244">
        <v>0</v>
      </c>
      <c r="CA429" s="244">
        <v>0</v>
      </c>
      <c r="CB429" s="244">
        <v>417.5040283203125</v>
      </c>
      <c r="CC429" s="244">
        <v>19.91282844543457</v>
      </c>
      <c r="CD429" s="228">
        <v>20.966586511840873</v>
      </c>
      <c r="CE429" s="244">
        <v>-157.884033203125</v>
      </c>
      <c r="CF429" s="244">
        <v>1.1227121595785001</v>
      </c>
      <c r="CG429" s="244">
        <v>0</v>
      </c>
      <c r="CH429" s="244">
        <v>1.1227121595785001</v>
      </c>
      <c r="CI429" s="244">
        <v>5.5051545883815695E-2</v>
      </c>
      <c r="CJ429" s="244">
        <v>0</v>
      </c>
      <c r="CK429" s="244">
        <v>5.5051545883815695E-2</v>
      </c>
      <c r="CL429" s="244"/>
      <c r="CM429" s="244">
        <v>0</v>
      </c>
      <c r="CN429" s="244" t="s">
        <v>442</v>
      </c>
      <c r="CO429" s="244">
        <v>0</v>
      </c>
      <c r="CP429" s="244">
        <v>0</v>
      </c>
      <c r="CQ429" s="244">
        <v>0</v>
      </c>
      <c r="CR429" s="244">
        <v>0</v>
      </c>
      <c r="CS429" s="244">
        <v>0</v>
      </c>
      <c r="CT429" s="244">
        <v>0</v>
      </c>
      <c r="CU429" s="244">
        <v>0</v>
      </c>
      <c r="CV429" s="244">
        <v>9999</v>
      </c>
      <c r="CW429" s="228">
        <v>9999</v>
      </c>
    </row>
    <row r="430" spans="1:101">
      <c r="A430" s="221" t="s">
        <v>512</v>
      </c>
      <c r="B430" s="221" t="s">
        <v>440</v>
      </c>
      <c r="C430" s="244">
        <v>10</v>
      </c>
      <c r="D430" s="244">
        <v>0</v>
      </c>
      <c r="E430" s="244">
        <v>6.0843914134930079</v>
      </c>
      <c r="F430" s="244">
        <v>11.336666666666666</v>
      </c>
      <c r="G430" s="244">
        <v>0</v>
      </c>
      <c r="H430" s="244">
        <v>0</v>
      </c>
      <c r="I430" s="244" t="s">
        <v>441</v>
      </c>
      <c r="J430" s="244">
        <v>0</v>
      </c>
      <c r="K430" s="244">
        <v>0</v>
      </c>
      <c r="L430" s="244">
        <v>0</v>
      </c>
      <c r="M430" s="244">
        <v>0</v>
      </c>
      <c r="N430" s="244">
        <v>0</v>
      </c>
      <c r="O430" s="244">
        <v>6.1452353276279368</v>
      </c>
      <c r="P430" s="244">
        <v>1.8648397177457809E-2</v>
      </c>
      <c r="Q430" s="244">
        <v>5.8827750384807587E-2</v>
      </c>
      <c r="R430" s="244">
        <v>1.1271885633468628</v>
      </c>
      <c r="S430" s="244">
        <v>6.2292284965515137</v>
      </c>
      <c r="T430" s="244">
        <v>0</v>
      </c>
      <c r="U430" s="244">
        <v>12.556410789489746</v>
      </c>
      <c r="V430" s="244" t="s">
        <v>226</v>
      </c>
      <c r="W430" s="244" t="s">
        <v>226</v>
      </c>
      <c r="X430" s="244" t="s">
        <v>226</v>
      </c>
      <c r="Y430" s="244" t="s">
        <v>226</v>
      </c>
      <c r="Z430" s="244">
        <v>0</v>
      </c>
      <c r="AA430" s="244">
        <v>0</v>
      </c>
      <c r="AB430" s="244">
        <v>0</v>
      </c>
      <c r="AC430" s="244">
        <v>0</v>
      </c>
      <c r="AD430" s="244">
        <v>0</v>
      </c>
      <c r="AE430" s="244">
        <v>0</v>
      </c>
      <c r="AF430" s="244">
        <v>0</v>
      </c>
      <c r="AG430" s="244">
        <v>0</v>
      </c>
      <c r="AH430" s="244">
        <v>1.1271885633468628</v>
      </c>
      <c r="AI430" s="244">
        <v>6.2292284965515137</v>
      </c>
      <c r="AJ430" s="244">
        <v>0</v>
      </c>
      <c r="AK430" s="244">
        <v>12.556410789489746</v>
      </c>
      <c r="AL430" s="244">
        <v>19.912827849388123</v>
      </c>
      <c r="AM430" s="244">
        <v>0</v>
      </c>
      <c r="AN430" s="244">
        <v>0</v>
      </c>
      <c r="AO430" s="244">
        <v>0</v>
      </c>
      <c r="AP430" s="244">
        <v>0</v>
      </c>
      <c r="AQ430" s="244">
        <v>0</v>
      </c>
      <c r="AR430" s="244">
        <v>1.1271885633468628</v>
      </c>
      <c r="AS430" s="255">
        <v>0</v>
      </c>
      <c r="AT430" s="244">
        <v>0</v>
      </c>
      <c r="AU430" s="244">
        <v>0</v>
      </c>
      <c r="AV430" s="244">
        <v>0</v>
      </c>
      <c r="AW430" s="244">
        <v>0</v>
      </c>
      <c r="AX430" s="244">
        <v>0</v>
      </c>
      <c r="AY430" s="244">
        <v>6.2292284965515137</v>
      </c>
      <c r="AZ430" s="255">
        <v>0</v>
      </c>
      <c r="BA430" s="244">
        <v>0</v>
      </c>
      <c r="BB430" s="244">
        <v>0</v>
      </c>
      <c r="BC430" s="244">
        <v>0</v>
      </c>
      <c r="BD430" s="244">
        <v>0</v>
      </c>
      <c r="BE430" s="244">
        <v>0</v>
      </c>
      <c r="BF430" s="244">
        <v>7.356417179107666</v>
      </c>
      <c r="BG430" s="244">
        <v>9999</v>
      </c>
      <c r="BH430" s="255">
        <v>0</v>
      </c>
      <c r="BI430" s="244">
        <v>9999</v>
      </c>
      <c r="BJ430" s="244">
        <v>9999</v>
      </c>
      <c r="BK430" s="244">
        <v>9999</v>
      </c>
      <c r="BL430" s="244">
        <v>9999</v>
      </c>
      <c r="BM430" s="244">
        <v>9999</v>
      </c>
      <c r="BN430" s="244">
        <v>0</v>
      </c>
      <c r="BO430" s="244">
        <v>50.795717273895747</v>
      </c>
      <c r="BP430" s="244">
        <v>0</v>
      </c>
      <c r="BQ430" s="244">
        <v>0</v>
      </c>
      <c r="BR430" s="244">
        <v>0</v>
      </c>
      <c r="BS430" s="244">
        <v>0</v>
      </c>
      <c r="BT430" s="244">
        <v>0</v>
      </c>
      <c r="BU430" s="244">
        <v>0</v>
      </c>
      <c r="BV430" s="244">
        <v>195.73603820800781</v>
      </c>
      <c r="BW430" s="244">
        <v>0</v>
      </c>
      <c r="BX430" s="244">
        <v>19.91282844543457</v>
      </c>
      <c r="BY430" s="244"/>
      <c r="BZ430" s="244">
        <v>0</v>
      </c>
      <c r="CA430" s="244">
        <v>0</v>
      </c>
      <c r="CB430" s="244">
        <v>246.53175354003906</v>
      </c>
      <c r="CC430" s="244">
        <v>19.91282844543457</v>
      </c>
      <c r="CD430" s="228">
        <v>12.38054936080294</v>
      </c>
      <c r="CE430" s="244">
        <v>9999</v>
      </c>
      <c r="CF430" s="244">
        <v>0</v>
      </c>
      <c r="CG430" s="244">
        <v>0.57519402666597652</v>
      </c>
      <c r="CH430" s="244">
        <v>0.57519402666597652</v>
      </c>
      <c r="CI430" s="244">
        <v>0</v>
      </c>
      <c r="CJ430" s="244">
        <v>3.5949626666623435E-2</v>
      </c>
      <c r="CK430" s="244">
        <v>3.5949626666623435E-2</v>
      </c>
      <c r="CL430" s="244"/>
      <c r="CM430" s="244">
        <v>6.0843914134930079</v>
      </c>
      <c r="CN430" s="244" t="s">
        <v>442</v>
      </c>
      <c r="CO430" s="244">
        <v>0.28600001335144043</v>
      </c>
      <c r="CP430" s="244">
        <v>0.31700000166893005</v>
      </c>
      <c r="CQ430" s="244">
        <v>50.795717273895747</v>
      </c>
      <c r="CR430" s="244">
        <v>0</v>
      </c>
      <c r="CS430" s="244">
        <v>0</v>
      </c>
      <c r="CT430" s="244">
        <v>50.795719146728516</v>
      </c>
      <c r="CU430" s="244">
        <v>0</v>
      </c>
      <c r="CV430" s="244">
        <v>0</v>
      </c>
      <c r="CW430" s="228">
        <v>9999</v>
      </c>
    </row>
    <row r="431" spans="1:101">
      <c r="A431" s="221" t="s">
        <v>513</v>
      </c>
      <c r="B431" s="221" t="s">
        <v>440</v>
      </c>
      <c r="C431" s="244">
        <v>10</v>
      </c>
      <c r="D431" s="244">
        <v>66.852250655754446</v>
      </c>
      <c r="E431" s="244">
        <v>3.1030396208814341</v>
      </c>
      <c r="F431" s="244">
        <v>11.336666666666666</v>
      </c>
      <c r="G431" s="244">
        <v>0</v>
      </c>
      <c r="H431" s="244">
        <v>0</v>
      </c>
      <c r="I431" s="244" t="s">
        <v>441</v>
      </c>
      <c r="J431" s="244">
        <v>0.28600001335144043</v>
      </c>
      <c r="K431" s="244">
        <v>0.31700000166893005</v>
      </c>
      <c r="L431" s="244">
        <v>72.900628045698355</v>
      </c>
      <c r="M431" s="244">
        <v>9.22402273863554E-3</v>
      </c>
      <c r="N431" s="244">
        <v>2.9097864404320717E-2</v>
      </c>
      <c r="O431" s="244">
        <v>3.1340700170902487</v>
      </c>
      <c r="P431" s="244">
        <v>9.5106819644570351E-3</v>
      </c>
      <c r="Q431" s="244">
        <v>3.0002152547240257E-2</v>
      </c>
      <c r="R431" s="244">
        <v>1.1271885633468628</v>
      </c>
      <c r="S431" s="244">
        <v>6.2292284965515137</v>
      </c>
      <c r="T431" s="244">
        <v>0</v>
      </c>
      <c r="U431" s="244">
        <v>12.556410789489746</v>
      </c>
      <c r="V431" s="244" t="s">
        <v>226</v>
      </c>
      <c r="W431" s="244" t="s">
        <v>226</v>
      </c>
      <c r="X431" s="244" t="s">
        <v>226</v>
      </c>
      <c r="Y431" s="244" t="s">
        <v>226</v>
      </c>
      <c r="Z431" s="244">
        <v>0</v>
      </c>
      <c r="AA431" s="244">
        <v>0</v>
      </c>
      <c r="AB431" s="244">
        <v>0</v>
      </c>
      <c r="AC431" s="244">
        <v>0</v>
      </c>
      <c r="AD431" s="244">
        <v>0</v>
      </c>
      <c r="AE431" s="244">
        <v>0</v>
      </c>
      <c r="AF431" s="244">
        <v>0</v>
      </c>
      <c r="AG431" s="244">
        <v>0</v>
      </c>
      <c r="AH431" s="244">
        <v>1.1271885633468628</v>
      </c>
      <c r="AI431" s="244">
        <v>6.2292284965515137</v>
      </c>
      <c r="AJ431" s="244">
        <v>0</v>
      </c>
      <c r="AK431" s="244">
        <v>12.556410789489746</v>
      </c>
      <c r="AL431" s="244">
        <v>19.912827849388123</v>
      </c>
      <c r="AM431" s="244">
        <v>51.381573461026115</v>
      </c>
      <c r="AN431" s="244">
        <v>0</v>
      </c>
      <c r="AO431" s="244">
        <v>9.0447225570678711</v>
      </c>
      <c r="AP431" s="244">
        <v>39.065647125244141</v>
      </c>
      <c r="AQ431" s="244">
        <v>99.491943359375</v>
      </c>
      <c r="AR431" s="244">
        <v>1.1271885633468628</v>
      </c>
      <c r="AS431" s="228">
        <v>88.265571864857606</v>
      </c>
      <c r="AT431" s="244">
        <v>51.381573461026115</v>
      </c>
      <c r="AU431" s="244">
        <v>8.3403482437133789</v>
      </c>
      <c r="AV431" s="244">
        <v>9.8787574768066406</v>
      </c>
      <c r="AW431" s="244">
        <v>39.065647125244141</v>
      </c>
      <c r="AX431" s="244">
        <v>108.66632843017578</v>
      </c>
      <c r="AY431" s="244">
        <v>6.2292284965515137</v>
      </c>
      <c r="AZ431" s="228">
        <v>17.444588261122174</v>
      </c>
      <c r="BA431" s="244">
        <v>51.381573461026115</v>
      </c>
      <c r="BB431" s="244">
        <v>8.3403482437133789</v>
      </c>
      <c r="BC431" s="244">
        <v>9.8787574768066406</v>
      </c>
      <c r="BD431" s="244">
        <v>39.065647125244141</v>
      </c>
      <c r="BE431" s="244">
        <v>108.66632843017578</v>
      </c>
      <c r="BF431" s="244">
        <v>7.356417179107666</v>
      </c>
      <c r="BG431" s="244">
        <v>-54.956710815429688</v>
      </c>
      <c r="BH431" s="228">
        <v>14.771637527072373</v>
      </c>
      <c r="BI431" s="244">
        <v>1.2407099008560181</v>
      </c>
      <c r="BJ431" s="244">
        <v>6.8565855026245117</v>
      </c>
      <c r="BK431" s="244">
        <v>0</v>
      </c>
      <c r="BL431" s="244">
        <v>13.820990562438965</v>
      </c>
      <c r="BM431" s="244">
        <v>21.918285369873047</v>
      </c>
      <c r="BN431" s="244">
        <v>51.381573461026115</v>
      </c>
      <c r="BO431" s="244">
        <v>25.905815809686867</v>
      </c>
      <c r="BP431" s="244">
        <v>8.3403482437133789</v>
      </c>
      <c r="BQ431" s="244">
        <v>0</v>
      </c>
      <c r="BR431" s="244">
        <v>0</v>
      </c>
      <c r="BS431" s="244">
        <v>0</v>
      </c>
      <c r="BT431" s="244">
        <v>39.065647125244141</v>
      </c>
      <c r="BU431" s="244">
        <v>0</v>
      </c>
      <c r="BV431" s="244">
        <v>195.73603820800781</v>
      </c>
      <c r="BW431" s="244">
        <v>9.8787574768066406</v>
      </c>
      <c r="BX431" s="244">
        <v>19.91282844543457</v>
      </c>
      <c r="BY431" s="244"/>
      <c r="BZ431" s="244">
        <v>0</v>
      </c>
      <c r="CA431" s="244">
        <v>0</v>
      </c>
      <c r="CB431" s="244">
        <v>330.30816650390625</v>
      </c>
      <c r="CC431" s="244">
        <v>19.91282844543457</v>
      </c>
      <c r="CD431" s="228">
        <v>16.587707830135752</v>
      </c>
      <c r="CE431" s="244">
        <v>-285.09954833984375</v>
      </c>
      <c r="CF431" s="244">
        <v>0.55012895819346674</v>
      </c>
      <c r="CG431" s="244">
        <v>0.29334895359964586</v>
      </c>
      <c r="CH431" s="244">
        <v>0.8434779117931126</v>
      </c>
      <c r="CI431" s="244">
        <v>2.6975257483069694E-2</v>
      </c>
      <c r="CJ431" s="244">
        <v>1.8334309599977942E-2</v>
      </c>
      <c r="CK431" s="244">
        <v>4.5309567083047633E-2</v>
      </c>
      <c r="CL431" s="244"/>
      <c r="CM431" s="244">
        <v>3.1030396208814341</v>
      </c>
      <c r="CN431" s="244" t="s">
        <v>442</v>
      </c>
      <c r="CO431" s="244">
        <v>0.28600001335144043</v>
      </c>
      <c r="CP431" s="244">
        <v>0.31700000166893005</v>
      </c>
      <c r="CQ431" s="244">
        <v>25.905815809686867</v>
      </c>
      <c r="CR431" s="244">
        <v>0</v>
      </c>
      <c r="CS431" s="244">
        <v>0</v>
      </c>
      <c r="CT431" s="244">
        <v>25.905815124511719</v>
      </c>
      <c r="CU431" s="244">
        <v>0</v>
      </c>
      <c r="CV431" s="244">
        <v>0</v>
      </c>
      <c r="CW431" s="228">
        <v>9999</v>
      </c>
    </row>
    <row r="432" spans="1:101">
      <c r="A432" s="221" t="s">
        <v>514</v>
      </c>
      <c r="B432" s="221" t="s">
        <v>440</v>
      </c>
      <c r="C432" s="244">
        <v>10</v>
      </c>
      <c r="D432" s="244">
        <v>51.549002530835082</v>
      </c>
      <c r="E432" s="244">
        <v>0</v>
      </c>
      <c r="F432" s="244">
        <v>8.1096944444444432</v>
      </c>
      <c r="G432" s="244">
        <v>0</v>
      </c>
      <c r="H432" s="244">
        <v>0</v>
      </c>
      <c r="I432" s="244" t="s">
        <v>441</v>
      </c>
      <c r="J432" s="244">
        <v>0.28600001335144043</v>
      </c>
      <c r="K432" s="244">
        <v>0.31700000166893005</v>
      </c>
      <c r="L432" s="244">
        <v>56.212836856879939</v>
      </c>
      <c r="M432" s="244">
        <v>7.1125379763543606E-3</v>
      </c>
      <c r="N432" s="244">
        <v>2.2437028586864471E-2</v>
      </c>
      <c r="O432" s="244">
        <v>0</v>
      </c>
      <c r="P432" s="244">
        <v>0</v>
      </c>
      <c r="Q432" s="244">
        <v>0</v>
      </c>
      <c r="R432" s="244">
        <v>0.80633538961410522</v>
      </c>
      <c r="S432" s="244">
        <v>4.4560842514038086</v>
      </c>
      <c r="T432" s="244">
        <v>0</v>
      </c>
      <c r="U432" s="244">
        <v>8.9822397232055664</v>
      </c>
      <c r="V432" s="244" t="s">
        <v>226</v>
      </c>
      <c r="W432" s="244" t="s">
        <v>226</v>
      </c>
      <c r="X432" s="244" t="s">
        <v>226</v>
      </c>
      <c r="Y432" s="244" t="s">
        <v>226</v>
      </c>
      <c r="Z432" s="244">
        <v>0</v>
      </c>
      <c r="AA432" s="244">
        <v>0</v>
      </c>
      <c r="AB432" s="244">
        <v>0</v>
      </c>
      <c r="AC432" s="244">
        <v>0</v>
      </c>
      <c r="AD432" s="244">
        <v>0</v>
      </c>
      <c r="AE432" s="244">
        <v>0</v>
      </c>
      <c r="AF432" s="244">
        <v>0</v>
      </c>
      <c r="AG432" s="244">
        <v>0</v>
      </c>
      <c r="AH432" s="244">
        <v>0.80633538961410522</v>
      </c>
      <c r="AI432" s="244">
        <v>4.4560842514038086</v>
      </c>
      <c r="AJ432" s="244">
        <v>0</v>
      </c>
      <c r="AK432" s="244">
        <v>8.9822397232055664</v>
      </c>
      <c r="AL432" s="244">
        <v>14.24465936422348</v>
      </c>
      <c r="AM432" s="244">
        <v>39.619741061817585</v>
      </c>
      <c r="AN432" s="244">
        <v>0</v>
      </c>
      <c r="AO432" s="244">
        <v>6.9742813110351562</v>
      </c>
      <c r="AP432" s="244">
        <v>30.123069763183594</v>
      </c>
      <c r="AQ432" s="244">
        <v>76.717094421386719</v>
      </c>
      <c r="AR432" s="244">
        <v>0.80633538961410522</v>
      </c>
      <c r="AS432" s="228">
        <v>95.142905947302509</v>
      </c>
      <c r="AT432" s="244">
        <v>39.619741061817585</v>
      </c>
      <c r="AU432" s="244">
        <v>6.4311470985412598</v>
      </c>
      <c r="AV432" s="244">
        <v>7.6173958778381348</v>
      </c>
      <c r="AW432" s="244">
        <v>30.123069763183594</v>
      </c>
      <c r="AX432" s="244">
        <v>83.791351318359375</v>
      </c>
      <c r="AY432" s="244">
        <v>4.4560842514038086</v>
      </c>
      <c r="AZ432" s="228">
        <v>18.8038082482358</v>
      </c>
      <c r="BA432" s="244">
        <v>39.619741061817585</v>
      </c>
      <c r="BB432" s="244">
        <v>6.4311470985412598</v>
      </c>
      <c r="BC432" s="244">
        <v>7.6173958778381348</v>
      </c>
      <c r="BD432" s="244">
        <v>30.123069763183594</v>
      </c>
      <c r="BE432" s="244">
        <v>83.791351318359375</v>
      </c>
      <c r="BF432" s="244">
        <v>5.2624197006225586</v>
      </c>
      <c r="BG432" s="244">
        <v>-55.542015075683594</v>
      </c>
      <c r="BH432" s="228">
        <v>15.922590655497926</v>
      </c>
      <c r="BI432" s="244">
        <v>1.1510260105133057</v>
      </c>
      <c r="BJ432" s="244">
        <v>6.3609623908996582</v>
      </c>
      <c r="BK432" s="244">
        <v>0</v>
      </c>
      <c r="BL432" s="244">
        <v>12.821948051452637</v>
      </c>
      <c r="BM432" s="244">
        <v>20.33393669128418</v>
      </c>
      <c r="BN432" s="244">
        <v>39.619741061817585</v>
      </c>
      <c r="BO432" s="244">
        <v>0</v>
      </c>
      <c r="BP432" s="244">
        <v>6.4311470985412598</v>
      </c>
      <c r="BQ432" s="244">
        <v>0</v>
      </c>
      <c r="BR432" s="244">
        <v>0</v>
      </c>
      <c r="BS432" s="244">
        <v>0</v>
      </c>
      <c r="BT432" s="244">
        <v>30.123069763183594</v>
      </c>
      <c r="BU432" s="244">
        <v>0</v>
      </c>
      <c r="BV432" s="244">
        <v>74.566108703613281</v>
      </c>
      <c r="BW432" s="244">
        <v>7.6173958778381348</v>
      </c>
      <c r="BX432" s="244">
        <v>14.244659423828125</v>
      </c>
      <c r="BY432" s="244"/>
      <c r="BZ432" s="244">
        <v>0</v>
      </c>
      <c r="CA432" s="244">
        <v>0</v>
      </c>
      <c r="CB432" s="244">
        <v>158.35746765136719</v>
      </c>
      <c r="CC432" s="244">
        <v>14.244659423828125</v>
      </c>
      <c r="CD432" s="228">
        <v>11.116970774330856</v>
      </c>
      <c r="CE432" s="244">
        <v>-149.16154479980469</v>
      </c>
      <c r="CF432" s="244">
        <v>0.42419812018340125</v>
      </c>
      <c r="CG432" s="244">
        <v>0</v>
      </c>
      <c r="CH432" s="244">
        <v>0.42419812018340125</v>
      </c>
      <c r="CI432" s="244">
        <v>2.0800311173143626E-2</v>
      </c>
      <c r="CJ432" s="244">
        <v>0</v>
      </c>
      <c r="CK432" s="244">
        <v>2.0800311173143626E-2</v>
      </c>
      <c r="CL432" s="244"/>
      <c r="CM432" s="244">
        <v>0</v>
      </c>
      <c r="CN432" s="244" t="s">
        <v>442</v>
      </c>
      <c r="CO432" s="244">
        <v>0</v>
      </c>
      <c r="CP432" s="244">
        <v>0</v>
      </c>
      <c r="CQ432" s="244">
        <v>0</v>
      </c>
      <c r="CR432" s="244">
        <v>0</v>
      </c>
      <c r="CS432" s="244">
        <v>0</v>
      </c>
      <c r="CT432" s="244">
        <v>0</v>
      </c>
      <c r="CU432" s="244">
        <v>0</v>
      </c>
      <c r="CV432" s="244">
        <v>9999</v>
      </c>
      <c r="CW432" s="228">
        <v>9999</v>
      </c>
    </row>
    <row r="433" spans="1:101">
      <c r="A433" s="221" t="s">
        <v>515</v>
      </c>
      <c r="B433" s="221" t="s">
        <v>440</v>
      </c>
      <c r="C433" s="244">
        <v>10</v>
      </c>
      <c r="D433" s="244">
        <v>0</v>
      </c>
      <c r="E433" s="244">
        <v>2.2988861196913928</v>
      </c>
      <c r="F433" s="244">
        <v>8.1096944444444432</v>
      </c>
      <c r="G433" s="244">
        <v>0</v>
      </c>
      <c r="H433" s="244">
        <v>0</v>
      </c>
      <c r="I433" s="244" t="s">
        <v>441</v>
      </c>
      <c r="J433" s="244">
        <v>0</v>
      </c>
      <c r="K433" s="244">
        <v>0</v>
      </c>
      <c r="L433" s="244">
        <v>0</v>
      </c>
      <c r="M433" s="244">
        <v>0</v>
      </c>
      <c r="N433" s="244">
        <v>0</v>
      </c>
      <c r="O433" s="244">
        <v>2.3218749808883059</v>
      </c>
      <c r="P433" s="244">
        <v>7.0459870621562004E-3</v>
      </c>
      <c r="Q433" s="244">
        <v>2.2227087989449501E-2</v>
      </c>
      <c r="R433" s="244">
        <v>0.80633538961410522</v>
      </c>
      <c r="S433" s="244">
        <v>4.4560842514038086</v>
      </c>
      <c r="T433" s="244">
        <v>0</v>
      </c>
      <c r="U433" s="244">
        <v>8.9822397232055664</v>
      </c>
      <c r="V433" s="244" t="s">
        <v>226</v>
      </c>
      <c r="W433" s="244" t="s">
        <v>226</v>
      </c>
      <c r="X433" s="244" t="s">
        <v>226</v>
      </c>
      <c r="Y433" s="244" t="s">
        <v>226</v>
      </c>
      <c r="Z433" s="244">
        <v>0</v>
      </c>
      <c r="AA433" s="244">
        <v>0</v>
      </c>
      <c r="AB433" s="244">
        <v>0</v>
      </c>
      <c r="AC433" s="244">
        <v>0</v>
      </c>
      <c r="AD433" s="244">
        <v>0</v>
      </c>
      <c r="AE433" s="244">
        <v>0</v>
      </c>
      <c r="AF433" s="244">
        <v>0</v>
      </c>
      <c r="AG433" s="244">
        <v>0</v>
      </c>
      <c r="AH433" s="244">
        <v>0.80633538961410522</v>
      </c>
      <c r="AI433" s="244">
        <v>4.4560842514038086</v>
      </c>
      <c r="AJ433" s="244">
        <v>0</v>
      </c>
      <c r="AK433" s="244">
        <v>8.9822397232055664</v>
      </c>
      <c r="AL433" s="244">
        <v>14.24465936422348</v>
      </c>
      <c r="AM433" s="244">
        <v>0</v>
      </c>
      <c r="AN433" s="244">
        <v>0</v>
      </c>
      <c r="AO433" s="244">
        <v>0</v>
      </c>
      <c r="AP433" s="244">
        <v>0</v>
      </c>
      <c r="AQ433" s="244">
        <v>0</v>
      </c>
      <c r="AR433" s="244">
        <v>0.80633538961410522</v>
      </c>
      <c r="AS433" s="255">
        <v>0</v>
      </c>
      <c r="AT433" s="244">
        <v>0</v>
      </c>
      <c r="AU433" s="244">
        <v>0</v>
      </c>
      <c r="AV433" s="244">
        <v>0</v>
      </c>
      <c r="AW433" s="244">
        <v>0</v>
      </c>
      <c r="AX433" s="244">
        <v>0</v>
      </c>
      <c r="AY433" s="244">
        <v>4.4560842514038086</v>
      </c>
      <c r="AZ433" s="255">
        <v>0</v>
      </c>
      <c r="BA433" s="244">
        <v>0</v>
      </c>
      <c r="BB433" s="244">
        <v>0</v>
      </c>
      <c r="BC433" s="244">
        <v>0</v>
      </c>
      <c r="BD433" s="244">
        <v>0</v>
      </c>
      <c r="BE433" s="244">
        <v>0</v>
      </c>
      <c r="BF433" s="244">
        <v>5.2624197006225586</v>
      </c>
      <c r="BG433" s="244">
        <v>9999</v>
      </c>
      <c r="BH433" s="255">
        <v>0</v>
      </c>
      <c r="BI433" s="244">
        <v>9999</v>
      </c>
      <c r="BJ433" s="244">
        <v>9999</v>
      </c>
      <c r="BK433" s="244">
        <v>9999</v>
      </c>
      <c r="BL433" s="244">
        <v>9999</v>
      </c>
      <c r="BM433" s="244">
        <v>9999</v>
      </c>
      <c r="BN433" s="244">
        <v>0</v>
      </c>
      <c r="BO433" s="244">
        <v>19.192317102046623</v>
      </c>
      <c r="BP433" s="244">
        <v>0</v>
      </c>
      <c r="BQ433" s="244">
        <v>0</v>
      </c>
      <c r="BR433" s="244">
        <v>0</v>
      </c>
      <c r="BS433" s="244">
        <v>0</v>
      </c>
      <c r="BT433" s="244">
        <v>0</v>
      </c>
      <c r="BU433" s="244">
        <v>0</v>
      </c>
      <c r="BV433" s="244">
        <v>74.566108703613281</v>
      </c>
      <c r="BW433" s="244">
        <v>0</v>
      </c>
      <c r="BX433" s="244">
        <v>14.244659423828125</v>
      </c>
      <c r="BY433" s="244"/>
      <c r="BZ433" s="244">
        <v>0</v>
      </c>
      <c r="CA433" s="244">
        <v>0</v>
      </c>
      <c r="CB433" s="244">
        <v>93.7584228515625</v>
      </c>
      <c r="CC433" s="244">
        <v>14.244659423828125</v>
      </c>
      <c r="CD433" s="228">
        <v>6.5820054390927067</v>
      </c>
      <c r="CE433" s="244">
        <v>9999</v>
      </c>
      <c r="CF433" s="244">
        <v>0</v>
      </c>
      <c r="CG433" s="244">
        <v>0.21732749821114536</v>
      </c>
      <c r="CH433" s="244">
        <v>0.21732749821114536</v>
      </c>
      <c r="CI433" s="244">
        <v>0</v>
      </c>
      <c r="CJ433" s="244">
        <v>1.3582968638196594E-2</v>
      </c>
      <c r="CK433" s="244">
        <v>1.3582968638196594E-2</v>
      </c>
      <c r="CL433" s="244"/>
      <c r="CM433" s="244">
        <v>2.2988861196913928</v>
      </c>
      <c r="CN433" s="244" t="s">
        <v>442</v>
      </c>
      <c r="CO433" s="244">
        <v>0.28600001335144043</v>
      </c>
      <c r="CP433" s="244">
        <v>0.31700000166893005</v>
      </c>
      <c r="CQ433" s="244">
        <v>19.192317102046623</v>
      </c>
      <c r="CR433" s="244">
        <v>0</v>
      </c>
      <c r="CS433" s="244">
        <v>0</v>
      </c>
      <c r="CT433" s="244">
        <v>19.192317962646484</v>
      </c>
      <c r="CU433" s="244">
        <v>0</v>
      </c>
      <c r="CV433" s="244">
        <v>0</v>
      </c>
      <c r="CW433" s="228">
        <v>9999</v>
      </c>
    </row>
    <row r="434" spans="1:101">
      <c r="A434" s="221" t="s">
        <v>516</v>
      </c>
      <c r="B434" s="221" t="s">
        <v>440</v>
      </c>
      <c r="C434" s="244">
        <v>10</v>
      </c>
      <c r="D434" s="244">
        <v>25.259011240109189</v>
      </c>
      <c r="E434" s="244">
        <v>1.1724319210426104</v>
      </c>
      <c r="F434" s="244">
        <v>8.1096944444444432</v>
      </c>
      <c r="G434" s="244">
        <v>0</v>
      </c>
      <c r="H434" s="244">
        <v>0</v>
      </c>
      <c r="I434" s="244" t="s">
        <v>441</v>
      </c>
      <c r="J434" s="244">
        <v>0.28600001335144043</v>
      </c>
      <c r="K434" s="244">
        <v>0.31700000166893005</v>
      </c>
      <c r="L434" s="244">
        <v>27.54429005987118</v>
      </c>
      <c r="M434" s="244">
        <v>3.4851436503231525E-3</v>
      </c>
      <c r="N434" s="244">
        <v>1.0994143784046173E-2</v>
      </c>
      <c r="O434" s="244">
        <v>1.1841562402530355</v>
      </c>
      <c r="P434" s="244">
        <v>3.5934532061219215E-3</v>
      </c>
      <c r="Q434" s="244">
        <v>1.1335814371705055E-2</v>
      </c>
      <c r="R434" s="244">
        <v>0.80633538961410522</v>
      </c>
      <c r="S434" s="244">
        <v>4.4560842514038086</v>
      </c>
      <c r="T434" s="244">
        <v>0</v>
      </c>
      <c r="U434" s="244">
        <v>8.9822397232055664</v>
      </c>
      <c r="V434" s="244" t="s">
        <v>226</v>
      </c>
      <c r="W434" s="244" t="s">
        <v>226</v>
      </c>
      <c r="X434" s="244" t="s">
        <v>226</v>
      </c>
      <c r="Y434" s="244" t="s">
        <v>226</v>
      </c>
      <c r="Z434" s="244">
        <v>0</v>
      </c>
      <c r="AA434" s="244">
        <v>0</v>
      </c>
      <c r="AB434" s="244">
        <v>0</v>
      </c>
      <c r="AC434" s="244">
        <v>0</v>
      </c>
      <c r="AD434" s="244">
        <v>0</v>
      </c>
      <c r="AE434" s="244">
        <v>0</v>
      </c>
      <c r="AF434" s="244">
        <v>0</v>
      </c>
      <c r="AG434" s="244">
        <v>0</v>
      </c>
      <c r="AH434" s="244">
        <v>0.80633538961410522</v>
      </c>
      <c r="AI434" s="244">
        <v>4.4560842514038086</v>
      </c>
      <c r="AJ434" s="244">
        <v>0</v>
      </c>
      <c r="AK434" s="244">
        <v>8.9822397232055664</v>
      </c>
      <c r="AL434" s="244">
        <v>14.24465936422348</v>
      </c>
      <c r="AM434" s="244">
        <v>19.413673120290632</v>
      </c>
      <c r="AN434" s="244">
        <v>0</v>
      </c>
      <c r="AO434" s="244">
        <v>3.4173979759216309</v>
      </c>
      <c r="AP434" s="244">
        <v>14.760305404663086</v>
      </c>
      <c r="AQ434" s="244">
        <v>37.591377258300781</v>
      </c>
      <c r="AR434" s="244">
        <v>0.80633538961410522</v>
      </c>
      <c r="AS434" s="228">
        <v>46.62002559365002</v>
      </c>
      <c r="AT434" s="244">
        <v>19.413673120290632</v>
      </c>
      <c r="AU434" s="244">
        <v>3.1512620449066162</v>
      </c>
      <c r="AV434" s="244">
        <v>3.7325241565704346</v>
      </c>
      <c r="AW434" s="244">
        <v>14.760305404663086</v>
      </c>
      <c r="AX434" s="244">
        <v>41.057765960693359</v>
      </c>
      <c r="AY434" s="244">
        <v>4.4560842514038086</v>
      </c>
      <c r="AZ434" s="228">
        <v>9.2138663476787421</v>
      </c>
      <c r="BA434" s="244">
        <v>19.413673120290632</v>
      </c>
      <c r="BB434" s="244">
        <v>3.1512620449066162</v>
      </c>
      <c r="BC434" s="244">
        <v>3.7325241565704346</v>
      </c>
      <c r="BD434" s="244">
        <v>14.760305404663086</v>
      </c>
      <c r="BE434" s="244">
        <v>41.057765960693359</v>
      </c>
      <c r="BF434" s="244">
        <v>5.2624197006225586</v>
      </c>
      <c r="BG434" s="244">
        <v>-47.723419189453125</v>
      </c>
      <c r="BH434" s="228">
        <v>7.8020696803436476</v>
      </c>
      <c r="BI434" s="244">
        <v>2.3490326404571533</v>
      </c>
      <c r="BJ434" s="244">
        <v>12.981555938720703</v>
      </c>
      <c r="BK434" s="244">
        <v>0</v>
      </c>
      <c r="BL434" s="244">
        <v>26.167242050170898</v>
      </c>
      <c r="BM434" s="244">
        <v>41.497829437255859</v>
      </c>
      <c r="BN434" s="244">
        <v>19.413673120290632</v>
      </c>
      <c r="BO434" s="244">
        <v>9.7880817220437759</v>
      </c>
      <c r="BP434" s="244">
        <v>3.1512620449066162</v>
      </c>
      <c r="BQ434" s="244">
        <v>0</v>
      </c>
      <c r="BR434" s="244">
        <v>0</v>
      </c>
      <c r="BS434" s="244">
        <v>0</v>
      </c>
      <c r="BT434" s="244">
        <v>14.760305404663086</v>
      </c>
      <c r="BU434" s="244">
        <v>0</v>
      </c>
      <c r="BV434" s="244">
        <v>74.566108703613281</v>
      </c>
      <c r="BW434" s="244">
        <v>3.7325241565704346</v>
      </c>
      <c r="BX434" s="244">
        <v>14.244659423828125</v>
      </c>
      <c r="BY434" s="244"/>
      <c r="BZ434" s="244">
        <v>0</v>
      </c>
      <c r="CA434" s="244">
        <v>0</v>
      </c>
      <c r="CB434" s="244">
        <v>125.41195678710937</v>
      </c>
      <c r="CC434" s="244">
        <v>14.244659423828125</v>
      </c>
      <c r="CD434" s="228">
        <v>8.8041385490973347</v>
      </c>
      <c r="CE434" s="244">
        <v>-267.29852294921875</v>
      </c>
      <c r="CF434" s="244">
        <v>0.20785707888986676</v>
      </c>
      <c r="CG434" s="244">
        <v>0.1108370240876838</v>
      </c>
      <c r="CH434" s="244">
        <v>0.31869410297755058</v>
      </c>
      <c r="CI434" s="244">
        <v>1.0192152474840373E-2</v>
      </c>
      <c r="CJ434" s="244">
        <v>6.9273140054802538E-3</v>
      </c>
      <c r="CK434" s="244">
        <v>1.7119466480320627E-2</v>
      </c>
      <c r="CL434" s="244"/>
      <c r="CM434" s="244">
        <v>1.1724319210426104</v>
      </c>
      <c r="CN434" s="244" t="s">
        <v>442</v>
      </c>
      <c r="CO434" s="244">
        <v>0.28600001335144043</v>
      </c>
      <c r="CP434" s="244">
        <v>0.31700000166893005</v>
      </c>
      <c r="CQ434" s="244">
        <v>9.7880817220437759</v>
      </c>
      <c r="CR434" s="244">
        <v>0</v>
      </c>
      <c r="CS434" s="244">
        <v>0</v>
      </c>
      <c r="CT434" s="244">
        <v>9.7880821228027344</v>
      </c>
      <c r="CU434" s="244">
        <v>0</v>
      </c>
      <c r="CV434" s="244">
        <v>0</v>
      </c>
      <c r="CW434" s="228">
        <v>9999</v>
      </c>
    </row>
    <row r="435" spans="1:101">
      <c r="A435" s="221" t="s">
        <v>517</v>
      </c>
      <c r="B435" s="221" t="s">
        <v>440</v>
      </c>
      <c r="C435" s="244">
        <v>10</v>
      </c>
      <c r="D435" s="244">
        <v>55.013873286820171</v>
      </c>
      <c r="E435" s="244">
        <v>0</v>
      </c>
      <c r="F435" s="244">
        <v>8.1096944444444432</v>
      </c>
      <c r="G435" s="244">
        <v>0</v>
      </c>
      <c r="H435" s="244">
        <v>0</v>
      </c>
      <c r="I435" s="244" t="s">
        <v>441</v>
      </c>
      <c r="J435" s="244">
        <v>0.28600001335144043</v>
      </c>
      <c r="K435" s="244">
        <v>0.31700000166893005</v>
      </c>
      <c r="L435" s="244">
        <v>59.991187648825139</v>
      </c>
      <c r="M435" s="244">
        <v>7.5906082056462765E-3</v>
      </c>
      <c r="N435" s="244">
        <v>2.3945135995745659E-2</v>
      </c>
      <c r="O435" s="244">
        <v>0</v>
      </c>
      <c r="P435" s="244">
        <v>0</v>
      </c>
      <c r="Q435" s="244">
        <v>0</v>
      </c>
      <c r="R435" s="244">
        <v>0.80633538961410522</v>
      </c>
      <c r="S435" s="244">
        <v>4.4560842514038086</v>
      </c>
      <c r="T435" s="244">
        <v>0</v>
      </c>
      <c r="U435" s="244">
        <v>8.9822397232055664</v>
      </c>
      <c r="V435" s="244" t="s">
        <v>226</v>
      </c>
      <c r="W435" s="244" t="s">
        <v>226</v>
      </c>
      <c r="X435" s="244" t="s">
        <v>226</v>
      </c>
      <c r="Y435" s="244" t="s">
        <v>226</v>
      </c>
      <c r="Z435" s="244">
        <v>0</v>
      </c>
      <c r="AA435" s="244">
        <v>0</v>
      </c>
      <c r="AB435" s="244">
        <v>0</v>
      </c>
      <c r="AC435" s="244">
        <v>0</v>
      </c>
      <c r="AD435" s="244">
        <v>0</v>
      </c>
      <c r="AE435" s="244">
        <v>0</v>
      </c>
      <c r="AF435" s="244">
        <v>0</v>
      </c>
      <c r="AG435" s="244">
        <v>0</v>
      </c>
      <c r="AH435" s="244">
        <v>0.80633538961410522</v>
      </c>
      <c r="AI435" s="244">
        <v>4.4560842514038086</v>
      </c>
      <c r="AJ435" s="244">
        <v>0</v>
      </c>
      <c r="AK435" s="244">
        <v>8.9822397232055664</v>
      </c>
      <c r="AL435" s="244">
        <v>14.24465936422348</v>
      </c>
      <c r="AM435" s="244">
        <v>42.282785455017752</v>
      </c>
      <c r="AN435" s="244">
        <v>0</v>
      </c>
      <c r="AO435" s="244">
        <v>7.4430580139160156</v>
      </c>
      <c r="AP435" s="244">
        <v>32.147792816162109</v>
      </c>
      <c r="AQ435" s="244">
        <v>81.873634338378906</v>
      </c>
      <c r="AR435" s="244">
        <v>0.80633538961410522</v>
      </c>
      <c r="AS435" s="228">
        <v>101.53794232481701</v>
      </c>
      <c r="AT435" s="244">
        <v>42.282785455017752</v>
      </c>
      <c r="AU435" s="244">
        <v>6.8634176254272461</v>
      </c>
      <c r="AV435" s="244">
        <v>8.129399299621582</v>
      </c>
      <c r="AW435" s="244">
        <v>32.147792816162109</v>
      </c>
      <c r="AX435" s="244">
        <v>89.423393249511719</v>
      </c>
      <c r="AY435" s="244">
        <v>4.4560842514038086</v>
      </c>
      <c r="AZ435" s="228">
        <v>20.067707464924492</v>
      </c>
      <c r="BA435" s="244">
        <v>42.282785455017752</v>
      </c>
      <c r="BB435" s="244">
        <v>6.8634176254272461</v>
      </c>
      <c r="BC435" s="244">
        <v>8.129399299621582</v>
      </c>
      <c r="BD435" s="244">
        <v>32.147792816162109</v>
      </c>
      <c r="BE435" s="244">
        <v>89.423393249511719</v>
      </c>
      <c r="BF435" s="244">
        <v>5.2624197006225586</v>
      </c>
      <c r="BG435" s="244">
        <v>-56.015132904052734</v>
      </c>
      <c r="BH435" s="228">
        <v>16.992828640881907</v>
      </c>
      <c r="BI435" s="244">
        <v>1.078532338142395</v>
      </c>
      <c r="BJ435" s="244">
        <v>5.9603376388549805</v>
      </c>
      <c r="BK435" s="244">
        <v>0</v>
      </c>
      <c r="BL435" s="244">
        <v>12.014399528503418</v>
      </c>
      <c r="BM435" s="244">
        <v>19.05327033996582</v>
      </c>
      <c r="BN435" s="244">
        <v>42.282785455017752</v>
      </c>
      <c r="BO435" s="244">
        <v>0</v>
      </c>
      <c r="BP435" s="244">
        <v>6.8634176254272461</v>
      </c>
      <c r="BQ435" s="244">
        <v>0</v>
      </c>
      <c r="BR435" s="244">
        <v>0</v>
      </c>
      <c r="BS435" s="244">
        <v>0</v>
      </c>
      <c r="BT435" s="244">
        <v>32.147792816162109</v>
      </c>
      <c r="BU435" s="244">
        <v>0</v>
      </c>
      <c r="BV435" s="244">
        <v>83.886871337890625</v>
      </c>
      <c r="BW435" s="244">
        <v>8.129399299621582</v>
      </c>
      <c r="BX435" s="244">
        <v>14.244659423828125</v>
      </c>
      <c r="BY435" s="244"/>
      <c r="BZ435" s="244">
        <v>0</v>
      </c>
      <c r="CA435" s="244">
        <v>0</v>
      </c>
      <c r="CB435" s="244">
        <v>173.31027221679687</v>
      </c>
      <c r="CC435" s="244">
        <v>14.244659423828125</v>
      </c>
      <c r="CD435" s="228">
        <v>12.166683763896106</v>
      </c>
      <c r="CE435" s="244">
        <v>-156.20553588867187</v>
      </c>
      <c r="CF435" s="244">
        <v>0.45271063428080127</v>
      </c>
      <c r="CG435" s="244">
        <v>0</v>
      </c>
      <c r="CH435" s="244">
        <v>0.45271063428080127</v>
      </c>
      <c r="CI435" s="244">
        <v>2.2198405924950027E-2</v>
      </c>
      <c r="CJ435" s="244">
        <v>0</v>
      </c>
      <c r="CK435" s="244">
        <v>2.2198405924950027E-2</v>
      </c>
      <c r="CL435" s="244"/>
      <c r="CM435" s="244">
        <v>0</v>
      </c>
      <c r="CN435" s="244" t="s">
        <v>442</v>
      </c>
      <c r="CO435" s="244">
        <v>0</v>
      </c>
      <c r="CP435" s="244">
        <v>0</v>
      </c>
      <c r="CQ435" s="244">
        <v>0</v>
      </c>
      <c r="CR435" s="244">
        <v>0</v>
      </c>
      <c r="CS435" s="244">
        <v>0</v>
      </c>
      <c r="CT435" s="244">
        <v>0</v>
      </c>
      <c r="CU435" s="244">
        <v>0</v>
      </c>
      <c r="CV435" s="244">
        <v>9999</v>
      </c>
      <c r="CW435" s="228">
        <v>9999</v>
      </c>
    </row>
    <row r="436" spans="1:101">
      <c r="A436" s="221" t="s">
        <v>518</v>
      </c>
      <c r="B436" s="221" t="s">
        <v>440</v>
      </c>
      <c r="C436" s="244">
        <v>10</v>
      </c>
      <c r="D436" s="244">
        <v>0</v>
      </c>
      <c r="E436" s="244">
        <v>2.4534059531778709</v>
      </c>
      <c r="F436" s="244">
        <v>8.1096944444444432</v>
      </c>
      <c r="G436" s="244">
        <v>0</v>
      </c>
      <c r="H436" s="244">
        <v>0</v>
      </c>
      <c r="I436" s="244" t="s">
        <v>441</v>
      </c>
      <c r="J436" s="244">
        <v>0</v>
      </c>
      <c r="K436" s="244">
        <v>0</v>
      </c>
      <c r="L436" s="244">
        <v>0</v>
      </c>
      <c r="M436" s="244">
        <v>0</v>
      </c>
      <c r="N436" s="244">
        <v>0</v>
      </c>
      <c r="O436" s="244">
        <v>2.4779400127096496</v>
      </c>
      <c r="P436" s="244">
        <v>7.5195832177996635E-3</v>
      </c>
      <c r="Q436" s="244">
        <v>2.3721082136034966E-2</v>
      </c>
      <c r="R436" s="244">
        <v>0.80633538961410522</v>
      </c>
      <c r="S436" s="244">
        <v>4.4560842514038086</v>
      </c>
      <c r="T436" s="244">
        <v>0</v>
      </c>
      <c r="U436" s="244">
        <v>8.9822397232055664</v>
      </c>
      <c r="V436" s="244" t="s">
        <v>226</v>
      </c>
      <c r="W436" s="244" t="s">
        <v>226</v>
      </c>
      <c r="X436" s="244" t="s">
        <v>226</v>
      </c>
      <c r="Y436" s="244" t="s">
        <v>226</v>
      </c>
      <c r="Z436" s="244">
        <v>0</v>
      </c>
      <c r="AA436" s="244">
        <v>0</v>
      </c>
      <c r="AB436" s="244">
        <v>0</v>
      </c>
      <c r="AC436" s="244">
        <v>0</v>
      </c>
      <c r="AD436" s="244">
        <v>0</v>
      </c>
      <c r="AE436" s="244">
        <v>0</v>
      </c>
      <c r="AF436" s="244">
        <v>0</v>
      </c>
      <c r="AG436" s="244">
        <v>0</v>
      </c>
      <c r="AH436" s="244">
        <v>0.80633538961410522</v>
      </c>
      <c r="AI436" s="244">
        <v>4.4560842514038086</v>
      </c>
      <c r="AJ436" s="244">
        <v>0</v>
      </c>
      <c r="AK436" s="244">
        <v>8.9822397232055664</v>
      </c>
      <c r="AL436" s="244">
        <v>14.24465936422348</v>
      </c>
      <c r="AM436" s="244">
        <v>0</v>
      </c>
      <c r="AN436" s="244">
        <v>0</v>
      </c>
      <c r="AO436" s="244">
        <v>0</v>
      </c>
      <c r="AP436" s="244">
        <v>0</v>
      </c>
      <c r="AQ436" s="244">
        <v>0</v>
      </c>
      <c r="AR436" s="244">
        <v>0.80633538961410522</v>
      </c>
      <c r="AS436" s="255">
        <v>0</v>
      </c>
      <c r="AT436" s="244">
        <v>0</v>
      </c>
      <c r="AU436" s="244">
        <v>0</v>
      </c>
      <c r="AV436" s="244">
        <v>0</v>
      </c>
      <c r="AW436" s="244">
        <v>0</v>
      </c>
      <c r="AX436" s="244">
        <v>0</v>
      </c>
      <c r="AY436" s="244">
        <v>4.4560842514038086</v>
      </c>
      <c r="AZ436" s="255">
        <v>0</v>
      </c>
      <c r="BA436" s="244">
        <v>0</v>
      </c>
      <c r="BB436" s="244">
        <v>0</v>
      </c>
      <c r="BC436" s="244">
        <v>0</v>
      </c>
      <c r="BD436" s="244">
        <v>0</v>
      </c>
      <c r="BE436" s="244">
        <v>0</v>
      </c>
      <c r="BF436" s="244">
        <v>5.2624197006225586</v>
      </c>
      <c r="BG436" s="244">
        <v>9999</v>
      </c>
      <c r="BH436" s="255">
        <v>0</v>
      </c>
      <c r="BI436" s="244">
        <v>9999</v>
      </c>
      <c r="BJ436" s="244">
        <v>9999</v>
      </c>
      <c r="BK436" s="244">
        <v>9999</v>
      </c>
      <c r="BL436" s="244">
        <v>9999</v>
      </c>
      <c r="BM436" s="244">
        <v>9999</v>
      </c>
      <c r="BN436" s="244">
        <v>0</v>
      </c>
      <c r="BO436" s="244">
        <v>20.482330390406446</v>
      </c>
      <c r="BP436" s="244">
        <v>0</v>
      </c>
      <c r="BQ436" s="244">
        <v>0</v>
      </c>
      <c r="BR436" s="244">
        <v>0</v>
      </c>
      <c r="BS436" s="244">
        <v>0</v>
      </c>
      <c r="BT436" s="244">
        <v>0</v>
      </c>
      <c r="BU436" s="244">
        <v>0</v>
      </c>
      <c r="BV436" s="244">
        <v>83.886871337890625</v>
      </c>
      <c r="BW436" s="244">
        <v>0</v>
      </c>
      <c r="BX436" s="244">
        <v>14.244659423828125</v>
      </c>
      <c r="BY436" s="244"/>
      <c r="BZ436" s="244">
        <v>0</v>
      </c>
      <c r="CA436" s="244">
        <v>0</v>
      </c>
      <c r="CB436" s="244">
        <v>104.36920166015625</v>
      </c>
      <c r="CC436" s="244">
        <v>14.244659423828125</v>
      </c>
      <c r="CD436" s="228">
        <v>7.3269004630402588</v>
      </c>
      <c r="CE436" s="244">
        <v>9999</v>
      </c>
      <c r="CF436" s="244">
        <v>0</v>
      </c>
      <c r="CG436" s="244">
        <v>0.23193518518962428</v>
      </c>
      <c r="CH436" s="244">
        <v>0.23193518518962428</v>
      </c>
      <c r="CI436" s="244">
        <v>0</v>
      </c>
      <c r="CJ436" s="244">
        <v>1.4495949074351448E-2</v>
      </c>
      <c r="CK436" s="244">
        <v>1.4495949074351448E-2</v>
      </c>
      <c r="CL436" s="244"/>
      <c r="CM436" s="244">
        <v>2.4534059531778709</v>
      </c>
      <c r="CN436" s="244" t="s">
        <v>442</v>
      </c>
      <c r="CO436" s="244">
        <v>0.28600001335144043</v>
      </c>
      <c r="CP436" s="244">
        <v>0.31700000166893005</v>
      </c>
      <c r="CQ436" s="244">
        <v>20.482330390406446</v>
      </c>
      <c r="CR436" s="244">
        <v>0</v>
      </c>
      <c r="CS436" s="244">
        <v>0</v>
      </c>
      <c r="CT436" s="244">
        <v>20.482330322265625</v>
      </c>
      <c r="CU436" s="244">
        <v>0</v>
      </c>
      <c r="CV436" s="244">
        <v>0</v>
      </c>
      <c r="CW436" s="228">
        <v>9999</v>
      </c>
    </row>
    <row r="437" spans="1:101">
      <c r="A437" s="221" t="s">
        <v>519</v>
      </c>
      <c r="B437" s="221" t="s">
        <v>440</v>
      </c>
      <c r="C437" s="244">
        <v>10</v>
      </c>
      <c r="D437" s="244">
        <v>26.95679791054188</v>
      </c>
      <c r="E437" s="244">
        <v>1.2512370361207141</v>
      </c>
      <c r="F437" s="244">
        <v>8.1096944444444432</v>
      </c>
      <c r="G437" s="244">
        <v>0</v>
      </c>
      <c r="H437" s="244">
        <v>0</v>
      </c>
      <c r="I437" s="244" t="s">
        <v>441</v>
      </c>
      <c r="J437" s="244">
        <v>0.28600001335144043</v>
      </c>
      <c r="K437" s="244">
        <v>0.31700000166893005</v>
      </c>
      <c r="L437" s="244">
        <v>29.395681947924309</v>
      </c>
      <c r="M437" s="244">
        <v>3.7193980533629656E-3</v>
      </c>
      <c r="N437" s="244">
        <v>1.1733116582036018E-2</v>
      </c>
      <c r="O437" s="244">
        <v>1.2637494064819208</v>
      </c>
      <c r="P437" s="244">
        <v>3.8349875248968601E-3</v>
      </c>
      <c r="Q437" s="244">
        <v>1.2097752653062344E-2</v>
      </c>
      <c r="R437" s="244">
        <v>0.80633538961410522</v>
      </c>
      <c r="S437" s="244">
        <v>4.4560842514038086</v>
      </c>
      <c r="T437" s="244">
        <v>0</v>
      </c>
      <c r="U437" s="244">
        <v>8.9822397232055664</v>
      </c>
      <c r="V437" s="244" t="s">
        <v>226</v>
      </c>
      <c r="W437" s="244" t="s">
        <v>226</v>
      </c>
      <c r="X437" s="244" t="s">
        <v>226</v>
      </c>
      <c r="Y437" s="244" t="s">
        <v>226</v>
      </c>
      <c r="Z437" s="244">
        <v>0</v>
      </c>
      <c r="AA437" s="244">
        <v>0</v>
      </c>
      <c r="AB437" s="244">
        <v>0</v>
      </c>
      <c r="AC437" s="244">
        <v>0</v>
      </c>
      <c r="AD437" s="244">
        <v>0</v>
      </c>
      <c r="AE437" s="244">
        <v>0</v>
      </c>
      <c r="AF437" s="244">
        <v>0</v>
      </c>
      <c r="AG437" s="244">
        <v>0</v>
      </c>
      <c r="AH437" s="244">
        <v>0.80633538961410522</v>
      </c>
      <c r="AI437" s="244">
        <v>4.4560842514038086</v>
      </c>
      <c r="AJ437" s="244">
        <v>0</v>
      </c>
      <c r="AK437" s="244">
        <v>8.9822397232055664</v>
      </c>
      <c r="AL437" s="244">
        <v>14.24465936422348</v>
      </c>
      <c r="AM437" s="244">
        <v>20.718564872958677</v>
      </c>
      <c r="AN437" s="244">
        <v>0</v>
      </c>
      <c r="AO437" s="244">
        <v>3.6470983028411865</v>
      </c>
      <c r="AP437" s="244">
        <v>15.75241756439209</v>
      </c>
      <c r="AQ437" s="244">
        <v>40.118080139160156</v>
      </c>
      <c r="AR437" s="244">
        <v>0.80633538961410522</v>
      </c>
      <c r="AS437" s="228">
        <v>49.753590449988323</v>
      </c>
      <c r="AT437" s="244">
        <v>20.718564872958677</v>
      </c>
      <c r="AU437" s="244">
        <v>3.3630745410919189</v>
      </c>
      <c r="AV437" s="244">
        <v>3.9834058284759521</v>
      </c>
      <c r="AW437" s="244">
        <v>15.75241756439209</v>
      </c>
      <c r="AX437" s="244">
        <v>43.817462921142578</v>
      </c>
      <c r="AY437" s="244">
        <v>4.4560842514038086</v>
      </c>
      <c r="AZ437" s="228">
        <v>9.8331764694787225</v>
      </c>
      <c r="BA437" s="244">
        <v>20.718564872958677</v>
      </c>
      <c r="BB437" s="244">
        <v>3.3630745410919189</v>
      </c>
      <c r="BC437" s="244">
        <v>3.9834058284759521</v>
      </c>
      <c r="BD437" s="244">
        <v>15.75241756439209</v>
      </c>
      <c r="BE437" s="244">
        <v>43.817462921142578</v>
      </c>
      <c r="BF437" s="244">
        <v>5.2624197006225586</v>
      </c>
      <c r="BG437" s="244">
        <v>-48.688957214355469</v>
      </c>
      <c r="BH437" s="228">
        <v>8.3264858745554164</v>
      </c>
      <c r="BI437" s="244">
        <v>2.2010865211486816</v>
      </c>
      <c r="BJ437" s="244">
        <v>12.163954734802246</v>
      </c>
      <c r="BK437" s="244">
        <v>0</v>
      </c>
      <c r="BL437" s="244">
        <v>24.519182205200195</v>
      </c>
      <c r="BM437" s="244">
        <v>38.884223937988281</v>
      </c>
      <c r="BN437" s="244">
        <v>20.718564872958677</v>
      </c>
      <c r="BO437" s="244">
        <v>10.445988499107312</v>
      </c>
      <c r="BP437" s="244">
        <v>3.3630745410919189</v>
      </c>
      <c r="BQ437" s="244">
        <v>0</v>
      </c>
      <c r="BR437" s="244">
        <v>0</v>
      </c>
      <c r="BS437" s="244">
        <v>0</v>
      </c>
      <c r="BT437" s="244">
        <v>15.75241756439209</v>
      </c>
      <c r="BU437" s="244">
        <v>0</v>
      </c>
      <c r="BV437" s="244">
        <v>83.886871337890625</v>
      </c>
      <c r="BW437" s="244">
        <v>3.9834058284759521</v>
      </c>
      <c r="BX437" s="244">
        <v>14.244659423828125</v>
      </c>
      <c r="BY437" s="244"/>
      <c r="BZ437" s="244">
        <v>0</v>
      </c>
      <c r="CA437" s="244">
        <v>0</v>
      </c>
      <c r="CB437" s="244">
        <v>138.15032958984375</v>
      </c>
      <c r="CC437" s="244">
        <v>14.244659423828125</v>
      </c>
      <c r="CD437" s="228">
        <v>9.6983942215439729</v>
      </c>
      <c r="CE437" s="244">
        <v>-281.67401123046875</v>
      </c>
      <c r="CF437" s="244">
        <v>0.22182821079759335</v>
      </c>
      <c r="CG437" s="244">
        <v>0.11828694444670736</v>
      </c>
      <c r="CH437" s="244">
        <v>0.34011515524430069</v>
      </c>
      <c r="CI437" s="244">
        <v>1.0877218903225508E-2</v>
      </c>
      <c r="CJ437" s="244">
        <v>7.3929340279192341E-3</v>
      </c>
      <c r="CK437" s="244">
        <v>1.8270152931144742E-2</v>
      </c>
      <c r="CL437" s="244"/>
      <c r="CM437" s="244">
        <v>1.2512370361207141</v>
      </c>
      <c r="CN437" s="244" t="s">
        <v>442</v>
      </c>
      <c r="CO437" s="244">
        <v>0.28600001335144043</v>
      </c>
      <c r="CP437" s="244">
        <v>0.31700000166893005</v>
      </c>
      <c r="CQ437" s="244">
        <v>10.445988499107312</v>
      </c>
      <c r="CR437" s="244">
        <v>0</v>
      </c>
      <c r="CS437" s="244">
        <v>0</v>
      </c>
      <c r="CT437" s="244">
        <v>10.445988655090332</v>
      </c>
      <c r="CU437" s="244">
        <v>0</v>
      </c>
      <c r="CV437" s="244">
        <v>0</v>
      </c>
      <c r="CW437" s="228">
        <v>9999</v>
      </c>
    </row>
    <row r="438" spans="1:101">
      <c r="A438" s="221" t="s">
        <v>520</v>
      </c>
      <c r="B438" s="221" t="s">
        <v>440</v>
      </c>
      <c r="C438" s="244">
        <v>10</v>
      </c>
      <c r="D438" s="244">
        <v>90.955443069053658</v>
      </c>
      <c r="E438" s="244">
        <v>0</v>
      </c>
      <c r="F438" s="244">
        <v>8.1096944444444432</v>
      </c>
      <c r="G438" s="244">
        <v>0</v>
      </c>
      <c r="H438" s="244">
        <v>0</v>
      </c>
      <c r="I438" s="244" t="s">
        <v>441</v>
      </c>
      <c r="J438" s="244">
        <v>0.28600001335144043</v>
      </c>
      <c r="K438" s="244">
        <v>0.31700000166893005</v>
      </c>
      <c r="L438" s="244">
        <v>99.18452795333107</v>
      </c>
      <c r="M438" s="244">
        <v>1.2549691833555698E-2</v>
      </c>
      <c r="N438" s="244">
        <v>3.9588931947946548E-2</v>
      </c>
      <c r="O438" s="244">
        <v>0</v>
      </c>
      <c r="P438" s="244">
        <v>0</v>
      </c>
      <c r="Q438" s="244">
        <v>0</v>
      </c>
      <c r="R438" s="244">
        <v>0.80633538961410522</v>
      </c>
      <c r="S438" s="244">
        <v>4.4560842514038086</v>
      </c>
      <c r="T438" s="244">
        <v>0</v>
      </c>
      <c r="U438" s="244">
        <v>8.9822397232055664</v>
      </c>
      <c r="V438" s="244" t="s">
        <v>226</v>
      </c>
      <c r="W438" s="244" t="s">
        <v>226</v>
      </c>
      <c r="X438" s="244" t="s">
        <v>226</v>
      </c>
      <c r="Y438" s="244" t="s">
        <v>226</v>
      </c>
      <c r="Z438" s="244">
        <v>0</v>
      </c>
      <c r="AA438" s="244">
        <v>0</v>
      </c>
      <c r="AB438" s="244">
        <v>0</v>
      </c>
      <c r="AC438" s="244">
        <v>0</v>
      </c>
      <c r="AD438" s="244">
        <v>0</v>
      </c>
      <c r="AE438" s="244">
        <v>0</v>
      </c>
      <c r="AF438" s="244">
        <v>0</v>
      </c>
      <c r="AG438" s="244">
        <v>0</v>
      </c>
      <c r="AH438" s="244">
        <v>0.80633538961410522</v>
      </c>
      <c r="AI438" s="244">
        <v>4.4560842514038086</v>
      </c>
      <c r="AJ438" s="244">
        <v>0</v>
      </c>
      <c r="AK438" s="244">
        <v>8.9822397232055664</v>
      </c>
      <c r="AL438" s="244">
        <v>14.24465936422348</v>
      </c>
      <c r="AM438" s="244">
        <v>69.906902668062642</v>
      </c>
      <c r="AN438" s="244">
        <v>0</v>
      </c>
      <c r="AO438" s="244">
        <v>12.305744171142578</v>
      </c>
      <c r="AP438" s="244">
        <v>53.150535583496094</v>
      </c>
      <c r="AQ438" s="244">
        <v>135.36318969726562</v>
      </c>
      <c r="AR438" s="244">
        <v>0.80633538961410522</v>
      </c>
      <c r="AS438" s="228">
        <v>167.87453975880086</v>
      </c>
      <c r="AT438" s="244">
        <v>69.906902668062642</v>
      </c>
      <c r="AU438" s="244">
        <v>11.347413063049316</v>
      </c>
      <c r="AV438" s="244">
        <v>13.440485000610352</v>
      </c>
      <c r="AW438" s="244">
        <v>53.150535583496094</v>
      </c>
      <c r="AX438" s="244">
        <v>147.8453369140625</v>
      </c>
      <c r="AY438" s="244">
        <v>4.4560842514038086</v>
      </c>
      <c r="AZ438" s="228">
        <v>33.178308123021324</v>
      </c>
      <c r="BA438" s="244">
        <v>69.906902668062642</v>
      </c>
      <c r="BB438" s="244">
        <v>11.347413063049316</v>
      </c>
      <c r="BC438" s="244">
        <v>13.440485000610352</v>
      </c>
      <c r="BD438" s="244">
        <v>53.150535583496094</v>
      </c>
      <c r="BE438" s="244">
        <v>147.8453369140625</v>
      </c>
      <c r="BF438" s="244">
        <v>5.2624197006225586</v>
      </c>
      <c r="BG438" s="244">
        <v>-58.796581268310547</v>
      </c>
      <c r="BH438" s="228">
        <v>28.094554672690556</v>
      </c>
      <c r="BI438" s="244">
        <v>0.65234404802322388</v>
      </c>
      <c r="BJ438" s="244">
        <v>3.6050758361816406</v>
      </c>
      <c r="BK438" s="244">
        <v>0</v>
      </c>
      <c r="BL438" s="244">
        <v>7.2668399810791016</v>
      </c>
      <c r="BM438" s="244">
        <v>11.524259567260742</v>
      </c>
      <c r="BN438" s="244">
        <v>69.906902668062642</v>
      </c>
      <c r="BO438" s="244">
        <v>0</v>
      </c>
      <c r="BP438" s="244">
        <v>11.347413063049316</v>
      </c>
      <c r="BQ438" s="244">
        <v>0</v>
      </c>
      <c r="BR438" s="244">
        <v>0</v>
      </c>
      <c r="BS438" s="244">
        <v>0</v>
      </c>
      <c r="BT438" s="244">
        <v>53.150535583496094</v>
      </c>
      <c r="BU438" s="244">
        <v>0</v>
      </c>
      <c r="BV438" s="244">
        <v>130.49069213867187</v>
      </c>
      <c r="BW438" s="244">
        <v>13.440485000610352</v>
      </c>
      <c r="BX438" s="244">
        <v>14.244659423828125</v>
      </c>
      <c r="BY438" s="244"/>
      <c r="BZ438" s="244">
        <v>0</v>
      </c>
      <c r="CA438" s="244">
        <v>0</v>
      </c>
      <c r="CB438" s="244">
        <v>278.33602905273438</v>
      </c>
      <c r="CC438" s="244">
        <v>14.244659423828125</v>
      </c>
      <c r="CD438" s="228">
        <v>19.539675900449851</v>
      </c>
      <c r="CE438" s="244">
        <v>-157.09974670410156</v>
      </c>
      <c r="CF438" s="244">
        <v>0.74847477305233423</v>
      </c>
      <c r="CG438" s="244">
        <v>0</v>
      </c>
      <c r="CH438" s="244">
        <v>0.74847477305233423</v>
      </c>
      <c r="CI438" s="244">
        <v>3.6701030589210475E-2</v>
      </c>
      <c r="CJ438" s="244">
        <v>0</v>
      </c>
      <c r="CK438" s="244">
        <v>3.6701030589210475E-2</v>
      </c>
      <c r="CL438" s="244"/>
      <c r="CM438" s="244">
        <v>0</v>
      </c>
      <c r="CN438" s="244" t="s">
        <v>442</v>
      </c>
      <c r="CO438" s="244">
        <v>0</v>
      </c>
      <c r="CP438" s="244">
        <v>0</v>
      </c>
      <c r="CQ438" s="244">
        <v>0</v>
      </c>
      <c r="CR438" s="244">
        <v>0</v>
      </c>
      <c r="CS438" s="244">
        <v>0</v>
      </c>
      <c r="CT438" s="244">
        <v>0</v>
      </c>
      <c r="CU438" s="244">
        <v>0</v>
      </c>
      <c r="CV438" s="244">
        <v>9999</v>
      </c>
      <c r="CW438" s="228">
        <v>9999</v>
      </c>
    </row>
    <row r="439" spans="1:101">
      <c r="A439" s="221" t="s">
        <v>521</v>
      </c>
      <c r="B439" s="221" t="s">
        <v>440</v>
      </c>
      <c r="C439" s="244">
        <v>10</v>
      </c>
      <c r="D439" s="244">
        <v>0</v>
      </c>
      <c r="E439" s="244">
        <v>4.0562609423286711</v>
      </c>
      <c r="F439" s="244">
        <v>8.1096944444444432</v>
      </c>
      <c r="G439" s="244">
        <v>0</v>
      </c>
      <c r="H439" s="244">
        <v>0</v>
      </c>
      <c r="I439" s="244" t="s">
        <v>441</v>
      </c>
      <c r="J439" s="244">
        <v>0</v>
      </c>
      <c r="K439" s="244">
        <v>0</v>
      </c>
      <c r="L439" s="244">
        <v>0</v>
      </c>
      <c r="M439" s="244">
        <v>0</v>
      </c>
      <c r="N439" s="244">
        <v>0</v>
      </c>
      <c r="O439" s="244">
        <v>4.0968235517519584</v>
      </c>
      <c r="P439" s="244">
        <v>1.2432265095412731E-2</v>
      </c>
      <c r="Q439" s="244">
        <v>3.9218500256538391E-2</v>
      </c>
      <c r="R439" s="244">
        <v>0.80633538961410522</v>
      </c>
      <c r="S439" s="244">
        <v>4.4560842514038086</v>
      </c>
      <c r="T439" s="244">
        <v>0</v>
      </c>
      <c r="U439" s="244">
        <v>8.9822397232055664</v>
      </c>
      <c r="V439" s="244" t="s">
        <v>226</v>
      </c>
      <c r="W439" s="244" t="s">
        <v>226</v>
      </c>
      <c r="X439" s="244" t="s">
        <v>226</v>
      </c>
      <c r="Y439" s="244" t="s">
        <v>226</v>
      </c>
      <c r="Z439" s="244">
        <v>0</v>
      </c>
      <c r="AA439" s="244">
        <v>0</v>
      </c>
      <c r="AB439" s="244">
        <v>0</v>
      </c>
      <c r="AC439" s="244">
        <v>0</v>
      </c>
      <c r="AD439" s="244">
        <v>0</v>
      </c>
      <c r="AE439" s="244">
        <v>0</v>
      </c>
      <c r="AF439" s="244">
        <v>0</v>
      </c>
      <c r="AG439" s="244">
        <v>0</v>
      </c>
      <c r="AH439" s="244">
        <v>0.80633538961410522</v>
      </c>
      <c r="AI439" s="244">
        <v>4.4560842514038086</v>
      </c>
      <c r="AJ439" s="244">
        <v>0</v>
      </c>
      <c r="AK439" s="244">
        <v>8.9822397232055664</v>
      </c>
      <c r="AL439" s="244">
        <v>14.24465936422348</v>
      </c>
      <c r="AM439" s="244">
        <v>0</v>
      </c>
      <c r="AN439" s="244">
        <v>0</v>
      </c>
      <c r="AO439" s="244">
        <v>0</v>
      </c>
      <c r="AP439" s="244">
        <v>0</v>
      </c>
      <c r="AQ439" s="244">
        <v>0</v>
      </c>
      <c r="AR439" s="244">
        <v>0.80633538961410522</v>
      </c>
      <c r="AS439" s="255">
        <v>0</v>
      </c>
      <c r="AT439" s="244">
        <v>0</v>
      </c>
      <c r="AU439" s="244">
        <v>0</v>
      </c>
      <c r="AV439" s="244">
        <v>0</v>
      </c>
      <c r="AW439" s="244">
        <v>0</v>
      </c>
      <c r="AX439" s="244">
        <v>0</v>
      </c>
      <c r="AY439" s="244">
        <v>4.4560842514038086</v>
      </c>
      <c r="AZ439" s="255">
        <v>0</v>
      </c>
      <c r="BA439" s="244">
        <v>0</v>
      </c>
      <c r="BB439" s="244">
        <v>0</v>
      </c>
      <c r="BC439" s="244">
        <v>0</v>
      </c>
      <c r="BD439" s="244">
        <v>0</v>
      </c>
      <c r="BE439" s="244">
        <v>0</v>
      </c>
      <c r="BF439" s="244">
        <v>5.2624197006225586</v>
      </c>
      <c r="BG439" s="244">
        <v>9999</v>
      </c>
      <c r="BH439" s="255">
        <v>0</v>
      </c>
      <c r="BI439" s="244">
        <v>9999</v>
      </c>
      <c r="BJ439" s="244">
        <v>9999</v>
      </c>
      <c r="BK439" s="244">
        <v>9999</v>
      </c>
      <c r="BL439" s="244">
        <v>9999</v>
      </c>
      <c r="BM439" s="244">
        <v>9999</v>
      </c>
      <c r="BN439" s="244">
        <v>0</v>
      </c>
      <c r="BO439" s="244">
        <v>33.863811515930543</v>
      </c>
      <c r="BP439" s="244">
        <v>0</v>
      </c>
      <c r="BQ439" s="244">
        <v>0</v>
      </c>
      <c r="BR439" s="244">
        <v>0</v>
      </c>
      <c r="BS439" s="244">
        <v>0</v>
      </c>
      <c r="BT439" s="244">
        <v>0</v>
      </c>
      <c r="BU439" s="244">
        <v>0</v>
      </c>
      <c r="BV439" s="244">
        <v>130.49069213867187</v>
      </c>
      <c r="BW439" s="244">
        <v>0</v>
      </c>
      <c r="BX439" s="244">
        <v>14.244659423828125</v>
      </c>
      <c r="BY439" s="244"/>
      <c r="BZ439" s="244">
        <v>0</v>
      </c>
      <c r="CA439" s="244">
        <v>0</v>
      </c>
      <c r="CB439" s="244">
        <v>164.35450744628906</v>
      </c>
      <c r="CC439" s="244">
        <v>14.244659423828125</v>
      </c>
      <c r="CD439" s="228">
        <v>11.537973549558801</v>
      </c>
      <c r="CE439" s="244">
        <v>9999</v>
      </c>
      <c r="CF439" s="244">
        <v>0</v>
      </c>
      <c r="CG439" s="244">
        <v>0.38346268444398418</v>
      </c>
      <c r="CH439" s="244">
        <v>0.38346268444398418</v>
      </c>
      <c r="CI439" s="244">
        <v>0</v>
      </c>
      <c r="CJ439" s="244">
        <v>2.3966417777748935E-2</v>
      </c>
      <c r="CK439" s="244">
        <v>2.3966417777748935E-2</v>
      </c>
      <c r="CL439" s="244"/>
      <c r="CM439" s="244">
        <v>4.0562609423286711</v>
      </c>
      <c r="CN439" s="244" t="s">
        <v>442</v>
      </c>
      <c r="CO439" s="244">
        <v>0.28600001335144043</v>
      </c>
      <c r="CP439" s="244">
        <v>0.31700000166893005</v>
      </c>
      <c r="CQ439" s="244">
        <v>33.863811515930543</v>
      </c>
      <c r="CR439" s="244">
        <v>0</v>
      </c>
      <c r="CS439" s="244">
        <v>0</v>
      </c>
      <c r="CT439" s="244">
        <v>33.863811492919922</v>
      </c>
      <c r="CU439" s="244">
        <v>0</v>
      </c>
      <c r="CV439" s="244">
        <v>0</v>
      </c>
      <c r="CW439" s="228">
        <v>9999</v>
      </c>
    </row>
    <row r="440" spans="1:101">
      <c r="A440" s="221" t="s">
        <v>522</v>
      </c>
      <c r="B440" s="221" t="s">
        <v>440</v>
      </c>
      <c r="C440" s="244">
        <v>10</v>
      </c>
      <c r="D440" s="244">
        <v>44.568167103836295</v>
      </c>
      <c r="E440" s="244">
        <v>2.0686930805876225</v>
      </c>
      <c r="F440" s="244">
        <v>8.1096944444444432</v>
      </c>
      <c r="G440" s="244">
        <v>0</v>
      </c>
      <c r="H440" s="244">
        <v>0</v>
      </c>
      <c r="I440" s="244" t="s">
        <v>441</v>
      </c>
      <c r="J440" s="244">
        <v>0.28600001335144043</v>
      </c>
      <c r="K440" s="244">
        <v>0.31700000166893005</v>
      </c>
      <c r="L440" s="244">
        <v>48.60041869713222</v>
      </c>
      <c r="M440" s="244">
        <v>6.1493483372032642E-3</v>
      </c>
      <c r="N440" s="244">
        <v>1.9398575648665428E-2</v>
      </c>
      <c r="O440" s="244">
        <v>2.0893800113934984</v>
      </c>
      <c r="P440" s="244">
        <v>6.3404552638530731E-3</v>
      </c>
      <c r="Q440" s="244">
        <v>2.0001435652375221E-2</v>
      </c>
      <c r="R440" s="244">
        <v>0.80633538961410522</v>
      </c>
      <c r="S440" s="244">
        <v>4.4560842514038086</v>
      </c>
      <c r="T440" s="244">
        <v>0</v>
      </c>
      <c r="U440" s="244">
        <v>8.9822397232055664</v>
      </c>
      <c r="V440" s="244" t="s">
        <v>226</v>
      </c>
      <c r="W440" s="244" t="s">
        <v>226</v>
      </c>
      <c r="X440" s="244" t="s">
        <v>226</v>
      </c>
      <c r="Y440" s="244" t="s">
        <v>226</v>
      </c>
      <c r="Z440" s="244">
        <v>0</v>
      </c>
      <c r="AA440" s="244">
        <v>0</v>
      </c>
      <c r="AB440" s="244">
        <v>0</v>
      </c>
      <c r="AC440" s="244">
        <v>0</v>
      </c>
      <c r="AD440" s="244">
        <v>0</v>
      </c>
      <c r="AE440" s="244">
        <v>0</v>
      </c>
      <c r="AF440" s="244">
        <v>0</v>
      </c>
      <c r="AG440" s="244">
        <v>0</v>
      </c>
      <c r="AH440" s="244">
        <v>0.80633538961410522</v>
      </c>
      <c r="AI440" s="244">
        <v>4.4560842514038086</v>
      </c>
      <c r="AJ440" s="244">
        <v>0</v>
      </c>
      <c r="AK440" s="244">
        <v>8.9822397232055664</v>
      </c>
      <c r="AL440" s="244">
        <v>14.24465936422348</v>
      </c>
      <c r="AM440" s="244">
        <v>34.254382307350689</v>
      </c>
      <c r="AN440" s="244">
        <v>0</v>
      </c>
      <c r="AO440" s="244">
        <v>6.0298147201538086</v>
      </c>
      <c r="AP440" s="244">
        <v>26.043764114379883</v>
      </c>
      <c r="AQ440" s="244">
        <v>66.327964782714844</v>
      </c>
      <c r="AR440" s="244">
        <v>0.80633538961410522</v>
      </c>
      <c r="AS440" s="228">
        <v>82.258526658029368</v>
      </c>
      <c r="AT440" s="244">
        <v>34.254382307350689</v>
      </c>
      <c r="AU440" s="244">
        <v>5.5602326393127441</v>
      </c>
      <c r="AV440" s="244">
        <v>6.5858378410339355</v>
      </c>
      <c r="AW440" s="244">
        <v>26.043764114379883</v>
      </c>
      <c r="AX440" s="244">
        <v>72.4442138671875</v>
      </c>
      <c r="AY440" s="244">
        <v>4.4560842514038086</v>
      </c>
      <c r="AZ440" s="228">
        <v>16.257371453256301</v>
      </c>
      <c r="BA440" s="244">
        <v>34.254382307350689</v>
      </c>
      <c r="BB440" s="244">
        <v>5.5602326393127441</v>
      </c>
      <c r="BC440" s="244">
        <v>6.5858378410339355</v>
      </c>
      <c r="BD440" s="244">
        <v>26.043764114379883</v>
      </c>
      <c r="BE440" s="244">
        <v>72.4442138671875</v>
      </c>
      <c r="BF440" s="244">
        <v>5.2624197006225586</v>
      </c>
      <c r="BG440" s="244">
        <v>-54.365394592285156</v>
      </c>
      <c r="BH440" s="228">
        <v>13.766332190122395</v>
      </c>
      <c r="BI440" s="244">
        <v>1.3313143253326416</v>
      </c>
      <c r="BJ440" s="244">
        <v>7.357297420501709</v>
      </c>
      <c r="BK440" s="244">
        <v>0</v>
      </c>
      <c r="BL440" s="244">
        <v>14.830286026000977</v>
      </c>
      <c r="BM440" s="244">
        <v>23.518898010253906</v>
      </c>
      <c r="BN440" s="244">
        <v>34.254382307350689</v>
      </c>
      <c r="BO440" s="244">
        <v>17.27054387312457</v>
      </c>
      <c r="BP440" s="244">
        <v>5.5602326393127441</v>
      </c>
      <c r="BQ440" s="244">
        <v>0</v>
      </c>
      <c r="BR440" s="244">
        <v>0</v>
      </c>
      <c r="BS440" s="244">
        <v>0</v>
      </c>
      <c r="BT440" s="244">
        <v>26.043764114379883</v>
      </c>
      <c r="BU440" s="244">
        <v>0</v>
      </c>
      <c r="BV440" s="244">
        <v>130.49069213867187</v>
      </c>
      <c r="BW440" s="244">
        <v>6.5858378410339355</v>
      </c>
      <c r="BX440" s="244">
        <v>14.244659423828125</v>
      </c>
      <c r="BY440" s="244"/>
      <c r="BZ440" s="244">
        <v>0</v>
      </c>
      <c r="CA440" s="244">
        <v>0</v>
      </c>
      <c r="CB440" s="244">
        <v>220.20545959472656</v>
      </c>
      <c r="CC440" s="244">
        <v>14.244659423828125</v>
      </c>
      <c r="CD440" s="228">
        <v>15.458807849454042</v>
      </c>
      <c r="CE440" s="244">
        <v>-283.49893188476562</v>
      </c>
      <c r="CF440" s="244">
        <v>0.36675263879564468</v>
      </c>
      <c r="CG440" s="244">
        <v>0.19556596906643164</v>
      </c>
      <c r="CH440" s="244">
        <v>0.56231860786207633</v>
      </c>
      <c r="CI440" s="244">
        <v>1.798350498871313E-2</v>
      </c>
      <c r="CJ440" s="244">
        <v>1.2222873066651959E-2</v>
      </c>
      <c r="CK440" s="244">
        <v>3.0206378055365087E-2</v>
      </c>
      <c r="CL440" s="244"/>
      <c r="CM440" s="244">
        <v>2.0686930805876225</v>
      </c>
      <c r="CN440" s="244" t="s">
        <v>442</v>
      </c>
      <c r="CO440" s="244">
        <v>0.28600001335144043</v>
      </c>
      <c r="CP440" s="244">
        <v>0.31700000166893005</v>
      </c>
      <c r="CQ440" s="244">
        <v>17.27054387312457</v>
      </c>
      <c r="CR440" s="244">
        <v>0</v>
      </c>
      <c r="CS440" s="244">
        <v>0</v>
      </c>
      <c r="CT440" s="244">
        <v>17.270544052124023</v>
      </c>
      <c r="CU440" s="244">
        <v>0</v>
      </c>
      <c r="CV440" s="244">
        <v>0</v>
      </c>
      <c r="CW440" s="228">
        <v>9999</v>
      </c>
    </row>
    <row r="441" spans="1:101">
      <c r="A441" s="221" t="s">
        <v>523</v>
      </c>
      <c r="B441" s="221" t="s">
        <v>440</v>
      </c>
      <c r="C441" s="244">
        <v>10</v>
      </c>
      <c r="D441" s="244">
        <v>74.660458019959066</v>
      </c>
      <c r="E441" s="244">
        <v>0</v>
      </c>
      <c r="F441" s="244">
        <v>3.2966774171383419</v>
      </c>
      <c r="G441" s="244">
        <v>0</v>
      </c>
      <c r="H441" s="244">
        <v>0</v>
      </c>
      <c r="I441" s="244" t="s">
        <v>441</v>
      </c>
      <c r="J441" s="244">
        <v>0.28600001335144043</v>
      </c>
      <c r="K441" s="244">
        <v>0.31700000166893005</v>
      </c>
      <c r="L441" s="244">
        <v>81.415273628727292</v>
      </c>
      <c r="M441" s="244">
        <v>1.0301371105015278E-2</v>
      </c>
      <c r="N441" s="244">
        <v>3.2496437430381775E-2</v>
      </c>
      <c r="O441" s="244">
        <v>0</v>
      </c>
      <c r="P441" s="244">
        <v>0</v>
      </c>
      <c r="Q441" s="244">
        <v>0</v>
      </c>
      <c r="R441" s="244">
        <v>0.32778394222259521</v>
      </c>
      <c r="S441" s="244">
        <v>1.8114458322525024</v>
      </c>
      <c r="T441" s="244">
        <v>0</v>
      </c>
      <c r="U441" s="244">
        <v>3.6513762474060059</v>
      </c>
      <c r="V441" s="244" t="s">
        <v>226</v>
      </c>
      <c r="W441" s="244" t="s">
        <v>226</v>
      </c>
      <c r="X441" s="244" t="s">
        <v>226</v>
      </c>
      <c r="Y441" s="244" t="s">
        <v>226</v>
      </c>
      <c r="Z441" s="244">
        <v>0</v>
      </c>
      <c r="AA441" s="244">
        <v>0</v>
      </c>
      <c r="AB441" s="244">
        <v>0</v>
      </c>
      <c r="AC441" s="244">
        <v>0</v>
      </c>
      <c r="AD441" s="244">
        <v>0</v>
      </c>
      <c r="AE441" s="244">
        <v>0</v>
      </c>
      <c r="AF441" s="244">
        <v>0</v>
      </c>
      <c r="AG441" s="244">
        <v>0</v>
      </c>
      <c r="AH441" s="244">
        <v>0.32778394222259521</v>
      </c>
      <c r="AI441" s="244">
        <v>1.8114458322525024</v>
      </c>
      <c r="AJ441" s="244">
        <v>0</v>
      </c>
      <c r="AK441" s="244">
        <v>3.6513762474060059</v>
      </c>
      <c r="AL441" s="244">
        <v>5.7906060218811035</v>
      </c>
      <c r="AM441" s="244">
        <v>57.382837088614458</v>
      </c>
      <c r="AN441" s="244">
        <v>0</v>
      </c>
      <c r="AO441" s="244">
        <v>10.101127624511719</v>
      </c>
      <c r="AP441" s="244">
        <v>43.628433227539063</v>
      </c>
      <c r="AQ441" s="244">
        <v>111.11239624023437</v>
      </c>
      <c r="AR441" s="244">
        <v>0.32778394222259521</v>
      </c>
      <c r="AS441" s="228">
        <v>338.98060163426118</v>
      </c>
      <c r="AT441" s="244">
        <v>57.382837088614458</v>
      </c>
      <c r="AU441" s="244">
        <v>9.3144855499267578</v>
      </c>
      <c r="AV441" s="244">
        <v>11.032575607299805</v>
      </c>
      <c r="AW441" s="244">
        <v>43.628433227539063</v>
      </c>
      <c r="AX441" s="244">
        <v>121.35832977294922</v>
      </c>
      <c r="AY441" s="244">
        <v>1.8114458322525024</v>
      </c>
      <c r="AZ441" s="228">
        <v>66.995285927193876</v>
      </c>
      <c r="BA441" s="244">
        <v>57.382837088614458</v>
      </c>
      <c r="BB441" s="244">
        <v>9.3144855499267578</v>
      </c>
      <c r="BC441" s="244">
        <v>11.032575607299805</v>
      </c>
      <c r="BD441" s="244">
        <v>43.628433227539063</v>
      </c>
      <c r="BE441" s="244">
        <v>121.35832977294922</v>
      </c>
      <c r="BF441" s="244">
        <v>2.1392297744750977</v>
      </c>
      <c r="BG441" s="244">
        <v>-60.945587158203125</v>
      </c>
      <c r="BH441" s="228">
        <v>56.729918834061543</v>
      </c>
      <c r="BI441" s="244">
        <v>0.32306259870529175</v>
      </c>
      <c r="BJ441" s="244">
        <v>1.7853541374206543</v>
      </c>
      <c r="BK441" s="244">
        <v>0</v>
      </c>
      <c r="BL441" s="244">
        <v>3.5987825393676758</v>
      </c>
      <c r="BM441" s="244">
        <v>5.7071990966796875</v>
      </c>
      <c r="BN441" s="244">
        <v>57.382837088614458</v>
      </c>
      <c r="BO441" s="244">
        <v>0</v>
      </c>
      <c r="BP441" s="244">
        <v>9.3144855499267578</v>
      </c>
      <c r="BQ441" s="244">
        <v>0</v>
      </c>
      <c r="BR441" s="244">
        <v>0</v>
      </c>
      <c r="BS441" s="244">
        <v>0</v>
      </c>
      <c r="BT441" s="244">
        <v>43.628433227539063</v>
      </c>
      <c r="BU441" s="244">
        <v>0</v>
      </c>
      <c r="BV441" s="244">
        <v>107.99705505371094</v>
      </c>
      <c r="BW441" s="244">
        <v>11.032575607299805</v>
      </c>
      <c r="BX441" s="244">
        <v>5.7906060218811035</v>
      </c>
      <c r="BY441" s="244"/>
      <c r="BZ441" s="244">
        <v>0</v>
      </c>
      <c r="CA441" s="244">
        <v>0</v>
      </c>
      <c r="CB441" s="244">
        <v>229.35539245605469</v>
      </c>
      <c r="CC441" s="244">
        <v>5.7906060218811035</v>
      </c>
      <c r="CD441" s="228">
        <v>39.608183609870927</v>
      </c>
      <c r="CE441" s="244">
        <v>-163.78829956054687</v>
      </c>
      <c r="CF441" s="244">
        <v>0.61438290537540252</v>
      </c>
      <c r="CG441" s="244">
        <v>0</v>
      </c>
      <c r="CH441" s="244">
        <v>0.61438290537540252</v>
      </c>
      <c r="CI441" s="244">
        <v>3.0125912877085069E-2</v>
      </c>
      <c r="CJ441" s="244">
        <v>0</v>
      </c>
      <c r="CK441" s="244">
        <v>3.0125912877085069E-2</v>
      </c>
      <c r="CL441" s="244"/>
      <c r="CM441" s="244">
        <v>0</v>
      </c>
      <c r="CN441" s="244" t="s">
        <v>442</v>
      </c>
      <c r="CO441" s="244">
        <v>0</v>
      </c>
      <c r="CP441" s="244">
        <v>0</v>
      </c>
      <c r="CQ441" s="244">
        <v>0</v>
      </c>
      <c r="CR441" s="244">
        <v>0</v>
      </c>
      <c r="CS441" s="244">
        <v>0</v>
      </c>
      <c r="CT441" s="244">
        <v>0</v>
      </c>
      <c r="CU441" s="244">
        <v>0</v>
      </c>
      <c r="CV441" s="244">
        <v>9999</v>
      </c>
      <c r="CW441" s="228">
        <v>9999</v>
      </c>
    </row>
    <row r="442" spans="1:101">
      <c r="A442" s="221" t="s">
        <v>524</v>
      </c>
      <c r="B442" s="221" t="s">
        <v>440</v>
      </c>
      <c r="C442" s="244">
        <v>10</v>
      </c>
      <c r="D442" s="244">
        <v>0</v>
      </c>
      <c r="E442" s="244">
        <v>3.3295676386602908</v>
      </c>
      <c r="F442" s="244">
        <v>3.2966774171383419</v>
      </c>
      <c r="G442" s="244">
        <v>0</v>
      </c>
      <c r="H442" s="244">
        <v>0</v>
      </c>
      <c r="I442" s="244" t="s">
        <v>441</v>
      </c>
      <c r="J442" s="244">
        <v>0</v>
      </c>
      <c r="K442" s="244">
        <v>0</v>
      </c>
      <c r="L442" s="244">
        <v>0</v>
      </c>
      <c r="M442" s="244">
        <v>0</v>
      </c>
      <c r="N442" s="244">
        <v>0</v>
      </c>
      <c r="O442" s="244">
        <v>3.3628633150468943</v>
      </c>
      <c r="P442" s="244">
        <v>1.0204981081187725E-2</v>
      </c>
      <c r="Q442" s="244">
        <v>3.2192368060350418E-2</v>
      </c>
      <c r="R442" s="244">
        <v>0.32778394222259521</v>
      </c>
      <c r="S442" s="244">
        <v>1.8114458322525024</v>
      </c>
      <c r="T442" s="244">
        <v>0</v>
      </c>
      <c r="U442" s="244">
        <v>3.6513762474060059</v>
      </c>
      <c r="V442" s="244" t="s">
        <v>226</v>
      </c>
      <c r="W442" s="244" t="s">
        <v>226</v>
      </c>
      <c r="X442" s="244" t="s">
        <v>226</v>
      </c>
      <c r="Y442" s="244" t="s">
        <v>226</v>
      </c>
      <c r="Z442" s="244">
        <v>0</v>
      </c>
      <c r="AA442" s="244">
        <v>0</v>
      </c>
      <c r="AB442" s="244">
        <v>0</v>
      </c>
      <c r="AC442" s="244">
        <v>0</v>
      </c>
      <c r="AD442" s="244">
        <v>0</v>
      </c>
      <c r="AE442" s="244">
        <v>0</v>
      </c>
      <c r="AF442" s="244">
        <v>0</v>
      </c>
      <c r="AG442" s="244">
        <v>0</v>
      </c>
      <c r="AH442" s="244">
        <v>0.32778394222259521</v>
      </c>
      <c r="AI442" s="244">
        <v>1.8114458322525024</v>
      </c>
      <c r="AJ442" s="244">
        <v>0</v>
      </c>
      <c r="AK442" s="244">
        <v>3.6513762474060059</v>
      </c>
      <c r="AL442" s="244">
        <v>5.7906060218811035</v>
      </c>
      <c r="AM442" s="244">
        <v>0</v>
      </c>
      <c r="AN442" s="244">
        <v>0</v>
      </c>
      <c r="AO442" s="244">
        <v>0</v>
      </c>
      <c r="AP442" s="244">
        <v>0</v>
      </c>
      <c r="AQ442" s="244">
        <v>0</v>
      </c>
      <c r="AR442" s="244">
        <v>0.32778394222259521</v>
      </c>
      <c r="AS442" s="255">
        <v>0</v>
      </c>
      <c r="AT442" s="244">
        <v>0</v>
      </c>
      <c r="AU442" s="244">
        <v>0</v>
      </c>
      <c r="AV442" s="244">
        <v>0</v>
      </c>
      <c r="AW442" s="244">
        <v>0</v>
      </c>
      <c r="AX442" s="244">
        <v>0</v>
      </c>
      <c r="AY442" s="244">
        <v>1.8114458322525024</v>
      </c>
      <c r="AZ442" s="255">
        <v>0</v>
      </c>
      <c r="BA442" s="244">
        <v>0</v>
      </c>
      <c r="BB442" s="244">
        <v>0</v>
      </c>
      <c r="BC442" s="244">
        <v>0</v>
      </c>
      <c r="BD442" s="244">
        <v>0</v>
      </c>
      <c r="BE442" s="244">
        <v>0</v>
      </c>
      <c r="BF442" s="244">
        <v>2.1392297744750977</v>
      </c>
      <c r="BG442" s="244">
        <v>9999</v>
      </c>
      <c r="BH442" s="255">
        <v>0</v>
      </c>
      <c r="BI442" s="244">
        <v>9999</v>
      </c>
      <c r="BJ442" s="244">
        <v>9999</v>
      </c>
      <c r="BK442" s="244">
        <v>9999</v>
      </c>
      <c r="BL442" s="244">
        <v>9999</v>
      </c>
      <c r="BM442" s="244">
        <v>9999</v>
      </c>
      <c r="BN442" s="244">
        <v>0</v>
      </c>
      <c r="BO442" s="244">
        <v>27.796991502327831</v>
      </c>
      <c r="BP442" s="244">
        <v>0</v>
      </c>
      <c r="BQ442" s="244">
        <v>0</v>
      </c>
      <c r="BR442" s="244">
        <v>0</v>
      </c>
      <c r="BS442" s="244">
        <v>0</v>
      </c>
      <c r="BT442" s="244">
        <v>0</v>
      </c>
      <c r="BU442" s="244">
        <v>0</v>
      </c>
      <c r="BV442" s="244">
        <v>107.99705505371094</v>
      </c>
      <c r="BW442" s="244">
        <v>0</v>
      </c>
      <c r="BX442" s="244">
        <v>5.7906060218811035</v>
      </c>
      <c r="BY442" s="244"/>
      <c r="BZ442" s="244">
        <v>0</v>
      </c>
      <c r="CA442" s="244">
        <v>0</v>
      </c>
      <c r="CB442" s="244">
        <v>135.79405212402344</v>
      </c>
      <c r="CC442" s="244">
        <v>5.7906060218811035</v>
      </c>
      <c r="CD442" s="228">
        <v>23.450748685527994</v>
      </c>
      <c r="CE442" s="244">
        <v>9999</v>
      </c>
      <c r="CF442" s="244">
        <v>0</v>
      </c>
      <c r="CG442" s="244">
        <v>0.31476400628838852</v>
      </c>
      <c r="CH442" s="244">
        <v>0.31476400628838852</v>
      </c>
      <c r="CI442" s="244">
        <v>0</v>
      </c>
      <c r="CJ442" s="244">
        <v>1.9672750393024331E-2</v>
      </c>
      <c r="CK442" s="244">
        <v>1.9672750393024331E-2</v>
      </c>
      <c r="CL442" s="244"/>
      <c r="CM442" s="244">
        <v>3.3295676386602908</v>
      </c>
      <c r="CN442" s="244" t="s">
        <v>442</v>
      </c>
      <c r="CO442" s="244">
        <v>0.28600001335144043</v>
      </c>
      <c r="CP442" s="244">
        <v>0.31700000166893005</v>
      </c>
      <c r="CQ442" s="244">
        <v>27.796991502327831</v>
      </c>
      <c r="CR442" s="244">
        <v>0</v>
      </c>
      <c r="CS442" s="244">
        <v>0</v>
      </c>
      <c r="CT442" s="244">
        <v>27.796991348266602</v>
      </c>
      <c r="CU442" s="244">
        <v>0</v>
      </c>
      <c r="CV442" s="244">
        <v>0</v>
      </c>
      <c r="CW442" s="228">
        <v>9999</v>
      </c>
    </row>
    <row r="443" spans="1:101">
      <c r="A443" s="221" t="s">
        <v>525</v>
      </c>
      <c r="B443" s="221" t="s">
        <v>440</v>
      </c>
      <c r="C443" s="244">
        <v>10</v>
      </c>
      <c r="D443" s="244">
        <v>28.445634505604403</v>
      </c>
      <c r="E443" s="244">
        <v>2.0610023683307199</v>
      </c>
      <c r="F443" s="244">
        <v>3.2966774171383419</v>
      </c>
      <c r="G443" s="244">
        <v>0</v>
      </c>
      <c r="H443" s="244">
        <v>0</v>
      </c>
      <c r="I443" s="244" t="s">
        <v>441</v>
      </c>
      <c r="J443" s="244">
        <v>0.28600001335144043</v>
      </c>
      <c r="K443" s="244">
        <v>0.31700000166893005</v>
      </c>
      <c r="L443" s="244">
        <v>31.019219252545088</v>
      </c>
      <c r="M443" s="244">
        <v>3.9248219691216946E-3</v>
      </c>
      <c r="N443" s="244">
        <v>1.2381142005324364E-2</v>
      </c>
      <c r="O443" s="244">
        <v>2.0816123920140259</v>
      </c>
      <c r="P443" s="244">
        <v>6.3168834894895554E-3</v>
      </c>
      <c r="Q443" s="244">
        <v>1.9927076995372772E-2</v>
      </c>
      <c r="R443" s="244">
        <v>0.32778394222259521</v>
      </c>
      <c r="S443" s="244">
        <v>1.8114458322525024</v>
      </c>
      <c r="T443" s="244">
        <v>0</v>
      </c>
      <c r="U443" s="244">
        <v>3.6513762474060059</v>
      </c>
      <c r="V443" s="244" t="s">
        <v>226</v>
      </c>
      <c r="W443" s="244" t="s">
        <v>226</v>
      </c>
      <c r="X443" s="244" t="s">
        <v>226</v>
      </c>
      <c r="Y443" s="244" t="s">
        <v>226</v>
      </c>
      <c r="Z443" s="244">
        <v>0</v>
      </c>
      <c r="AA443" s="244">
        <v>0</v>
      </c>
      <c r="AB443" s="244">
        <v>0</v>
      </c>
      <c r="AC443" s="244">
        <v>0</v>
      </c>
      <c r="AD443" s="244">
        <v>0</v>
      </c>
      <c r="AE443" s="244">
        <v>0</v>
      </c>
      <c r="AF443" s="244">
        <v>0</v>
      </c>
      <c r="AG443" s="244">
        <v>0</v>
      </c>
      <c r="AH443" s="244">
        <v>0.32778394222259521</v>
      </c>
      <c r="AI443" s="244">
        <v>1.8114458322525024</v>
      </c>
      <c r="AJ443" s="244">
        <v>0</v>
      </c>
      <c r="AK443" s="244">
        <v>3.6513762474060059</v>
      </c>
      <c r="AL443" s="244">
        <v>5.7906060218811035</v>
      </c>
      <c r="AM443" s="244">
        <v>21.862860930762082</v>
      </c>
      <c r="AN443" s="244">
        <v>0</v>
      </c>
      <c r="AO443" s="244">
        <v>3.848529577255249</v>
      </c>
      <c r="AP443" s="244">
        <v>16.622434616088867</v>
      </c>
      <c r="AQ443" s="244">
        <v>42.333824157714844</v>
      </c>
      <c r="AR443" s="244">
        <v>0.32778394222259521</v>
      </c>
      <c r="AS443" s="228">
        <v>129.15161382541939</v>
      </c>
      <c r="AT443" s="244">
        <v>21.862860930762082</v>
      </c>
      <c r="AU443" s="244">
        <v>3.5488185882568359</v>
      </c>
      <c r="AV443" s="244">
        <v>4.2034115791320801</v>
      </c>
      <c r="AW443" s="244">
        <v>16.622434616088867</v>
      </c>
      <c r="AX443" s="244">
        <v>46.237525939941406</v>
      </c>
      <c r="AY443" s="244">
        <v>1.8114458322525024</v>
      </c>
      <c r="AZ443" s="228">
        <v>25.525204723756094</v>
      </c>
      <c r="BA443" s="244">
        <v>21.862860930762082</v>
      </c>
      <c r="BB443" s="244">
        <v>3.5488185882568359</v>
      </c>
      <c r="BC443" s="244">
        <v>4.2034115791320801</v>
      </c>
      <c r="BD443" s="244">
        <v>16.622434616088867</v>
      </c>
      <c r="BE443" s="244">
        <v>46.237525939941406</v>
      </c>
      <c r="BF443" s="244">
        <v>2.1392297744750977</v>
      </c>
      <c r="BG443" s="244">
        <v>-57.520107269287109</v>
      </c>
      <c r="BH443" s="228">
        <v>21.614099740915002</v>
      </c>
      <c r="BI443" s="244">
        <v>0.84793335199356079</v>
      </c>
      <c r="BJ443" s="244">
        <v>4.6859688758850098</v>
      </c>
      <c r="BK443" s="244">
        <v>0</v>
      </c>
      <c r="BL443" s="244">
        <v>9.4456233978271484</v>
      </c>
      <c r="BM443" s="244">
        <v>14.979525566101074</v>
      </c>
      <c r="BN443" s="244">
        <v>21.862860930762082</v>
      </c>
      <c r="BO443" s="244">
        <v>17.206337739940889</v>
      </c>
      <c r="BP443" s="244">
        <v>3.5488185882568359</v>
      </c>
      <c r="BQ443" s="244">
        <v>0</v>
      </c>
      <c r="BR443" s="244">
        <v>0</v>
      </c>
      <c r="BS443" s="244">
        <v>0</v>
      </c>
      <c r="BT443" s="244">
        <v>16.622434616088867</v>
      </c>
      <c r="BU443" s="244">
        <v>0</v>
      </c>
      <c r="BV443" s="244">
        <v>107.99705505371094</v>
      </c>
      <c r="BW443" s="244">
        <v>4.2034115791320801</v>
      </c>
      <c r="BX443" s="244">
        <v>5.7906060218811035</v>
      </c>
      <c r="BY443" s="244"/>
      <c r="BZ443" s="244">
        <v>0</v>
      </c>
      <c r="CA443" s="244">
        <v>0</v>
      </c>
      <c r="CB443" s="244">
        <v>171.44091796875</v>
      </c>
      <c r="CC443" s="244">
        <v>5.7906060218811035</v>
      </c>
      <c r="CD443" s="228">
        <v>29.606731637425121</v>
      </c>
      <c r="CE443" s="244">
        <v>-371.958984375</v>
      </c>
      <c r="CF443" s="244">
        <v>0.23407988694802859</v>
      </c>
      <c r="CG443" s="244">
        <v>0.19483891989251098</v>
      </c>
      <c r="CH443" s="244">
        <v>0.42891880684053957</v>
      </c>
      <c r="CI443" s="244">
        <v>1.1477972806169405E-2</v>
      </c>
      <c r="CJ443" s="244">
        <v>1.2177432493282053E-2</v>
      </c>
      <c r="CK443" s="244">
        <v>2.3655405299451458E-2</v>
      </c>
      <c r="CL443" s="244"/>
      <c r="CM443" s="244">
        <v>2.0610023683307199</v>
      </c>
      <c r="CN443" s="244" t="s">
        <v>442</v>
      </c>
      <c r="CO443" s="244">
        <v>0.28600001335144043</v>
      </c>
      <c r="CP443" s="244">
        <v>0.31700000166893005</v>
      </c>
      <c r="CQ443" s="244">
        <v>17.206337739940889</v>
      </c>
      <c r="CR443" s="244">
        <v>0</v>
      </c>
      <c r="CS443" s="244">
        <v>0</v>
      </c>
      <c r="CT443" s="244">
        <v>17.206336975097656</v>
      </c>
      <c r="CU443" s="244">
        <v>0</v>
      </c>
      <c r="CV443" s="244">
        <v>0</v>
      </c>
      <c r="CW443" s="228">
        <v>9999</v>
      </c>
    </row>
    <row r="444" spans="1:101">
      <c r="A444" s="221" t="s">
        <v>526</v>
      </c>
      <c r="B444" s="221" t="s">
        <v>440</v>
      </c>
      <c r="C444" s="244">
        <v>10</v>
      </c>
      <c r="D444" s="244">
        <v>74.698844340921312</v>
      </c>
      <c r="E444" s="244">
        <v>0</v>
      </c>
      <c r="F444" s="244">
        <v>3.2966774171383419</v>
      </c>
      <c r="G444" s="244">
        <v>0</v>
      </c>
      <c r="H444" s="244">
        <v>0</v>
      </c>
      <c r="I444" s="244" t="s">
        <v>441</v>
      </c>
      <c r="J444" s="244">
        <v>0.28600001335144043</v>
      </c>
      <c r="K444" s="244">
        <v>0.31700000166893005</v>
      </c>
      <c r="L444" s="244">
        <v>81.457132906149695</v>
      </c>
      <c r="M444" s="244">
        <v>1.0306665673851967E-2</v>
      </c>
      <c r="N444" s="244">
        <v>3.2513141632080078E-2</v>
      </c>
      <c r="O444" s="244">
        <v>0</v>
      </c>
      <c r="P444" s="244">
        <v>0</v>
      </c>
      <c r="Q444" s="244">
        <v>0</v>
      </c>
      <c r="R444" s="244">
        <v>0.32778394222259521</v>
      </c>
      <c r="S444" s="244">
        <v>1.8114458322525024</v>
      </c>
      <c r="T444" s="244">
        <v>0</v>
      </c>
      <c r="U444" s="244">
        <v>3.6513762474060059</v>
      </c>
      <c r="V444" s="244" t="s">
        <v>226</v>
      </c>
      <c r="W444" s="244" t="s">
        <v>226</v>
      </c>
      <c r="X444" s="244" t="s">
        <v>226</v>
      </c>
      <c r="Y444" s="244" t="s">
        <v>226</v>
      </c>
      <c r="Z444" s="244">
        <v>0</v>
      </c>
      <c r="AA444" s="244">
        <v>0</v>
      </c>
      <c r="AB444" s="244">
        <v>0</v>
      </c>
      <c r="AC444" s="244">
        <v>0</v>
      </c>
      <c r="AD444" s="244">
        <v>0</v>
      </c>
      <c r="AE444" s="244">
        <v>0</v>
      </c>
      <c r="AF444" s="244">
        <v>0</v>
      </c>
      <c r="AG444" s="244">
        <v>0</v>
      </c>
      <c r="AH444" s="244">
        <v>0.32778394222259521</v>
      </c>
      <c r="AI444" s="244">
        <v>1.8114458322525024</v>
      </c>
      <c r="AJ444" s="244">
        <v>0</v>
      </c>
      <c r="AK444" s="244">
        <v>3.6513762474060059</v>
      </c>
      <c r="AL444" s="244">
        <v>5.7906060218811035</v>
      </c>
      <c r="AM444" s="244">
        <v>57.412340202587153</v>
      </c>
      <c r="AN444" s="244">
        <v>0</v>
      </c>
      <c r="AO444" s="244">
        <v>10.106320381164551</v>
      </c>
      <c r="AP444" s="244">
        <v>43.650859832763672</v>
      </c>
      <c r="AQ444" s="244">
        <v>111.16951751708984</v>
      </c>
      <c r="AR444" s="244">
        <v>0.32778394222259521</v>
      </c>
      <c r="AS444" s="228">
        <v>339.15487031704907</v>
      </c>
      <c r="AT444" s="244">
        <v>57.412340202587153</v>
      </c>
      <c r="AU444" s="244">
        <v>9.3192739486694336</v>
      </c>
      <c r="AV444" s="244">
        <v>11.038247108459473</v>
      </c>
      <c r="AW444" s="244">
        <v>43.650859832763672</v>
      </c>
      <c r="AX444" s="244">
        <v>121.42072296142578</v>
      </c>
      <c r="AY444" s="244">
        <v>1.8114458322525024</v>
      </c>
      <c r="AZ444" s="228">
        <v>67.029727817748281</v>
      </c>
      <c r="BA444" s="244">
        <v>57.412340202587153</v>
      </c>
      <c r="BB444" s="244">
        <v>9.3192739486694336</v>
      </c>
      <c r="BC444" s="244">
        <v>11.038247108459473</v>
      </c>
      <c r="BD444" s="244">
        <v>43.650859832763672</v>
      </c>
      <c r="BE444" s="244">
        <v>121.42072296142578</v>
      </c>
      <c r="BF444" s="244">
        <v>2.1392297744750977</v>
      </c>
      <c r="BG444" s="244">
        <v>-60.946666717529297</v>
      </c>
      <c r="BH444" s="228">
        <v>56.759083358529224</v>
      </c>
      <c r="BI444" s="244">
        <v>0.32289659976959229</v>
      </c>
      <c r="BJ444" s="244">
        <v>1.7844367027282715</v>
      </c>
      <c r="BK444" s="244">
        <v>0</v>
      </c>
      <c r="BL444" s="244">
        <v>3.596933126449585</v>
      </c>
      <c r="BM444" s="244">
        <v>5.7042665481567383</v>
      </c>
      <c r="BN444" s="244">
        <v>57.412340202587153</v>
      </c>
      <c r="BO444" s="244">
        <v>0</v>
      </c>
      <c r="BP444" s="244">
        <v>9.3192739486694336</v>
      </c>
      <c r="BQ444" s="244">
        <v>0</v>
      </c>
      <c r="BR444" s="244">
        <v>0</v>
      </c>
      <c r="BS444" s="244">
        <v>0</v>
      </c>
      <c r="BT444" s="244">
        <v>43.650859832763672</v>
      </c>
      <c r="BU444" s="244">
        <v>0</v>
      </c>
      <c r="BV444" s="244">
        <v>113.90313720703125</v>
      </c>
      <c r="BW444" s="244">
        <v>11.038247108459473</v>
      </c>
      <c r="BX444" s="244">
        <v>5.7906060218811035</v>
      </c>
      <c r="BY444" s="244"/>
      <c r="BZ444" s="244">
        <v>0</v>
      </c>
      <c r="CA444" s="244">
        <v>0</v>
      </c>
      <c r="CB444" s="244">
        <v>235.3238525390625</v>
      </c>
      <c r="CC444" s="244">
        <v>5.7906060218811035</v>
      </c>
      <c r="CD444" s="228">
        <v>40.638899868215347</v>
      </c>
      <c r="CE444" s="244">
        <v>-169.55455017089844</v>
      </c>
      <c r="CF444" s="244">
        <v>0.61469878743700346</v>
      </c>
      <c r="CG444" s="244">
        <v>0</v>
      </c>
      <c r="CH444" s="244">
        <v>0.61469878743700346</v>
      </c>
      <c r="CI444" s="244">
        <v>3.0141401972540005E-2</v>
      </c>
      <c r="CJ444" s="244">
        <v>0</v>
      </c>
      <c r="CK444" s="244">
        <v>3.0141401972540005E-2</v>
      </c>
      <c r="CL444" s="244"/>
      <c r="CM444" s="244">
        <v>0</v>
      </c>
      <c r="CN444" s="244" t="s">
        <v>442</v>
      </c>
      <c r="CO444" s="244">
        <v>0</v>
      </c>
      <c r="CP444" s="244">
        <v>0</v>
      </c>
      <c r="CQ444" s="244">
        <v>0</v>
      </c>
      <c r="CR444" s="244">
        <v>0</v>
      </c>
      <c r="CS444" s="244">
        <v>0</v>
      </c>
      <c r="CT444" s="244">
        <v>0</v>
      </c>
      <c r="CU444" s="244">
        <v>0</v>
      </c>
      <c r="CV444" s="244">
        <v>9999</v>
      </c>
      <c r="CW444" s="228">
        <v>9999</v>
      </c>
    </row>
    <row r="445" spans="1:101">
      <c r="A445" s="221" t="s">
        <v>527</v>
      </c>
      <c r="B445" s="221" t="s">
        <v>440</v>
      </c>
      <c r="C445" s="244">
        <v>10</v>
      </c>
      <c r="D445" s="244">
        <v>0</v>
      </c>
      <c r="E445" s="244">
        <v>3.3312795200956931</v>
      </c>
      <c r="F445" s="244">
        <v>3.2966774171383419</v>
      </c>
      <c r="G445" s="244">
        <v>0</v>
      </c>
      <c r="H445" s="244">
        <v>0</v>
      </c>
      <c r="I445" s="244" t="s">
        <v>441</v>
      </c>
      <c r="J445" s="244">
        <v>0</v>
      </c>
      <c r="K445" s="244">
        <v>0</v>
      </c>
      <c r="L445" s="244">
        <v>0</v>
      </c>
      <c r="M445" s="244">
        <v>0</v>
      </c>
      <c r="N445" s="244">
        <v>0</v>
      </c>
      <c r="O445" s="244">
        <v>3.3645923152966515</v>
      </c>
      <c r="P445" s="244">
        <v>1.0210227221250534E-2</v>
      </c>
      <c r="Q445" s="244">
        <v>3.2208919525146484E-2</v>
      </c>
      <c r="R445" s="244">
        <v>0.32778394222259521</v>
      </c>
      <c r="S445" s="244">
        <v>1.8114458322525024</v>
      </c>
      <c r="T445" s="244">
        <v>0</v>
      </c>
      <c r="U445" s="244">
        <v>3.6513762474060059</v>
      </c>
      <c r="V445" s="244" t="s">
        <v>226</v>
      </c>
      <c r="W445" s="244" t="s">
        <v>226</v>
      </c>
      <c r="X445" s="244" t="s">
        <v>226</v>
      </c>
      <c r="Y445" s="244" t="s">
        <v>226</v>
      </c>
      <c r="Z445" s="244">
        <v>0</v>
      </c>
      <c r="AA445" s="244">
        <v>0</v>
      </c>
      <c r="AB445" s="244">
        <v>0</v>
      </c>
      <c r="AC445" s="244">
        <v>0</v>
      </c>
      <c r="AD445" s="244">
        <v>0</v>
      </c>
      <c r="AE445" s="244">
        <v>0</v>
      </c>
      <c r="AF445" s="244">
        <v>0</v>
      </c>
      <c r="AG445" s="244">
        <v>0</v>
      </c>
      <c r="AH445" s="244">
        <v>0.32778394222259521</v>
      </c>
      <c r="AI445" s="244">
        <v>1.8114458322525024</v>
      </c>
      <c r="AJ445" s="244">
        <v>0</v>
      </c>
      <c r="AK445" s="244">
        <v>3.6513762474060059</v>
      </c>
      <c r="AL445" s="244">
        <v>5.7906060218811035</v>
      </c>
      <c r="AM445" s="244">
        <v>0</v>
      </c>
      <c r="AN445" s="244">
        <v>0</v>
      </c>
      <c r="AO445" s="244">
        <v>0</v>
      </c>
      <c r="AP445" s="244">
        <v>0</v>
      </c>
      <c r="AQ445" s="244">
        <v>0</v>
      </c>
      <c r="AR445" s="244">
        <v>0.32778394222259521</v>
      </c>
      <c r="AS445" s="255">
        <v>0</v>
      </c>
      <c r="AT445" s="244">
        <v>0</v>
      </c>
      <c r="AU445" s="244">
        <v>0</v>
      </c>
      <c r="AV445" s="244">
        <v>0</v>
      </c>
      <c r="AW445" s="244">
        <v>0</v>
      </c>
      <c r="AX445" s="244">
        <v>0</v>
      </c>
      <c r="AY445" s="244">
        <v>1.8114458322525024</v>
      </c>
      <c r="AZ445" s="255">
        <v>0</v>
      </c>
      <c r="BA445" s="244">
        <v>0</v>
      </c>
      <c r="BB445" s="244">
        <v>0</v>
      </c>
      <c r="BC445" s="244">
        <v>0</v>
      </c>
      <c r="BD445" s="244">
        <v>0</v>
      </c>
      <c r="BE445" s="244">
        <v>0</v>
      </c>
      <c r="BF445" s="244">
        <v>2.1392297744750977</v>
      </c>
      <c r="BG445" s="244">
        <v>9999</v>
      </c>
      <c r="BH445" s="255">
        <v>0</v>
      </c>
      <c r="BI445" s="244">
        <v>9999</v>
      </c>
      <c r="BJ445" s="244">
        <v>9999</v>
      </c>
      <c r="BK445" s="244">
        <v>9999</v>
      </c>
      <c r="BL445" s="244">
        <v>9999</v>
      </c>
      <c r="BM445" s="244">
        <v>9999</v>
      </c>
      <c r="BN445" s="244">
        <v>0</v>
      </c>
      <c r="BO445" s="244">
        <v>27.811283193885657</v>
      </c>
      <c r="BP445" s="244">
        <v>0</v>
      </c>
      <c r="BQ445" s="244">
        <v>0</v>
      </c>
      <c r="BR445" s="244">
        <v>0</v>
      </c>
      <c r="BS445" s="244">
        <v>0</v>
      </c>
      <c r="BT445" s="244">
        <v>0</v>
      </c>
      <c r="BU445" s="244">
        <v>0</v>
      </c>
      <c r="BV445" s="244">
        <v>113.90313720703125</v>
      </c>
      <c r="BW445" s="244">
        <v>0</v>
      </c>
      <c r="BX445" s="244">
        <v>5.7906060218811035</v>
      </c>
      <c r="BY445" s="244"/>
      <c r="BZ445" s="244">
        <v>0</v>
      </c>
      <c r="CA445" s="244">
        <v>0</v>
      </c>
      <c r="CB445" s="244">
        <v>141.71441650390625</v>
      </c>
      <c r="CC445" s="244">
        <v>5.7906060218811035</v>
      </c>
      <c r="CD445" s="228">
        <v>24.473158744597232</v>
      </c>
      <c r="CE445" s="244">
        <v>9999</v>
      </c>
      <c r="CF445" s="244">
        <v>0</v>
      </c>
      <c r="CG445" s="244">
        <v>0.31492584071176716</v>
      </c>
      <c r="CH445" s="244">
        <v>0.31492584071176716</v>
      </c>
      <c r="CI445" s="244">
        <v>0</v>
      </c>
      <c r="CJ445" s="244">
        <v>1.9682865044485406E-2</v>
      </c>
      <c r="CK445" s="244">
        <v>1.9682865044485406E-2</v>
      </c>
      <c r="CL445" s="244"/>
      <c r="CM445" s="244">
        <v>3.3312795200956931</v>
      </c>
      <c r="CN445" s="244" t="s">
        <v>442</v>
      </c>
      <c r="CO445" s="244">
        <v>0.28600001335144043</v>
      </c>
      <c r="CP445" s="244">
        <v>0.31700000166893005</v>
      </c>
      <c r="CQ445" s="244">
        <v>27.811283193885657</v>
      </c>
      <c r="CR445" s="244">
        <v>0</v>
      </c>
      <c r="CS445" s="244">
        <v>0</v>
      </c>
      <c r="CT445" s="244">
        <v>27.811283111572266</v>
      </c>
      <c r="CU445" s="244">
        <v>0</v>
      </c>
      <c r="CV445" s="244">
        <v>0</v>
      </c>
      <c r="CW445" s="228">
        <v>9999</v>
      </c>
    </row>
    <row r="446" spans="1:101">
      <c r="A446" s="221" t="s">
        <v>528</v>
      </c>
      <c r="B446" s="221" t="s">
        <v>440</v>
      </c>
      <c r="C446" s="244">
        <v>10</v>
      </c>
      <c r="D446" s="244">
        <v>28.460259693891018</v>
      </c>
      <c r="E446" s="244">
        <v>2.0620620229392341</v>
      </c>
      <c r="F446" s="244">
        <v>3.2966774171383419</v>
      </c>
      <c r="G446" s="244">
        <v>0</v>
      </c>
      <c r="H446" s="244">
        <v>0</v>
      </c>
      <c r="I446" s="244" t="s">
        <v>441</v>
      </c>
      <c r="J446" s="244">
        <v>0.28600001335144043</v>
      </c>
      <c r="K446" s="244">
        <v>0.31700000166893005</v>
      </c>
      <c r="L446" s="244">
        <v>31.035167637243024</v>
      </c>
      <c r="M446" s="244">
        <v>3.9268401451408863E-3</v>
      </c>
      <c r="N446" s="244">
        <v>1.2387507595121861E-2</v>
      </c>
      <c r="O446" s="244">
        <v>2.0826826431686256</v>
      </c>
      <c r="P446" s="244">
        <v>6.3201310113072395E-3</v>
      </c>
      <c r="Q446" s="244">
        <v>1.9937321543693542E-2</v>
      </c>
      <c r="R446" s="244">
        <v>0.32778394222259521</v>
      </c>
      <c r="S446" s="244">
        <v>1.8114458322525024</v>
      </c>
      <c r="T446" s="244">
        <v>0</v>
      </c>
      <c r="U446" s="244">
        <v>3.6513762474060059</v>
      </c>
      <c r="V446" s="244" t="s">
        <v>226</v>
      </c>
      <c r="W446" s="244" t="s">
        <v>226</v>
      </c>
      <c r="X446" s="244" t="s">
        <v>226</v>
      </c>
      <c r="Y446" s="244" t="s">
        <v>226</v>
      </c>
      <c r="Z446" s="244">
        <v>0</v>
      </c>
      <c r="AA446" s="244">
        <v>0</v>
      </c>
      <c r="AB446" s="244">
        <v>0</v>
      </c>
      <c r="AC446" s="244">
        <v>0</v>
      </c>
      <c r="AD446" s="244">
        <v>0</v>
      </c>
      <c r="AE446" s="244">
        <v>0</v>
      </c>
      <c r="AF446" s="244">
        <v>0</v>
      </c>
      <c r="AG446" s="244">
        <v>0</v>
      </c>
      <c r="AH446" s="244">
        <v>0.32778394222259521</v>
      </c>
      <c r="AI446" s="244">
        <v>1.8114458322525024</v>
      </c>
      <c r="AJ446" s="244">
        <v>0</v>
      </c>
      <c r="AK446" s="244">
        <v>3.6513762474060059</v>
      </c>
      <c r="AL446" s="244">
        <v>5.7906060218811035</v>
      </c>
      <c r="AM446" s="244">
        <v>21.874101617185701</v>
      </c>
      <c r="AN446" s="244">
        <v>0</v>
      </c>
      <c r="AO446" s="244">
        <v>3.8505082130432129</v>
      </c>
      <c r="AP446" s="244">
        <v>16.630979537963867</v>
      </c>
      <c r="AQ446" s="244">
        <v>42.3555908203125</v>
      </c>
      <c r="AR446" s="244">
        <v>0.32778394222259521</v>
      </c>
      <c r="AS446" s="228">
        <v>129.21801196542285</v>
      </c>
      <c r="AT446" s="244">
        <v>21.874101617185701</v>
      </c>
      <c r="AU446" s="244">
        <v>3.5506432056427002</v>
      </c>
      <c r="AV446" s="244">
        <v>4.2055726051330566</v>
      </c>
      <c r="AW446" s="244">
        <v>16.630979537963867</v>
      </c>
      <c r="AX446" s="244">
        <v>46.261295318603516</v>
      </c>
      <c r="AY446" s="244">
        <v>1.8114458322525024</v>
      </c>
      <c r="AZ446" s="228">
        <v>25.538327529452083</v>
      </c>
      <c r="BA446" s="244">
        <v>21.874101617185701</v>
      </c>
      <c r="BB446" s="244">
        <v>3.5506432056427002</v>
      </c>
      <c r="BC446" s="244">
        <v>4.2055726051330566</v>
      </c>
      <c r="BD446" s="244">
        <v>16.630979537963867</v>
      </c>
      <c r="BE446" s="244">
        <v>46.261295318603516</v>
      </c>
      <c r="BF446" s="244">
        <v>2.1392297744750977</v>
      </c>
      <c r="BG446" s="244">
        <v>-57.522945404052734</v>
      </c>
      <c r="BH446" s="228">
        <v>21.625211801886241</v>
      </c>
      <c r="BI446" s="244">
        <v>0.84749758243560791</v>
      </c>
      <c r="BJ446" s="244">
        <v>4.683560848236084</v>
      </c>
      <c r="BK446" s="244">
        <v>0</v>
      </c>
      <c r="BL446" s="244">
        <v>9.4407691955566406</v>
      </c>
      <c r="BM446" s="244">
        <v>14.971828460693359</v>
      </c>
      <c r="BN446" s="244">
        <v>21.874101617185701</v>
      </c>
      <c r="BO446" s="244">
        <v>17.215184297015213</v>
      </c>
      <c r="BP446" s="244">
        <v>3.5506432056427002</v>
      </c>
      <c r="BQ446" s="244">
        <v>0</v>
      </c>
      <c r="BR446" s="244">
        <v>0</v>
      </c>
      <c r="BS446" s="244">
        <v>0</v>
      </c>
      <c r="BT446" s="244">
        <v>16.630979537963867</v>
      </c>
      <c r="BU446" s="244">
        <v>0</v>
      </c>
      <c r="BV446" s="244">
        <v>113.90313720703125</v>
      </c>
      <c r="BW446" s="244">
        <v>4.2055726051330566</v>
      </c>
      <c r="BX446" s="244">
        <v>5.7906060218811035</v>
      </c>
      <c r="BY446" s="244"/>
      <c r="BZ446" s="244">
        <v>0</v>
      </c>
      <c r="CA446" s="244">
        <v>0</v>
      </c>
      <c r="CB446" s="244">
        <v>177.37962341308594</v>
      </c>
      <c r="CC446" s="244">
        <v>5.7906060218811035</v>
      </c>
      <c r="CD446" s="228">
        <v>30.63230649774879</v>
      </c>
      <c r="CE446" s="244">
        <v>-387.093505859375</v>
      </c>
      <c r="CF446" s="244">
        <v>0.23420023801349835</v>
      </c>
      <c r="CG446" s="244">
        <v>0.19493909540058241</v>
      </c>
      <c r="CH446" s="244">
        <v>0.42913933341408073</v>
      </c>
      <c r="CI446" s="244">
        <v>1.1483874151537739E-2</v>
      </c>
      <c r="CJ446" s="244">
        <v>1.2183693462536459E-2</v>
      </c>
      <c r="CK446" s="244">
        <v>2.3667567614074198E-2</v>
      </c>
      <c r="CL446" s="244"/>
      <c r="CM446" s="244">
        <v>2.0620620229392341</v>
      </c>
      <c r="CN446" s="244" t="s">
        <v>442</v>
      </c>
      <c r="CO446" s="244">
        <v>0.28600001335144043</v>
      </c>
      <c r="CP446" s="244">
        <v>0.31700000166893005</v>
      </c>
      <c r="CQ446" s="244">
        <v>17.215184297015213</v>
      </c>
      <c r="CR446" s="244">
        <v>0</v>
      </c>
      <c r="CS446" s="244">
        <v>0</v>
      </c>
      <c r="CT446" s="244">
        <v>17.215185165405273</v>
      </c>
      <c r="CU446" s="244">
        <v>0</v>
      </c>
      <c r="CV446" s="244">
        <v>0</v>
      </c>
      <c r="CW446" s="228">
        <v>9999</v>
      </c>
    </row>
    <row r="447" spans="1:101">
      <c r="A447" s="221" t="s">
        <v>529</v>
      </c>
      <c r="B447" s="221" t="s">
        <v>440</v>
      </c>
      <c r="C447" s="244">
        <v>10</v>
      </c>
      <c r="D447" s="244">
        <v>115.26756808769652</v>
      </c>
      <c r="E447" s="244">
        <v>0</v>
      </c>
      <c r="F447" s="244">
        <v>3.2966774171383419</v>
      </c>
      <c r="G447" s="244">
        <v>0</v>
      </c>
      <c r="H447" s="244">
        <v>0</v>
      </c>
      <c r="I447" s="244" t="s">
        <v>441</v>
      </c>
      <c r="J447" s="244">
        <v>0.28600001335144043</v>
      </c>
      <c r="K447" s="244">
        <v>0.31700000166893005</v>
      </c>
      <c r="L447" s="244">
        <v>125.69626339378983</v>
      </c>
      <c r="M447" s="244">
        <v>1.590418629348278E-2</v>
      </c>
      <c r="N447" s="244">
        <v>5.0170935690402985E-2</v>
      </c>
      <c r="O447" s="244">
        <v>0</v>
      </c>
      <c r="P447" s="244">
        <v>0</v>
      </c>
      <c r="Q447" s="244">
        <v>0</v>
      </c>
      <c r="R447" s="244">
        <v>0.32778394222259521</v>
      </c>
      <c r="S447" s="244">
        <v>1.8114458322525024</v>
      </c>
      <c r="T447" s="244">
        <v>0</v>
      </c>
      <c r="U447" s="244">
        <v>3.6513762474060059</v>
      </c>
      <c r="V447" s="244" t="s">
        <v>226</v>
      </c>
      <c r="W447" s="244" t="s">
        <v>226</v>
      </c>
      <c r="X447" s="244" t="s">
        <v>226</v>
      </c>
      <c r="Y447" s="244" t="s">
        <v>226</v>
      </c>
      <c r="Z447" s="244">
        <v>0</v>
      </c>
      <c r="AA447" s="244">
        <v>0</v>
      </c>
      <c r="AB447" s="244">
        <v>0</v>
      </c>
      <c r="AC447" s="244">
        <v>0</v>
      </c>
      <c r="AD447" s="244">
        <v>0</v>
      </c>
      <c r="AE447" s="244">
        <v>0</v>
      </c>
      <c r="AF447" s="244">
        <v>0</v>
      </c>
      <c r="AG447" s="244">
        <v>0</v>
      </c>
      <c r="AH447" s="244">
        <v>0.32778394222259521</v>
      </c>
      <c r="AI447" s="244">
        <v>1.8114458322525024</v>
      </c>
      <c r="AJ447" s="244">
        <v>0</v>
      </c>
      <c r="AK447" s="244">
        <v>3.6513762474060059</v>
      </c>
      <c r="AL447" s="244">
        <v>5.7906060218811035</v>
      </c>
      <c r="AM447" s="244">
        <v>88.592814142780185</v>
      </c>
      <c r="AN447" s="244">
        <v>0</v>
      </c>
      <c r="AO447" s="244">
        <v>15.595032691955566</v>
      </c>
      <c r="AP447" s="244">
        <v>67.357513427734375</v>
      </c>
      <c r="AQ447" s="244">
        <v>171.54536437988281</v>
      </c>
      <c r="AR447" s="244">
        <v>0.32778394222259521</v>
      </c>
      <c r="AS447" s="228">
        <v>523.34888371674765</v>
      </c>
      <c r="AT447" s="244">
        <v>88.592814142780185</v>
      </c>
      <c r="AU447" s="244">
        <v>14.380541801452637</v>
      </c>
      <c r="AV447" s="244">
        <v>17.033086776733398</v>
      </c>
      <c r="AW447" s="244">
        <v>67.357513427734375</v>
      </c>
      <c r="AX447" s="244">
        <v>187.36395263671875</v>
      </c>
      <c r="AY447" s="244">
        <v>1.8114458322525024</v>
      </c>
      <c r="AZ447" s="228">
        <v>103.43337504920954</v>
      </c>
      <c r="BA447" s="244">
        <v>88.592814142780185</v>
      </c>
      <c r="BB447" s="244">
        <v>14.380541801452637</v>
      </c>
      <c r="BC447" s="244">
        <v>17.033086776733398</v>
      </c>
      <c r="BD447" s="244">
        <v>67.357513427734375</v>
      </c>
      <c r="BE447" s="244">
        <v>187.36395263671875</v>
      </c>
      <c r="BF447" s="244">
        <v>2.1392297744750977</v>
      </c>
      <c r="BG447" s="244">
        <v>-61.688343048095703</v>
      </c>
      <c r="BH447" s="228">
        <v>87.584773914561865</v>
      </c>
      <c r="BI447" s="244">
        <v>0.20925228297710419</v>
      </c>
      <c r="BJ447" s="244">
        <v>1.1563994884490967</v>
      </c>
      <c r="BK447" s="244">
        <v>0</v>
      </c>
      <c r="BL447" s="244">
        <v>2.3309831619262695</v>
      </c>
      <c r="BM447" s="244">
        <v>3.6966347694396973</v>
      </c>
      <c r="BN447" s="244">
        <v>88.592814142780185</v>
      </c>
      <c r="BO447" s="244">
        <v>0</v>
      </c>
      <c r="BP447" s="244">
        <v>14.380541801452637</v>
      </c>
      <c r="BQ447" s="244">
        <v>0</v>
      </c>
      <c r="BR447" s="244">
        <v>0</v>
      </c>
      <c r="BS447" s="244">
        <v>0</v>
      </c>
      <c r="BT447" s="244">
        <v>67.357513427734375</v>
      </c>
      <c r="BU447" s="244">
        <v>0</v>
      </c>
      <c r="BV447" s="244">
        <v>165.37046813964844</v>
      </c>
      <c r="BW447" s="244">
        <v>17.033086776733398</v>
      </c>
      <c r="BX447" s="244">
        <v>5.7906060218811035</v>
      </c>
      <c r="BY447" s="244"/>
      <c r="BZ447" s="244">
        <v>0</v>
      </c>
      <c r="CA447" s="244">
        <v>0</v>
      </c>
      <c r="CB447" s="244">
        <v>352.73443603515625</v>
      </c>
      <c r="CC447" s="244">
        <v>5.7906060218811035</v>
      </c>
      <c r="CD447" s="228">
        <v>60.914941019206438</v>
      </c>
      <c r="CE447" s="244">
        <v>-164.92735290527344</v>
      </c>
      <c r="CF447" s="244">
        <v>0.94853989990717558</v>
      </c>
      <c r="CG447" s="244">
        <v>0</v>
      </c>
      <c r="CH447" s="244">
        <v>0.94853989990717558</v>
      </c>
      <c r="CI447" s="244">
        <v>4.6511109171538945E-2</v>
      </c>
      <c r="CJ447" s="244">
        <v>0</v>
      </c>
      <c r="CK447" s="244">
        <v>4.6511109171538945E-2</v>
      </c>
      <c r="CL447" s="244"/>
      <c r="CM447" s="244">
        <v>0</v>
      </c>
      <c r="CN447" s="244" t="s">
        <v>442</v>
      </c>
      <c r="CO447" s="244">
        <v>0</v>
      </c>
      <c r="CP447" s="244">
        <v>0</v>
      </c>
      <c r="CQ447" s="244">
        <v>0</v>
      </c>
      <c r="CR447" s="244">
        <v>0</v>
      </c>
      <c r="CS447" s="244">
        <v>0</v>
      </c>
      <c r="CT447" s="244">
        <v>0</v>
      </c>
      <c r="CU447" s="244">
        <v>0</v>
      </c>
      <c r="CV447" s="244">
        <v>9999</v>
      </c>
      <c r="CW447" s="228">
        <v>9999</v>
      </c>
    </row>
    <row r="448" spans="1:101">
      <c r="A448" s="221" t="s">
        <v>530</v>
      </c>
      <c r="B448" s="221" t="s">
        <v>440</v>
      </c>
      <c r="C448" s="244">
        <v>10</v>
      </c>
      <c r="D448" s="244">
        <v>0</v>
      </c>
      <c r="E448" s="244">
        <v>5.1404876780861253</v>
      </c>
      <c r="F448" s="244">
        <v>3.2966774171383419</v>
      </c>
      <c r="G448" s="244">
        <v>0</v>
      </c>
      <c r="H448" s="244">
        <v>0</v>
      </c>
      <c r="I448" s="244" t="s">
        <v>441</v>
      </c>
      <c r="J448" s="244">
        <v>0</v>
      </c>
      <c r="K448" s="244">
        <v>0</v>
      </c>
      <c r="L448" s="244">
        <v>0</v>
      </c>
      <c r="M448" s="244">
        <v>0</v>
      </c>
      <c r="N448" s="244">
        <v>0</v>
      </c>
      <c r="O448" s="244">
        <v>5.1918925548669863</v>
      </c>
      <c r="P448" s="244">
        <v>1.5755372121930122E-2</v>
      </c>
      <c r="Q448" s="244">
        <v>4.9701489508152008E-2</v>
      </c>
      <c r="R448" s="244">
        <v>0.32778394222259521</v>
      </c>
      <c r="S448" s="244">
        <v>1.8114458322525024</v>
      </c>
      <c r="T448" s="244">
        <v>0</v>
      </c>
      <c r="U448" s="244">
        <v>3.6513762474060059</v>
      </c>
      <c r="V448" s="244" t="s">
        <v>226</v>
      </c>
      <c r="W448" s="244" t="s">
        <v>226</v>
      </c>
      <c r="X448" s="244" t="s">
        <v>226</v>
      </c>
      <c r="Y448" s="244" t="s">
        <v>226</v>
      </c>
      <c r="Z448" s="244">
        <v>0</v>
      </c>
      <c r="AA448" s="244">
        <v>0</v>
      </c>
      <c r="AB448" s="244">
        <v>0</v>
      </c>
      <c r="AC448" s="244">
        <v>0</v>
      </c>
      <c r="AD448" s="244">
        <v>0</v>
      </c>
      <c r="AE448" s="244">
        <v>0</v>
      </c>
      <c r="AF448" s="244">
        <v>0</v>
      </c>
      <c r="AG448" s="244">
        <v>0</v>
      </c>
      <c r="AH448" s="244">
        <v>0.32778394222259521</v>
      </c>
      <c r="AI448" s="244">
        <v>1.8114458322525024</v>
      </c>
      <c r="AJ448" s="244">
        <v>0</v>
      </c>
      <c r="AK448" s="244">
        <v>3.6513762474060059</v>
      </c>
      <c r="AL448" s="244">
        <v>5.7906060218811035</v>
      </c>
      <c r="AM448" s="244">
        <v>0</v>
      </c>
      <c r="AN448" s="244">
        <v>0</v>
      </c>
      <c r="AO448" s="244">
        <v>0</v>
      </c>
      <c r="AP448" s="244">
        <v>0</v>
      </c>
      <c r="AQ448" s="244">
        <v>0</v>
      </c>
      <c r="AR448" s="244">
        <v>0.32778394222259521</v>
      </c>
      <c r="AS448" s="255">
        <v>0</v>
      </c>
      <c r="AT448" s="244">
        <v>0</v>
      </c>
      <c r="AU448" s="244">
        <v>0</v>
      </c>
      <c r="AV448" s="244">
        <v>0</v>
      </c>
      <c r="AW448" s="244">
        <v>0</v>
      </c>
      <c r="AX448" s="244">
        <v>0</v>
      </c>
      <c r="AY448" s="244">
        <v>1.8114458322525024</v>
      </c>
      <c r="AZ448" s="255">
        <v>0</v>
      </c>
      <c r="BA448" s="244">
        <v>0</v>
      </c>
      <c r="BB448" s="244">
        <v>0</v>
      </c>
      <c r="BC448" s="244">
        <v>0</v>
      </c>
      <c r="BD448" s="244">
        <v>0</v>
      </c>
      <c r="BE448" s="244">
        <v>0</v>
      </c>
      <c r="BF448" s="244">
        <v>2.1392297744750977</v>
      </c>
      <c r="BG448" s="244">
        <v>9999</v>
      </c>
      <c r="BH448" s="255">
        <v>0</v>
      </c>
      <c r="BI448" s="244">
        <v>9999</v>
      </c>
      <c r="BJ448" s="244">
        <v>9999</v>
      </c>
      <c r="BK448" s="244">
        <v>9999</v>
      </c>
      <c r="BL448" s="244">
        <v>9999</v>
      </c>
      <c r="BM448" s="244">
        <v>9999</v>
      </c>
      <c r="BN448" s="244">
        <v>0</v>
      </c>
      <c r="BO448" s="244">
        <v>42.915509703558691</v>
      </c>
      <c r="BP448" s="244">
        <v>0</v>
      </c>
      <c r="BQ448" s="244">
        <v>0</v>
      </c>
      <c r="BR448" s="244">
        <v>0</v>
      </c>
      <c r="BS448" s="244">
        <v>0</v>
      </c>
      <c r="BT448" s="244">
        <v>0</v>
      </c>
      <c r="BU448" s="244">
        <v>0</v>
      </c>
      <c r="BV448" s="244">
        <v>165.37046813964844</v>
      </c>
      <c r="BW448" s="244">
        <v>0</v>
      </c>
      <c r="BX448" s="244">
        <v>5.7906060218811035</v>
      </c>
      <c r="BY448" s="244"/>
      <c r="BZ448" s="244">
        <v>0</v>
      </c>
      <c r="CA448" s="244">
        <v>0</v>
      </c>
      <c r="CB448" s="244">
        <v>208.28598022460937</v>
      </c>
      <c r="CC448" s="244">
        <v>5.7906060218811035</v>
      </c>
      <c r="CD448" s="228">
        <v>35.969633757874711</v>
      </c>
      <c r="CE448" s="244">
        <v>9999</v>
      </c>
      <c r="CF448" s="244">
        <v>0</v>
      </c>
      <c r="CG448" s="244">
        <v>0.48596114313554573</v>
      </c>
      <c r="CH448" s="244">
        <v>0.48596114313554573</v>
      </c>
      <c r="CI448" s="244">
        <v>0</v>
      </c>
      <c r="CJ448" s="244">
        <v>3.0372571445971868E-2</v>
      </c>
      <c r="CK448" s="244">
        <v>3.0372571445971868E-2</v>
      </c>
      <c r="CL448" s="244"/>
      <c r="CM448" s="244">
        <v>5.1404876780861253</v>
      </c>
      <c r="CN448" s="244" t="s">
        <v>442</v>
      </c>
      <c r="CO448" s="244">
        <v>0.28600001335144043</v>
      </c>
      <c r="CP448" s="244">
        <v>0.31700000166893005</v>
      </c>
      <c r="CQ448" s="244">
        <v>42.915509703558691</v>
      </c>
      <c r="CR448" s="244">
        <v>0</v>
      </c>
      <c r="CS448" s="244">
        <v>0</v>
      </c>
      <c r="CT448" s="244">
        <v>42.915508270263672</v>
      </c>
      <c r="CU448" s="244">
        <v>0</v>
      </c>
      <c r="CV448" s="244">
        <v>0</v>
      </c>
      <c r="CW448" s="228">
        <v>9999</v>
      </c>
    </row>
    <row r="449" spans="1:101">
      <c r="A449" s="221" t="s">
        <v>531</v>
      </c>
      <c r="B449" s="221" t="s">
        <v>440</v>
      </c>
      <c r="C449" s="244">
        <v>10</v>
      </c>
      <c r="D449" s="244">
        <v>43.916943441412378</v>
      </c>
      <c r="E449" s="244">
        <v>3.1819618727353114</v>
      </c>
      <c r="F449" s="244">
        <v>3.2966774171383419</v>
      </c>
      <c r="G449" s="244">
        <v>0</v>
      </c>
      <c r="H449" s="244">
        <v>0</v>
      </c>
      <c r="I449" s="244" t="s">
        <v>441</v>
      </c>
      <c r="J449" s="244">
        <v>0.28600001335144043</v>
      </c>
      <c r="K449" s="244">
        <v>0.31700000166893005</v>
      </c>
      <c r="L449" s="244">
        <v>47.890276353033933</v>
      </c>
      <c r="M449" s="244">
        <v>6.0594952665269375E-3</v>
      </c>
      <c r="N449" s="244">
        <v>1.9115127623081207E-2</v>
      </c>
      <c r="O449" s="244">
        <v>3.2137814914626635</v>
      </c>
      <c r="P449" s="244">
        <v>9.7525753080844879E-3</v>
      </c>
      <c r="Q449" s="244">
        <v>3.0765222385525703E-2</v>
      </c>
      <c r="R449" s="244">
        <v>0.32778394222259521</v>
      </c>
      <c r="S449" s="244">
        <v>1.8114458322525024</v>
      </c>
      <c r="T449" s="244">
        <v>0</v>
      </c>
      <c r="U449" s="244">
        <v>3.6513762474060059</v>
      </c>
      <c r="V449" s="244" t="s">
        <v>226</v>
      </c>
      <c r="W449" s="244" t="s">
        <v>226</v>
      </c>
      <c r="X449" s="244" t="s">
        <v>226</v>
      </c>
      <c r="Y449" s="244" t="s">
        <v>226</v>
      </c>
      <c r="Z449" s="244">
        <v>0</v>
      </c>
      <c r="AA449" s="244">
        <v>0</v>
      </c>
      <c r="AB449" s="244">
        <v>0</v>
      </c>
      <c r="AC449" s="244">
        <v>0</v>
      </c>
      <c r="AD449" s="244">
        <v>0</v>
      </c>
      <c r="AE449" s="244">
        <v>0</v>
      </c>
      <c r="AF449" s="244">
        <v>0</v>
      </c>
      <c r="AG449" s="244">
        <v>0</v>
      </c>
      <c r="AH449" s="244">
        <v>0.32778394222259521</v>
      </c>
      <c r="AI449" s="244">
        <v>1.8114458322525024</v>
      </c>
      <c r="AJ449" s="244">
        <v>0</v>
      </c>
      <c r="AK449" s="244">
        <v>3.6513762474060059</v>
      </c>
      <c r="AL449" s="244">
        <v>5.7906060218811035</v>
      </c>
      <c r="AM449" s="244">
        <v>33.753862188399246</v>
      </c>
      <c r="AN449" s="244">
        <v>0</v>
      </c>
      <c r="AO449" s="244">
        <v>5.9417076110839844</v>
      </c>
      <c r="AP449" s="244">
        <v>25.663213729858398</v>
      </c>
      <c r="AQ449" s="244">
        <v>65.358779907226563</v>
      </c>
      <c r="AR449" s="244">
        <v>0.32778394222259521</v>
      </c>
      <c r="AS449" s="228">
        <v>199.39592856857229</v>
      </c>
      <c r="AT449" s="244">
        <v>33.753862188399246</v>
      </c>
      <c r="AU449" s="244">
        <v>5.4789872169494629</v>
      </c>
      <c r="AV449" s="244">
        <v>6.4896063804626465</v>
      </c>
      <c r="AW449" s="244">
        <v>25.663213729858398</v>
      </c>
      <c r="AX449" s="244">
        <v>71.385665893554688</v>
      </c>
      <c r="AY449" s="244">
        <v>1.8114458322525024</v>
      </c>
      <c r="AZ449" s="228">
        <v>39.408117120953527</v>
      </c>
      <c r="BA449" s="244">
        <v>33.753862188399246</v>
      </c>
      <c r="BB449" s="244">
        <v>5.4789872169494629</v>
      </c>
      <c r="BC449" s="244">
        <v>6.4896063804626465</v>
      </c>
      <c r="BD449" s="244">
        <v>25.663213729858398</v>
      </c>
      <c r="BE449" s="244">
        <v>71.385665893554688</v>
      </c>
      <c r="BF449" s="244">
        <v>2.1392297744750977</v>
      </c>
      <c r="BG449" s="244">
        <v>-59.469612121582031</v>
      </c>
      <c r="BH449" s="228">
        <v>33.369799900614055</v>
      </c>
      <c r="BI449" s="244">
        <v>0.54921859502792358</v>
      </c>
      <c r="BJ449" s="244">
        <v>3.0351693630218506</v>
      </c>
      <c r="BK449" s="244">
        <v>0</v>
      </c>
      <c r="BL449" s="244">
        <v>6.1180658340454102</v>
      </c>
      <c r="BM449" s="244">
        <v>9.70245361328125</v>
      </c>
      <c r="BN449" s="244">
        <v>33.753862188399246</v>
      </c>
      <c r="BO449" s="244">
        <v>26.564700506502806</v>
      </c>
      <c r="BP449" s="244">
        <v>5.4789872169494629</v>
      </c>
      <c r="BQ449" s="244">
        <v>0</v>
      </c>
      <c r="BR449" s="244">
        <v>0</v>
      </c>
      <c r="BS449" s="244">
        <v>0</v>
      </c>
      <c r="BT449" s="244">
        <v>25.663213729858398</v>
      </c>
      <c r="BU449" s="244">
        <v>0</v>
      </c>
      <c r="BV449" s="244">
        <v>165.37046813964844</v>
      </c>
      <c r="BW449" s="244">
        <v>6.4896063804626465</v>
      </c>
      <c r="BX449" s="244">
        <v>5.7906060218811035</v>
      </c>
      <c r="BY449" s="244"/>
      <c r="BZ449" s="244">
        <v>0</v>
      </c>
      <c r="CA449" s="244">
        <v>0</v>
      </c>
      <c r="CB449" s="244">
        <v>263.32083129882812</v>
      </c>
      <c r="CC449" s="244">
        <v>5.7906060218811035</v>
      </c>
      <c r="CD449" s="228">
        <v>45.473796208342293</v>
      </c>
      <c r="CE449" s="244">
        <v>-374.94863891601562</v>
      </c>
      <c r="CF449" s="244">
        <v>0.36139370186463532</v>
      </c>
      <c r="CG449" s="244">
        <v>0.30080994760090563</v>
      </c>
      <c r="CH449" s="244">
        <v>0.662203649465541</v>
      </c>
      <c r="CI449" s="244">
        <v>1.7720732594356338E-2</v>
      </c>
      <c r="CJ449" s="244">
        <v>1.880062172505657E-2</v>
      </c>
      <c r="CK449" s="244">
        <v>3.6521354319412905E-2</v>
      </c>
      <c r="CL449" s="244"/>
      <c r="CM449" s="244">
        <v>3.1819618727353114</v>
      </c>
      <c r="CN449" s="244" t="s">
        <v>442</v>
      </c>
      <c r="CO449" s="244">
        <v>0.28600001335144043</v>
      </c>
      <c r="CP449" s="244">
        <v>0.31700000166893005</v>
      </c>
      <c r="CQ449" s="244">
        <v>26.564700506502806</v>
      </c>
      <c r="CR449" s="244">
        <v>0</v>
      </c>
      <c r="CS449" s="244">
        <v>0</v>
      </c>
      <c r="CT449" s="244">
        <v>26.564701080322266</v>
      </c>
      <c r="CU449" s="244">
        <v>0</v>
      </c>
      <c r="CV449" s="244">
        <v>0</v>
      </c>
      <c r="CW449" s="228">
        <v>9999</v>
      </c>
    </row>
    <row r="450" spans="1:101">
      <c r="A450" s="221" t="s">
        <v>532</v>
      </c>
      <c r="B450" s="221" t="s">
        <v>440</v>
      </c>
      <c r="C450" s="244">
        <v>10</v>
      </c>
      <c r="D450" s="244">
        <v>83.993015272453945</v>
      </c>
      <c r="E450" s="244">
        <v>0</v>
      </c>
      <c r="F450" s="244">
        <v>11.336666666666666</v>
      </c>
      <c r="G450" s="244">
        <v>0</v>
      </c>
      <c r="H450" s="244">
        <v>0</v>
      </c>
      <c r="I450" s="244" t="s">
        <v>441</v>
      </c>
      <c r="J450" s="244">
        <v>0.28600001335144043</v>
      </c>
      <c r="K450" s="244">
        <v>0.31700000166893005</v>
      </c>
      <c r="L450" s="244">
        <v>91.592182832318144</v>
      </c>
      <c r="M450" s="244">
        <v>1.1589041911065578E-2</v>
      </c>
      <c r="N450" s="244">
        <v>3.6558490246534348E-2</v>
      </c>
      <c r="O450" s="244">
        <v>0</v>
      </c>
      <c r="P450" s="244">
        <v>0</v>
      </c>
      <c r="Q450" s="244">
        <v>0</v>
      </c>
      <c r="R450" s="244">
        <v>1.1271885633468628</v>
      </c>
      <c r="S450" s="244">
        <v>6.2292284965515137</v>
      </c>
      <c r="T450" s="244">
        <v>0</v>
      </c>
      <c r="U450" s="244">
        <v>12.556410789489746</v>
      </c>
      <c r="V450" s="244" t="s">
        <v>226</v>
      </c>
      <c r="W450" s="244" t="s">
        <v>226</v>
      </c>
      <c r="X450" s="244" t="s">
        <v>226</v>
      </c>
      <c r="Y450" s="244" t="s">
        <v>226</v>
      </c>
      <c r="Z450" s="244">
        <v>0</v>
      </c>
      <c r="AA450" s="244">
        <v>0</v>
      </c>
      <c r="AB450" s="244">
        <v>0</v>
      </c>
      <c r="AC450" s="244">
        <v>0</v>
      </c>
      <c r="AD450" s="244">
        <v>0</v>
      </c>
      <c r="AE450" s="244">
        <v>0</v>
      </c>
      <c r="AF450" s="244">
        <v>0</v>
      </c>
      <c r="AG450" s="244">
        <v>0</v>
      </c>
      <c r="AH450" s="244">
        <v>1.1271885633468628</v>
      </c>
      <c r="AI450" s="244">
        <v>6.2292284965515137</v>
      </c>
      <c r="AJ450" s="244">
        <v>0</v>
      </c>
      <c r="AK450" s="244">
        <v>12.556410789489746</v>
      </c>
      <c r="AL450" s="244">
        <v>19.912827849388123</v>
      </c>
      <c r="AM450" s="244">
        <v>64.555691724691272</v>
      </c>
      <c r="AN450" s="244">
        <v>0</v>
      </c>
      <c r="AO450" s="244">
        <v>11.363768577575684</v>
      </c>
      <c r="AP450" s="244">
        <v>49.081989288330078</v>
      </c>
      <c r="AQ450" s="244">
        <v>125.00144958496094</v>
      </c>
      <c r="AR450" s="244">
        <v>1.1271885633468628</v>
      </c>
      <c r="AS450" s="228">
        <v>110.89666241772461</v>
      </c>
      <c r="AT450" s="244">
        <v>64.555691724691272</v>
      </c>
      <c r="AU450" s="244">
        <v>10.478796005249023</v>
      </c>
      <c r="AV450" s="244">
        <v>12.411647796630859</v>
      </c>
      <c r="AW450" s="244">
        <v>49.081989288330078</v>
      </c>
      <c r="AX450" s="244">
        <v>136.52812194824219</v>
      </c>
      <c r="AY450" s="244">
        <v>6.2292284965515137</v>
      </c>
      <c r="AZ450" s="228">
        <v>21.917340950084409</v>
      </c>
      <c r="BA450" s="244">
        <v>64.555691724691272</v>
      </c>
      <c r="BB450" s="244">
        <v>10.478796005249023</v>
      </c>
      <c r="BC450" s="244">
        <v>12.411647796630859</v>
      </c>
      <c r="BD450" s="244">
        <v>49.081989288330078</v>
      </c>
      <c r="BE450" s="244">
        <v>136.52812194824219</v>
      </c>
      <c r="BF450" s="244">
        <v>7.356417179107666</v>
      </c>
      <c r="BG450" s="244">
        <v>-56.609157562255859</v>
      </c>
      <c r="BH450" s="228">
        <v>18.559051737176421</v>
      </c>
      <c r="BI450" s="244">
        <v>0.98751360177993774</v>
      </c>
      <c r="BJ450" s="244">
        <v>5.4573369026184082</v>
      </c>
      <c r="BK450" s="244">
        <v>0</v>
      </c>
      <c r="BL450" s="244">
        <v>11.000490188598633</v>
      </c>
      <c r="BM450" s="244">
        <v>17.445341110229492</v>
      </c>
      <c r="BN450" s="244">
        <v>64.555691724691272</v>
      </c>
      <c r="BO450" s="244">
        <v>0</v>
      </c>
      <c r="BP450" s="244">
        <v>10.478796005249023</v>
      </c>
      <c r="BQ450" s="244">
        <v>0</v>
      </c>
      <c r="BR450" s="244">
        <v>0</v>
      </c>
      <c r="BS450" s="244">
        <v>0</v>
      </c>
      <c r="BT450" s="244">
        <v>49.081989288330078</v>
      </c>
      <c r="BU450" s="244">
        <v>0</v>
      </c>
      <c r="BV450" s="244">
        <v>121.49665832519531</v>
      </c>
      <c r="BW450" s="244">
        <v>12.411647796630859</v>
      </c>
      <c r="BX450" s="244">
        <v>19.91282844543457</v>
      </c>
      <c r="BY450" s="244"/>
      <c r="BZ450" s="244">
        <v>0</v>
      </c>
      <c r="CA450" s="244">
        <v>0</v>
      </c>
      <c r="CB450" s="244">
        <v>258.0247802734375</v>
      </c>
      <c r="CC450" s="244">
        <v>19.91282844543457</v>
      </c>
      <c r="CD450" s="228">
        <v>12.957716370988676</v>
      </c>
      <c r="CE450" s="244">
        <v>-152.05012512207031</v>
      </c>
      <c r="CF450" s="244">
        <v>0.69118076854732857</v>
      </c>
      <c r="CG450" s="244">
        <v>0</v>
      </c>
      <c r="CH450" s="244">
        <v>0.69118076854732857</v>
      </c>
      <c r="CI450" s="244">
        <v>3.3891651986720679E-2</v>
      </c>
      <c r="CJ450" s="244">
        <v>0</v>
      </c>
      <c r="CK450" s="244">
        <v>3.3891651986720679E-2</v>
      </c>
      <c r="CL450" s="244"/>
      <c r="CM450" s="244">
        <v>0</v>
      </c>
      <c r="CN450" s="244" t="s">
        <v>442</v>
      </c>
      <c r="CO450" s="244">
        <v>0</v>
      </c>
      <c r="CP450" s="244">
        <v>0</v>
      </c>
      <c r="CQ450" s="244">
        <v>0</v>
      </c>
      <c r="CR450" s="244">
        <v>0</v>
      </c>
      <c r="CS450" s="244">
        <v>0</v>
      </c>
      <c r="CT450" s="244">
        <v>0</v>
      </c>
      <c r="CU450" s="244">
        <v>0</v>
      </c>
      <c r="CV450" s="244">
        <v>9999</v>
      </c>
      <c r="CW450" s="228">
        <v>9999</v>
      </c>
    </row>
    <row r="451" spans="1:101">
      <c r="A451" s="221" t="s">
        <v>533</v>
      </c>
      <c r="B451" s="221" t="s">
        <v>440</v>
      </c>
      <c r="C451" s="244">
        <v>10</v>
      </c>
      <c r="D451" s="244">
        <v>0</v>
      </c>
      <c r="E451" s="244">
        <v>3.7457635934928271</v>
      </c>
      <c r="F451" s="244">
        <v>11.336666666666666</v>
      </c>
      <c r="G451" s="244">
        <v>0</v>
      </c>
      <c r="H451" s="244">
        <v>0</v>
      </c>
      <c r="I451" s="244" t="s">
        <v>441</v>
      </c>
      <c r="J451" s="244">
        <v>0</v>
      </c>
      <c r="K451" s="244">
        <v>0</v>
      </c>
      <c r="L451" s="244">
        <v>0</v>
      </c>
      <c r="M451" s="244">
        <v>0</v>
      </c>
      <c r="N451" s="244">
        <v>0</v>
      </c>
      <c r="O451" s="244">
        <v>3.7832212294277543</v>
      </c>
      <c r="P451" s="244">
        <v>1.1480603367090225E-2</v>
      </c>
      <c r="Q451" s="244">
        <v>3.6216415464878082E-2</v>
      </c>
      <c r="R451" s="244">
        <v>1.1271885633468628</v>
      </c>
      <c r="S451" s="244">
        <v>6.2292284965515137</v>
      </c>
      <c r="T451" s="244">
        <v>0</v>
      </c>
      <c r="U451" s="244">
        <v>12.556410789489746</v>
      </c>
      <c r="V451" s="244" t="s">
        <v>226</v>
      </c>
      <c r="W451" s="244" t="s">
        <v>226</v>
      </c>
      <c r="X451" s="244" t="s">
        <v>226</v>
      </c>
      <c r="Y451" s="244" t="s">
        <v>226</v>
      </c>
      <c r="Z451" s="244">
        <v>0</v>
      </c>
      <c r="AA451" s="244">
        <v>0</v>
      </c>
      <c r="AB451" s="244">
        <v>0</v>
      </c>
      <c r="AC451" s="244">
        <v>0</v>
      </c>
      <c r="AD451" s="244">
        <v>0</v>
      </c>
      <c r="AE451" s="244">
        <v>0</v>
      </c>
      <c r="AF451" s="244">
        <v>0</v>
      </c>
      <c r="AG451" s="244">
        <v>0</v>
      </c>
      <c r="AH451" s="244">
        <v>1.1271885633468628</v>
      </c>
      <c r="AI451" s="244">
        <v>6.2292284965515137</v>
      </c>
      <c r="AJ451" s="244">
        <v>0</v>
      </c>
      <c r="AK451" s="244">
        <v>12.556410789489746</v>
      </c>
      <c r="AL451" s="244">
        <v>19.912827849388123</v>
      </c>
      <c r="AM451" s="244">
        <v>0</v>
      </c>
      <c r="AN451" s="244">
        <v>0</v>
      </c>
      <c r="AO451" s="244">
        <v>0</v>
      </c>
      <c r="AP451" s="244">
        <v>0</v>
      </c>
      <c r="AQ451" s="244">
        <v>0</v>
      </c>
      <c r="AR451" s="244">
        <v>1.1271885633468628</v>
      </c>
      <c r="AS451" s="255">
        <v>0</v>
      </c>
      <c r="AT451" s="244">
        <v>0</v>
      </c>
      <c r="AU451" s="244">
        <v>0</v>
      </c>
      <c r="AV451" s="244">
        <v>0</v>
      </c>
      <c r="AW451" s="244">
        <v>0</v>
      </c>
      <c r="AX451" s="244">
        <v>0</v>
      </c>
      <c r="AY451" s="244">
        <v>6.2292284965515137</v>
      </c>
      <c r="AZ451" s="255">
        <v>0</v>
      </c>
      <c r="BA451" s="244">
        <v>0</v>
      </c>
      <c r="BB451" s="244">
        <v>0</v>
      </c>
      <c r="BC451" s="244">
        <v>0</v>
      </c>
      <c r="BD451" s="244">
        <v>0</v>
      </c>
      <c r="BE451" s="244">
        <v>0</v>
      </c>
      <c r="BF451" s="244">
        <v>7.356417179107666</v>
      </c>
      <c r="BG451" s="244">
        <v>9999</v>
      </c>
      <c r="BH451" s="255">
        <v>0</v>
      </c>
      <c r="BI451" s="244">
        <v>9999</v>
      </c>
      <c r="BJ451" s="244">
        <v>9999</v>
      </c>
      <c r="BK451" s="244">
        <v>9999</v>
      </c>
      <c r="BL451" s="244">
        <v>9999</v>
      </c>
      <c r="BM451" s="244">
        <v>9999</v>
      </c>
      <c r="BN451" s="244">
        <v>0</v>
      </c>
      <c r="BO451" s="244">
        <v>31.27161544011874</v>
      </c>
      <c r="BP451" s="244">
        <v>0</v>
      </c>
      <c r="BQ451" s="244">
        <v>0</v>
      </c>
      <c r="BR451" s="244">
        <v>0</v>
      </c>
      <c r="BS451" s="244">
        <v>0</v>
      </c>
      <c r="BT451" s="244">
        <v>0</v>
      </c>
      <c r="BU451" s="244">
        <v>0</v>
      </c>
      <c r="BV451" s="244">
        <v>121.49665832519531</v>
      </c>
      <c r="BW451" s="244">
        <v>0</v>
      </c>
      <c r="BX451" s="244">
        <v>19.91282844543457</v>
      </c>
      <c r="BY451" s="244"/>
      <c r="BZ451" s="244">
        <v>0</v>
      </c>
      <c r="CA451" s="244">
        <v>0</v>
      </c>
      <c r="CB451" s="244">
        <v>152.76828002929687</v>
      </c>
      <c r="CC451" s="244">
        <v>19.91282844543457</v>
      </c>
      <c r="CD451" s="228">
        <v>7.6718520517530679</v>
      </c>
      <c r="CE451" s="244">
        <v>9999</v>
      </c>
      <c r="CF451" s="244">
        <v>0</v>
      </c>
      <c r="CG451" s="244">
        <v>0.35410950707443845</v>
      </c>
      <c r="CH451" s="244">
        <v>0.35410950707443845</v>
      </c>
      <c r="CI451" s="244">
        <v>0</v>
      </c>
      <c r="CJ451" s="244">
        <v>2.2131844192152365E-2</v>
      </c>
      <c r="CK451" s="244">
        <v>2.2131844192152365E-2</v>
      </c>
      <c r="CL451" s="244"/>
      <c r="CM451" s="244">
        <v>3.7457635934928271</v>
      </c>
      <c r="CN451" s="244" t="s">
        <v>442</v>
      </c>
      <c r="CO451" s="244">
        <v>0.28600001335144043</v>
      </c>
      <c r="CP451" s="244">
        <v>0.31700000166893005</v>
      </c>
      <c r="CQ451" s="244">
        <v>31.27161544011874</v>
      </c>
      <c r="CR451" s="244">
        <v>0</v>
      </c>
      <c r="CS451" s="244">
        <v>0</v>
      </c>
      <c r="CT451" s="244">
        <v>31.271615982055664</v>
      </c>
      <c r="CU451" s="244">
        <v>0</v>
      </c>
      <c r="CV451" s="244">
        <v>0</v>
      </c>
      <c r="CW451" s="228">
        <v>9999</v>
      </c>
    </row>
    <row r="452" spans="1:101">
      <c r="A452" s="221" t="s">
        <v>534</v>
      </c>
      <c r="B452" s="221" t="s">
        <v>440</v>
      </c>
      <c r="C452" s="244">
        <v>10</v>
      </c>
      <c r="D452" s="244">
        <v>32.001338818804953</v>
      </c>
      <c r="E452" s="244">
        <v>2.3186276643720598</v>
      </c>
      <c r="F452" s="244">
        <v>11.336666666666666</v>
      </c>
      <c r="G452" s="244">
        <v>0</v>
      </c>
      <c r="H452" s="244">
        <v>0</v>
      </c>
      <c r="I452" s="244" t="s">
        <v>441</v>
      </c>
      <c r="J452" s="244">
        <v>0.28600001335144043</v>
      </c>
      <c r="K452" s="244">
        <v>0.31700000166893005</v>
      </c>
      <c r="L452" s="244">
        <v>34.896621659113237</v>
      </c>
      <c r="M452" s="244">
        <v>4.415425006300211E-3</v>
      </c>
      <c r="N452" s="244">
        <v>1.3928784988820553E-2</v>
      </c>
      <c r="O452" s="244">
        <v>2.3418139410157801</v>
      </c>
      <c r="P452" s="244">
        <v>7.1064936928451061E-3</v>
      </c>
      <c r="Q452" s="244">
        <v>2.2417960688471794E-2</v>
      </c>
      <c r="R452" s="244">
        <v>1.1271885633468628</v>
      </c>
      <c r="S452" s="244">
        <v>6.2292284965515137</v>
      </c>
      <c r="T452" s="244">
        <v>0</v>
      </c>
      <c r="U452" s="244">
        <v>12.556410789489746</v>
      </c>
      <c r="V452" s="244" t="s">
        <v>226</v>
      </c>
      <c r="W452" s="244" t="s">
        <v>226</v>
      </c>
      <c r="X452" s="244" t="s">
        <v>226</v>
      </c>
      <c r="Y452" s="244" t="s">
        <v>226</v>
      </c>
      <c r="Z452" s="244">
        <v>0</v>
      </c>
      <c r="AA452" s="244">
        <v>0</v>
      </c>
      <c r="AB452" s="244">
        <v>0</v>
      </c>
      <c r="AC452" s="244">
        <v>0</v>
      </c>
      <c r="AD452" s="244">
        <v>0</v>
      </c>
      <c r="AE452" s="244">
        <v>0</v>
      </c>
      <c r="AF452" s="244">
        <v>0</v>
      </c>
      <c r="AG452" s="244">
        <v>0</v>
      </c>
      <c r="AH452" s="244">
        <v>1.1271885633468628</v>
      </c>
      <c r="AI452" s="244">
        <v>6.2292284965515137</v>
      </c>
      <c r="AJ452" s="244">
        <v>0</v>
      </c>
      <c r="AK452" s="244">
        <v>12.556410789489746</v>
      </c>
      <c r="AL452" s="244">
        <v>19.912827849388123</v>
      </c>
      <c r="AM452" s="244">
        <v>24.595718547107452</v>
      </c>
      <c r="AN452" s="244">
        <v>0</v>
      </c>
      <c r="AO452" s="244">
        <v>4.3295955657958984</v>
      </c>
      <c r="AP452" s="244">
        <v>18.700237274169922</v>
      </c>
      <c r="AQ452" s="244">
        <v>47.625553131103516</v>
      </c>
      <c r="AR452" s="244">
        <v>1.1271885633468628</v>
      </c>
      <c r="AS452" s="228">
        <v>42.251627576545729</v>
      </c>
      <c r="AT452" s="244">
        <v>24.595718547107452</v>
      </c>
      <c r="AU452" s="244">
        <v>3.9924211502075195</v>
      </c>
      <c r="AV452" s="244">
        <v>4.7288379669189453</v>
      </c>
      <c r="AW452" s="244">
        <v>18.700237274169922</v>
      </c>
      <c r="AX452" s="244">
        <v>52.017215728759766</v>
      </c>
      <c r="AY452" s="244">
        <v>6.2292284965515137</v>
      </c>
      <c r="AZ452" s="228">
        <v>8.3505068030817053</v>
      </c>
      <c r="BA452" s="244">
        <v>24.595718547107452</v>
      </c>
      <c r="BB452" s="244">
        <v>3.9924211502075195</v>
      </c>
      <c r="BC452" s="244">
        <v>4.7288379669189453</v>
      </c>
      <c r="BD452" s="244">
        <v>18.700237274169922</v>
      </c>
      <c r="BE452" s="244">
        <v>52.017215728759766</v>
      </c>
      <c r="BF452" s="244">
        <v>7.356417179107666</v>
      </c>
      <c r="BG452" s="244">
        <v>-46.138385772705078</v>
      </c>
      <c r="BH452" s="228">
        <v>7.0709986281178052</v>
      </c>
      <c r="BI452" s="244">
        <v>2.5918991565704346</v>
      </c>
      <c r="BJ452" s="244">
        <v>14.323719024658203</v>
      </c>
      <c r="BK452" s="244">
        <v>0</v>
      </c>
      <c r="BL452" s="244">
        <v>28.872676849365234</v>
      </c>
      <c r="BM452" s="244">
        <v>45.788295745849609</v>
      </c>
      <c r="BN452" s="244">
        <v>24.595718547107452</v>
      </c>
      <c r="BO452" s="244">
        <v>19.357129957433528</v>
      </c>
      <c r="BP452" s="244">
        <v>3.9924211502075195</v>
      </c>
      <c r="BQ452" s="244">
        <v>0</v>
      </c>
      <c r="BR452" s="244">
        <v>0</v>
      </c>
      <c r="BS452" s="244">
        <v>0</v>
      </c>
      <c r="BT452" s="244">
        <v>18.700237274169922</v>
      </c>
      <c r="BU452" s="244">
        <v>0</v>
      </c>
      <c r="BV452" s="244">
        <v>121.49665832519531</v>
      </c>
      <c r="BW452" s="244">
        <v>4.7288379669189453</v>
      </c>
      <c r="BX452" s="244">
        <v>19.91282844543457</v>
      </c>
      <c r="BY452" s="244"/>
      <c r="BZ452" s="244">
        <v>0</v>
      </c>
      <c r="CA452" s="244">
        <v>0</v>
      </c>
      <c r="CB452" s="244">
        <v>192.87100219726562</v>
      </c>
      <c r="CC452" s="244">
        <v>19.91282844543457</v>
      </c>
      <c r="CD452" s="228">
        <v>9.6857663264433125</v>
      </c>
      <c r="CE452" s="244">
        <v>-341.15011596679687</v>
      </c>
      <c r="CF452" s="244">
        <v>0.26333987281653226</v>
      </c>
      <c r="CG452" s="244">
        <v>0.21919378487907765</v>
      </c>
      <c r="CH452" s="244">
        <v>0.48253365769560991</v>
      </c>
      <c r="CI452" s="244">
        <v>1.291271940694058E-2</v>
      </c>
      <c r="CJ452" s="244">
        <v>1.3699611554942318E-2</v>
      </c>
      <c r="CK452" s="244">
        <v>2.6612330961882896E-2</v>
      </c>
      <c r="CL452" s="244"/>
      <c r="CM452" s="244">
        <v>2.3186276643720598</v>
      </c>
      <c r="CN452" s="244" t="s">
        <v>442</v>
      </c>
      <c r="CO452" s="244">
        <v>0.28600001335144043</v>
      </c>
      <c r="CP452" s="244">
        <v>0.31700000166893005</v>
      </c>
      <c r="CQ452" s="244">
        <v>19.357129957433528</v>
      </c>
      <c r="CR452" s="244">
        <v>0</v>
      </c>
      <c r="CS452" s="244">
        <v>0</v>
      </c>
      <c r="CT452" s="244">
        <v>19.35713005065918</v>
      </c>
      <c r="CU452" s="244">
        <v>0</v>
      </c>
      <c r="CV452" s="244">
        <v>0</v>
      </c>
      <c r="CW452" s="228">
        <v>9999</v>
      </c>
    </row>
    <row r="453" spans="1:101">
      <c r="A453" s="221" t="s">
        <v>535</v>
      </c>
      <c r="B453" s="221" t="s">
        <v>440</v>
      </c>
      <c r="C453" s="244">
        <v>10</v>
      </c>
      <c r="D453" s="244">
        <v>89.638613209105571</v>
      </c>
      <c r="E453" s="244">
        <v>0</v>
      </c>
      <c r="F453" s="244">
        <v>11.336666666666666</v>
      </c>
      <c r="G453" s="244">
        <v>0</v>
      </c>
      <c r="H453" s="244">
        <v>0</v>
      </c>
      <c r="I453" s="244" t="s">
        <v>441</v>
      </c>
      <c r="J453" s="244">
        <v>0.28600001335144043</v>
      </c>
      <c r="K453" s="244">
        <v>0.31700000166893005</v>
      </c>
      <c r="L453" s="244">
        <v>97.748559487379609</v>
      </c>
      <c r="M453" s="244">
        <v>1.2368000112473965E-2</v>
      </c>
      <c r="N453" s="244">
        <v>3.9015773683786392E-2</v>
      </c>
      <c r="O453" s="244">
        <v>0</v>
      </c>
      <c r="P453" s="244">
        <v>0</v>
      </c>
      <c r="Q453" s="244">
        <v>0</v>
      </c>
      <c r="R453" s="244">
        <v>1.1271885633468628</v>
      </c>
      <c r="S453" s="244">
        <v>6.2292284965515137</v>
      </c>
      <c r="T453" s="244">
        <v>0</v>
      </c>
      <c r="U453" s="244">
        <v>12.556410789489746</v>
      </c>
      <c r="V453" s="244" t="s">
        <v>226</v>
      </c>
      <c r="W453" s="244" t="s">
        <v>226</v>
      </c>
      <c r="X453" s="244" t="s">
        <v>226</v>
      </c>
      <c r="Y453" s="244" t="s">
        <v>226</v>
      </c>
      <c r="Z453" s="244">
        <v>0</v>
      </c>
      <c r="AA453" s="244">
        <v>0</v>
      </c>
      <c r="AB453" s="244">
        <v>0</v>
      </c>
      <c r="AC453" s="244">
        <v>0</v>
      </c>
      <c r="AD453" s="244">
        <v>0</v>
      </c>
      <c r="AE453" s="244">
        <v>0</v>
      </c>
      <c r="AF453" s="244">
        <v>0</v>
      </c>
      <c r="AG453" s="244">
        <v>0</v>
      </c>
      <c r="AH453" s="244">
        <v>1.1271885633468628</v>
      </c>
      <c r="AI453" s="244">
        <v>6.2292284965515137</v>
      </c>
      <c r="AJ453" s="244">
        <v>0</v>
      </c>
      <c r="AK453" s="244">
        <v>12.556410789489746</v>
      </c>
      <c r="AL453" s="244">
        <v>19.912827849388123</v>
      </c>
      <c r="AM453" s="244">
        <v>68.894808243104464</v>
      </c>
      <c r="AN453" s="244">
        <v>0</v>
      </c>
      <c r="AO453" s="244">
        <v>12.127584457397461</v>
      </c>
      <c r="AP453" s="244">
        <v>52.381031036376953</v>
      </c>
      <c r="AQ453" s="244">
        <v>133.40342712402344</v>
      </c>
      <c r="AR453" s="244">
        <v>1.1271885633468628</v>
      </c>
      <c r="AS453" s="228">
        <v>118.35058310099929</v>
      </c>
      <c r="AT453" s="244">
        <v>68.894808243104464</v>
      </c>
      <c r="AU453" s="244">
        <v>11.18312931060791</v>
      </c>
      <c r="AV453" s="244">
        <v>13.24589729309082</v>
      </c>
      <c r="AW453" s="244">
        <v>52.381031036376953</v>
      </c>
      <c r="AX453" s="244">
        <v>145.70486450195312</v>
      </c>
      <c r="AY453" s="244">
        <v>6.2292284965515137</v>
      </c>
      <c r="AZ453" s="228">
        <v>23.390515529144906</v>
      </c>
      <c r="BA453" s="244">
        <v>68.894808243104464</v>
      </c>
      <c r="BB453" s="244">
        <v>11.18312931060791</v>
      </c>
      <c r="BC453" s="244">
        <v>13.24589729309082</v>
      </c>
      <c r="BD453" s="244">
        <v>52.381031036376953</v>
      </c>
      <c r="BE453" s="244">
        <v>145.70486450195312</v>
      </c>
      <c r="BF453" s="244">
        <v>7.356417179107666</v>
      </c>
      <c r="BG453" s="244">
        <v>-57.015056610107422</v>
      </c>
      <c r="BH453" s="228">
        <v>19.806498829090717</v>
      </c>
      <c r="BI453" s="244">
        <v>0.92531824111938477</v>
      </c>
      <c r="BJ453" s="244">
        <v>5.113624095916748</v>
      </c>
      <c r="BK453" s="244">
        <v>0</v>
      </c>
      <c r="BL453" s="244">
        <v>10.307660102844238</v>
      </c>
      <c r="BM453" s="244">
        <v>16.346601486206055</v>
      </c>
      <c r="BN453" s="244">
        <v>68.894808243104464</v>
      </c>
      <c r="BO453" s="244">
        <v>0</v>
      </c>
      <c r="BP453" s="244">
        <v>11.18312931060791</v>
      </c>
      <c r="BQ453" s="244">
        <v>0</v>
      </c>
      <c r="BR453" s="244">
        <v>0</v>
      </c>
      <c r="BS453" s="244">
        <v>0</v>
      </c>
      <c r="BT453" s="244">
        <v>52.381031036376953</v>
      </c>
      <c r="BU453" s="244">
        <v>0</v>
      </c>
      <c r="BV453" s="244">
        <v>136.68376159667969</v>
      </c>
      <c r="BW453" s="244">
        <v>13.24589729309082</v>
      </c>
      <c r="BX453" s="244">
        <v>19.91282844543457</v>
      </c>
      <c r="BY453" s="244"/>
      <c r="BZ453" s="244">
        <v>0</v>
      </c>
      <c r="CA453" s="244">
        <v>0</v>
      </c>
      <c r="CB453" s="244">
        <v>282.38864135742187</v>
      </c>
      <c r="CC453" s="244">
        <v>19.91282844543457</v>
      </c>
      <c r="CD453" s="228">
        <v>14.181241416992336</v>
      </c>
      <c r="CE453" s="244">
        <v>-158.91220092773437</v>
      </c>
      <c r="CF453" s="244">
        <v>0.73763854492440539</v>
      </c>
      <c r="CG453" s="244">
        <v>0</v>
      </c>
      <c r="CH453" s="244">
        <v>0.73763854492440539</v>
      </c>
      <c r="CI453" s="244">
        <v>3.6169682367047977E-2</v>
      </c>
      <c r="CJ453" s="244">
        <v>0</v>
      </c>
      <c r="CK453" s="244">
        <v>3.6169682367047977E-2</v>
      </c>
      <c r="CL453" s="244"/>
      <c r="CM453" s="244">
        <v>0</v>
      </c>
      <c r="CN453" s="244" t="s">
        <v>442</v>
      </c>
      <c r="CO453" s="244">
        <v>0</v>
      </c>
      <c r="CP453" s="244">
        <v>0</v>
      </c>
      <c r="CQ453" s="244">
        <v>0</v>
      </c>
      <c r="CR453" s="244">
        <v>0</v>
      </c>
      <c r="CS453" s="244">
        <v>0</v>
      </c>
      <c r="CT453" s="244">
        <v>0</v>
      </c>
      <c r="CU453" s="244">
        <v>0</v>
      </c>
      <c r="CV453" s="244">
        <v>9999</v>
      </c>
      <c r="CW453" s="228">
        <v>9999</v>
      </c>
    </row>
    <row r="454" spans="1:101">
      <c r="A454" s="221" t="s">
        <v>536</v>
      </c>
      <c r="B454" s="221" t="s">
        <v>440</v>
      </c>
      <c r="C454" s="244">
        <v>10</v>
      </c>
      <c r="D454" s="244">
        <v>0</v>
      </c>
      <c r="E454" s="244">
        <v>3.9975354241148318</v>
      </c>
      <c r="F454" s="244">
        <v>11.336666666666666</v>
      </c>
      <c r="G454" s="244">
        <v>0</v>
      </c>
      <c r="H454" s="244">
        <v>0</v>
      </c>
      <c r="I454" s="244" t="s">
        <v>441</v>
      </c>
      <c r="J454" s="244">
        <v>0</v>
      </c>
      <c r="K454" s="244">
        <v>0</v>
      </c>
      <c r="L454" s="244">
        <v>0</v>
      </c>
      <c r="M454" s="244">
        <v>0</v>
      </c>
      <c r="N454" s="244">
        <v>0</v>
      </c>
      <c r="O454" s="244">
        <v>4.0375107783559789</v>
      </c>
      <c r="P454" s="244">
        <v>1.2252273969352245E-2</v>
      </c>
      <c r="Q454" s="244">
        <v>3.865070641040802E-2</v>
      </c>
      <c r="R454" s="244">
        <v>1.1271885633468628</v>
      </c>
      <c r="S454" s="244">
        <v>6.2292284965515137</v>
      </c>
      <c r="T454" s="244">
        <v>0</v>
      </c>
      <c r="U454" s="244">
        <v>12.556410789489746</v>
      </c>
      <c r="V454" s="244" t="s">
        <v>226</v>
      </c>
      <c r="W454" s="244" t="s">
        <v>226</v>
      </c>
      <c r="X454" s="244" t="s">
        <v>226</v>
      </c>
      <c r="Y454" s="244" t="s">
        <v>226</v>
      </c>
      <c r="Z454" s="244">
        <v>0</v>
      </c>
      <c r="AA454" s="244">
        <v>0</v>
      </c>
      <c r="AB454" s="244">
        <v>0</v>
      </c>
      <c r="AC454" s="244">
        <v>0</v>
      </c>
      <c r="AD454" s="244">
        <v>0</v>
      </c>
      <c r="AE454" s="244">
        <v>0</v>
      </c>
      <c r="AF454" s="244">
        <v>0</v>
      </c>
      <c r="AG454" s="244">
        <v>0</v>
      </c>
      <c r="AH454" s="244">
        <v>1.1271885633468628</v>
      </c>
      <c r="AI454" s="244">
        <v>6.2292284965515137</v>
      </c>
      <c r="AJ454" s="244">
        <v>0</v>
      </c>
      <c r="AK454" s="244">
        <v>12.556410789489746</v>
      </c>
      <c r="AL454" s="244">
        <v>19.912827849388123</v>
      </c>
      <c r="AM454" s="244">
        <v>0</v>
      </c>
      <c r="AN454" s="244">
        <v>0</v>
      </c>
      <c r="AO454" s="244">
        <v>0</v>
      </c>
      <c r="AP454" s="244">
        <v>0</v>
      </c>
      <c r="AQ454" s="244">
        <v>0</v>
      </c>
      <c r="AR454" s="244">
        <v>1.1271885633468628</v>
      </c>
      <c r="AS454" s="255">
        <v>0</v>
      </c>
      <c r="AT454" s="244">
        <v>0</v>
      </c>
      <c r="AU454" s="244">
        <v>0</v>
      </c>
      <c r="AV454" s="244">
        <v>0</v>
      </c>
      <c r="AW454" s="244">
        <v>0</v>
      </c>
      <c r="AX454" s="244">
        <v>0</v>
      </c>
      <c r="AY454" s="244">
        <v>6.2292284965515137</v>
      </c>
      <c r="AZ454" s="255">
        <v>0</v>
      </c>
      <c r="BA454" s="244">
        <v>0</v>
      </c>
      <c r="BB454" s="244">
        <v>0</v>
      </c>
      <c r="BC454" s="244">
        <v>0</v>
      </c>
      <c r="BD454" s="244">
        <v>0</v>
      </c>
      <c r="BE454" s="244">
        <v>0</v>
      </c>
      <c r="BF454" s="244">
        <v>7.356417179107666</v>
      </c>
      <c r="BG454" s="244">
        <v>9999</v>
      </c>
      <c r="BH454" s="255">
        <v>0</v>
      </c>
      <c r="BI454" s="244">
        <v>9999</v>
      </c>
      <c r="BJ454" s="244">
        <v>9999</v>
      </c>
      <c r="BK454" s="244">
        <v>9999</v>
      </c>
      <c r="BL454" s="244">
        <v>9999</v>
      </c>
      <c r="BM454" s="244">
        <v>9999</v>
      </c>
      <c r="BN454" s="244">
        <v>0</v>
      </c>
      <c r="BO454" s="244">
        <v>33.373539832662779</v>
      </c>
      <c r="BP454" s="244">
        <v>0</v>
      </c>
      <c r="BQ454" s="244">
        <v>0</v>
      </c>
      <c r="BR454" s="244">
        <v>0</v>
      </c>
      <c r="BS454" s="244">
        <v>0</v>
      </c>
      <c r="BT454" s="244">
        <v>0</v>
      </c>
      <c r="BU454" s="244">
        <v>0</v>
      </c>
      <c r="BV454" s="244">
        <v>136.68376159667969</v>
      </c>
      <c r="BW454" s="244">
        <v>0</v>
      </c>
      <c r="BX454" s="244">
        <v>19.91282844543457</v>
      </c>
      <c r="BY454" s="244"/>
      <c r="BZ454" s="244">
        <v>0</v>
      </c>
      <c r="CA454" s="244">
        <v>0</v>
      </c>
      <c r="CB454" s="244">
        <v>170.05729675292969</v>
      </c>
      <c r="CC454" s="244">
        <v>19.91282844543457</v>
      </c>
      <c r="CD454" s="228">
        <v>8.5400877075467214</v>
      </c>
      <c r="CE454" s="244">
        <v>9999</v>
      </c>
      <c r="CF454" s="244">
        <v>0</v>
      </c>
      <c r="CG454" s="244">
        <v>0.3779110088541171</v>
      </c>
      <c r="CH454" s="244">
        <v>0.3779110088541171</v>
      </c>
      <c r="CI454" s="244">
        <v>0</v>
      </c>
      <c r="CJ454" s="244">
        <v>2.3619438053382468E-2</v>
      </c>
      <c r="CK454" s="244">
        <v>2.3619438053382468E-2</v>
      </c>
      <c r="CL454" s="244"/>
      <c r="CM454" s="244">
        <v>3.9975354241148318</v>
      </c>
      <c r="CN454" s="244" t="s">
        <v>442</v>
      </c>
      <c r="CO454" s="244">
        <v>0.28600001335144043</v>
      </c>
      <c r="CP454" s="244">
        <v>0.31700000166893005</v>
      </c>
      <c r="CQ454" s="244">
        <v>33.373539832662779</v>
      </c>
      <c r="CR454" s="244">
        <v>0</v>
      </c>
      <c r="CS454" s="244">
        <v>0</v>
      </c>
      <c r="CT454" s="244">
        <v>33.373538970947266</v>
      </c>
      <c r="CU454" s="244">
        <v>0</v>
      </c>
      <c r="CV454" s="244">
        <v>0</v>
      </c>
      <c r="CW454" s="228">
        <v>9999</v>
      </c>
    </row>
    <row r="455" spans="1:101">
      <c r="A455" s="221" t="s">
        <v>537</v>
      </c>
      <c r="B455" s="221" t="s">
        <v>440</v>
      </c>
      <c r="C455" s="244">
        <v>10</v>
      </c>
      <c r="D455" s="244">
        <v>34.152311632669225</v>
      </c>
      <c r="E455" s="244">
        <v>2.4744744275270807</v>
      </c>
      <c r="F455" s="244">
        <v>11.336666666666666</v>
      </c>
      <c r="G455" s="244">
        <v>0</v>
      </c>
      <c r="H455" s="244">
        <v>0</v>
      </c>
      <c r="I455" s="244" t="s">
        <v>441</v>
      </c>
      <c r="J455" s="244">
        <v>0.28600001335144043</v>
      </c>
      <c r="K455" s="244">
        <v>0.31700000166893005</v>
      </c>
      <c r="L455" s="244">
        <v>37.242201164691636</v>
      </c>
      <c r="M455" s="244">
        <v>4.7122077085077763E-3</v>
      </c>
      <c r="N455" s="244">
        <v>1.4865009114146233E-2</v>
      </c>
      <c r="O455" s="244">
        <v>2.4992191718023506</v>
      </c>
      <c r="P455" s="244">
        <v>7.5841573998332024E-3</v>
      </c>
      <c r="Q455" s="244">
        <v>2.3924786597490311E-2</v>
      </c>
      <c r="R455" s="244">
        <v>1.1271885633468628</v>
      </c>
      <c r="S455" s="244">
        <v>6.2292284965515137</v>
      </c>
      <c r="T455" s="244">
        <v>0</v>
      </c>
      <c r="U455" s="244">
        <v>12.556410789489746</v>
      </c>
      <c r="V455" s="244" t="s">
        <v>226</v>
      </c>
      <c r="W455" s="244" t="s">
        <v>226</v>
      </c>
      <c r="X455" s="244" t="s">
        <v>226</v>
      </c>
      <c r="Y455" s="244" t="s">
        <v>226</v>
      </c>
      <c r="Z455" s="244">
        <v>0</v>
      </c>
      <c r="AA455" s="244">
        <v>0</v>
      </c>
      <c r="AB455" s="244">
        <v>0</v>
      </c>
      <c r="AC455" s="244">
        <v>0</v>
      </c>
      <c r="AD455" s="244">
        <v>0</v>
      </c>
      <c r="AE455" s="244">
        <v>0</v>
      </c>
      <c r="AF455" s="244">
        <v>0</v>
      </c>
      <c r="AG455" s="244">
        <v>0</v>
      </c>
      <c r="AH455" s="244">
        <v>1.1271885633468628</v>
      </c>
      <c r="AI455" s="244">
        <v>6.2292284965515137</v>
      </c>
      <c r="AJ455" s="244">
        <v>0</v>
      </c>
      <c r="AK455" s="244">
        <v>12.556410789489746</v>
      </c>
      <c r="AL455" s="244">
        <v>19.912827849388123</v>
      </c>
      <c r="AM455" s="244">
        <v>26.248921940622783</v>
      </c>
      <c r="AN455" s="244">
        <v>0</v>
      </c>
      <c r="AO455" s="244">
        <v>4.6206097602844238</v>
      </c>
      <c r="AP455" s="244">
        <v>19.957176208496094</v>
      </c>
      <c r="AQ455" s="244">
        <v>50.826709747314453</v>
      </c>
      <c r="AR455" s="244">
        <v>1.1271885633468628</v>
      </c>
      <c r="AS455" s="228">
        <v>45.091575236079386</v>
      </c>
      <c r="AT455" s="244">
        <v>26.248921940622783</v>
      </c>
      <c r="AU455" s="244">
        <v>4.2607712745666504</v>
      </c>
      <c r="AV455" s="244">
        <v>5.046687126159668</v>
      </c>
      <c r="AW455" s="244">
        <v>19.957176208496094</v>
      </c>
      <c r="AX455" s="244">
        <v>55.513557434082031</v>
      </c>
      <c r="AY455" s="244">
        <v>6.2292284965515137</v>
      </c>
      <c r="AZ455" s="228">
        <v>8.9117868417537363</v>
      </c>
      <c r="BA455" s="244">
        <v>26.248921940622783</v>
      </c>
      <c r="BB455" s="244">
        <v>4.2607712745666504</v>
      </c>
      <c r="BC455" s="244">
        <v>5.046687126159668</v>
      </c>
      <c r="BD455" s="244">
        <v>19.957176208496094</v>
      </c>
      <c r="BE455" s="244">
        <v>55.513557434082031</v>
      </c>
      <c r="BF455" s="244">
        <v>7.356417179107666</v>
      </c>
      <c r="BG455" s="244">
        <v>-47.203762054443359</v>
      </c>
      <c r="BH455" s="228">
        <v>7.5462764138894638</v>
      </c>
      <c r="BI455" s="244">
        <v>2.4286568164825439</v>
      </c>
      <c r="BJ455" s="244">
        <v>13.421586036682129</v>
      </c>
      <c r="BK455" s="244">
        <v>0</v>
      </c>
      <c r="BL455" s="244">
        <v>27.054225921630859</v>
      </c>
      <c r="BM455" s="244">
        <v>42.904468536376953</v>
      </c>
      <c r="BN455" s="244">
        <v>26.248921940622783</v>
      </c>
      <c r="BO455" s="244">
        <v>20.658221156418239</v>
      </c>
      <c r="BP455" s="244">
        <v>4.2607712745666504</v>
      </c>
      <c r="BQ455" s="244">
        <v>0</v>
      </c>
      <c r="BR455" s="244">
        <v>0</v>
      </c>
      <c r="BS455" s="244">
        <v>0</v>
      </c>
      <c r="BT455" s="244">
        <v>19.957176208496094</v>
      </c>
      <c r="BU455" s="244">
        <v>0</v>
      </c>
      <c r="BV455" s="244">
        <v>136.68376159667969</v>
      </c>
      <c r="BW455" s="244">
        <v>5.046687126159668</v>
      </c>
      <c r="BX455" s="244">
        <v>19.91282844543457</v>
      </c>
      <c r="BY455" s="244"/>
      <c r="BZ455" s="244">
        <v>0</v>
      </c>
      <c r="CA455" s="244">
        <v>0</v>
      </c>
      <c r="CB455" s="244">
        <v>212.85554504394531</v>
      </c>
      <c r="CC455" s="244">
        <v>19.91282844543457</v>
      </c>
      <c r="CD455" s="228">
        <v>10.689367403842857</v>
      </c>
      <c r="CE455" s="244">
        <v>-359.16085815429687</v>
      </c>
      <c r="CF455" s="244">
        <v>0.28104028561619843</v>
      </c>
      <c r="CG455" s="244">
        <v>0.23392691448069991</v>
      </c>
      <c r="CH455" s="244">
        <v>0.51496720009689834</v>
      </c>
      <c r="CI455" s="244">
        <v>1.3780648981845283E-2</v>
      </c>
      <c r="CJ455" s="244">
        <v>1.4620432155043743E-2</v>
      </c>
      <c r="CK455" s="244">
        <v>2.8401081136889026E-2</v>
      </c>
      <c r="CL455" s="244"/>
      <c r="CM455" s="244">
        <v>2.4744744275270807</v>
      </c>
      <c r="CN455" s="244" t="s">
        <v>442</v>
      </c>
      <c r="CO455" s="244">
        <v>0.28600001335144043</v>
      </c>
      <c r="CP455" s="244">
        <v>0.31700000166893005</v>
      </c>
      <c r="CQ455" s="244">
        <v>20.658221156418239</v>
      </c>
      <c r="CR455" s="244">
        <v>0</v>
      </c>
      <c r="CS455" s="244">
        <v>0</v>
      </c>
      <c r="CT455" s="244">
        <v>20.658220291137695</v>
      </c>
      <c r="CU455" s="244">
        <v>0</v>
      </c>
      <c r="CV455" s="244">
        <v>0</v>
      </c>
      <c r="CW455" s="228">
        <v>9999</v>
      </c>
    </row>
    <row r="456" spans="1:101">
      <c r="A456" s="221" t="s">
        <v>538</v>
      </c>
      <c r="B456" s="221" t="s">
        <v>440</v>
      </c>
      <c r="C456" s="244">
        <v>10</v>
      </c>
      <c r="D456" s="244">
        <v>148.20115896989554</v>
      </c>
      <c r="E456" s="244">
        <v>0</v>
      </c>
      <c r="F456" s="244">
        <v>11.336666666666666</v>
      </c>
      <c r="G456" s="244">
        <v>0</v>
      </c>
      <c r="H456" s="244">
        <v>0</v>
      </c>
      <c r="I456" s="244" t="s">
        <v>441</v>
      </c>
      <c r="J456" s="244">
        <v>0.28600001335144043</v>
      </c>
      <c r="K456" s="244">
        <v>0.31700000166893005</v>
      </c>
      <c r="L456" s="244">
        <v>161.60948150630122</v>
      </c>
      <c r="M456" s="244">
        <v>2.0448239520192146E-2</v>
      </c>
      <c r="N456" s="244">
        <v>6.4505487680435181E-2</v>
      </c>
      <c r="O456" s="244">
        <v>0</v>
      </c>
      <c r="P456" s="244">
        <v>0</v>
      </c>
      <c r="Q456" s="244">
        <v>0</v>
      </c>
      <c r="R456" s="244">
        <v>1.1271885633468628</v>
      </c>
      <c r="S456" s="244">
        <v>6.2292284965515137</v>
      </c>
      <c r="T456" s="244">
        <v>0</v>
      </c>
      <c r="U456" s="244">
        <v>12.556410789489746</v>
      </c>
      <c r="V456" s="244" t="s">
        <v>226</v>
      </c>
      <c r="W456" s="244" t="s">
        <v>226</v>
      </c>
      <c r="X456" s="244" t="s">
        <v>226</v>
      </c>
      <c r="Y456" s="244" t="s">
        <v>226</v>
      </c>
      <c r="Z456" s="244">
        <v>0</v>
      </c>
      <c r="AA456" s="244">
        <v>0</v>
      </c>
      <c r="AB456" s="244">
        <v>0</v>
      </c>
      <c r="AC456" s="244">
        <v>0</v>
      </c>
      <c r="AD456" s="244">
        <v>0</v>
      </c>
      <c r="AE456" s="244">
        <v>0</v>
      </c>
      <c r="AF456" s="244">
        <v>0</v>
      </c>
      <c r="AG456" s="244">
        <v>0</v>
      </c>
      <c r="AH456" s="244">
        <v>1.1271885633468628</v>
      </c>
      <c r="AI456" s="244">
        <v>6.2292284965515137</v>
      </c>
      <c r="AJ456" s="244">
        <v>0</v>
      </c>
      <c r="AK456" s="244">
        <v>12.556410789489746</v>
      </c>
      <c r="AL456" s="244">
        <v>19.912827849388123</v>
      </c>
      <c r="AM456" s="244">
        <v>113.90504675500308</v>
      </c>
      <c r="AN456" s="244">
        <v>0</v>
      </c>
      <c r="AO456" s="244">
        <v>20.050758361816406</v>
      </c>
      <c r="AP456" s="244">
        <v>86.602531433105469</v>
      </c>
      <c r="AQ456" s="244">
        <v>220.55833435058594</v>
      </c>
      <c r="AR456" s="244">
        <v>1.1271885633468628</v>
      </c>
      <c r="AS456" s="228">
        <v>195.67119798930563</v>
      </c>
      <c r="AT456" s="244">
        <v>113.90504675500308</v>
      </c>
      <c r="AU456" s="244">
        <v>18.489273071289063</v>
      </c>
      <c r="AV456" s="244">
        <v>21.899684906005859</v>
      </c>
      <c r="AW456" s="244">
        <v>86.602531433105469</v>
      </c>
      <c r="AX456" s="244">
        <v>240.89653015136719</v>
      </c>
      <c r="AY456" s="244">
        <v>6.2292284965515137</v>
      </c>
      <c r="AZ456" s="228">
        <v>38.671969779044581</v>
      </c>
      <c r="BA456" s="244">
        <v>113.90504675500308</v>
      </c>
      <c r="BB456" s="244">
        <v>18.489273071289063</v>
      </c>
      <c r="BC456" s="244">
        <v>21.899684906005859</v>
      </c>
      <c r="BD456" s="244">
        <v>86.602531433105469</v>
      </c>
      <c r="BE456" s="244">
        <v>240.89653015136719</v>
      </c>
      <c r="BF456" s="244">
        <v>7.356417179107666</v>
      </c>
      <c r="BG456" s="244">
        <v>-59.401386260986328</v>
      </c>
      <c r="BH456" s="228">
        <v>32.746449012330913</v>
      </c>
      <c r="BI456" s="244">
        <v>0.55967336893081665</v>
      </c>
      <c r="BJ456" s="244">
        <v>3.0929460525512695</v>
      </c>
      <c r="BK456" s="244">
        <v>0</v>
      </c>
      <c r="BL456" s="244">
        <v>6.2345285415649414</v>
      </c>
      <c r="BM456" s="244">
        <v>9.8871479034423828</v>
      </c>
      <c r="BN456" s="244">
        <v>113.90504675500308</v>
      </c>
      <c r="BO456" s="244">
        <v>0</v>
      </c>
      <c r="BP456" s="244">
        <v>18.489273071289063</v>
      </c>
      <c r="BQ456" s="244">
        <v>0</v>
      </c>
      <c r="BR456" s="244">
        <v>0</v>
      </c>
      <c r="BS456" s="244">
        <v>0</v>
      </c>
      <c r="BT456" s="244">
        <v>86.602531433105469</v>
      </c>
      <c r="BU456" s="244">
        <v>0</v>
      </c>
      <c r="BV456" s="244">
        <v>212.61918640136719</v>
      </c>
      <c r="BW456" s="244">
        <v>21.899684906005859</v>
      </c>
      <c r="BX456" s="244">
        <v>19.91282844543457</v>
      </c>
      <c r="BY456" s="244"/>
      <c r="BZ456" s="244">
        <v>0</v>
      </c>
      <c r="CA456" s="244">
        <v>0</v>
      </c>
      <c r="CB456" s="244">
        <v>453.51571655273437</v>
      </c>
      <c r="CC456" s="244">
        <v>19.91282844543457</v>
      </c>
      <c r="CD456" s="228">
        <v>22.77505296696053</v>
      </c>
      <c r="CE456" s="244">
        <v>-158.73686218261719</v>
      </c>
      <c r="CF456" s="244">
        <v>1.2195512998806581</v>
      </c>
      <c r="CG456" s="244">
        <v>0</v>
      </c>
      <c r="CH456" s="244">
        <v>1.2195512998806581</v>
      </c>
      <c r="CI456" s="244">
        <v>5.9799997506264337E-2</v>
      </c>
      <c r="CJ456" s="244">
        <v>0</v>
      </c>
      <c r="CK456" s="244">
        <v>5.9799997506264337E-2</v>
      </c>
      <c r="CL456" s="244"/>
      <c r="CM456" s="244">
        <v>0</v>
      </c>
      <c r="CN456" s="244" t="s">
        <v>442</v>
      </c>
      <c r="CO456" s="244">
        <v>0</v>
      </c>
      <c r="CP456" s="244">
        <v>0</v>
      </c>
      <c r="CQ456" s="244">
        <v>0</v>
      </c>
      <c r="CR456" s="244">
        <v>0</v>
      </c>
      <c r="CS456" s="244">
        <v>0</v>
      </c>
      <c r="CT456" s="244">
        <v>0</v>
      </c>
      <c r="CU456" s="244">
        <v>0</v>
      </c>
      <c r="CV456" s="244">
        <v>9999</v>
      </c>
      <c r="CW456" s="228">
        <v>9999</v>
      </c>
    </row>
    <row r="457" spans="1:101">
      <c r="A457" s="221" t="s">
        <v>539</v>
      </c>
      <c r="B457" s="221" t="s">
        <v>440</v>
      </c>
      <c r="C457" s="244">
        <v>10</v>
      </c>
      <c r="D457" s="244">
        <v>0</v>
      </c>
      <c r="E457" s="244">
        <v>6.6091984432535904</v>
      </c>
      <c r="F457" s="244">
        <v>11.336666666666666</v>
      </c>
      <c r="G457" s="244">
        <v>0</v>
      </c>
      <c r="H457" s="244">
        <v>0</v>
      </c>
      <c r="I457" s="244" t="s">
        <v>441</v>
      </c>
      <c r="J457" s="244">
        <v>0</v>
      </c>
      <c r="K457" s="244">
        <v>0</v>
      </c>
      <c r="L457" s="244">
        <v>0</v>
      </c>
      <c r="M457" s="244">
        <v>0</v>
      </c>
      <c r="N457" s="244">
        <v>0</v>
      </c>
      <c r="O457" s="244">
        <v>6.675290427686126</v>
      </c>
      <c r="P457" s="244">
        <v>2.0256906747817993E-2</v>
      </c>
      <c r="Q457" s="244">
        <v>6.3901916146278381E-2</v>
      </c>
      <c r="R457" s="244">
        <v>1.1271885633468628</v>
      </c>
      <c r="S457" s="244">
        <v>6.2292284965515137</v>
      </c>
      <c r="T457" s="244">
        <v>0</v>
      </c>
      <c r="U457" s="244">
        <v>12.556410789489746</v>
      </c>
      <c r="V457" s="244" t="s">
        <v>226</v>
      </c>
      <c r="W457" s="244" t="s">
        <v>226</v>
      </c>
      <c r="X457" s="244" t="s">
        <v>226</v>
      </c>
      <c r="Y457" s="244" t="s">
        <v>226</v>
      </c>
      <c r="Z457" s="244">
        <v>0</v>
      </c>
      <c r="AA457" s="244">
        <v>0</v>
      </c>
      <c r="AB457" s="244">
        <v>0</v>
      </c>
      <c r="AC457" s="244">
        <v>0</v>
      </c>
      <c r="AD457" s="244">
        <v>0</v>
      </c>
      <c r="AE457" s="244">
        <v>0</v>
      </c>
      <c r="AF457" s="244">
        <v>0</v>
      </c>
      <c r="AG457" s="244">
        <v>0</v>
      </c>
      <c r="AH457" s="244">
        <v>1.1271885633468628</v>
      </c>
      <c r="AI457" s="244">
        <v>6.2292284965515137</v>
      </c>
      <c r="AJ457" s="244">
        <v>0</v>
      </c>
      <c r="AK457" s="244">
        <v>12.556410789489746</v>
      </c>
      <c r="AL457" s="244">
        <v>19.912827849388123</v>
      </c>
      <c r="AM457" s="244">
        <v>0</v>
      </c>
      <c r="AN457" s="244">
        <v>0</v>
      </c>
      <c r="AO457" s="244">
        <v>0</v>
      </c>
      <c r="AP457" s="244">
        <v>0</v>
      </c>
      <c r="AQ457" s="244">
        <v>0</v>
      </c>
      <c r="AR457" s="244">
        <v>1.1271885633468628</v>
      </c>
      <c r="AS457" s="255">
        <v>0</v>
      </c>
      <c r="AT457" s="244">
        <v>0</v>
      </c>
      <c r="AU457" s="244">
        <v>0</v>
      </c>
      <c r="AV457" s="244">
        <v>0</v>
      </c>
      <c r="AW457" s="244">
        <v>0</v>
      </c>
      <c r="AX457" s="244">
        <v>0</v>
      </c>
      <c r="AY457" s="244">
        <v>6.2292284965515137</v>
      </c>
      <c r="AZ457" s="255">
        <v>0</v>
      </c>
      <c r="BA457" s="244">
        <v>0</v>
      </c>
      <c r="BB457" s="244">
        <v>0</v>
      </c>
      <c r="BC457" s="244">
        <v>0</v>
      </c>
      <c r="BD457" s="244">
        <v>0</v>
      </c>
      <c r="BE457" s="244">
        <v>0</v>
      </c>
      <c r="BF457" s="244">
        <v>7.356417179107666</v>
      </c>
      <c r="BG457" s="244">
        <v>9999</v>
      </c>
      <c r="BH457" s="255">
        <v>0</v>
      </c>
      <c r="BI457" s="244">
        <v>9999</v>
      </c>
      <c r="BJ457" s="244">
        <v>9999</v>
      </c>
      <c r="BK457" s="244">
        <v>9999</v>
      </c>
      <c r="BL457" s="244">
        <v>9999</v>
      </c>
      <c r="BM457" s="244">
        <v>9999</v>
      </c>
      <c r="BN457" s="244">
        <v>0</v>
      </c>
      <c r="BO457" s="244">
        <v>55.177083904575461</v>
      </c>
      <c r="BP457" s="244">
        <v>0</v>
      </c>
      <c r="BQ457" s="244">
        <v>0</v>
      </c>
      <c r="BR457" s="244">
        <v>0</v>
      </c>
      <c r="BS457" s="244">
        <v>0</v>
      </c>
      <c r="BT457" s="244">
        <v>0</v>
      </c>
      <c r="BU457" s="244">
        <v>0</v>
      </c>
      <c r="BV457" s="244">
        <v>212.61918640136719</v>
      </c>
      <c r="BW457" s="244">
        <v>0</v>
      </c>
      <c r="BX457" s="244">
        <v>19.91282844543457</v>
      </c>
      <c r="BY457" s="244"/>
      <c r="BZ457" s="244">
        <v>0</v>
      </c>
      <c r="CA457" s="244">
        <v>0</v>
      </c>
      <c r="CB457" s="244">
        <v>267.7962646484375</v>
      </c>
      <c r="CC457" s="244">
        <v>19.91282844543457</v>
      </c>
      <c r="CD457" s="228">
        <v>13.448429540773777</v>
      </c>
      <c r="CE457" s="244">
        <v>9999</v>
      </c>
      <c r="CF457" s="244">
        <v>0</v>
      </c>
      <c r="CG457" s="244">
        <v>0.62480718403142466</v>
      </c>
      <c r="CH457" s="244">
        <v>0.62480718403142466</v>
      </c>
      <c r="CI457" s="244">
        <v>0</v>
      </c>
      <c r="CJ457" s="244">
        <v>3.9050449001963847E-2</v>
      </c>
      <c r="CK457" s="244">
        <v>3.9050449001963847E-2</v>
      </c>
      <c r="CL457" s="244"/>
      <c r="CM457" s="244">
        <v>6.6091984432535904</v>
      </c>
      <c r="CN457" s="244" t="s">
        <v>442</v>
      </c>
      <c r="CO457" s="244">
        <v>0.28600001335144043</v>
      </c>
      <c r="CP457" s="244">
        <v>0.31700000166893005</v>
      </c>
      <c r="CQ457" s="244">
        <v>55.177083904575461</v>
      </c>
      <c r="CR457" s="244">
        <v>0</v>
      </c>
      <c r="CS457" s="244">
        <v>0</v>
      </c>
      <c r="CT457" s="244">
        <v>55.177082061767578</v>
      </c>
      <c r="CU457" s="244">
        <v>0</v>
      </c>
      <c r="CV457" s="244">
        <v>0</v>
      </c>
      <c r="CW457" s="228">
        <v>9999</v>
      </c>
    </row>
    <row r="458" spans="1:101">
      <c r="A458" s="221" t="s">
        <v>540</v>
      </c>
      <c r="B458" s="221" t="s">
        <v>440</v>
      </c>
      <c r="C458" s="244">
        <v>10</v>
      </c>
      <c r="D458" s="244">
        <v>56.464641567530201</v>
      </c>
      <c r="E458" s="244">
        <v>4.0910938363739726</v>
      </c>
      <c r="F458" s="244">
        <v>11.336666666666666</v>
      </c>
      <c r="G458" s="244">
        <v>0</v>
      </c>
      <c r="H458" s="244">
        <v>0</v>
      </c>
      <c r="I458" s="244" t="s">
        <v>441</v>
      </c>
      <c r="J458" s="244">
        <v>0.28600001335144043</v>
      </c>
      <c r="K458" s="244">
        <v>0.31700000166893005</v>
      </c>
      <c r="L458" s="244">
        <v>61.57321245390078</v>
      </c>
      <c r="M458" s="244">
        <v>7.7907796949148178E-3</v>
      </c>
      <c r="N458" s="244">
        <v>2.4576591327786446E-2</v>
      </c>
      <c r="O458" s="244">
        <v>4.1320047747377115</v>
      </c>
      <c r="P458" s="244">
        <v>1.2539025396108627E-2</v>
      </c>
      <c r="Q458" s="244">
        <v>3.955528512597084E-2</v>
      </c>
      <c r="R458" s="244">
        <v>1.1271885633468628</v>
      </c>
      <c r="S458" s="244">
        <v>6.2292284965515137</v>
      </c>
      <c r="T458" s="244">
        <v>0</v>
      </c>
      <c r="U458" s="244">
        <v>12.556410789489746</v>
      </c>
      <c r="V458" s="244" t="s">
        <v>226</v>
      </c>
      <c r="W458" s="244" t="s">
        <v>226</v>
      </c>
      <c r="X458" s="244" t="s">
        <v>226</v>
      </c>
      <c r="Y458" s="244" t="s">
        <v>226</v>
      </c>
      <c r="Z458" s="244">
        <v>0</v>
      </c>
      <c r="AA458" s="244">
        <v>0</v>
      </c>
      <c r="AB458" s="244">
        <v>0</v>
      </c>
      <c r="AC458" s="244">
        <v>0</v>
      </c>
      <c r="AD458" s="244">
        <v>0</v>
      </c>
      <c r="AE458" s="244">
        <v>0</v>
      </c>
      <c r="AF458" s="244">
        <v>0</v>
      </c>
      <c r="AG458" s="244">
        <v>0</v>
      </c>
      <c r="AH458" s="244">
        <v>1.1271885633468628</v>
      </c>
      <c r="AI458" s="244">
        <v>6.2292284965515137</v>
      </c>
      <c r="AJ458" s="244">
        <v>0</v>
      </c>
      <c r="AK458" s="244">
        <v>12.556410789489746</v>
      </c>
      <c r="AL458" s="244">
        <v>19.912827849388123</v>
      </c>
      <c r="AM458" s="244">
        <v>43.397822813656148</v>
      </c>
      <c r="AN458" s="244">
        <v>0</v>
      </c>
      <c r="AO458" s="244">
        <v>7.639338493347168</v>
      </c>
      <c r="AP458" s="244">
        <v>32.995559692382812</v>
      </c>
      <c r="AQ458" s="244">
        <v>84.032722473144531</v>
      </c>
      <c r="AR458" s="244">
        <v>1.1271885633468628</v>
      </c>
      <c r="AS458" s="228">
        <v>74.550721797491533</v>
      </c>
      <c r="AT458" s="244">
        <v>43.397822813656148</v>
      </c>
      <c r="AU458" s="244">
        <v>7.0444111824035645</v>
      </c>
      <c r="AV458" s="244">
        <v>8.3437795639038086</v>
      </c>
      <c r="AW458" s="244">
        <v>32.995559692382812</v>
      </c>
      <c r="AX458" s="244">
        <v>91.781570434570313</v>
      </c>
      <c r="AY458" s="244">
        <v>6.2292284965515137</v>
      </c>
      <c r="AZ458" s="228">
        <v>14.734019357799509</v>
      </c>
      <c r="BA458" s="244">
        <v>43.397822813656148</v>
      </c>
      <c r="BB458" s="244">
        <v>7.0444111824035645</v>
      </c>
      <c r="BC458" s="244">
        <v>8.3437795639038086</v>
      </c>
      <c r="BD458" s="244">
        <v>32.995559692382812</v>
      </c>
      <c r="BE458" s="244">
        <v>91.781570434570313</v>
      </c>
      <c r="BF458" s="244">
        <v>7.356417179107666</v>
      </c>
      <c r="BG458" s="244">
        <v>-53.467071533203125</v>
      </c>
      <c r="BH458" s="228">
        <v>12.476396118522164</v>
      </c>
      <c r="BI458" s="244">
        <v>1.4689590930938721</v>
      </c>
      <c r="BJ458" s="244">
        <v>8.1179685592651367</v>
      </c>
      <c r="BK458" s="244">
        <v>0</v>
      </c>
      <c r="BL458" s="244">
        <v>16.363592147827148</v>
      </c>
      <c r="BM458" s="244">
        <v>25.950519561767578</v>
      </c>
      <c r="BN458" s="244">
        <v>43.397822813656148</v>
      </c>
      <c r="BO458" s="244">
        <v>34.154614936932177</v>
      </c>
      <c r="BP458" s="244">
        <v>7.0444111824035645</v>
      </c>
      <c r="BQ458" s="244">
        <v>0</v>
      </c>
      <c r="BR458" s="244">
        <v>0</v>
      </c>
      <c r="BS458" s="244">
        <v>0</v>
      </c>
      <c r="BT458" s="244">
        <v>32.995559692382812</v>
      </c>
      <c r="BU458" s="244">
        <v>0</v>
      </c>
      <c r="BV458" s="244">
        <v>212.61918640136719</v>
      </c>
      <c r="BW458" s="244">
        <v>8.3437795639038086</v>
      </c>
      <c r="BX458" s="244">
        <v>19.91282844543457</v>
      </c>
      <c r="BY458" s="244"/>
      <c r="BZ458" s="244">
        <v>0</v>
      </c>
      <c r="CA458" s="244">
        <v>0</v>
      </c>
      <c r="CB458" s="244">
        <v>338.55538940429687</v>
      </c>
      <c r="CC458" s="244">
        <v>19.91282844543457</v>
      </c>
      <c r="CD458" s="228">
        <v>17.00187271327929</v>
      </c>
      <c r="CE458" s="244">
        <v>-358.70059204101562</v>
      </c>
      <c r="CF458" s="244">
        <v>0.46464904525453093</v>
      </c>
      <c r="CG458" s="244">
        <v>0.38675564691545278</v>
      </c>
      <c r="CH458" s="244">
        <v>0.85140469216998371</v>
      </c>
      <c r="CI458" s="244">
        <v>2.2783799049886717E-2</v>
      </c>
      <c r="CJ458" s="244">
        <v>2.4172227932215594E-2</v>
      </c>
      <c r="CK458" s="244">
        <v>4.6956026982102314E-2</v>
      </c>
      <c r="CL458" s="244"/>
      <c r="CM458" s="244">
        <v>4.0910938363739726</v>
      </c>
      <c r="CN458" s="244" t="s">
        <v>442</v>
      </c>
      <c r="CO458" s="244">
        <v>0.28600001335144043</v>
      </c>
      <c r="CP458" s="244">
        <v>0.31700000166893005</v>
      </c>
      <c r="CQ458" s="244">
        <v>34.154614936932177</v>
      </c>
      <c r="CR458" s="244">
        <v>0</v>
      </c>
      <c r="CS458" s="244">
        <v>0</v>
      </c>
      <c r="CT458" s="244">
        <v>34.154613494873047</v>
      </c>
      <c r="CU458" s="244">
        <v>0</v>
      </c>
      <c r="CV458" s="244">
        <v>0</v>
      </c>
      <c r="CW458" s="228">
        <v>9999</v>
      </c>
    </row>
    <row r="459" spans="1:101">
      <c r="A459" s="221" t="s">
        <v>541</v>
      </c>
      <c r="B459" s="221" t="s">
        <v>440</v>
      </c>
      <c r="C459" s="244">
        <v>10</v>
      </c>
      <c r="D459" s="244">
        <v>55.995343514969292</v>
      </c>
      <c r="E459" s="244">
        <v>0</v>
      </c>
      <c r="F459" s="244">
        <v>8.1096944444444432</v>
      </c>
      <c r="G459" s="244">
        <v>0</v>
      </c>
      <c r="H459" s="244">
        <v>0</v>
      </c>
      <c r="I459" s="244" t="s">
        <v>441</v>
      </c>
      <c r="J459" s="244">
        <v>0.28600001335144043</v>
      </c>
      <c r="K459" s="244">
        <v>0.31700000166893005</v>
      </c>
      <c r="L459" s="244">
        <v>61.061455221545451</v>
      </c>
      <c r="M459" s="244">
        <v>7.7260276302695274E-3</v>
      </c>
      <c r="N459" s="244">
        <v>2.4372326210141182E-2</v>
      </c>
      <c r="O459" s="244">
        <v>0</v>
      </c>
      <c r="P459" s="244">
        <v>0</v>
      </c>
      <c r="Q459" s="244">
        <v>0</v>
      </c>
      <c r="R459" s="244">
        <v>0.80633538961410522</v>
      </c>
      <c r="S459" s="244">
        <v>4.4560842514038086</v>
      </c>
      <c r="T459" s="244">
        <v>0</v>
      </c>
      <c r="U459" s="244">
        <v>8.9822397232055664</v>
      </c>
      <c r="V459" s="244" t="s">
        <v>226</v>
      </c>
      <c r="W459" s="244" t="s">
        <v>226</v>
      </c>
      <c r="X459" s="244" t="s">
        <v>226</v>
      </c>
      <c r="Y459" s="244" t="s">
        <v>226</v>
      </c>
      <c r="Z459" s="244">
        <v>0</v>
      </c>
      <c r="AA459" s="244">
        <v>0</v>
      </c>
      <c r="AB459" s="244">
        <v>0</v>
      </c>
      <c r="AC459" s="244">
        <v>0</v>
      </c>
      <c r="AD459" s="244">
        <v>0</v>
      </c>
      <c r="AE459" s="244">
        <v>0</v>
      </c>
      <c r="AF459" s="244">
        <v>0</v>
      </c>
      <c r="AG459" s="244">
        <v>0</v>
      </c>
      <c r="AH459" s="244">
        <v>0.80633538961410522</v>
      </c>
      <c r="AI459" s="244">
        <v>4.4560842514038086</v>
      </c>
      <c r="AJ459" s="244">
        <v>0</v>
      </c>
      <c r="AK459" s="244">
        <v>8.9822397232055664</v>
      </c>
      <c r="AL459" s="244">
        <v>14.24465936422348</v>
      </c>
      <c r="AM459" s="244">
        <v>43.037127816460874</v>
      </c>
      <c r="AN459" s="244">
        <v>0</v>
      </c>
      <c r="AO459" s="244">
        <v>7.5758452415466309</v>
      </c>
      <c r="AP459" s="244">
        <v>32.721321105957031</v>
      </c>
      <c r="AQ459" s="244">
        <v>83.334297180175781</v>
      </c>
      <c r="AR459" s="244">
        <v>0.80633538961410522</v>
      </c>
      <c r="AS459" s="228">
        <v>103.34941915900099</v>
      </c>
      <c r="AT459" s="244">
        <v>43.037127816460874</v>
      </c>
      <c r="AU459" s="244">
        <v>6.9858636856079102</v>
      </c>
      <c r="AV459" s="244">
        <v>8.2744312286376953</v>
      </c>
      <c r="AW459" s="244">
        <v>32.721321105957031</v>
      </c>
      <c r="AX459" s="244">
        <v>91.018745422363281</v>
      </c>
      <c r="AY459" s="244">
        <v>4.4560842514038086</v>
      </c>
      <c r="AZ459" s="228">
        <v>20.425723281149743</v>
      </c>
      <c r="BA459" s="244">
        <v>43.037127816460874</v>
      </c>
      <c r="BB459" s="244">
        <v>6.9858636856079102</v>
      </c>
      <c r="BC459" s="244">
        <v>8.2744312286376953</v>
      </c>
      <c r="BD459" s="244">
        <v>32.721321105957031</v>
      </c>
      <c r="BE459" s="244">
        <v>91.018745422363281</v>
      </c>
      <c r="BF459" s="244">
        <v>5.2624197006225586</v>
      </c>
      <c r="BG459" s="244">
        <v>-56.138504028320313</v>
      </c>
      <c r="BH459" s="228">
        <v>17.295987406100831</v>
      </c>
      <c r="BI459" s="244">
        <v>1.0596281290054321</v>
      </c>
      <c r="BJ459" s="244">
        <v>5.8558664321899414</v>
      </c>
      <c r="BK459" s="244">
        <v>0</v>
      </c>
      <c r="BL459" s="244">
        <v>11.803814888000488</v>
      </c>
      <c r="BM459" s="244">
        <v>18.719308853149414</v>
      </c>
      <c r="BN459" s="244">
        <v>43.037127816460874</v>
      </c>
      <c r="BO459" s="244">
        <v>0</v>
      </c>
      <c r="BP459" s="244">
        <v>6.9858636856079102</v>
      </c>
      <c r="BQ459" s="244">
        <v>0</v>
      </c>
      <c r="BR459" s="244">
        <v>0</v>
      </c>
      <c r="BS459" s="244">
        <v>0</v>
      </c>
      <c r="BT459" s="244">
        <v>32.721321105957031</v>
      </c>
      <c r="BU459" s="244">
        <v>0</v>
      </c>
      <c r="BV459" s="244">
        <v>80.997779846191406</v>
      </c>
      <c r="BW459" s="244">
        <v>8.2744312286376953</v>
      </c>
      <c r="BX459" s="244">
        <v>14.244659423828125</v>
      </c>
      <c r="BY459" s="244"/>
      <c r="BZ459" s="244">
        <v>0</v>
      </c>
      <c r="CA459" s="244">
        <v>0</v>
      </c>
      <c r="CB459" s="244">
        <v>172.01652526855469</v>
      </c>
      <c r="CC459" s="244">
        <v>14.244659423828125</v>
      </c>
      <c r="CD459" s="228">
        <v>12.07586075347718</v>
      </c>
      <c r="CE459" s="244">
        <v>-150.77616882324219</v>
      </c>
      <c r="CF459" s="244">
        <v>0.46078717903155175</v>
      </c>
      <c r="CG459" s="244">
        <v>0</v>
      </c>
      <c r="CH459" s="244">
        <v>0.46078717903155175</v>
      </c>
      <c r="CI459" s="244">
        <v>2.2594434657813783E-2</v>
      </c>
      <c r="CJ459" s="244">
        <v>0</v>
      </c>
      <c r="CK459" s="244">
        <v>2.2594434657813783E-2</v>
      </c>
      <c r="CL459" s="244"/>
      <c r="CM459" s="244">
        <v>0</v>
      </c>
      <c r="CN459" s="244" t="s">
        <v>442</v>
      </c>
      <c r="CO459" s="244">
        <v>0</v>
      </c>
      <c r="CP459" s="244">
        <v>0</v>
      </c>
      <c r="CQ459" s="244">
        <v>0</v>
      </c>
      <c r="CR459" s="244">
        <v>0</v>
      </c>
      <c r="CS459" s="244">
        <v>0</v>
      </c>
      <c r="CT459" s="244">
        <v>0</v>
      </c>
      <c r="CU459" s="244">
        <v>0</v>
      </c>
      <c r="CV459" s="244">
        <v>9999</v>
      </c>
      <c r="CW459" s="228">
        <v>9999</v>
      </c>
    </row>
    <row r="460" spans="1:101">
      <c r="A460" s="221" t="s">
        <v>542</v>
      </c>
      <c r="B460" s="221" t="s">
        <v>440</v>
      </c>
      <c r="C460" s="244">
        <v>10</v>
      </c>
      <c r="D460" s="244">
        <v>0</v>
      </c>
      <c r="E460" s="244">
        <v>2.4971757289952179</v>
      </c>
      <c r="F460" s="244">
        <v>8.1096944444444432</v>
      </c>
      <c r="G460" s="244">
        <v>0</v>
      </c>
      <c r="H460" s="244">
        <v>0</v>
      </c>
      <c r="I460" s="244" t="s">
        <v>441</v>
      </c>
      <c r="J460" s="244">
        <v>0</v>
      </c>
      <c r="K460" s="244">
        <v>0</v>
      </c>
      <c r="L460" s="244">
        <v>0</v>
      </c>
      <c r="M460" s="244">
        <v>0</v>
      </c>
      <c r="N460" s="244">
        <v>0</v>
      </c>
      <c r="O460" s="244">
        <v>2.5221474862851685</v>
      </c>
      <c r="P460" s="244">
        <v>7.6537360437214375E-3</v>
      </c>
      <c r="Q460" s="244">
        <v>2.4144276976585388E-2</v>
      </c>
      <c r="R460" s="244">
        <v>0.80633538961410522</v>
      </c>
      <c r="S460" s="244">
        <v>4.4560842514038086</v>
      </c>
      <c r="T460" s="244">
        <v>0</v>
      </c>
      <c r="U460" s="244">
        <v>8.9822397232055664</v>
      </c>
      <c r="V460" s="244" t="s">
        <v>226</v>
      </c>
      <c r="W460" s="244" t="s">
        <v>226</v>
      </c>
      <c r="X460" s="244" t="s">
        <v>226</v>
      </c>
      <c r="Y460" s="244" t="s">
        <v>226</v>
      </c>
      <c r="Z460" s="244">
        <v>0</v>
      </c>
      <c r="AA460" s="244">
        <v>0</v>
      </c>
      <c r="AB460" s="244">
        <v>0</v>
      </c>
      <c r="AC460" s="244">
        <v>0</v>
      </c>
      <c r="AD460" s="244">
        <v>0</v>
      </c>
      <c r="AE460" s="244">
        <v>0</v>
      </c>
      <c r="AF460" s="244">
        <v>0</v>
      </c>
      <c r="AG460" s="244">
        <v>0</v>
      </c>
      <c r="AH460" s="244">
        <v>0.80633538961410522</v>
      </c>
      <c r="AI460" s="244">
        <v>4.4560842514038086</v>
      </c>
      <c r="AJ460" s="244">
        <v>0</v>
      </c>
      <c r="AK460" s="244">
        <v>8.9822397232055664</v>
      </c>
      <c r="AL460" s="244">
        <v>14.24465936422348</v>
      </c>
      <c r="AM460" s="244">
        <v>0</v>
      </c>
      <c r="AN460" s="244">
        <v>0</v>
      </c>
      <c r="AO460" s="244">
        <v>0</v>
      </c>
      <c r="AP460" s="244">
        <v>0</v>
      </c>
      <c r="AQ460" s="244">
        <v>0</v>
      </c>
      <c r="AR460" s="244">
        <v>0.80633538961410522</v>
      </c>
      <c r="AS460" s="255">
        <v>0</v>
      </c>
      <c r="AT460" s="244">
        <v>0</v>
      </c>
      <c r="AU460" s="244">
        <v>0</v>
      </c>
      <c r="AV460" s="244">
        <v>0</v>
      </c>
      <c r="AW460" s="244">
        <v>0</v>
      </c>
      <c r="AX460" s="244">
        <v>0</v>
      </c>
      <c r="AY460" s="244">
        <v>4.4560842514038086</v>
      </c>
      <c r="AZ460" s="255">
        <v>0</v>
      </c>
      <c r="BA460" s="244">
        <v>0</v>
      </c>
      <c r="BB460" s="244">
        <v>0</v>
      </c>
      <c r="BC460" s="244">
        <v>0</v>
      </c>
      <c r="BD460" s="244">
        <v>0</v>
      </c>
      <c r="BE460" s="244">
        <v>0</v>
      </c>
      <c r="BF460" s="244">
        <v>5.2624197006225586</v>
      </c>
      <c r="BG460" s="244">
        <v>9999</v>
      </c>
      <c r="BH460" s="255">
        <v>0</v>
      </c>
      <c r="BI460" s="244">
        <v>9999</v>
      </c>
      <c r="BJ460" s="244">
        <v>9999</v>
      </c>
      <c r="BK460" s="244">
        <v>9999</v>
      </c>
      <c r="BL460" s="244">
        <v>9999</v>
      </c>
      <c r="BM460" s="244">
        <v>9999</v>
      </c>
      <c r="BN460" s="244">
        <v>0</v>
      </c>
      <c r="BO460" s="244">
        <v>20.847743626745796</v>
      </c>
      <c r="BP460" s="244">
        <v>0</v>
      </c>
      <c r="BQ460" s="244">
        <v>0</v>
      </c>
      <c r="BR460" s="244">
        <v>0</v>
      </c>
      <c r="BS460" s="244">
        <v>0</v>
      </c>
      <c r="BT460" s="244">
        <v>0</v>
      </c>
      <c r="BU460" s="244">
        <v>0</v>
      </c>
      <c r="BV460" s="244">
        <v>80.997779846191406</v>
      </c>
      <c r="BW460" s="244">
        <v>0</v>
      </c>
      <c r="BX460" s="244">
        <v>14.244659423828125</v>
      </c>
      <c r="BY460" s="244"/>
      <c r="BZ460" s="244">
        <v>0</v>
      </c>
      <c r="CA460" s="244">
        <v>0</v>
      </c>
      <c r="CB460" s="244">
        <v>101.84552001953125</v>
      </c>
      <c r="CC460" s="244">
        <v>14.244659423828125</v>
      </c>
      <c r="CD460" s="228">
        <v>7.1497338365684229</v>
      </c>
      <c r="CE460" s="244">
        <v>9999</v>
      </c>
      <c r="CF460" s="244">
        <v>0</v>
      </c>
      <c r="CG460" s="244">
        <v>0.23607300471629172</v>
      </c>
      <c r="CH460" s="244">
        <v>0.23607300471629172</v>
      </c>
      <c r="CI460" s="244">
        <v>0</v>
      </c>
      <c r="CJ460" s="244">
        <v>1.4754562794768234E-2</v>
      </c>
      <c r="CK460" s="244">
        <v>1.4754562794768234E-2</v>
      </c>
      <c r="CL460" s="244"/>
      <c r="CM460" s="244">
        <v>2.4971757289952179</v>
      </c>
      <c r="CN460" s="244" t="s">
        <v>442</v>
      </c>
      <c r="CO460" s="244">
        <v>0.28600001335144043</v>
      </c>
      <c r="CP460" s="244">
        <v>0.31700000166893005</v>
      </c>
      <c r="CQ460" s="244">
        <v>20.847743626745796</v>
      </c>
      <c r="CR460" s="244">
        <v>0</v>
      </c>
      <c r="CS460" s="244">
        <v>0</v>
      </c>
      <c r="CT460" s="244">
        <v>20.847743988037109</v>
      </c>
      <c r="CU460" s="244">
        <v>0</v>
      </c>
      <c r="CV460" s="244">
        <v>0</v>
      </c>
      <c r="CW460" s="228">
        <v>9999</v>
      </c>
    </row>
    <row r="461" spans="1:101">
      <c r="A461" s="221" t="s">
        <v>543</v>
      </c>
      <c r="B461" s="221" t="s">
        <v>440</v>
      </c>
      <c r="C461" s="244">
        <v>10</v>
      </c>
      <c r="D461" s="244">
        <v>21.334225879203302</v>
      </c>
      <c r="E461" s="244">
        <v>1.5457517762480399</v>
      </c>
      <c r="F461" s="244">
        <v>8.1096944444444432</v>
      </c>
      <c r="G461" s="244">
        <v>0</v>
      </c>
      <c r="H461" s="244">
        <v>0</v>
      </c>
      <c r="I461" s="244" t="s">
        <v>441</v>
      </c>
      <c r="J461" s="244">
        <v>0.28600001335144043</v>
      </c>
      <c r="K461" s="244">
        <v>0.31700000166893005</v>
      </c>
      <c r="L461" s="244">
        <v>23.264414439408821</v>
      </c>
      <c r="M461" s="244">
        <v>2.9436163604259491E-3</v>
      </c>
      <c r="N461" s="244">
        <v>9.2858560383319855E-3</v>
      </c>
      <c r="O461" s="244">
        <v>1.5612092940105204</v>
      </c>
      <c r="P461" s="244">
        <v>4.7376626171171665E-3</v>
      </c>
      <c r="Q461" s="244">
        <v>1.4945307746529579E-2</v>
      </c>
      <c r="R461" s="244">
        <v>0.80633538961410522</v>
      </c>
      <c r="S461" s="244">
        <v>4.4560842514038086</v>
      </c>
      <c r="T461" s="244">
        <v>0</v>
      </c>
      <c r="U461" s="244">
        <v>8.9822397232055664</v>
      </c>
      <c r="V461" s="244" t="s">
        <v>226</v>
      </c>
      <c r="W461" s="244" t="s">
        <v>226</v>
      </c>
      <c r="X461" s="244" t="s">
        <v>226</v>
      </c>
      <c r="Y461" s="244" t="s">
        <v>226</v>
      </c>
      <c r="Z461" s="244">
        <v>0</v>
      </c>
      <c r="AA461" s="244">
        <v>0</v>
      </c>
      <c r="AB461" s="244">
        <v>0</v>
      </c>
      <c r="AC461" s="244">
        <v>0</v>
      </c>
      <c r="AD461" s="244">
        <v>0</v>
      </c>
      <c r="AE461" s="244">
        <v>0</v>
      </c>
      <c r="AF461" s="244">
        <v>0</v>
      </c>
      <c r="AG461" s="244">
        <v>0</v>
      </c>
      <c r="AH461" s="244">
        <v>0.80633538961410522</v>
      </c>
      <c r="AI461" s="244">
        <v>4.4560842514038086</v>
      </c>
      <c r="AJ461" s="244">
        <v>0</v>
      </c>
      <c r="AK461" s="244">
        <v>8.9822397232055664</v>
      </c>
      <c r="AL461" s="244">
        <v>14.24465936422348</v>
      </c>
      <c r="AM461" s="244">
        <v>16.397145698071558</v>
      </c>
      <c r="AN461" s="244">
        <v>0</v>
      </c>
      <c r="AO461" s="244">
        <v>2.8863968849182129</v>
      </c>
      <c r="AP461" s="244">
        <v>12.466823577880859</v>
      </c>
      <c r="AQ461" s="244">
        <v>31.7503662109375</v>
      </c>
      <c r="AR461" s="244">
        <v>0.80633538961410522</v>
      </c>
      <c r="AS461" s="228">
        <v>39.376128804250641</v>
      </c>
      <c r="AT461" s="244">
        <v>16.397145698071558</v>
      </c>
      <c r="AU461" s="244">
        <v>2.6616141796112061</v>
      </c>
      <c r="AV461" s="244">
        <v>3.1525583267211914</v>
      </c>
      <c r="AW461" s="244">
        <v>12.466823577880859</v>
      </c>
      <c r="AX461" s="244">
        <v>34.678142547607422</v>
      </c>
      <c r="AY461" s="244">
        <v>4.4560842514038086</v>
      </c>
      <c r="AZ461" s="228">
        <v>7.7822006555105174</v>
      </c>
      <c r="BA461" s="244">
        <v>16.397145698071558</v>
      </c>
      <c r="BB461" s="244">
        <v>2.6616141796112061</v>
      </c>
      <c r="BC461" s="244">
        <v>3.1525583267211914</v>
      </c>
      <c r="BD461" s="244">
        <v>12.466823577880859</v>
      </c>
      <c r="BE461" s="244">
        <v>34.678142547607422</v>
      </c>
      <c r="BF461" s="244">
        <v>5.2624197006225586</v>
      </c>
      <c r="BG461" s="244">
        <v>-44.903095245361328</v>
      </c>
      <c r="BH461" s="228">
        <v>6.5897712740326027</v>
      </c>
      <c r="BI461" s="244">
        <v>2.7811763286590576</v>
      </c>
      <c r="BJ461" s="244">
        <v>15.369729042053223</v>
      </c>
      <c r="BK461" s="244">
        <v>0</v>
      </c>
      <c r="BL461" s="244">
        <v>30.98114013671875</v>
      </c>
      <c r="BM461" s="244">
        <v>49.132045745849609</v>
      </c>
      <c r="BN461" s="244">
        <v>16.397145698071558</v>
      </c>
      <c r="BO461" s="244">
        <v>12.904753304955666</v>
      </c>
      <c r="BP461" s="244">
        <v>2.6616141796112061</v>
      </c>
      <c r="BQ461" s="244">
        <v>0</v>
      </c>
      <c r="BR461" s="244">
        <v>0</v>
      </c>
      <c r="BS461" s="244">
        <v>0</v>
      </c>
      <c r="BT461" s="244">
        <v>12.466823577880859</v>
      </c>
      <c r="BU461" s="244">
        <v>0</v>
      </c>
      <c r="BV461" s="244">
        <v>80.997779846191406</v>
      </c>
      <c r="BW461" s="244">
        <v>3.1525583267211914</v>
      </c>
      <c r="BX461" s="244">
        <v>14.244659423828125</v>
      </c>
      <c r="BY461" s="244"/>
      <c r="BZ461" s="244">
        <v>0</v>
      </c>
      <c r="CA461" s="244">
        <v>0</v>
      </c>
      <c r="CB461" s="244">
        <v>128.58067321777344</v>
      </c>
      <c r="CC461" s="244">
        <v>14.244659423828125</v>
      </c>
      <c r="CD461" s="228">
        <v>9.0265882186235498</v>
      </c>
      <c r="CE461" s="244">
        <v>-337.806396484375</v>
      </c>
      <c r="CF461" s="244">
        <v>0.17555991521102118</v>
      </c>
      <c r="CG461" s="244">
        <v>0.14612918991938462</v>
      </c>
      <c r="CH461" s="244">
        <v>0.32168910513040583</v>
      </c>
      <c r="CI461" s="244">
        <v>8.6084796046270607E-3</v>
      </c>
      <c r="CJ461" s="244">
        <v>9.133074369961542E-3</v>
      </c>
      <c r="CK461" s="244">
        <v>1.7741553974588604E-2</v>
      </c>
      <c r="CL461" s="244"/>
      <c r="CM461" s="244">
        <v>1.5457517762480399</v>
      </c>
      <c r="CN461" s="244" t="s">
        <v>442</v>
      </c>
      <c r="CO461" s="244">
        <v>0.28600001335144043</v>
      </c>
      <c r="CP461" s="244">
        <v>0.31700000166893005</v>
      </c>
      <c r="CQ461" s="244">
        <v>12.904753304955666</v>
      </c>
      <c r="CR461" s="244">
        <v>0</v>
      </c>
      <c r="CS461" s="244">
        <v>0</v>
      </c>
      <c r="CT461" s="244">
        <v>12.904753684997559</v>
      </c>
      <c r="CU461" s="244">
        <v>0</v>
      </c>
      <c r="CV461" s="244">
        <v>0</v>
      </c>
      <c r="CW461" s="228">
        <v>9999</v>
      </c>
    </row>
    <row r="462" spans="1:101">
      <c r="A462" s="221" t="s">
        <v>544</v>
      </c>
      <c r="B462" s="221" t="s">
        <v>440</v>
      </c>
      <c r="C462" s="244">
        <v>10</v>
      </c>
      <c r="D462" s="244">
        <v>59.759075472737045</v>
      </c>
      <c r="E462" s="244">
        <v>0</v>
      </c>
      <c r="F462" s="244">
        <v>8.1096944444444432</v>
      </c>
      <c r="G462" s="244">
        <v>0</v>
      </c>
      <c r="H462" s="244">
        <v>0</v>
      </c>
      <c r="I462" s="244" t="s">
        <v>441</v>
      </c>
      <c r="J462" s="244">
        <v>0.28600001335144043</v>
      </c>
      <c r="K462" s="244">
        <v>0.31700000166893005</v>
      </c>
      <c r="L462" s="244">
        <v>65.165706324919739</v>
      </c>
      <c r="M462" s="244">
        <v>8.2453330978751183E-3</v>
      </c>
      <c r="N462" s="244">
        <v>2.6010515168309212E-2</v>
      </c>
      <c r="O462" s="244">
        <v>0</v>
      </c>
      <c r="P462" s="244">
        <v>0</v>
      </c>
      <c r="Q462" s="244">
        <v>0</v>
      </c>
      <c r="R462" s="244">
        <v>0.80633538961410522</v>
      </c>
      <c r="S462" s="244">
        <v>4.4560842514038086</v>
      </c>
      <c r="T462" s="244">
        <v>0</v>
      </c>
      <c r="U462" s="244">
        <v>8.9822397232055664</v>
      </c>
      <c r="V462" s="244" t="s">
        <v>226</v>
      </c>
      <c r="W462" s="244" t="s">
        <v>226</v>
      </c>
      <c r="X462" s="244" t="s">
        <v>226</v>
      </c>
      <c r="Y462" s="244" t="s">
        <v>226</v>
      </c>
      <c r="Z462" s="244">
        <v>0</v>
      </c>
      <c r="AA462" s="244">
        <v>0</v>
      </c>
      <c r="AB462" s="244">
        <v>0</v>
      </c>
      <c r="AC462" s="244">
        <v>0</v>
      </c>
      <c r="AD462" s="244">
        <v>0</v>
      </c>
      <c r="AE462" s="244">
        <v>0</v>
      </c>
      <c r="AF462" s="244">
        <v>0</v>
      </c>
      <c r="AG462" s="244">
        <v>0</v>
      </c>
      <c r="AH462" s="244">
        <v>0.80633538961410522</v>
      </c>
      <c r="AI462" s="244">
        <v>4.4560842514038086</v>
      </c>
      <c r="AJ462" s="244">
        <v>0</v>
      </c>
      <c r="AK462" s="244">
        <v>8.9822397232055664</v>
      </c>
      <c r="AL462" s="244">
        <v>14.24465936422348</v>
      </c>
      <c r="AM462" s="244">
        <v>45.929872162069621</v>
      </c>
      <c r="AN462" s="244">
        <v>0</v>
      </c>
      <c r="AO462" s="244">
        <v>8.0850563049316406</v>
      </c>
      <c r="AP462" s="244">
        <v>34.920692443847656</v>
      </c>
      <c r="AQ462" s="244">
        <v>88.935623168945313</v>
      </c>
      <c r="AR462" s="244">
        <v>0.80633538961410522</v>
      </c>
      <c r="AS462" s="228">
        <v>110.29606545411778</v>
      </c>
      <c r="AT462" s="244">
        <v>45.929872162069621</v>
      </c>
      <c r="AU462" s="244">
        <v>7.455418586730957</v>
      </c>
      <c r="AV462" s="244">
        <v>8.8305988311767578</v>
      </c>
      <c r="AW462" s="244">
        <v>34.920692443847656</v>
      </c>
      <c r="AX462" s="244">
        <v>97.136581420898438</v>
      </c>
      <c r="AY462" s="244">
        <v>4.4560842514038086</v>
      </c>
      <c r="AZ462" s="228">
        <v>21.798641260704141</v>
      </c>
      <c r="BA462" s="244">
        <v>45.929872162069621</v>
      </c>
      <c r="BB462" s="244">
        <v>7.455418586730957</v>
      </c>
      <c r="BC462" s="244">
        <v>8.8305988311767578</v>
      </c>
      <c r="BD462" s="244">
        <v>34.920692443847656</v>
      </c>
      <c r="BE462" s="244">
        <v>97.136581420898438</v>
      </c>
      <c r="BF462" s="244">
        <v>5.2624197006225586</v>
      </c>
      <c r="BG462" s="244">
        <v>-56.574062347412109</v>
      </c>
      <c r="BH462" s="228">
        <v>18.458539730791173</v>
      </c>
      <c r="BI462" s="244">
        <v>0.99289089441299438</v>
      </c>
      <c r="BJ462" s="244">
        <v>5.4870538711547852</v>
      </c>
      <c r="BK462" s="244">
        <v>0</v>
      </c>
      <c r="BL462" s="244">
        <v>11.060389518737793</v>
      </c>
      <c r="BM462" s="244">
        <v>17.540334701538086</v>
      </c>
      <c r="BN462" s="244">
        <v>45.929872162069621</v>
      </c>
      <c r="BO462" s="244">
        <v>0</v>
      </c>
      <c r="BP462" s="244">
        <v>7.455418586730957</v>
      </c>
      <c r="BQ462" s="244">
        <v>0</v>
      </c>
      <c r="BR462" s="244">
        <v>0</v>
      </c>
      <c r="BS462" s="244">
        <v>0</v>
      </c>
      <c r="BT462" s="244">
        <v>34.920692443847656</v>
      </c>
      <c r="BU462" s="244">
        <v>0</v>
      </c>
      <c r="BV462" s="244">
        <v>91.122505187988281</v>
      </c>
      <c r="BW462" s="244">
        <v>8.8305988311767578</v>
      </c>
      <c r="BX462" s="244">
        <v>14.244659423828125</v>
      </c>
      <c r="BY462" s="244"/>
      <c r="BZ462" s="244">
        <v>0</v>
      </c>
      <c r="CA462" s="244">
        <v>0</v>
      </c>
      <c r="CB462" s="244">
        <v>188.25909423828125</v>
      </c>
      <c r="CC462" s="244">
        <v>14.244659423828125</v>
      </c>
      <c r="CD462" s="228">
        <v>13.216117115225511</v>
      </c>
      <c r="CE462" s="244">
        <v>-157.71847534179687</v>
      </c>
      <c r="CF462" s="244">
        <v>0.49175902994960324</v>
      </c>
      <c r="CG462" s="244">
        <v>0</v>
      </c>
      <c r="CH462" s="244">
        <v>0.49175902994960324</v>
      </c>
      <c r="CI462" s="244">
        <v>2.4113121578032002E-2</v>
      </c>
      <c r="CJ462" s="244">
        <v>0</v>
      </c>
      <c r="CK462" s="244">
        <v>2.4113121578032002E-2</v>
      </c>
      <c r="CL462" s="244"/>
      <c r="CM462" s="244">
        <v>0</v>
      </c>
      <c r="CN462" s="244" t="s">
        <v>442</v>
      </c>
      <c r="CO462" s="244">
        <v>0</v>
      </c>
      <c r="CP462" s="244">
        <v>0</v>
      </c>
      <c r="CQ462" s="244">
        <v>0</v>
      </c>
      <c r="CR462" s="244">
        <v>0</v>
      </c>
      <c r="CS462" s="244">
        <v>0</v>
      </c>
      <c r="CT462" s="244">
        <v>0</v>
      </c>
      <c r="CU462" s="244">
        <v>0</v>
      </c>
      <c r="CV462" s="244">
        <v>9999</v>
      </c>
      <c r="CW462" s="228">
        <v>9999</v>
      </c>
    </row>
    <row r="463" spans="1:101">
      <c r="A463" s="221" t="s">
        <v>545</v>
      </c>
      <c r="B463" s="221" t="s">
        <v>440</v>
      </c>
      <c r="C463" s="244">
        <v>10</v>
      </c>
      <c r="D463" s="244">
        <v>0</v>
      </c>
      <c r="E463" s="244">
        <v>2.6650236160765544</v>
      </c>
      <c r="F463" s="244">
        <v>8.1096944444444432</v>
      </c>
      <c r="G463" s="244">
        <v>0</v>
      </c>
      <c r="H463" s="244">
        <v>0</v>
      </c>
      <c r="I463" s="244" t="s">
        <v>441</v>
      </c>
      <c r="J463" s="244">
        <v>0</v>
      </c>
      <c r="K463" s="244">
        <v>0</v>
      </c>
      <c r="L463" s="244">
        <v>0</v>
      </c>
      <c r="M463" s="244">
        <v>0</v>
      </c>
      <c r="N463" s="244">
        <v>0</v>
      </c>
      <c r="O463" s="244">
        <v>2.6916738522373196</v>
      </c>
      <c r="P463" s="244">
        <v>8.168182335793972E-3</v>
      </c>
      <c r="Q463" s="244">
        <v>2.5767136365175247E-2</v>
      </c>
      <c r="R463" s="244">
        <v>0.80633538961410522</v>
      </c>
      <c r="S463" s="244">
        <v>4.4560842514038086</v>
      </c>
      <c r="T463" s="244">
        <v>0</v>
      </c>
      <c r="U463" s="244">
        <v>8.9822397232055664</v>
      </c>
      <c r="V463" s="244" t="s">
        <v>226</v>
      </c>
      <c r="W463" s="244" t="s">
        <v>226</v>
      </c>
      <c r="X463" s="244" t="s">
        <v>226</v>
      </c>
      <c r="Y463" s="244" t="s">
        <v>226</v>
      </c>
      <c r="Z463" s="244">
        <v>0</v>
      </c>
      <c r="AA463" s="244">
        <v>0</v>
      </c>
      <c r="AB463" s="244">
        <v>0</v>
      </c>
      <c r="AC463" s="244">
        <v>0</v>
      </c>
      <c r="AD463" s="244">
        <v>0</v>
      </c>
      <c r="AE463" s="244">
        <v>0</v>
      </c>
      <c r="AF463" s="244">
        <v>0</v>
      </c>
      <c r="AG463" s="244">
        <v>0</v>
      </c>
      <c r="AH463" s="244">
        <v>0.80633538961410522</v>
      </c>
      <c r="AI463" s="244">
        <v>4.4560842514038086</v>
      </c>
      <c r="AJ463" s="244">
        <v>0</v>
      </c>
      <c r="AK463" s="244">
        <v>8.9822397232055664</v>
      </c>
      <c r="AL463" s="244">
        <v>14.24465936422348</v>
      </c>
      <c r="AM463" s="244">
        <v>0</v>
      </c>
      <c r="AN463" s="244">
        <v>0</v>
      </c>
      <c r="AO463" s="244">
        <v>0</v>
      </c>
      <c r="AP463" s="244">
        <v>0</v>
      </c>
      <c r="AQ463" s="244">
        <v>0</v>
      </c>
      <c r="AR463" s="244">
        <v>0.80633538961410522</v>
      </c>
      <c r="AS463" s="255">
        <v>0</v>
      </c>
      <c r="AT463" s="244">
        <v>0</v>
      </c>
      <c r="AU463" s="244">
        <v>0</v>
      </c>
      <c r="AV463" s="244">
        <v>0</v>
      </c>
      <c r="AW463" s="244">
        <v>0</v>
      </c>
      <c r="AX463" s="244">
        <v>0</v>
      </c>
      <c r="AY463" s="244">
        <v>4.4560842514038086</v>
      </c>
      <c r="AZ463" s="255">
        <v>0</v>
      </c>
      <c r="BA463" s="244">
        <v>0</v>
      </c>
      <c r="BB463" s="244">
        <v>0</v>
      </c>
      <c r="BC463" s="244">
        <v>0</v>
      </c>
      <c r="BD463" s="244">
        <v>0</v>
      </c>
      <c r="BE463" s="244">
        <v>0</v>
      </c>
      <c r="BF463" s="244">
        <v>5.2624197006225586</v>
      </c>
      <c r="BG463" s="244">
        <v>9999</v>
      </c>
      <c r="BH463" s="255">
        <v>0</v>
      </c>
      <c r="BI463" s="244">
        <v>9999</v>
      </c>
      <c r="BJ463" s="244">
        <v>9999</v>
      </c>
      <c r="BK463" s="244">
        <v>9999</v>
      </c>
      <c r="BL463" s="244">
        <v>9999</v>
      </c>
      <c r="BM463" s="244">
        <v>9999</v>
      </c>
      <c r="BN463" s="244">
        <v>0</v>
      </c>
      <c r="BO463" s="244">
        <v>22.249026555108497</v>
      </c>
      <c r="BP463" s="244">
        <v>0</v>
      </c>
      <c r="BQ463" s="244">
        <v>0</v>
      </c>
      <c r="BR463" s="244">
        <v>0</v>
      </c>
      <c r="BS463" s="244">
        <v>0</v>
      </c>
      <c r="BT463" s="244">
        <v>0</v>
      </c>
      <c r="BU463" s="244">
        <v>0</v>
      </c>
      <c r="BV463" s="244">
        <v>91.122505187988281</v>
      </c>
      <c r="BW463" s="244">
        <v>0</v>
      </c>
      <c r="BX463" s="244">
        <v>14.244659423828125</v>
      </c>
      <c r="BY463" s="244"/>
      <c r="BZ463" s="244">
        <v>0</v>
      </c>
      <c r="CA463" s="244">
        <v>0</v>
      </c>
      <c r="CB463" s="244">
        <v>113.37152862548828</v>
      </c>
      <c r="CC463" s="244">
        <v>14.244659423828125</v>
      </c>
      <c r="CD463" s="228">
        <v>7.9588797717024811</v>
      </c>
      <c r="CE463" s="244">
        <v>9999</v>
      </c>
      <c r="CF463" s="244">
        <v>0</v>
      </c>
      <c r="CG463" s="244">
        <v>0.25194067256941471</v>
      </c>
      <c r="CH463" s="244">
        <v>0.25194067256941471</v>
      </c>
      <c r="CI463" s="244">
        <v>0</v>
      </c>
      <c r="CJ463" s="244">
        <v>1.5746292035588309E-2</v>
      </c>
      <c r="CK463" s="244">
        <v>1.5746292035588309E-2</v>
      </c>
      <c r="CL463" s="244"/>
      <c r="CM463" s="244">
        <v>2.6650236160765544</v>
      </c>
      <c r="CN463" s="244" t="s">
        <v>442</v>
      </c>
      <c r="CO463" s="244">
        <v>0.28600001335144043</v>
      </c>
      <c r="CP463" s="244">
        <v>0.31700000166893005</v>
      </c>
      <c r="CQ463" s="244">
        <v>22.249026555108497</v>
      </c>
      <c r="CR463" s="244">
        <v>0</v>
      </c>
      <c r="CS463" s="244">
        <v>0</v>
      </c>
      <c r="CT463" s="244">
        <v>22.249027252197266</v>
      </c>
      <c r="CU463" s="244">
        <v>0</v>
      </c>
      <c r="CV463" s="244">
        <v>0</v>
      </c>
      <c r="CW463" s="228">
        <v>9999</v>
      </c>
    </row>
    <row r="464" spans="1:101">
      <c r="A464" s="221" t="s">
        <v>546</v>
      </c>
      <c r="B464" s="221" t="s">
        <v>440</v>
      </c>
      <c r="C464" s="244">
        <v>10</v>
      </c>
      <c r="D464" s="244">
        <v>22.768207755112815</v>
      </c>
      <c r="E464" s="244">
        <v>1.6496496183513871</v>
      </c>
      <c r="F464" s="244">
        <v>8.1096944444444432</v>
      </c>
      <c r="G464" s="244">
        <v>0</v>
      </c>
      <c r="H464" s="244">
        <v>0</v>
      </c>
      <c r="I464" s="244" t="s">
        <v>441</v>
      </c>
      <c r="J464" s="244">
        <v>0.28600001335144043</v>
      </c>
      <c r="K464" s="244">
        <v>0.31700000166893005</v>
      </c>
      <c r="L464" s="244">
        <v>24.828134109794423</v>
      </c>
      <c r="M464" s="244">
        <v>3.1414718832820654E-3</v>
      </c>
      <c r="N464" s="244">
        <v>9.9100060760974884E-3</v>
      </c>
      <c r="O464" s="244">
        <v>1.6661461145349004</v>
      </c>
      <c r="P464" s="244">
        <v>5.056105088442564E-3</v>
      </c>
      <c r="Q464" s="244">
        <v>1.5949858352541924E-2</v>
      </c>
      <c r="R464" s="244">
        <v>0.80633538961410522</v>
      </c>
      <c r="S464" s="244">
        <v>4.4560842514038086</v>
      </c>
      <c r="T464" s="244">
        <v>0</v>
      </c>
      <c r="U464" s="244">
        <v>8.9822397232055664</v>
      </c>
      <c r="V464" s="244" t="s">
        <v>226</v>
      </c>
      <c r="W464" s="244" t="s">
        <v>226</v>
      </c>
      <c r="X464" s="244" t="s">
        <v>226</v>
      </c>
      <c r="Y464" s="244" t="s">
        <v>226</v>
      </c>
      <c r="Z464" s="244">
        <v>0</v>
      </c>
      <c r="AA464" s="244">
        <v>0</v>
      </c>
      <c r="AB464" s="244">
        <v>0</v>
      </c>
      <c r="AC464" s="244">
        <v>0</v>
      </c>
      <c r="AD464" s="244">
        <v>0</v>
      </c>
      <c r="AE464" s="244">
        <v>0</v>
      </c>
      <c r="AF464" s="244">
        <v>0</v>
      </c>
      <c r="AG464" s="244">
        <v>0</v>
      </c>
      <c r="AH464" s="244">
        <v>0.80633538961410522</v>
      </c>
      <c r="AI464" s="244">
        <v>4.4560842514038086</v>
      </c>
      <c r="AJ464" s="244">
        <v>0</v>
      </c>
      <c r="AK464" s="244">
        <v>8.9822397232055664</v>
      </c>
      <c r="AL464" s="244">
        <v>14.24465936422348</v>
      </c>
      <c r="AM464" s="244">
        <v>17.499281293748552</v>
      </c>
      <c r="AN464" s="244">
        <v>0</v>
      </c>
      <c r="AO464" s="244">
        <v>3.0804064273834229</v>
      </c>
      <c r="AP464" s="244">
        <v>13.304781913757324</v>
      </c>
      <c r="AQ464" s="244">
        <v>33.884468078613281</v>
      </c>
      <c r="AR464" s="244">
        <v>0.80633538961410522</v>
      </c>
      <c r="AS464" s="228">
        <v>42.022798541814815</v>
      </c>
      <c r="AT464" s="244">
        <v>17.499281293748552</v>
      </c>
      <c r="AU464" s="244">
        <v>2.8405146598815918</v>
      </c>
      <c r="AV464" s="244">
        <v>3.3644578456878662</v>
      </c>
      <c r="AW464" s="244">
        <v>13.304781913757324</v>
      </c>
      <c r="AX464" s="244">
        <v>37.009037017822266</v>
      </c>
      <c r="AY464" s="244">
        <v>4.4560842514038086</v>
      </c>
      <c r="AZ464" s="228">
        <v>8.3052818629756171</v>
      </c>
      <c r="BA464" s="244">
        <v>17.499281293748552</v>
      </c>
      <c r="BB464" s="244">
        <v>2.8405146598815918</v>
      </c>
      <c r="BC464" s="244">
        <v>3.3644578456878662</v>
      </c>
      <c r="BD464" s="244">
        <v>13.304781913757324</v>
      </c>
      <c r="BE464" s="244">
        <v>37.009037017822266</v>
      </c>
      <c r="BF464" s="244">
        <v>5.2624197006225586</v>
      </c>
      <c r="BG464" s="244">
        <v>-46.046268463134766</v>
      </c>
      <c r="BH464" s="228">
        <v>7.0327032501567377</v>
      </c>
      <c r="BI464" s="244">
        <v>2.6060128211975098</v>
      </c>
      <c r="BJ464" s="244">
        <v>14.401716232299805</v>
      </c>
      <c r="BK464" s="244">
        <v>0</v>
      </c>
      <c r="BL464" s="244">
        <v>29.02989387512207</v>
      </c>
      <c r="BM464" s="244">
        <v>46.037624359130859</v>
      </c>
      <c r="BN464" s="244">
        <v>17.499281293748552</v>
      </c>
      <c r="BO464" s="244">
        <v>13.772147437612148</v>
      </c>
      <c r="BP464" s="244">
        <v>2.8405146598815918</v>
      </c>
      <c r="BQ464" s="244">
        <v>0</v>
      </c>
      <c r="BR464" s="244">
        <v>0</v>
      </c>
      <c r="BS464" s="244">
        <v>0</v>
      </c>
      <c r="BT464" s="244">
        <v>13.304781913757324</v>
      </c>
      <c r="BU464" s="244">
        <v>0</v>
      </c>
      <c r="BV464" s="244">
        <v>91.122505187988281</v>
      </c>
      <c r="BW464" s="244">
        <v>3.3644578456878662</v>
      </c>
      <c r="BX464" s="244">
        <v>14.244659423828125</v>
      </c>
      <c r="BY464" s="244"/>
      <c r="BZ464" s="244">
        <v>0</v>
      </c>
      <c r="CA464" s="244">
        <v>0</v>
      </c>
      <c r="CB464" s="244">
        <v>141.9036865234375</v>
      </c>
      <c r="CC464" s="244">
        <v>14.244659423828125</v>
      </c>
      <c r="CD464" s="228">
        <v>9.9618870565134507</v>
      </c>
      <c r="CE464" s="244">
        <v>-356.02767944335937</v>
      </c>
      <c r="CF464" s="244">
        <v>0.18736019041079849</v>
      </c>
      <c r="CG464" s="244">
        <v>0.1559512763204681</v>
      </c>
      <c r="CH464" s="244">
        <v>0.34331146673126656</v>
      </c>
      <c r="CI464" s="244">
        <v>9.1870993212301941E-3</v>
      </c>
      <c r="CJ464" s="244">
        <v>9.7469547700291606E-3</v>
      </c>
      <c r="CK464" s="244">
        <v>1.8934054091259353E-2</v>
      </c>
      <c r="CL464" s="244"/>
      <c r="CM464" s="244">
        <v>1.6496496183513871</v>
      </c>
      <c r="CN464" s="244" t="s">
        <v>442</v>
      </c>
      <c r="CO464" s="244">
        <v>0.28600001335144043</v>
      </c>
      <c r="CP464" s="244">
        <v>0.31700000166893005</v>
      </c>
      <c r="CQ464" s="244">
        <v>13.772147437612148</v>
      </c>
      <c r="CR464" s="244">
        <v>0</v>
      </c>
      <c r="CS464" s="244">
        <v>0</v>
      </c>
      <c r="CT464" s="244">
        <v>13.772147178649902</v>
      </c>
      <c r="CU464" s="244">
        <v>0</v>
      </c>
      <c r="CV464" s="244">
        <v>0</v>
      </c>
      <c r="CW464" s="228">
        <v>9999</v>
      </c>
    </row>
    <row r="465" spans="1:101">
      <c r="A465" s="221" t="s">
        <v>547</v>
      </c>
      <c r="B465" s="221" t="s">
        <v>440</v>
      </c>
      <c r="C465" s="244">
        <v>10</v>
      </c>
      <c r="D465" s="244">
        <v>98.800772646597025</v>
      </c>
      <c r="E465" s="244">
        <v>0</v>
      </c>
      <c r="F465" s="244">
        <v>8.1096944444444432</v>
      </c>
      <c r="G465" s="244">
        <v>0</v>
      </c>
      <c r="H465" s="244">
        <v>0</v>
      </c>
      <c r="I465" s="244" t="s">
        <v>441</v>
      </c>
      <c r="J465" s="244">
        <v>0.28600001335144043</v>
      </c>
      <c r="K465" s="244">
        <v>0.31700000166893005</v>
      </c>
      <c r="L465" s="244">
        <v>107.73965433753416</v>
      </c>
      <c r="M465" s="244">
        <v>1.3632160611450672E-2</v>
      </c>
      <c r="N465" s="244">
        <v>4.3003659695386887E-2</v>
      </c>
      <c r="O465" s="244">
        <v>0</v>
      </c>
      <c r="P465" s="244">
        <v>0</v>
      </c>
      <c r="Q465" s="244">
        <v>0</v>
      </c>
      <c r="R465" s="244">
        <v>0.80633538961410522</v>
      </c>
      <c r="S465" s="244">
        <v>4.4560842514038086</v>
      </c>
      <c r="T465" s="244">
        <v>0</v>
      </c>
      <c r="U465" s="244">
        <v>8.9822397232055664</v>
      </c>
      <c r="V465" s="244" t="s">
        <v>226</v>
      </c>
      <c r="W465" s="244" t="s">
        <v>226</v>
      </c>
      <c r="X465" s="244" t="s">
        <v>226</v>
      </c>
      <c r="Y465" s="244" t="s">
        <v>226</v>
      </c>
      <c r="Z465" s="244">
        <v>0</v>
      </c>
      <c r="AA465" s="244">
        <v>0</v>
      </c>
      <c r="AB465" s="244">
        <v>0</v>
      </c>
      <c r="AC465" s="244">
        <v>0</v>
      </c>
      <c r="AD465" s="244">
        <v>0</v>
      </c>
      <c r="AE465" s="244">
        <v>0</v>
      </c>
      <c r="AF465" s="244">
        <v>0</v>
      </c>
      <c r="AG465" s="244">
        <v>0</v>
      </c>
      <c r="AH465" s="244">
        <v>0.80633538961410522</v>
      </c>
      <c r="AI465" s="244">
        <v>4.4560842514038086</v>
      </c>
      <c r="AJ465" s="244">
        <v>0</v>
      </c>
      <c r="AK465" s="244">
        <v>8.9822397232055664</v>
      </c>
      <c r="AL465" s="244">
        <v>14.24465936422348</v>
      </c>
      <c r="AM465" s="244">
        <v>75.936697836668756</v>
      </c>
      <c r="AN465" s="244">
        <v>0</v>
      </c>
      <c r="AO465" s="244">
        <v>13.367171287536621</v>
      </c>
      <c r="AP465" s="244">
        <v>57.735012054443359</v>
      </c>
      <c r="AQ465" s="244">
        <v>147.03887939453125</v>
      </c>
      <c r="AR465" s="244">
        <v>0.80633538961410522</v>
      </c>
      <c r="AS465" s="228">
        <v>182.35449302184094</v>
      </c>
      <c r="AT465" s="244">
        <v>75.936697836668756</v>
      </c>
      <c r="AU465" s="244">
        <v>12.326180458068848</v>
      </c>
      <c r="AV465" s="244">
        <v>14.599789619445801</v>
      </c>
      <c r="AW465" s="244">
        <v>57.735012054443359</v>
      </c>
      <c r="AX465" s="244">
        <v>160.59768676757812</v>
      </c>
      <c r="AY465" s="244">
        <v>4.4560842514038086</v>
      </c>
      <c r="AZ465" s="228">
        <v>36.040090561131869</v>
      </c>
      <c r="BA465" s="244">
        <v>75.936697836668756</v>
      </c>
      <c r="BB465" s="244">
        <v>12.326180458068848</v>
      </c>
      <c r="BC465" s="244">
        <v>14.599789619445801</v>
      </c>
      <c r="BD465" s="244">
        <v>57.735012054443359</v>
      </c>
      <c r="BE465" s="244">
        <v>160.59768676757812</v>
      </c>
      <c r="BF465" s="244">
        <v>5.2624197006225586</v>
      </c>
      <c r="BG465" s="244">
        <v>-59.1346435546875</v>
      </c>
      <c r="BH465" s="228">
        <v>30.517839876707789</v>
      </c>
      <c r="BI465" s="244">
        <v>0.60054433345794678</v>
      </c>
      <c r="BJ465" s="244">
        <v>3.3188128471374512</v>
      </c>
      <c r="BK465" s="244">
        <v>0</v>
      </c>
      <c r="BL465" s="244">
        <v>6.6898126602172852</v>
      </c>
      <c r="BM465" s="244">
        <v>10.609169960021973</v>
      </c>
      <c r="BN465" s="244">
        <v>75.936697836668756</v>
      </c>
      <c r="BO465" s="244">
        <v>0</v>
      </c>
      <c r="BP465" s="244">
        <v>12.326180458068848</v>
      </c>
      <c r="BQ465" s="244">
        <v>0</v>
      </c>
      <c r="BR465" s="244">
        <v>0</v>
      </c>
      <c r="BS465" s="244">
        <v>0</v>
      </c>
      <c r="BT465" s="244">
        <v>57.735012054443359</v>
      </c>
      <c r="BU465" s="244">
        <v>0</v>
      </c>
      <c r="BV465" s="244">
        <v>141.74610900878906</v>
      </c>
      <c r="BW465" s="244">
        <v>14.599789619445801</v>
      </c>
      <c r="BX465" s="244">
        <v>14.244659423828125</v>
      </c>
      <c r="BY465" s="244"/>
      <c r="BZ465" s="244">
        <v>0</v>
      </c>
      <c r="CA465" s="244">
        <v>0</v>
      </c>
      <c r="CB465" s="244">
        <v>302.34378051757812</v>
      </c>
      <c r="CC465" s="244">
        <v>14.244659423828125</v>
      </c>
      <c r="CD465" s="228">
        <v>21.225062669568807</v>
      </c>
      <c r="CE465" s="244">
        <v>-158.01481628417969</v>
      </c>
      <c r="CF465" s="244">
        <v>0.81303419992043824</v>
      </c>
      <c r="CG465" s="244">
        <v>0</v>
      </c>
      <c r="CH465" s="244">
        <v>0.81303419992043824</v>
      </c>
      <c r="CI465" s="244">
        <v>3.9866665004176224E-2</v>
      </c>
      <c r="CJ465" s="244">
        <v>0</v>
      </c>
      <c r="CK465" s="244">
        <v>3.9866665004176224E-2</v>
      </c>
      <c r="CL465" s="244"/>
      <c r="CM465" s="244">
        <v>0</v>
      </c>
      <c r="CN465" s="244" t="s">
        <v>442</v>
      </c>
      <c r="CO465" s="244">
        <v>0</v>
      </c>
      <c r="CP465" s="244">
        <v>0</v>
      </c>
      <c r="CQ465" s="244">
        <v>0</v>
      </c>
      <c r="CR465" s="244">
        <v>0</v>
      </c>
      <c r="CS465" s="244">
        <v>0</v>
      </c>
      <c r="CT465" s="244">
        <v>0</v>
      </c>
      <c r="CU465" s="244">
        <v>0</v>
      </c>
      <c r="CV465" s="244">
        <v>9999</v>
      </c>
      <c r="CW465" s="228">
        <v>9999</v>
      </c>
    </row>
    <row r="466" spans="1:101">
      <c r="A466" s="221" t="s">
        <v>548</v>
      </c>
      <c r="B466" s="221" t="s">
        <v>440</v>
      </c>
      <c r="C466" s="244">
        <v>10</v>
      </c>
      <c r="D466" s="244">
        <v>0</v>
      </c>
      <c r="E466" s="244">
        <v>4.4061322955023927</v>
      </c>
      <c r="F466" s="244">
        <v>8.1096944444444432</v>
      </c>
      <c r="G466" s="244">
        <v>0</v>
      </c>
      <c r="H466" s="244">
        <v>0</v>
      </c>
      <c r="I466" s="244" t="s">
        <v>441</v>
      </c>
      <c r="J466" s="244">
        <v>0</v>
      </c>
      <c r="K466" s="244">
        <v>0</v>
      </c>
      <c r="L466" s="244">
        <v>0</v>
      </c>
      <c r="M466" s="244">
        <v>0</v>
      </c>
      <c r="N466" s="244">
        <v>0</v>
      </c>
      <c r="O466" s="244">
        <v>4.4501936184574156</v>
      </c>
      <c r="P466" s="244">
        <v>1.3504605740308762E-2</v>
      </c>
      <c r="Q466" s="244">
        <v>4.260127991437912E-2</v>
      </c>
      <c r="R466" s="244">
        <v>0.80633538961410522</v>
      </c>
      <c r="S466" s="244">
        <v>4.4560842514038086</v>
      </c>
      <c r="T466" s="244">
        <v>0</v>
      </c>
      <c r="U466" s="244">
        <v>8.9822397232055664</v>
      </c>
      <c r="V466" s="244" t="s">
        <v>226</v>
      </c>
      <c r="W466" s="244" t="s">
        <v>226</v>
      </c>
      <c r="X466" s="244" t="s">
        <v>226</v>
      </c>
      <c r="Y466" s="244" t="s">
        <v>226</v>
      </c>
      <c r="Z466" s="244">
        <v>0</v>
      </c>
      <c r="AA466" s="244">
        <v>0</v>
      </c>
      <c r="AB466" s="244">
        <v>0</v>
      </c>
      <c r="AC466" s="244">
        <v>0</v>
      </c>
      <c r="AD466" s="244">
        <v>0</v>
      </c>
      <c r="AE466" s="244">
        <v>0</v>
      </c>
      <c r="AF466" s="244">
        <v>0</v>
      </c>
      <c r="AG466" s="244">
        <v>0</v>
      </c>
      <c r="AH466" s="244">
        <v>0.80633538961410522</v>
      </c>
      <c r="AI466" s="244">
        <v>4.4560842514038086</v>
      </c>
      <c r="AJ466" s="244">
        <v>0</v>
      </c>
      <c r="AK466" s="244">
        <v>8.9822397232055664</v>
      </c>
      <c r="AL466" s="244">
        <v>14.24465936422348</v>
      </c>
      <c r="AM466" s="244">
        <v>0</v>
      </c>
      <c r="AN466" s="244">
        <v>0</v>
      </c>
      <c r="AO466" s="244">
        <v>0</v>
      </c>
      <c r="AP466" s="244">
        <v>0</v>
      </c>
      <c r="AQ466" s="244">
        <v>0</v>
      </c>
      <c r="AR466" s="244">
        <v>0.80633538961410522</v>
      </c>
      <c r="AS466" s="255">
        <v>0</v>
      </c>
      <c r="AT466" s="244">
        <v>0</v>
      </c>
      <c r="AU466" s="244">
        <v>0</v>
      </c>
      <c r="AV466" s="244">
        <v>0</v>
      </c>
      <c r="AW466" s="244">
        <v>0</v>
      </c>
      <c r="AX466" s="244">
        <v>0</v>
      </c>
      <c r="AY466" s="244">
        <v>4.4560842514038086</v>
      </c>
      <c r="AZ466" s="255">
        <v>0</v>
      </c>
      <c r="BA466" s="244">
        <v>0</v>
      </c>
      <c r="BB466" s="244">
        <v>0</v>
      </c>
      <c r="BC466" s="244">
        <v>0</v>
      </c>
      <c r="BD466" s="244">
        <v>0</v>
      </c>
      <c r="BE466" s="244">
        <v>0</v>
      </c>
      <c r="BF466" s="244">
        <v>5.2624197006225586</v>
      </c>
      <c r="BG466" s="244">
        <v>9999</v>
      </c>
      <c r="BH466" s="255">
        <v>0</v>
      </c>
      <c r="BI466" s="244">
        <v>9999</v>
      </c>
      <c r="BJ466" s="244">
        <v>9999</v>
      </c>
      <c r="BK466" s="244">
        <v>9999</v>
      </c>
      <c r="BL466" s="244">
        <v>9999</v>
      </c>
      <c r="BM466" s="244">
        <v>9999</v>
      </c>
      <c r="BN466" s="244">
        <v>0</v>
      </c>
      <c r="BO466" s="244">
        <v>36.784722603050227</v>
      </c>
      <c r="BP466" s="244">
        <v>0</v>
      </c>
      <c r="BQ466" s="244">
        <v>0</v>
      </c>
      <c r="BR466" s="244">
        <v>0</v>
      </c>
      <c r="BS466" s="244">
        <v>0</v>
      </c>
      <c r="BT466" s="244">
        <v>0</v>
      </c>
      <c r="BU466" s="244">
        <v>0</v>
      </c>
      <c r="BV466" s="244">
        <v>141.74610900878906</v>
      </c>
      <c r="BW466" s="244">
        <v>0</v>
      </c>
      <c r="BX466" s="244">
        <v>14.244659423828125</v>
      </c>
      <c r="BY466" s="244"/>
      <c r="BZ466" s="244">
        <v>0</v>
      </c>
      <c r="CA466" s="244">
        <v>0</v>
      </c>
      <c r="CB466" s="244">
        <v>178.53083801269531</v>
      </c>
      <c r="CC466" s="244">
        <v>14.244659423828125</v>
      </c>
      <c r="CD466" s="228">
        <v>12.533176561118562</v>
      </c>
      <c r="CE466" s="244">
        <v>9999</v>
      </c>
      <c r="CF466" s="244">
        <v>0</v>
      </c>
      <c r="CG466" s="244">
        <v>0.41653812268761381</v>
      </c>
      <c r="CH466" s="244">
        <v>0.41653812268761381</v>
      </c>
      <c r="CI466" s="244">
        <v>0</v>
      </c>
      <c r="CJ466" s="244">
        <v>2.6033632667975877E-2</v>
      </c>
      <c r="CK466" s="244">
        <v>2.6033632667975877E-2</v>
      </c>
      <c r="CL466" s="244"/>
      <c r="CM466" s="244">
        <v>4.4061322955023927</v>
      </c>
      <c r="CN466" s="244" t="s">
        <v>442</v>
      </c>
      <c r="CO466" s="244">
        <v>0.28600001335144043</v>
      </c>
      <c r="CP466" s="244">
        <v>0.31700000166893005</v>
      </c>
      <c r="CQ466" s="244">
        <v>36.784722603050227</v>
      </c>
      <c r="CR466" s="244">
        <v>0</v>
      </c>
      <c r="CS466" s="244">
        <v>0</v>
      </c>
      <c r="CT466" s="244">
        <v>36.784721374511719</v>
      </c>
      <c r="CU466" s="244">
        <v>0</v>
      </c>
      <c r="CV466" s="244">
        <v>0</v>
      </c>
      <c r="CW466" s="228">
        <v>9999</v>
      </c>
    </row>
    <row r="467" spans="1:101">
      <c r="A467" s="221" t="s">
        <v>549</v>
      </c>
      <c r="B467" s="221" t="s">
        <v>440</v>
      </c>
      <c r="C467" s="244">
        <v>10</v>
      </c>
      <c r="D467" s="244">
        <v>37.643094378353467</v>
      </c>
      <c r="E467" s="244">
        <v>2.727395890915981</v>
      </c>
      <c r="F467" s="244">
        <v>8.1096944444444432</v>
      </c>
      <c r="G467" s="244">
        <v>0</v>
      </c>
      <c r="H467" s="244">
        <v>0</v>
      </c>
      <c r="I467" s="244" t="s">
        <v>441</v>
      </c>
      <c r="J467" s="244">
        <v>0.28600001335144043</v>
      </c>
      <c r="K467" s="244">
        <v>0.31700000166893005</v>
      </c>
      <c r="L467" s="244">
        <v>41.048808302600506</v>
      </c>
      <c r="M467" s="244">
        <v>5.193853285163641E-3</v>
      </c>
      <c r="N467" s="244">
        <v>1.6384394839406013E-2</v>
      </c>
      <c r="O467" s="244">
        <v>2.7546698498251403</v>
      </c>
      <c r="P467" s="244">
        <v>8.3593511953949928E-3</v>
      </c>
      <c r="Q467" s="244">
        <v>2.637019194662571E-2</v>
      </c>
      <c r="R467" s="244">
        <v>0.80633538961410522</v>
      </c>
      <c r="S467" s="244">
        <v>4.4560842514038086</v>
      </c>
      <c r="T467" s="244">
        <v>0</v>
      </c>
      <c r="U467" s="244">
        <v>8.9822397232055664</v>
      </c>
      <c r="V467" s="244" t="s">
        <v>226</v>
      </c>
      <c r="W467" s="244" t="s">
        <v>226</v>
      </c>
      <c r="X467" s="244" t="s">
        <v>226</v>
      </c>
      <c r="Y467" s="244" t="s">
        <v>226</v>
      </c>
      <c r="Z467" s="244">
        <v>0</v>
      </c>
      <c r="AA467" s="244">
        <v>0</v>
      </c>
      <c r="AB467" s="244">
        <v>0</v>
      </c>
      <c r="AC467" s="244">
        <v>0</v>
      </c>
      <c r="AD467" s="244">
        <v>0</v>
      </c>
      <c r="AE467" s="244">
        <v>0</v>
      </c>
      <c r="AF467" s="244">
        <v>0</v>
      </c>
      <c r="AG467" s="244">
        <v>0</v>
      </c>
      <c r="AH467" s="244">
        <v>0.80633538961410522</v>
      </c>
      <c r="AI467" s="244">
        <v>4.4560842514038086</v>
      </c>
      <c r="AJ467" s="244">
        <v>0</v>
      </c>
      <c r="AK467" s="244">
        <v>8.9822397232055664</v>
      </c>
      <c r="AL467" s="244">
        <v>14.24465936422348</v>
      </c>
      <c r="AM467" s="244">
        <v>28.931881875770713</v>
      </c>
      <c r="AN467" s="244">
        <v>0</v>
      </c>
      <c r="AO467" s="244">
        <v>5.0928921699523926</v>
      </c>
      <c r="AP467" s="244">
        <v>21.997037887573242</v>
      </c>
      <c r="AQ467" s="244">
        <v>56.021812438964844</v>
      </c>
      <c r="AR467" s="244">
        <v>0.80633538961410522</v>
      </c>
      <c r="AS467" s="228">
        <v>69.477059614247096</v>
      </c>
      <c r="AT467" s="244">
        <v>28.931881875770713</v>
      </c>
      <c r="AU467" s="244">
        <v>4.6962738037109375</v>
      </c>
      <c r="AV467" s="244">
        <v>5.5625195503234863</v>
      </c>
      <c r="AW467" s="244">
        <v>21.997037887573242</v>
      </c>
      <c r="AX467" s="244">
        <v>61.187713623046875</v>
      </c>
      <c r="AY467" s="244">
        <v>4.4560842514038086</v>
      </c>
      <c r="AZ467" s="228">
        <v>13.731273841625033</v>
      </c>
      <c r="BA467" s="244">
        <v>28.931881875770713</v>
      </c>
      <c r="BB467" s="244">
        <v>4.6962738037109375</v>
      </c>
      <c r="BC467" s="244">
        <v>5.5625195503234863</v>
      </c>
      <c r="BD467" s="244">
        <v>21.997037887573242</v>
      </c>
      <c r="BE467" s="244">
        <v>61.187713623046875</v>
      </c>
      <c r="BF467" s="244">
        <v>5.2624197006225586</v>
      </c>
      <c r="BG467" s="244">
        <v>-52.7669677734375</v>
      </c>
      <c r="BH467" s="228">
        <v>11.627296432320017</v>
      </c>
      <c r="BI467" s="244">
        <v>1.5762317180633545</v>
      </c>
      <c r="BJ467" s="244">
        <v>8.7107944488525391</v>
      </c>
      <c r="BK467" s="244">
        <v>0</v>
      </c>
      <c r="BL467" s="244">
        <v>17.558563232421875</v>
      </c>
      <c r="BM467" s="244">
        <v>27.845590591430664</v>
      </c>
      <c r="BN467" s="244">
        <v>28.931881875770713</v>
      </c>
      <c r="BO467" s="244">
        <v>22.769743291288151</v>
      </c>
      <c r="BP467" s="244">
        <v>4.6962738037109375</v>
      </c>
      <c r="BQ467" s="244">
        <v>0</v>
      </c>
      <c r="BR467" s="244">
        <v>0</v>
      </c>
      <c r="BS467" s="244">
        <v>0</v>
      </c>
      <c r="BT467" s="244">
        <v>21.997037887573242</v>
      </c>
      <c r="BU467" s="244">
        <v>0</v>
      </c>
      <c r="BV467" s="244">
        <v>141.74610900878906</v>
      </c>
      <c r="BW467" s="244">
        <v>5.5625195503234863</v>
      </c>
      <c r="BX467" s="244">
        <v>14.244659423828125</v>
      </c>
      <c r="BY467" s="244"/>
      <c r="BZ467" s="244">
        <v>0</v>
      </c>
      <c r="CA467" s="244">
        <v>0</v>
      </c>
      <c r="CB467" s="244">
        <v>225.70356750488281</v>
      </c>
      <c r="CC467" s="244">
        <v>14.244659423828125</v>
      </c>
      <c r="CD467" s="228">
        <v>15.844784961296027</v>
      </c>
      <c r="CE467" s="244">
        <v>-356.80548095703125</v>
      </c>
      <c r="CF467" s="244">
        <v>0.30976603016968657</v>
      </c>
      <c r="CG467" s="244">
        <v>0.25783709794363241</v>
      </c>
      <c r="CH467" s="244">
        <v>0.56760312811331892</v>
      </c>
      <c r="CI467" s="244">
        <v>1.518919936659114E-2</v>
      </c>
      <c r="CJ467" s="244">
        <v>1.6114818621477071E-2</v>
      </c>
      <c r="CK467" s="244">
        <v>3.1304017988068214E-2</v>
      </c>
      <c r="CL467" s="244"/>
      <c r="CM467" s="244">
        <v>2.727395890915981</v>
      </c>
      <c r="CN467" s="244" t="s">
        <v>442</v>
      </c>
      <c r="CO467" s="244">
        <v>0.28600001335144043</v>
      </c>
      <c r="CP467" s="244">
        <v>0.31700000166893005</v>
      </c>
      <c r="CQ467" s="244">
        <v>22.769743291288151</v>
      </c>
      <c r="CR467" s="244">
        <v>0</v>
      </c>
      <c r="CS467" s="244">
        <v>0</v>
      </c>
      <c r="CT467" s="244">
        <v>22.769742965698242</v>
      </c>
      <c r="CU467" s="244">
        <v>0</v>
      </c>
      <c r="CV467" s="244">
        <v>0</v>
      </c>
      <c r="CW467" s="228">
        <v>9999</v>
      </c>
    </row>
    <row r="468" spans="1:101">
      <c r="A468" s="221" t="s">
        <v>550</v>
      </c>
      <c r="B468" s="221" t="s">
        <v>440</v>
      </c>
      <c r="C468" s="244">
        <v>10</v>
      </c>
      <c r="D468" s="244">
        <v>109.9210398043876</v>
      </c>
      <c r="E468" s="244">
        <v>0</v>
      </c>
      <c r="F468" s="244">
        <v>3.2966774171383419</v>
      </c>
      <c r="G468" s="244">
        <v>0</v>
      </c>
      <c r="H468" s="244">
        <v>0</v>
      </c>
      <c r="I468" s="244" t="s">
        <v>441</v>
      </c>
      <c r="J468" s="244">
        <v>0.28600001335144043</v>
      </c>
      <c r="K468" s="244">
        <v>0.31700000166893005</v>
      </c>
      <c r="L468" s="244">
        <v>119.86601436112306</v>
      </c>
      <c r="M468" s="244">
        <v>1.5166492201387882E-2</v>
      </c>
      <c r="N468" s="244">
        <v>4.7843825072050095E-2</v>
      </c>
      <c r="O468" s="244">
        <v>0</v>
      </c>
      <c r="P468" s="244">
        <v>0</v>
      </c>
      <c r="Q468" s="244">
        <v>0</v>
      </c>
      <c r="R468" s="244">
        <v>0.32778394222259521</v>
      </c>
      <c r="S468" s="244">
        <v>1.8114458322525024</v>
      </c>
      <c r="T468" s="244">
        <v>0</v>
      </c>
      <c r="U468" s="244">
        <v>3.6513762474060059</v>
      </c>
      <c r="V468" s="244" t="s">
        <v>226</v>
      </c>
      <c r="W468" s="244" t="s">
        <v>226</v>
      </c>
      <c r="X468" s="244" t="s">
        <v>226</v>
      </c>
      <c r="Y468" s="244" t="s">
        <v>226</v>
      </c>
      <c r="Z468" s="244">
        <v>0</v>
      </c>
      <c r="AA468" s="244">
        <v>0</v>
      </c>
      <c r="AB468" s="244">
        <v>0</v>
      </c>
      <c r="AC468" s="244">
        <v>0</v>
      </c>
      <c r="AD468" s="244">
        <v>0</v>
      </c>
      <c r="AE468" s="244">
        <v>0</v>
      </c>
      <c r="AF468" s="244">
        <v>0</v>
      </c>
      <c r="AG468" s="244">
        <v>0</v>
      </c>
      <c r="AH468" s="244">
        <v>0.32778394222259521</v>
      </c>
      <c r="AI468" s="244">
        <v>1.8114458322525024</v>
      </c>
      <c r="AJ468" s="244">
        <v>0</v>
      </c>
      <c r="AK468" s="244">
        <v>3.6513762474060059</v>
      </c>
      <c r="AL468" s="244">
        <v>5.7906060218811035</v>
      </c>
      <c r="AM468" s="244">
        <v>84.483557789319448</v>
      </c>
      <c r="AN468" s="244">
        <v>0</v>
      </c>
      <c r="AO468" s="244">
        <v>14.871679306030273</v>
      </c>
      <c r="AP468" s="244">
        <v>64.233230590820312</v>
      </c>
      <c r="AQ468" s="244">
        <v>163.58847045898437</v>
      </c>
      <c r="AR468" s="244">
        <v>0.32778394222259521</v>
      </c>
      <c r="AS468" s="228">
        <v>499.07407476074138</v>
      </c>
      <c r="AT468" s="244">
        <v>84.483557789319448</v>
      </c>
      <c r="AU468" s="244">
        <v>13.713521957397461</v>
      </c>
      <c r="AV468" s="244">
        <v>16.243030548095703</v>
      </c>
      <c r="AW468" s="244">
        <v>64.233230590820312</v>
      </c>
      <c r="AX468" s="244">
        <v>178.67333984375</v>
      </c>
      <c r="AY468" s="244">
        <v>1.8114458322525024</v>
      </c>
      <c r="AZ468" s="228">
        <v>98.635762496665777</v>
      </c>
      <c r="BA468" s="244">
        <v>84.483557789319448</v>
      </c>
      <c r="BB468" s="244">
        <v>13.713521957397461</v>
      </c>
      <c r="BC468" s="244">
        <v>16.243030548095703</v>
      </c>
      <c r="BD468" s="244">
        <v>64.233230590820312</v>
      </c>
      <c r="BE468" s="244">
        <v>178.67333984375</v>
      </c>
      <c r="BF468" s="244">
        <v>2.1392297744750977</v>
      </c>
      <c r="BG468" s="244">
        <v>-61.621925354003906</v>
      </c>
      <c r="BH468" s="228">
        <v>83.522276577079694</v>
      </c>
      <c r="BI468" s="244">
        <v>0.21943025290966034</v>
      </c>
      <c r="BJ468" s="244">
        <v>1.212646484375</v>
      </c>
      <c r="BK468" s="244">
        <v>0</v>
      </c>
      <c r="BL468" s="244">
        <v>2.4443614482879639</v>
      </c>
      <c r="BM468" s="244">
        <v>3.8764381408691406</v>
      </c>
      <c r="BN468" s="244">
        <v>84.483557789319448</v>
      </c>
      <c r="BO468" s="244">
        <v>0</v>
      </c>
      <c r="BP468" s="244">
        <v>13.713521957397461</v>
      </c>
      <c r="BQ468" s="244">
        <v>0</v>
      </c>
      <c r="BR468" s="244">
        <v>0</v>
      </c>
      <c r="BS468" s="244">
        <v>0</v>
      </c>
      <c r="BT468" s="244">
        <v>64.233230590820312</v>
      </c>
      <c r="BU468" s="244">
        <v>0</v>
      </c>
      <c r="BV468" s="244">
        <v>159.00178527832031</v>
      </c>
      <c r="BW468" s="244">
        <v>16.243030548095703</v>
      </c>
      <c r="BX468" s="244">
        <v>5.7906060218811035</v>
      </c>
      <c r="BY468" s="244"/>
      <c r="BZ468" s="244">
        <v>0</v>
      </c>
      <c r="CA468" s="244">
        <v>0</v>
      </c>
      <c r="CB468" s="244">
        <v>337.67514038085937</v>
      </c>
      <c r="CC468" s="244">
        <v>5.7906060218811035</v>
      </c>
      <c r="CD468" s="228">
        <v>58.314298173277898</v>
      </c>
      <c r="CE468" s="244">
        <v>-165.61903381347656</v>
      </c>
      <c r="CF468" s="244">
        <v>0.90454317570421461</v>
      </c>
      <c r="CG468" s="244">
        <v>0</v>
      </c>
      <c r="CH468" s="244">
        <v>0.90454317570421461</v>
      </c>
      <c r="CI468" s="244">
        <v>4.4353755070995163E-2</v>
      </c>
      <c r="CJ468" s="244">
        <v>0</v>
      </c>
      <c r="CK468" s="244">
        <v>4.4353755070995163E-2</v>
      </c>
      <c r="CL468" s="244"/>
      <c r="CM468" s="244">
        <v>0</v>
      </c>
      <c r="CN468" s="244" t="s">
        <v>442</v>
      </c>
      <c r="CO468" s="244">
        <v>0</v>
      </c>
      <c r="CP468" s="244">
        <v>0</v>
      </c>
      <c r="CQ468" s="244">
        <v>0</v>
      </c>
      <c r="CR468" s="244">
        <v>0</v>
      </c>
      <c r="CS468" s="244">
        <v>0</v>
      </c>
      <c r="CT468" s="244">
        <v>0</v>
      </c>
      <c r="CU468" s="244">
        <v>0</v>
      </c>
      <c r="CV468" s="244">
        <v>9999</v>
      </c>
      <c r="CW468" s="228">
        <v>9999</v>
      </c>
    </row>
    <row r="469" spans="1:101">
      <c r="A469" s="221" t="s">
        <v>551</v>
      </c>
      <c r="B469" s="221" t="s">
        <v>440</v>
      </c>
      <c r="C469" s="244">
        <v>10</v>
      </c>
      <c r="D469" s="244">
        <v>0</v>
      </c>
      <c r="E469" s="244">
        <v>4.9020531971922594</v>
      </c>
      <c r="F469" s="244">
        <v>3.2966774171383419</v>
      </c>
      <c r="G469" s="244">
        <v>0</v>
      </c>
      <c r="H469" s="244">
        <v>0</v>
      </c>
      <c r="I469" s="244" t="s">
        <v>441</v>
      </c>
      <c r="J469" s="244">
        <v>0</v>
      </c>
      <c r="K469" s="244">
        <v>0</v>
      </c>
      <c r="L469" s="244">
        <v>0</v>
      </c>
      <c r="M469" s="244">
        <v>0</v>
      </c>
      <c r="N469" s="244">
        <v>0</v>
      </c>
      <c r="O469" s="244">
        <v>4.9510737291641824</v>
      </c>
      <c r="P469" s="244">
        <v>1.5024581924080849E-2</v>
      </c>
      <c r="Q469" s="244">
        <v>4.7396156936883926E-2</v>
      </c>
      <c r="R469" s="244">
        <v>0.32778394222259521</v>
      </c>
      <c r="S469" s="244">
        <v>1.8114458322525024</v>
      </c>
      <c r="T469" s="244">
        <v>0</v>
      </c>
      <c r="U469" s="244">
        <v>3.6513762474060059</v>
      </c>
      <c r="V469" s="244" t="s">
        <v>226</v>
      </c>
      <c r="W469" s="244" t="s">
        <v>226</v>
      </c>
      <c r="X469" s="244" t="s">
        <v>226</v>
      </c>
      <c r="Y469" s="244" t="s">
        <v>226</v>
      </c>
      <c r="Z469" s="244">
        <v>0</v>
      </c>
      <c r="AA469" s="244">
        <v>0</v>
      </c>
      <c r="AB469" s="244">
        <v>0</v>
      </c>
      <c r="AC469" s="244">
        <v>0</v>
      </c>
      <c r="AD469" s="244">
        <v>0</v>
      </c>
      <c r="AE469" s="244">
        <v>0</v>
      </c>
      <c r="AF469" s="244">
        <v>0</v>
      </c>
      <c r="AG469" s="244">
        <v>0</v>
      </c>
      <c r="AH469" s="244">
        <v>0.32778394222259521</v>
      </c>
      <c r="AI469" s="244">
        <v>1.8114458322525024</v>
      </c>
      <c r="AJ469" s="244">
        <v>0</v>
      </c>
      <c r="AK469" s="244">
        <v>3.6513762474060059</v>
      </c>
      <c r="AL469" s="244">
        <v>5.7906060218811035</v>
      </c>
      <c r="AM469" s="244">
        <v>0</v>
      </c>
      <c r="AN469" s="244">
        <v>0</v>
      </c>
      <c r="AO469" s="244">
        <v>0</v>
      </c>
      <c r="AP469" s="244">
        <v>0</v>
      </c>
      <c r="AQ469" s="244">
        <v>0</v>
      </c>
      <c r="AR469" s="244">
        <v>0.32778394222259521</v>
      </c>
      <c r="AS469" s="255">
        <v>0</v>
      </c>
      <c r="AT469" s="244">
        <v>0</v>
      </c>
      <c r="AU469" s="244">
        <v>0</v>
      </c>
      <c r="AV469" s="244">
        <v>0</v>
      </c>
      <c r="AW469" s="244">
        <v>0</v>
      </c>
      <c r="AX469" s="244">
        <v>0</v>
      </c>
      <c r="AY469" s="244">
        <v>1.8114458322525024</v>
      </c>
      <c r="AZ469" s="255">
        <v>0</v>
      </c>
      <c r="BA469" s="244">
        <v>0</v>
      </c>
      <c r="BB469" s="244">
        <v>0</v>
      </c>
      <c r="BC469" s="244">
        <v>0</v>
      </c>
      <c r="BD469" s="244">
        <v>0</v>
      </c>
      <c r="BE469" s="244">
        <v>0</v>
      </c>
      <c r="BF469" s="244">
        <v>2.1392297744750977</v>
      </c>
      <c r="BG469" s="244">
        <v>9999</v>
      </c>
      <c r="BH469" s="255">
        <v>0</v>
      </c>
      <c r="BI469" s="244">
        <v>9999</v>
      </c>
      <c r="BJ469" s="244">
        <v>9999</v>
      </c>
      <c r="BK469" s="244">
        <v>9999</v>
      </c>
      <c r="BL469" s="244">
        <v>9999</v>
      </c>
      <c r="BM469" s="244">
        <v>9999</v>
      </c>
      <c r="BN469" s="244">
        <v>0</v>
      </c>
      <c r="BO469" s="244">
        <v>40.924932560054387</v>
      </c>
      <c r="BP469" s="244">
        <v>0</v>
      </c>
      <c r="BQ469" s="244">
        <v>0</v>
      </c>
      <c r="BR469" s="244">
        <v>0</v>
      </c>
      <c r="BS469" s="244">
        <v>0</v>
      </c>
      <c r="BT469" s="244">
        <v>0</v>
      </c>
      <c r="BU469" s="244">
        <v>0</v>
      </c>
      <c r="BV469" s="244">
        <v>159.00178527832031</v>
      </c>
      <c r="BW469" s="244">
        <v>0</v>
      </c>
      <c r="BX469" s="244">
        <v>5.7906060218811035</v>
      </c>
      <c r="BY469" s="244"/>
      <c r="BZ469" s="244">
        <v>0</v>
      </c>
      <c r="CA469" s="244">
        <v>0</v>
      </c>
      <c r="CB469" s="244">
        <v>199.92671203613281</v>
      </c>
      <c r="CC469" s="244">
        <v>5.7906060218811035</v>
      </c>
      <c r="CD469" s="228">
        <v>34.526043920602916</v>
      </c>
      <c r="CE469" s="244">
        <v>9999</v>
      </c>
      <c r="CF469" s="244">
        <v>0</v>
      </c>
      <c r="CG469" s="244">
        <v>0.46342050104976634</v>
      </c>
      <c r="CH469" s="244">
        <v>0.46342050104976634</v>
      </c>
      <c r="CI469" s="244">
        <v>0</v>
      </c>
      <c r="CJ469" s="244">
        <v>2.8963781315610455E-2</v>
      </c>
      <c r="CK469" s="244">
        <v>2.8963781315610455E-2</v>
      </c>
      <c r="CL469" s="244"/>
      <c r="CM469" s="244">
        <v>4.9020531971922594</v>
      </c>
      <c r="CN469" s="244" t="s">
        <v>442</v>
      </c>
      <c r="CO469" s="244">
        <v>0.28600001335144043</v>
      </c>
      <c r="CP469" s="244">
        <v>0.31700000166893005</v>
      </c>
      <c r="CQ469" s="244">
        <v>40.924932560054387</v>
      </c>
      <c r="CR469" s="244">
        <v>0</v>
      </c>
      <c r="CS469" s="244">
        <v>0</v>
      </c>
      <c r="CT469" s="244">
        <v>40.924934387207031</v>
      </c>
      <c r="CU469" s="244">
        <v>0</v>
      </c>
      <c r="CV469" s="244">
        <v>0</v>
      </c>
      <c r="CW469" s="228">
        <v>9999</v>
      </c>
    </row>
    <row r="470" spans="1:101">
      <c r="A470" s="221" t="s">
        <v>552</v>
      </c>
      <c r="B470" s="221" t="s">
        <v>440</v>
      </c>
      <c r="C470" s="244">
        <v>10</v>
      </c>
      <c r="D470" s="244">
        <v>38.536197605504768</v>
      </c>
      <c r="E470" s="244">
        <v>3.1834878432266307</v>
      </c>
      <c r="F470" s="244">
        <v>3.2966774171383419</v>
      </c>
      <c r="G470" s="244">
        <v>0</v>
      </c>
      <c r="H470" s="244">
        <v>0</v>
      </c>
      <c r="I470" s="244" t="s">
        <v>441</v>
      </c>
      <c r="J470" s="244">
        <v>0.28600001335144043</v>
      </c>
      <c r="K470" s="244">
        <v>0.31700000166893005</v>
      </c>
      <c r="L470" s="244">
        <v>42.022713975638091</v>
      </c>
      <c r="M470" s="244">
        <v>5.3170803003013134E-3</v>
      </c>
      <c r="N470" s="244">
        <v>1.6773123294115067E-2</v>
      </c>
      <c r="O470" s="244">
        <v>3.2153227216588962</v>
      </c>
      <c r="P470" s="244">
        <v>9.7572524100542068E-3</v>
      </c>
      <c r="Q470" s="244">
        <v>3.0779976397752762E-2</v>
      </c>
      <c r="R470" s="244">
        <v>0.32778394222259521</v>
      </c>
      <c r="S470" s="244">
        <v>1.8114458322525024</v>
      </c>
      <c r="T470" s="244">
        <v>0</v>
      </c>
      <c r="U470" s="244">
        <v>3.6513762474060059</v>
      </c>
      <c r="V470" s="244" t="s">
        <v>226</v>
      </c>
      <c r="W470" s="244" t="s">
        <v>226</v>
      </c>
      <c r="X470" s="244" t="s">
        <v>226</v>
      </c>
      <c r="Y470" s="244" t="s">
        <v>226</v>
      </c>
      <c r="Z470" s="244">
        <v>0</v>
      </c>
      <c r="AA470" s="244">
        <v>0</v>
      </c>
      <c r="AB470" s="244">
        <v>0</v>
      </c>
      <c r="AC470" s="244">
        <v>0</v>
      </c>
      <c r="AD470" s="244">
        <v>0</v>
      </c>
      <c r="AE470" s="244">
        <v>0</v>
      </c>
      <c r="AF470" s="244">
        <v>0</v>
      </c>
      <c r="AG470" s="244">
        <v>0</v>
      </c>
      <c r="AH470" s="244">
        <v>0.32778394222259521</v>
      </c>
      <c r="AI470" s="244">
        <v>1.8114458322525024</v>
      </c>
      <c r="AJ470" s="244">
        <v>0</v>
      </c>
      <c r="AK470" s="244">
        <v>3.6513762474060059</v>
      </c>
      <c r="AL470" s="244">
        <v>5.7906060218811035</v>
      </c>
      <c r="AM470" s="244">
        <v>29.618306769832294</v>
      </c>
      <c r="AN470" s="244">
        <v>0</v>
      </c>
      <c r="AO470" s="244">
        <v>5.2137236595153809</v>
      </c>
      <c r="AP470" s="244">
        <v>22.518930435180664</v>
      </c>
      <c r="AQ470" s="244">
        <v>57.350959777832031</v>
      </c>
      <c r="AR470" s="244">
        <v>0.32778394222259521</v>
      </c>
      <c r="AS470" s="228">
        <v>174.9657426036502</v>
      </c>
      <c r="AT470" s="244">
        <v>29.618306769832294</v>
      </c>
      <c r="AU470" s="244">
        <v>4.8076953887939453</v>
      </c>
      <c r="AV470" s="244">
        <v>5.694493293762207</v>
      </c>
      <c r="AW470" s="244">
        <v>22.518930435180664</v>
      </c>
      <c r="AX470" s="244">
        <v>62.639427185058594</v>
      </c>
      <c r="AY470" s="244">
        <v>1.8114458322525024</v>
      </c>
      <c r="AZ470" s="228">
        <v>34.579795195795633</v>
      </c>
      <c r="BA470" s="244">
        <v>29.618306769832294</v>
      </c>
      <c r="BB470" s="244">
        <v>4.8076953887939453</v>
      </c>
      <c r="BC470" s="244">
        <v>5.694493293762207</v>
      </c>
      <c r="BD470" s="244">
        <v>22.518930435180664</v>
      </c>
      <c r="BE470" s="244">
        <v>62.639427185058594</v>
      </c>
      <c r="BF470" s="244">
        <v>2.1392297744750977</v>
      </c>
      <c r="BG470" s="244">
        <v>-58.969123840332031</v>
      </c>
      <c r="BH470" s="228">
        <v>29.28129864074042</v>
      </c>
      <c r="BI470" s="244">
        <v>0.62590509653091431</v>
      </c>
      <c r="BJ470" s="244">
        <v>3.4589648246765137</v>
      </c>
      <c r="BK470" s="244">
        <v>0</v>
      </c>
      <c r="BL470" s="244">
        <v>6.9723215103149414</v>
      </c>
      <c r="BM470" s="244">
        <v>11.057191848754883</v>
      </c>
      <c r="BN470" s="244">
        <v>29.618306769832294</v>
      </c>
      <c r="BO470" s="244">
        <v>26.577440115179705</v>
      </c>
      <c r="BP470" s="244">
        <v>4.8076953887939453</v>
      </c>
      <c r="BQ470" s="244">
        <v>0</v>
      </c>
      <c r="BR470" s="244">
        <v>0</v>
      </c>
      <c r="BS470" s="244">
        <v>0</v>
      </c>
      <c r="BT470" s="244">
        <v>22.518930435180664</v>
      </c>
      <c r="BU470" s="244">
        <v>0</v>
      </c>
      <c r="BV470" s="244">
        <v>159.00178527832031</v>
      </c>
      <c r="BW470" s="244">
        <v>5.694493293762207</v>
      </c>
      <c r="BX470" s="244">
        <v>5.7906060218811035</v>
      </c>
      <c r="BY470" s="244"/>
      <c r="BZ470" s="244">
        <v>0</v>
      </c>
      <c r="CA470" s="244">
        <v>0</v>
      </c>
      <c r="CB470" s="244">
        <v>248.21865844726562</v>
      </c>
      <c r="CC470" s="244">
        <v>5.7906060218811035</v>
      </c>
      <c r="CD470" s="228">
        <v>42.865746753123815</v>
      </c>
      <c r="CE470" s="244">
        <v>-406.36126708984375</v>
      </c>
      <c r="CF470" s="244">
        <v>0.31711540050640163</v>
      </c>
      <c r="CG470" s="244">
        <v>0.3009542067472733</v>
      </c>
      <c r="CH470" s="244">
        <v>0.61806960725367488</v>
      </c>
      <c r="CI470" s="244">
        <v>1.5549571519735588E-2</v>
      </c>
      <c r="CJ470" s="244">
        <v>1.8809637921704536E-2</v>
      </c>
      <c r="CK470" s="244">
        <v>3.4359209441440122E-2</v>
      </c>
      <c r="CL470" s="244"/>
      <c r="CM470" s="244">
        <v>3.1834878432266307</v>
      </c>
      <c r="CN470" s="244" t="s">
        <v>442</v>
      </c>
      <c r="CO470" s="244">
        <v>0.28600001335144043</v>
      </c>
      <c r="CP470" s="244">
        <v>0.31700000166893005</v>
      </c>
      <c r="CQ470" s="244">
        <v>26.577440115179705</v>
      </c>
      <c r="CR470" s="244">
        <v>0</v>
      </c>
      <c r="CS470" s="244">
        <v>0</v>
      </c>
      <c r="CT470" s="244">
        <v>26.57744026184082</v>
      </c>
      <c r="CU470" s="244">
        <v>0</v>
      </c>
      <c r="CV470" s="244">
        <v>0</v>
      </c>
      <c r="CW470" s="228">
        <v>9999</v>
      </c>
    </row>
    <row r="471" spans="1:101">
      <c r="A471" s="221" t="s">
        <v>553</v>
      </c>
      <c r="B471" s="221" t="s">
        <v>440</v>
      </c>
      <c r="C471" s="244">
        <v>10</v>
      </c>
      <c r="D471" s="244">
        <v>109.97755518651024</v>
      </c>
      <c r="E471" s="244">
        <v>0</v>
      </c>
      <c r="F471" s="244">
        <v>3.2966774171383419</v>
      </c>
      <c r="G471" s="244">
        <v>0</v>
      </c>
      <c r="H471" s="244">
        <v>0</v>
      </c>
      <c r="I471" s="244" t="s">
        <v>441</v>
      </c>
      <c r="J471" s="244">
        <v>0.28600001335144043</v>
      </c>
      <c r="K471" s="244">
        <v>0.31700000166893005</v>
      </c>
      <c r="L471" s="244">
        <v>119.92764290482306</v>
      </c>
      <c r="M471" s="244">
        <v>1.5174290165305138E-2</v>
      </c>
      <c r="N471" s="244">
        <v>4.7868423163890839E-2</v>
      </c>
      <c r="O471" s="244">
        <v>0</v>
      </c>
      <c r="P471" s="244">
        <v>0</v>
      </c>
      <c r="Q471" s="244">
        <v>0</v>
      </c>
      <c r="R471" s="244">
        <v>0.32778394222259521</v>
      </c>
      <c r="S471" s="244">
        <v>1.8114458322525024</v>
      </c>
      <c r="T471" s="244">
        <v>0</v>
      </c>
      <c r="U471" s="244">
        <v>3.6513762474060059</v>
      </c>
      <c r="V471" s="244" t="s">
        <v>226</v>
      </c>
      <c r="W471" s="244" t="s">
        <v>226</v>
      </c>
      <c r="X471" s="244" t="s">
        <v>226</v>
      </c>
      <c r="Y471" s="244" t="s">
        <v>226</v>
      </c>
      <c r="Z471" s="244">
        <v>0</v>
      </c>
      <c r="AA471" s="244">
        <v>0</v>
      </c>
      <c r="AB471" s="244">
        <v>0</v>
      </c>
      <c r="AC471" s="244">
        <v>0</v>
      </c>
      <c r="AD471" s="244">
        <v>0</v>
      </c>
      <c r="AE471" s="244">
        <v>0</v>
      </c>
      <c r="AF471" s="244">
        <v>0</v>
      </c>
      <c r="AG471" s="244">
        <v>0</v>
      </c>
      <c r="AH471" s="244">
        <v>0.32778394222259521</v>
      </c>
      <c r="AI471" s="244">
        <v>1.8114458322525024</v>
      </c>
      <c r="AJ471" s="244">
        <v>0</v>
      </c>
      <c r="AK471" s="244">
        <v>3.6513762474060059</v>
      </c>
      <c r="AL471" s="244">
        <v>5.7906060218811035</v>
      </c>
      <c r="AM471" s="244">
        <v>84.526994610514464</v>
      </c>
      <c r="AN471" s="244">
        <v>0</v>
      </c>
      <c r="AO471" s="244">
        <v>14.879324913024902</v>
      </c>
      <c r="AP471" s="244">
        <v>64.266250610351563</v>
      </c>
      <c r="AQ471" s="244">
        <v>163.67257690429688</v>
      </c>
      <c r="AR471" s="244">
        <v>0.32778394222259521</v>
      </c>
      <c r="AS471" s="228">
        <v>499.33065367412757</v>
      </c>
      <c r="AT471" s="244">
        <v>84.526994610514464</v>
      </c>
      <c r="AU471" s="244">
        <v>13.720569610595703</v>
      </c>
      <c r="AV471" s="244">
        <v>16.251380920410156</v>
      </c>
      <c r="AW471" s="244">
        <v>64.266250610351563</v>
      </c>
      <c r="AX471" s="244">
        <v>178.76519775390625</v>
      </c>
      <c r="AY471" s="244">
        <v>1.8114458322525024</v>
      </c>
      <c r="AZ471" s="228">
        <v>98.686470535848358</v>
      </c>
      <c r="BA471" s="244">
        <v>84.526994610514464</v>
      </c>
      <c r="BB471" s="244">
        <v>13.720569610595703</v>
      </c>
      <c r="BC471" s="244">
        <v>16.251380920410156</v>
      </c>
      <c r="BD471" s="244">
        <v>64.266250610351563</v>
      </c>
      <c r="BE471" s="244">
        <v>178.76519775390625</v>
      </c>
      <c r="BF471" s="244">
        <v>2.1392297744750977</v>
      </c>
      <c r="BG471" s="244">
        <v>-61.622653961181641</v>
      </c>
      <c r="BH471" s="228">
        <v>83.565214866054049</v>
      </c>
      <c r="BI471" s="244">
        <v>0.21931749582290649</v>
      </c>
      <c r="BJ471" s="244">
        <v>1.2120232582092285</v>
      </c>
      <c r="BK471" s="244">
        <v>0</v>
      </c>
      <c r="BL471" s="244">
        <v>2.4431054592132568</v>
      </c>
      <c r="BM471" s="244">
        <v>3.8744461536407471</v>
      </c>
      <c r="BN471" s="244">
        <v>84.526994610514464</v>
      </c>
      <c r="BO471" s="244">
        <v>0</v>
      </c>
      <c r="BP471" s="244">
        <v>13.720569610595703</v>
      </c>
      <c r="BQ471" s="244">
        <v>0</v>
      </c>
      <c r="BR471" s="244">
        <v>0</v>
      </c>
      <c r="BS471" s="244">
        <v>0</v>
      </c>
      <c r="BT471" s="244">
        <v>64.266250610351563</v>
      </c>
      <c r="BU471" s="244">
        <v>0</v>
      </c>
      <c r="BV471" s="244">
        <v>167.69723510742187</v>
      </c>
      <c r="BW471" s="244">
        <v>16.251380920410156</v>
      </c>
      <c r="BX471" s="244">
        <v>5.7906060218811035</v>
      </c>
      <c r="BY471" s="244"/>
      <c r="BZ471" s="244">
        <v>0</v>
      </c>
      <c r="CA471" s="244">
        <v>0</v>
      </c>
      <c r="CB471" s="244">
        <v>346.46243286132812</v>
      </c>
      <c r="CC471" s="244">
        <v>5.7906060218811035</v>
      </c>
      <c r="CD471" s="228">
        <v>59.831808544754686</v>
      </c>
      <c r="CE471" s="244">
        <v>-171.38436889648437</v>
      </c>
      <c r="CF471" s="244">
        <v>0.90500824229485222</v>
      </c>
      <c r="CG471" s="244">
        <v>0</v>
      </c>
      <c r="CH471" s="244">
        <v>0.90500824229485222</v>
      </c>
      <c r="CI471" s="244">
        <v>4.4376559344143147E-2</v>
      </c>
      <c r="CJ471" s="244">
        <v>0</v>
      </c>
      <c r="CK471" s="244">
        <v>4.4376559344143147E-2</v>
      </c>
      <c r="CL471" s="244"/>
      <c r="CM471" s="244">
        <v>0</v>
      </c>
      <c r="CN471" s="244" t="s">
        <v>442</v>
      </c>
      <c r="CO471" s="244">
        <v>0</v>
      </c>
      <c r="CP471" s="244">
        <v>0</v>
      </c>
      <c r="CQ471" s="244">
        <v>0</v>
      </c>
      <c r="CR471" s="244">
        <v>0</v>
      </c>
      <c r="CS471" s="244">
        <v>0</v>
      </c>
      <c r="CT471" s="244">
        <v>0</v>
      </c>
      <c r="CU471" s="244">
        <v>0</v>
      </c>
      <c r="CV471" s="244">
        <v>9999</v>
      </c>
      <c r="CW471" s="228">
        <v>9999</v>
      </c>
    </row>
    <row r="472" spans="1:101">
      <c r="A472" s="221" t="s">
        <v>554</v>
      </c>
      <c r="B472" s="221" t="s">
        <v>440</v>
      </c>
      <c r="C472" s="244">
        <v>10</v>
      </c>
      <c r="D472" s="244">
        <v>0</v>
      </c>
      <c r="E472" s="244">
        <v>4.9045735646316224</v>
      </c>
      <c r="F472" s="244">
        <v>3.2966774171383419</v>
      </c>
      <c r="G472" s="244">
        <v>0</v>
      </c>
      <c r="H472" s="244">
        <v>0</v>
      </c>
      <c r="I472" s="244" t="s">
        <v>441</v>
      </c>
      <c r="J472" s="244">
        <v>0</v>
      </c>
      <c r="K472" s="244">
        <v>0</v>
      </c>
      <c r="L472" s="244">
        <v>0</v>
      </c>
      <c r="M472" s="244">
        <v>0</v>
      </c>
      <c r="N472" s="244">
        <v>0</v>
      </c>
      <c r="O472" s="244">
        <v>4.9536193002779383</v>
      </c>
      <c r="P472" s="244">
        <v>1.5032306313514709E-2</v>
      </c>
      <c r="Q472" s="244">
        <v>4.7420524060726166E-2</v>
      </c>
      <c r="R472" s="244">
        <v>0.32778394222259521</v>
      </c>
      <c r="S472" s="244">
        <v>1.8114458322525024</v>
      </c>
      <c r="T472" s="244">
        <v>0</v>
      </c>
      <c r="U472" s="244">
        <v>3.6513762474060059</v>
      </c>
      <c r="V472" s="244" t="s">
        <v>226</v>
      </c>
      <c r="W472" s="244" t="s">
        <v>226</v>
      </c>
      <c r="X472" s="244" t="s">
        <v>226</v>
      </c>
      <c r="Y472" s="244" t="s">
        <v>226</v>
      </c>
      <c r="Z472" s="244">
        <v>0</v>
      </c>
      <c r="AA472" s="244">
        <v>0</v>
      </c>
      <c r="AB472" s="244">
        <v>0</v>
      </c>
      <c r="AC472" s="244">
        <v>0</v>
      </c>
      <c r="AD472" s="244">
        <v>0</v>
      </c>
      <c r="AE472" s="244">
        <v>0</v>
      </c>
      <c r="AF472" s="244">
        <v>0</v>
      </c>
      <c r="AG472" s="244">
        <v>0</v>
      </c>
      <c r="AH472" s="244">
        <v>0.32778394222259521</v>
      </c>
      <c r="AI472" s="244">
        <v>1.8114458322525024</v>
      </c>
      <c r="AJ472" s="244">
        <v>0</v>
      </c>
      <c r="AK472" s="244">
        <v>3.6513762474060059</v>
      </c>
      <c r="AL472" s="244">
        <v>5.7906060218811035</v>
      </c>
      <c r="AM472" s="244">
        <v>0</v>
      </c>
      <c r="AN472" s="244">
        <v>0</v>
      </c>
      <c r="AO472" s="244">
        <v>0</v>
      </c>
      <c r="AP472" s="244">
        <v>0</v>
      </c>
      <c r="AQ472" s="244">
        <v>0</v>
      </c>
      <c r="AR472" s="244">
        <v>0.32778394222259521</v>
      </c>
      <c r="AS472" s="255">
        <v>0</v>
      </c>
      <c r="AT472" s="244">
        <v>0</v>
      </c>
      <c r="AU472" s="244">
        <v>0</v>
      </c>
      <c r="AV472" s="244">
        <v>0</v>
      </c>
      <c r="AW472" s="244">
        <v>0</v>
      </c>
      <c r="AX472" s="244">
        <v>0</v>
      </c>
      <c r="AY472" s="244">
        <v>1.8114458322525024</v>
      </c>
      <c r="AZ472" s="255">
        <v>0</v>
      </c>
      <c r="BA472" s="244">
        <v>0</v>
      </c>
      <c r="BB472" s="244">
        <v>0</v>
      </c>
      <c r="BC472" s="244">
        <v>0</v>
      </c>
      <c r="BD472" s="244">
        <v>0</v>
      </c>
      <c r="BE472" s="244">
        <v>0</v>
      </c>
      <c r="BF472" s="244">
        <v>2.1392297744750977</v>
      </c>
      <c r="BG472" s="244">
        <v>9999</v>
      </c>
      <c r="BH472" s="255">
        <v>0</v>
      </c>
      <c r="BI472" s="244">
        <v>9999</v>
      </c>
      <c r="BJ472" s="244">
        <v>9999</v>
      </c>
      <c r="BK472" s="244">
        <v>9999</v>
      </c>
      <c r="BL472" s="244">
        <v>9999</v>
      </c>
      <c r="BM472" s="244">
        <v>9999</v>
      </c>
      <c r="BN472" s="244">
        <v>0</v>
      </c>
      <c r="BO472" s="244">
        <v>40.945973920344279</v>
      </c>
      <c r="BP472" s="244">
        <v>0</v>
      </c>
      <c r="BQ472" s="244">
        <v>0</v>
      </c>
      <c r="BR472" s="244">
        <v>0</v>
      </c>
      <c r="BS472" s="244">
        <v>0</v>
      </c>
      <c r="BT472" s="244">
        <v>0</v>
      </c>
      <c r="BU472" s="244">
        <v>0</v>
      </c>
      <c r="BV472" s="244">
        <v>167.69723510742187</v>
      </c>
      <c r="BW472" s="244">
        <v>0</v>
      </c>
      <c r="BX472" s="244">
        <v>5.7906060218811035</v>
      </c>
      <c r="BY472" s="244"/>
      <c r="BZ472" s="244">
        <v>0</v>
      </c>
      <c r="CA472" s="244">
        <v>0</v>
      </c>
      <c r="CB472" s="244">
        <v>208.64320373535156</v>
      </c>
      <c r="CC472" s="244">
        <v>5.7906060218811035</v>
      </c>
      <c r="CD472" s="228">
        <v>36.031325260147383</v>
      </c>
      <c r="CE472" s="244">
        <v>9999</v>
      </c>
      <c r="CF472" s="244">
        <v>0</v>
      </c>
      <c r="CG472" s="244">
        <v>0.46365876650601395</v>
      </c>
      <c r="CH472" s="244">
        <v>0.46365876650601395</v>
      </c>
      <c r="CI472" s="244">
        <v>0</v>
      </c>
      <c r="CJ472" s="244">
        <v>2.8978672906625931E-2</v>
      </c>
      <c r="CK472" s="244">
        <v>2.8978672906625931E-2</v>
      </c>
      <c r="CL472" s="244"/>
      <c r="CM472" s="244">
        <v>4.9045735646316224</v>
      </c>
      <c r="CN472" s="244" t="s">
        <v>442</v>
      </c>
      <c r="CO472" s="244">
        <v>0.28600001335144043</v>
      </c>
      <c r="CP472" s="244">
        <v>0.31700000166893005</v>
      </c>
      <c r="CQ472" s="244">
        <v>40.945973920344279</v>
      </c>
      <c r="CR472" s="244">
        <v>0</v>
      </c>
      <c r="CS472" s="244">
        <v>0</v>
      </c>
      <c r="CT472" s="244">
        <v>40.945972442626953</v>
      </c>
      <c r="CU472" s="244">
        <v>0</v>
      </c>
      <c r="CV472" s="244">
        <v>0</v>
      </c>
      <c r="CW472" s="228">
        <v>9999</v>
      </c>
    </row>
    <row r="473" spans="1:101">
      <c r="A473" s="221" t="s">
        <v>555</v>
      </c>
      <c r="B473" s="221" t="s">
        <v>440</v>
      </c>
      <c r="C473" s="244">
        <v>10</v>
      </c>
      <c r="D473" s="244">
        <v>38.556010809028898</v>
      </c>
      <c r="E473" s="244">
        <v>3.1851246184269226</v>
      </c>
      <c r="F473" s="244">
        <v>3.2966774171383419</v>
      </c>
      <c r="G473" s="244">
        <v>0</v>
      </c>
      <c r="H473" s="244">
        <v>0</v>
      </c>
      <c r="I473" s="244" t="s">
        <v>441</v>
      </c>
      <c r="J473" s="244">
        <v>0.28600001335144043</v>
      </c>
      <c r="K473" s="244">
        <v>0.31700000166893005</v>
      </c>
      <c r="L473" s="244">
        <v>42.044319755044761</v>
      </c>
      <c r="M473" s="244">
        <v>5.3198137320578098E-3</v>
      </c>
      <c r="N473" s="244">
        <v>1.6781747341156006E-2</v>
      </c>
      <c r="O473" s="244">
        <v>3.2169758646111903</v>
      </c>
      <c r="P473" s="244">
        <v>9.7622694447636604E-3</v>
      </c>
      <c r="Q473" s="244">
        <v>3.0795803293585777E-2</v>
      </c>
      <c r="R473" s="244">
        <v>0.32778394222259521</v>
      </c>
      <c r="S473" s="244">
        <v>1.8114458322525024</v>
      </c>
      <c r="T473" s="244">
        <v>0</v>
      </c>
      <c r="U473" s="244">
        <v>3.6513762474060059</v>
      </c>
      <c r="V473" s="244" t="s">
        <v>226</v>
      </c>
      <c r="W473" s="244" t="s">
        <v>226</v>
      </c>
      <c r="X473" s="244" t="s">
        <v>226</v>
      </c>
      <c r="Y473" s="244" t="s">
        <v>226</v>
      </c>
      <c r="Z473" s="244">
        <v>0</v>
      </c>
      <c r="AA473" s="244">
        <v>0</v>
      </c>
      <c r="AB473" s="244">
        <v>0</v>
      </c>
      <c r="AC473" s="244">
        <v>0</v>
      </c>
      <c r="AD473" s="244">
        <v>0</v>
      </c>
      <c r="AE473" s="244">
        <v>0</v>
      </c>
      <c r="AF473" s="244">
        <v>0</v>
      </c>
      <c r="AG473" s="244">
        <v>0</v>
      </c>
      <c r="AH473" s="244">
        <v>0.32778394222259521</v>
      </c>
      <c r="AI473" s="244">
        <v>1.8114458322525024</v>
      </c>
      <c r="AJ473" s="244">
        <v>0</v>
      </c>
      <c r="AK473" s="244">
        <v>3.6513762474060059</v>
      </c>
      <c r="AL473" s="244">
        <v>5.7906060218811035</v>
      </c>
      <c r="AM473" s="244">
        <v>29.63353488201086</v>
      </c>
      <c r="AN473" s="244">
        <v>0</v>
      </c>
      <c r="AO473" s="244">
        <v>5.216404914855957</v>
      </c>
      <c r="AP473" s="244">
        <v>22.530511856079102</v>
      </c>
      <c r="AQ473" s="244">
        <v>57.380451202392578</v>
      </c>
      <c r="AR473" s="244">
        <v>0.32778394222259521</v>
      </c>
      <c r="AS473" s="228">
        <v>175.05571280846746</v>
      </c>
      <c r="AT473" s="244">
        <v>29.63353488201086</v>
      </c>
      <c r="AU473" s="244">
        <v>4.8101682662963867</v>
      </c>
      <c r="AV473" s="244">
        <v>5.6974215507507324</v>
      </c>
      <c r="AW473" s="244">
        <v>22.530511856079102</v>
      </c>
      <c r="AX473" s="244">
        <v>62.671634674072266</v>
      </c>
      <c r="AY473" s="244">
        <v>1.8114458322525024</v>
      </c>
      <c r="AZ473" s="228">
        <v>34.59757694062867</v>
      </c>
      <c r="BA473" s="244">
        <v>29.63353488201086</v>
      </c>
      <c r="BB473" s="244">
        <v>4.8101682662963867</v>
      </c>
      <c r="BC473" s="244">
        <v>5.6974215507507324</v>
      </c>
      <c r="BD473" s="244">
        <v>22.530511856079102</v>
      </c>
      <c r="BE473" s="244">
        <v>62.671634674072266</v>
      </c>
      <c r="BF473" s="244">
        <v>2.1392297744750977</v>
      </c>
      <c r="BG473" s="244">
        <v>-58.971233367919922</v>
      </c>
      <c r="BH473" s="228">
        <v>29.296355773897552</v>
      </c>
      <c r="BI473" s="244">
        <v>0.6255834698677063</v>
      </c>
      <c r="BJ473" s="244">
        <v>3.4571874141693115</v>
      </c>
      <c r="BK473" s="244">
        <v>0</v>
      </c>
      <c r="BL473" s="244">
        <v>6.9687385559082031</v>
      </c>
      <c r="BM473" s="244">
        <v>11.051508903503418</v>
      </c>
      <c r="BN473" s="244">
        <v>29.63353488201086</v>
      </c>
      <c r="BO473" s="244">
        <v>26.591104780166717</v>
      </c>
      <c r="BP473" s="244">
        <v>4.8101682662963867</v>
      </c>
      <c r="BQ473" s="244">
        <v>0</v>
      </c>
      <c r="BR473" s="244">
        <v>0</v>
      </c>
      <c r="BS473" s="244">
        <v>0</v>
      </c>
      <c r="BT473" s="244">
        <v>22.530511856079102</v>
      </c>
      <c r="BU473" s="244">
        <v>0</v>
      </c>
      <c r="BV473" s="244">
        <v>167.69723510742187</v>
      </c>
      <c r="BW473" s="244">
        <v>5.6974215507507324</v>
      </c>
      <c r="BX473" s="244">
        <v>5.7906060218811035</v>
      </c>
      <c r="BY473" s="244"/>
      <c r="BZ473" s="244">
        <v>0</v>
      </c>
      <c r="CA473" s="244">
        <v>0</v>
      </c>
      <c r="CB473" s="244">
        <v>256.95999145507812</v>
      </c>
      <c r="CC473" s="244">
        <v>5.7906060218811035</v>
      </c>
      <c r="CD473" s="228">
        <v>44.375316758167408</v>
      </c>
      <c r="CE473" s="244">
        <v>-422.80642700195312</v>
      </c>
      <c r="CF473" s="244">
        <v>0.31727844388798132</v>
      </c>
      <c r="CG473" s="244">
        <v>0.3011089409276082</v>
      </c>
      <c r="CH473" s="244">
        <v>0.61838738481558952</v>
      </c>
      <c r="CI473" s="244">
        <v>1.5557566258302895E-2</v>
      </c>
      <c r="CJ473" s="244">
        <v>1.8819308807975457E-2</v>
      </c>
      <c r="CK473" s="244">
        <v>3.4376875066278352E-2</v>
      </c>
      <c r="CL473" s="244"/>
      <c r="CM473" s="244">
        <v>3.1851246184269226</v>
      </c>
      <c r="CN473" s="244" t="s">
        <v>442</v>
      </c>
      <c r="CO473" s="244">
        <v>0.28600001335144043</v>
      </c>
      <c r="CP473" s="244">
        <v>0.31700000166893005</v>
      </c>
      <c r="CQ473" s="244">
        <v>26.591104780166717</v>
      </c>
      <c r="CR473" s="244">
        <v>0</v>
      </c>
      <c r="CS473" s="244">
        <v>0</v>
      </c>
      <c r="CT473" s="244">
        <v>26.591104507446289</v>
      </c>
      <c r="CU473" s="244">
        <v>0</v>
      </c>
      <c r="CV473" s="244">
        <v>0</v>
      </c>
      <c r="CW473" s="228">
        <v>9999</v>
      </c>
    </row>
    <row r="474" spans="1:101">
      <c r="A474" s="221" t="s">
        <v>556</v>
      </c>
      <c r="B474" s="221" t="s">
        <v>440</v>
      </c>
      <c r="C474" s="244">
        <v>10</v>
      </c>
      <c r="D474" s="244">
        <v>169.70604354631041</v>
      </c>
      <c r="E474" s="244">
        <v>0</v>
      </c>
      <c r="F474" s="244">
        <v>3.2966774171383419</v>
      </c>
      <c r="G474" s="244">
        <v>0</v>
      </c>
      <c r="H474" s="244">
        <v>0</v>
      </c>
      <c r="I474" s="244" t="s">
        <v>441</v>
      </c>
      <c r="J474" s="244">
        <v>0.28600001335144043</v>
      </c>
      <c r="K474" s="244">
        <v>0.31700000166893005</v>
      </c>
      <c r="L474" s="244">
        <v>185.05999478436024</v>
      </c>
      <c r="M474" s="244">
        <v>2.3415405303239822E-2</v>
      </c>
      <c r="N474" s="244">
        <v>7.3865629732608795E-2</v>
      </c>
      <c r="O474" s="244">
        <v>0</v>
      </c>
      <c r="P474" s="244">
        <v>0</v>
      </c>
      <c r="Q474" s="244">
        <v>0</v>
      </c>
      <c r="R474" s="244">
        <v>0.32778394222259521</v>
      </c>
      <c r="S474" s="244">
        <v>1.8114458322525024</v>
      </c>
      <c r="T474" s="244">
        <v>0</v>
      </c>
      <c r="U474" s="244">
        <v>3.6513762474060059</v>
      </c>
      <c r="V474" s="244" t="s">
        <v>226</v>
      </c>
      <c r="W474" s="244" t="s">
        <v>226</v>
      </c>
      <c r="X474" s="244" t="s">
        <v>226</v>
      </c>
      <c r="Y474" s="244" t="s">
        <v>226</v>
      </c>
      <c r="Z474" s="244">
        <v>0</v>
      </c>
      <c r="AA474" s="244">
        <v>0</v>
      </c>
      <c r="AB474" s="244">
        <v>0</v>
      </c>
      <c r="AC474" s="244">
        <v>0</v>
      </c>
      <c r="AD474" s="244">
        <v>0</v>
      </c>
      <c r="AE474" s="244">
        <v>0</v>
      </c>
      <c r="AF474" s="244">
        <v>0</v>
      </c>
      <c r="AG474" s="244">
        <v>0</v>
      </c>
      <c r="AH474" s="244">
        <v>0.32778394222259521</v>
      </c>
      <c r="AI474" s="244">
        <v>1.8114458322525024</v>
      </c>
      <c r="AJ474" s="244">
        <v>0</v>
      </c>
      <c r="AK474" s="244">
        <v>3.6513762474060059</v>
      </c>
      <c r="AL474" s="244">
        <v>5.7906060218811035</v>
      </c>
      <c r="AM474" s="244">
        <v>130.43335800549102</v>
      </c>
      <c r="AN474" s="244">
        <v>0</v>
      </c>
      <c r="AO474" s="244">
        <v>22.960243225097656</v>
      </c>
      <c r="AP474" s="244">
        <v>99.169075012207031</v>
      </c>
      <c r="AQ474" s="244">
        <v>252.56268310546875</v>
      </c>
      <c r="AR474" s="244">
        <v>0.32778394222259521</v>
      </c>
      <c r="AS474" s="228">
        <v>770.51570778681582</v>
      </c>
      <c r="AT474" s="244">
        <v>130.43335800549102</v>
      </c>
      <c r="AU474" s="244">
        <v>21.172176361083984</v>
      </c>
      <c r="AV474" s="244">
        <v>25.077461242675781</v>
      </c>
      <c r="AW474" s="244">
        <v>99.169075012207031</v>
      </c>
      <c r="AX474" s="244">
        <v>275.85208129882812</v>
      </c>
      <c r="AY474" s="244">
        <v>1.8114458322525024</v>
      </c>
      <c r="AZ474" s="228">
        <v>152.28281503645096</v>
      </c>
      <c r="BA474" s="244">
        <v>130.43335800549102</v>
      </c>
      <c r="BB474" s="244">
        <v>21.172176361083984</v>
      </c>
      <c r="BC474" s="244">
        <v>25.077461242675781</v>
      </c>
      <c r="BD474" s="244">
        <v>99.169075012207031</v>
      </c>
      <c r="BE474" s="244">
        <v>275.85208129882812</v>
      </c>
      <c r="BF474" s="244">
        <v>2.1392297744750977</v>
      </c>
      <c r="BG474" s="244">
        <v>-62.126426696777344</v>
      </c>
      <c r="BH474" s="228">
        <v>128.9492479549765</v>
      </c>
      <c r="BI474" s="244">
        <v>0.14212812483310699</v>
      </c>
      <c r="BJ474" s="244">
        <v>0.78544849157333374</v>
      </c>
      <c r="BK474" s="244">
        <v>0</v>
      </c>
      <c r="BL474" s="244">
        <v>1.5832480192184448</v>
      </c>
      <c r="BM474" s="244">
        <v>2.5108246803283691</v>
      </c>
      <c r="BN474" s="244">
        <v>130.43335800549102</v>
      </c>
      <c r="BO474" s="244">
        <v>0</v>
      </c>
      <c r="BP474" s="244">
        <v>21.172176361083984</v>
      </c>
      <c r="BQ474" s="244">
        <v>0</v>
      </c>
      <c r="BR474" s="244">
        <v>0</v>
      </c>
      <c r="BS474" s="244">
        <v>0</v>
      </c>
      <c r="BT474" s="244">
        <v>99.169075012207031</v>
      </c>
      <c r="BU474" s="244">
        <v>0</v>
      </c>
      <c r="BV474" s="244">
        <v>243.47149658203125</v>
      </c>
      <c r="BW474" s="244">
        <v>25.077461242675781</v>
      </c>
      <c r="BX474" s="244">
        <v>5.7906060218811035</v>
      </c>
      <c r="BY474" s="244"/>
      <c r="BZ474" s="244">
        <v>0</v>
      </c>
      <c r="CA474" s="244">
        <v>0</v>
      </c>
      <c r="CB474" s="244">
        <v>519.32354736328125</v>
      </c>
      <c r="CC474" s="244">
        <v>5.7906060218811035</v>
      </c>
      <c r="CD474" s="228">
        <v>89.683802565933263</v>
      </c>
      <c r="CE474" s="244">
        <v>-166.11317443847656</v>
      </c>
      <c r="CF474" s="244">
        <v>1.396515570074238</v>
      </c>
      <c r="CG474" s="244">
        <v>0</v>
      </c>
      <c r="CH474" s="244">
        <v>1.396515570074238</v>
      </c>
      <c r="CI474" s="244">
        <v>6.8477338850830627E-2</v>
      </c>
      <c r="CJ474" s="244">
        <v>0</v>
      </c>
      <c r="CK474" s="244">
        <v>6.8477338850830627E-2</v>
      </c>
      <c r="CL474" s="244"/>
      <c r="CM474" s="244">
        <v>0</v>
      </c>
      <c r="CN474" s="244" t="s">
        <v>442</v>
      </c>
      <c r="CO474" s="244">
        <v>0</v>
      </c>
      <c r="CP474" s="244">
        <v>0</v>
      </c>
      <c r="CQ474" s="244">
        <v>0</v>
      </c>
      <c r="CR474" s="244">
        <v>0</v>
      </c>
      <c r="CS474" s="244">
        <v>0</v>
      </c>
      <c r="CT474" s="244">
        <v>0</v>
      </c>
      <c r="CU474" s="244">
        <v>0</v>
      </c>
      <c r="CV474" s="244">
        <v>9999</v>
      </c>
      <c r="CW474" s="228">
        <v>9999</v>
      </c>
    </row>
    <row r="475" spans="1:101">
      <c r="A475" s="221" t="s">
        <v>557</v>
      </c>
      <c r="B475" s="221" t="s">
        <v>440</v>
      </c>
      <c r="C475" s="244">
        <v>10</v>
      </c>
      <c r="D475" s="244">
        <v>0</v>
      </c>
      <c r="E475" s="244">
        <v>7.5682331137831262</v>
      </c>
      <c r="F475" s="244">
        <v>3.2966774171383419</v>
      </c>
      <c r="G475" s="244">
        <v>0</v>
      </c>
      <c r="H475" s="244">
        <v>0</v>
      </c>
      <c r="I475" s="244" t="s">
        <v>441</v>
      </c>
      <c r="J475" s="244">
        <v>0</v>
      </c>
      <c r="K475" s="244">
        <v>0</v>
      </c>
      <c r="L475" s="244">
        <v>0</v>
      </c>
      <c r="M475" s="244">
        <v>0</v>
      </c>
      <c r="N475" s="244">
        <v>0</v>
      </c>
      <c r="O475" s="244">
        <v>7.6439154449209585</v>
      </c>
      <c r="P475" s="244">
        <v>2.3196306079626083E-2</v>
      </c>
      <c r="Q475" s="244">
        <v>7.3174469172954559E-2</v>
      </c>
      <c r="R475" s="244">
        <v>0.32778394222259521</v>
      </c>
      <c r="S475" s="244">
        <v>1.8114458322525024</v>
      </c>
      <c r="T475" s="244">
        <v>0</v>
      </c>
      <c r="U475" s="244">
        <v>3.6513762474060059</v>
      </c>
      <c r="V475" s="244" t="s">
        <v>226</v>
      </c>
      <c r="W475" s="244" t="s">
        <v>226</v>
      </c>
      <c r="X475" s="244" t="s">
        <v>226</v>
      </c>
      <c r="Y475" s="244" t="s">
        <v>226</v>
      </c>
      <c r="Z475" s="244">
        <v>0</v>
      </c>
      <c r="AA475" s="244">
        <v>0</v>
      </c>
      <c r="AB475" s="244">
        <v>0</v>
      </c>
      <c r="AC475" s="244">
        <v>0</v>
      </c>
      <c r="AD475" s="244">
        <v>0</v>
      </c>
      <c r="AE475" s="244">
        <v>0</v>
      </c>
      <c r="AF475" s="244">
        <v>0</v>
      </c>
      <c r="AG475" s="244">
        <v>0</v>
      </c>
      <c r="AH475" s="244">
        <v>0.32778394222259521</v>
      </c>
      <c r="AI475" s="244">
        <v>1.8114458322525024</v>
      </c>
      <c r="AJ475" s="244">
        <v>0</v>
      </c>
      <c r="AK475" s="244">
        <v>3.6513762474060059</v>
      </c>
      <c r="AL475" s="244">
        <v>5.7906060218811035</v>
      </c>
      <c r="AM475" s="244">
        <v>0</v>
      </c>
      <c r="AN475" s="244">
        <v>0</v>
      </c>
      <c r="AO475" s="244">
        <v>0</v>
      </c>
      <c r="AP475" s="244">
        <v>0</v>
      </c>
      <c r="AQ475" s="244">
        <v>0</v>
      </c>
      <c r="AR475" s="244">
        <v>0.32778394222259521</v>
      </c>
      <c r="AS475" s="255">
        <v>0</v>
      </c>
      <c r="AT475" s="244">
        <v>0</v>
      </c>
      <c r="AU475" s="244">
        <v>0</v>
      </c>
      <c r="AV475" s="244">
        <v>0</v>
      </c>
      <c r="AW475" s="244">
        <v>0</v>
      </c>
      <c r="AX475" s="244">
        <v>0</v>
      </c>
      <c r="AY475" s="244">
        <v>1.8114458322525024</v>
      </c>
      <c r="AZ475" s="255">
        <v>0</v>
      </c>
      <c r="BA475" s="244">
        <v>0</v>
      </c>
      <c r="BB475" s="244">
        <v>0</v>
      </c>
      <c r="BC475" s="244">
        <v>0</v>
      </c>
      <c r="BD475" s="244">
        <v>0</v>
      </c>
      <c r="BE475" s="244">
        <v>0</v>
      </c>
      <c r="BF475" s="244">
        <v>2.1392297744750977</v>
      </c>
      <c r="BG475" s="244">
        <v>9999</v>
      </c>
      <c r="BH475" s="255">
        <v>0</v>
      </c>
      <c r="BI475" s="244">
        <v>9999</v>
      </c>
      <c r="BJ475" s="244">
        <v>9999</v>
      </c>
      <c r="BK475" s="244">
        <v>9999</v>
      </c>
      <c r="BL475" s="244">
        <v>9999</v>
      </c>
      <c r="BM475" s="244">
        <v>9999</v>
      </c>
      <c r="BN475" s="244">
        <v>0</v>
      </c>
      <c r="BO475" s="244">
        <v>63.183612523370385</v>
      </c>
      <c r="BP475" s="244">
        <v>0</v>
      </c>
      <c r="BQ475" s="244">
        <v>0</v>
      </c>
      <c r="BR475" s="244">
        <v>0</v>
      </c>
      <c r="BS475" s="244">
        <v>0</v>
      </c>
      <c r="BT475" s="244">
        <v>0</v>
      </c>
      <c r="BU475" s="244">
        <v>0</v>
      </c>
      <c r="BV475" s="244">
        <v>243.47149658203125</v>
      </c>
      <c r="BW475" s="244">
        <v>0</v>
      </c>
      <c r="BX475" s="244">
        <v>5.7906060218811035</v>
      </c>
      <c r="BY475" s="244"/>
      <c r="BZ475" s="244">
        <v>0</v>
      </c>
      <c r="CA475" s="244">
        <v>0</v>
      </c>
      <c r="CB475" s="244">
        <v>306.65512084960937</v>
      </c>
      <c r="CC475" s="244">
        <v>5.7906060218811035</v>
      </c>
      <c r="CD475" s="228">
        <v>52.957342970085776</v>
      </c>
      <c r="CE475" s="244">
        <v>9999</v>
      </c>
      <c r="CF475" s="244">
        <v>0</v>
      </c>
      <c r="CG475" s="244">
        <v>0.71547048564460236</v>
      </c>
      <c r="CH475" s="244">
        <v>0.71547048564460236</v>
      </c>
      <c r="CI475" s="244">
        <v>0</v>
      </c>
      <c r="CJ475" s="244">
        <v>4.471690535278762E-2</v>
      </c>
      <c r="CK475" s="244">
        <v>4.471690535278762E-2</v>
      </c>
      <c r="CL475" s="244"/>
      <c r="CM475" s="244">
        <v>7.5682331137831262</v>
      </c>
      <c r="CN475" s="244" t="s">
        <v>442</v>
      </c>
      <c r="CO475" s="244">
        <v>0.28600001335144043</v>
      </c>
      <c r="CP475" s="244">
        <v>0.31700000166893005</v>
      </c>
      <c r="CQ475" s="244">
        <v>63.183612523370385</v>
      </c>
      <c r="CR475" s="244">
        <v>0</v>
      </c>
      <c r="CS475" s="244">
        <v>0</v>
      </c>
      <c r="CT475" s="244">
        <v>63.183612823486328</v>
      </c>
      <c r="CU475" s="244">
        <v>0</v>
      </c>
      <c r="CV475" s="244">
        <v>0</v>
      </c>
      <c r="CW475" s="228">
        <v>9999</v>
      </c>
    </row>
    <row r="476" spans="1:101">
      <c r="A476" s="221" t="s">
        <v>558</v>
      </c>
      <c r="B476" s="221" t="s">
        <v>440</v>
      </c>
      <c r="C476" s="244">
        <v>10</v>
      </c>
      <c r="D476" s="244">
        <v>59.495667440802087</v>
      </c>
      <c r="E476" s="244">
        <v>4.914956477060211</v>
      </c>
      <c r="F476" s="244">
        <v>3.2966774171383419</v>
      </c>
      <c r="G476" s="244">
        <v>0</v>
      </c>
      <c r="H476" s="244">
        <v>0</v>
      </c>
      <c r="I476" s="244" t="s">
        <v>441</v>
      </c>
      <c r="J476" s="244">
        <v>0.28600001335144043</v>
      </c>
      <c r="K476" s="244">
        <v>0.31700000166893005</v>
      </c>
      <c r="L476" s="244">
        <v>64.878466766460889</v>
      </c>
      <c r="M476" s="244">
        <v>8.2089891657233238E-3</v>
      </c>
      <c r="N476" s="244">
        <v>2.5895865634083748E-2</v>
      </c>
      <c r="O476" s="244">
        <v>4.9641060418308136</v>
      </c>
      <c r="P476" s="244">
        <v>1.506412960588932E-2</v>
      </c>
      <c r="Q476" s="244">
        <v>4.7520913183689117E-2</v>
      </c>
      <c r="R476" s="244">
        <v>0.32778394222259521</v>
      </c>
      <c r="S476" s="244">
        <v>1.8114458322525024</v>
      </c>
      <c r="T476" s="244">
        <v>0</v>
      </c>
      <c r="U476" s="244">
        <v>3.6513762474060059</v>
      </c>
      <c r="V476" s="244" t="s">
        <v>226</v>
      </c>
      <c r="W476" s="244" t="s">
        <v>226</v>
      </c>
      <c r="X476" s="244" t="s">
        <v>226</v>
      </c>
      <c r="Y476" s="244" t="s">
        <v>226</v>
      </c>
      <c r="Z476" s="244">
        <v>0</v>
      </c>
      <c r="AA476" s="244">
        <v>0</v>
      </c>
      <c r="AB476" s="244">
        <v>0</v>
      </c>
      <c r="AC476" s="244">
        <v>0</v>
      </c>
      <c r="AD476" s="244">
        <v>0</v>
      </c>
      <c r="AE476" s="244">
        <v>0</v>
      </c>
      <c r="AF476" s="244">
        <v>0</v>
      </c>
      <c r="AG476" s="244">
        <v>0</v>
      </c>
      <c r="AH476" s="244">
        <v>0.32778394222259521</v>
      </c>
      <c r="AI476" s="244">
        <v>1.8114458322525024</v>
      </c>
      <c r="AJ476" s="244">
        <v>0</v>
      </c>
      <c r="AK476" s="244">
        <v>3.6513762474060059</v>
      </c>
      <c r="AL476" s="244">
        <v>5.7906060218811035</v>
      </c>
      <c r="AM476" s="244">
        <v>45.727420950475086</v>
      </c>
      <c r="AN476" s="244">
        <v>0</v>
      </c>
      <c r="AO476" s="244">
        <v>8.0494184494018555</v>
      </c>
      <c r="AP476" s="244">
        <v>34.766765594482422</v>
      </c>
      <c r="AQ476" s="244">
        <v>88.543601989746094</v>
      </c>
      <c r="AR476" s="244">
        <v>0.32778394222259521</v>
      </c>
      <c r="AS476" s="228">
        <v>270.1279519490011</v>
      </c>
      <c r="AT476" s="244">
        <v>45.727420950475086</v>
      </c>
      <c r="AU476" s="244">
        <v>7.4225559234619141</v>
      </c>
      <c r="AV476" s="244">
        <v>8.7916746139526367</v>
      </c>
      <c r="AW476" s="244">
        <v>34.766765594482422</v>
      </c>
      <c r="AX476" s="244">
        <v>96.708419799804687</v>
      </c>
      <c r="AY476" s="244">
        <v>1.8114458322525024</v>
      </c>
      <c r="AZ476" s="228">
        <v>53.387418690912085</v>
      </c>
      <c r="BA476" s="244">
        <v>45.727420950475086</v>
      </c>
      <c r="BB476" s="244">
        <v>7.4225559234619141</v>
      </c>
      <c r="BC476" s="244">
        <v>8.7916746139526367</v>
      </c>
      <c r="BD476" s="244">
        <v>34.766765594482422</v>
      </c>
      <c r="BE476" s="244">
        <v>96.708419799804687</v>
      </c>
      <c r="BF476" s="244">
        <v>2.1392297744750977</v>
      </c>
      <c r="BG476" s="244">
        <v>-60.408172607421875</v>
      </c>
      <c r="BH476" s="228">
        <v>45.207119981350004</v>
      </c>
      <c r="BI476" s="244">
        <v>0.40540769696235657</v>
      </c>
      <c r="BJ476" s="244">
        <v>2.2404212951660156</v>
      </c>
      <c r="BK476" s="244">
        <v>0</v>
      </c>
      <c r="BL476" s="244">
        <v>4.5160727500915527</v>
      </c>
      <c r="BM476" s="244">
        <v>7.1619014739990234</v>
      </c>
      <c r="BN476" s="244">
        <v>45.727420950475086</v>
      </c>
      <c r="BO476" s="244">
        <v>41.032655964341778</v>
      </c>
      <c r="BP476" s="244">
        <v>7.4225559234619141</v>
      </c>
      <c r="BQ476" s="244">
        <v>0</v>
      </c>
      <c r="BR476" s="244">
        <v>0</v>
      </c>
      <c r="BS476" s="244">
        <v>0</v>
      </c>
      <c r="BT476" s="244">
        <v>34.766765594482422</v>
      </c>
      <c r="BU476" s="244">
        <v>0</v>
      </c>
      <c r="BV476" s="244">
        <v>243.47149658203125</v>
      </c>
      <c r="BW476" s="244">
        <v>8.7916746139526367</v>
      </c>
      <c r="BX476" s="244">
        <v>5.7906060218811035</v>
      </c>
      <c r="BY476" s="244"/>
      <c r="BZ476" s="244">
        <v>0</v>
      </c>
      <c r="CA476" s="244">
        <v>0</v>
      </c>
      <c r="CB476" s="244">
        <v>381.21255493164063</v>
      </c>
      <c r="CC476" s="244">
        <v>5.7906060218811035</v>
      </c>
      <c r="CD476" s="228">
        <v>65.832931508074964</v>
      </c>
      <c r="CE476" s="244">
        <v>-407.77078247070312</v>
      </c>
      <c r="CF476" s="244">
        <v>0.48959143821160256</v>
      </c>
      <c r="CG476" s="244">
        <v>0.46464032551536294</v>
      </c>
      <c r="CH476" s="244">
        <v>0.9542317637269655</v>
      </c>
      <c r="CI476" s="244">
        <v>2.4006834962176034E-2</v>
      </c>
      <c r="CJ476" s="244">
        <v>2.9040020344710253E-2</v>
      </c>
      <c r="CK476" s="244">
        <v>5.3046855306886284E-2</v>
      </c>
      <c r="CL476" s="244"/>
      <c r="CM476" s="244">
        <v>4.914956477060211</v>
      </c>
      <c r="CN476" s="244" t="s">
        <v>442</v>
      </c>
      <c r="CO476" s="244">
        <v>0.28600001335144043</v>
      </c>
      <c r="CP476" s="244">
        <v>0.31700000166893005</v>
      </c>
      <c r="CQ476" s="244">
        <v>41.032655964341778</v>
      </c>
      <c r="CR476" s="244">
        <v>0</v>
      </c>
      <c r="CS476" s="244">
        <v>0</v>
      </c>
      <c r="CT476" s="244">
        <v>41.032657623291016</v>
      </c>
      <c r="CU476" s="244">
        <v>0</v>
      </c>
      <c r="CV476" s="244">
        <v>0</v>
      </c>
      <c r="CW476" s="228">
        <v>9999</v>
      </c>
    </row>
    <row r="477" spans="1:101">
      <c r="A477" s="221" t="s">
        <v>559</v>
      </c>
      <c r="B477" s="221" t="s">
        <v>440</v>
      </c>
      <c r="C477" s="244">
        <v>10</v>
      </c>
      <c r="D477" s="244">
        <v>123.66116977993606</v>
      </c>
      <c r="E477" s="244">
        <v>0</v>
      </c>
      <c r="F477" s="244">
        <v>11.336666666666666</v>
      </c>
      <c r="G477" s="244">
        <v>0</v>
      </c>
      <c r="H477" s="244">
        <v>0</v>
      </c>
      <c r="I477" s="244" t="s">
        <v>441</v>
      </c>
      <c r="J477" s="244">
        <v>0.28600001335144043</v>
      </c>
      <c r="K477" s="244">
        <v>0.31700000166893005</v>
      </c>
      <c r="L477" s="244">
        <v>134.8492661562635</v>
      </c>
      <c r="M477" s="244">
        <v>1.706230454146862E-2</v>
      </c>
      <c r="N477" s="244">
        <v>5.3824305534362793E-2</v>
      </c>
      <c r="O477" s="244">
        <v>0</v>
      </c>
      <c r="P477" s="244">
        <v>0</v>
      </c>
      <c r="Q477" s="244">
        <v>0</v>
      </c>
      <c r="R477" s="244">
        <v>1.1271885633468628</v>
      </c>
      <c r="S477" s="244">
        <v>6.2292284965515137</v>
      </c>
      <c r="T477" s="244">
        <v>0</v>
      </c>
      <c r="U477" s="244">
        <v>12.556410789489746</v>
      </c>
      <c r="V477" s="244" t="s">
        <v>226</v>
      </c>
      <c r="W477" s="244" t="s">
        <v>226</v>
      </c>
      <c r="X477" s="244" t="s">
        <v>226</v>
      </c>
      <c r="Y477" s="244" t="s">
        <v>226</v>
      </c>
      <c r="Z477" s="244">
        <v>0</v>
      </c>
      <c r="AA477" s="244">
        <v>0</v>
      </c>
      <c r="AB477" s="244">
        <v>0</v>
      </c>
      <c r="AC477" s="244">
        <v>0</v>
      </c>
      <c r="AD477" s="244">
        <v>0</v>
      </c>
      <c r="AE477" s="244">
        <v>0</v>
      </c>
      <c r="AF477" s="244">
        <v>0</v>
      </c>
      <c r="AG477" s="244">
        <v>0</v>
      </c>
      <c r="AH477" s="244">
        <v>1.1271885633468628</v>
      </c>
      <c r="AI477" s="244">
        <v>6.2292284965515137</v>
      </c>
      <c r="AJ477" s="244">
        <v>0</v>
      </c>
      <c r="AK477" s="244">
        <v>12.556410789489746</v>
      </c>
      <c r="AL477" s="244">
        <v>19.912827849388123</v>
      </c>
      <c r="AM477" s="244">
        <v>95.044002512984619</v>
      </c>
      <c r="AN477" s="244">
        <v>0</v>
      </c>
      <c r="AO477" s="244">
        <v>16.73063850402832</v>
      </c>
      <c r="AP477" s="244">
        <v>72.262374877929688</v>
      </c>
      <c r="AQ477" s="244">
        <v>184.03701782226562</v>
      </c>
      <c r="AR477" s="244">
        <v>1.1271885633468628</v>
      </c>
      <c r="AS477" s="228">
        <v>163.2708331856185</v>
      </c>
      <c r="AT477" s="244">
        <v>95.044002512984619</v>
      </c>
      <c r="AU477" s="244">
        <v>15.42771053314209</v>
      </c>
      <c r="AV477" s="244">
        <v>18.273408889770508</v>
      </c>
      <c r="AW477" s="244">
        <v>72.262374877929688</v>
      </c>
      <c r="AX477" s="244">
        <v>201.00749206542969</v>
      </c>
      <c r="AY477" s="244">
        <v>6.2292284965515137</v>
      </c>
      <c r="AZ477" s="228">
        <v>32.268441738026496</v>
      </c>
      <c r="BA477" s="244">
        <v>95.044002512984619</v>
      </c>
      <c r="BB477" s="244">
        <v>15.42771053314209</v>
      </c>
      <c r="BC477" s="244">
        <v>18.273408889770508</v>
      </c>
      <c r="BD477" s="244">
        <v>72.262374877929688</v>
      </c>
      <c r="BE477" s="244">
        <v>201.00749206542969</v>
      </c>
      <c r="BF477" s="244">
        <v>7.356417179107666</v>
      </c>
      <c r="BG477" s="244">
        <v>-58.676528930664063</v>
      </c>
      <c r="BH477" s="228">
        <v>27.324102912757322</v>
      </c>
      <c r="BI477" s="244">
        <v>0.67073798179626465</v>
      </c>
      <c r="BJ477" s="244">
        <v>3.7067267894744873</v>
      </c>
      <c r="BK477" s="244">
        <v>0</v>
      </c>
      <c r="BL477" s="244">
        <v>7.4717416763305664</v>
      </c>
      <c r="BM477" s="244">
        <v>11.849206924438477</v>
      </c>
      <c r="BN477" s="244">
        <v>95.044002512984619</v>
      </c>
      <c r="BO477" s="244">
        <v>0</v>
      </c>
      <c r="BP477" s="244">
        <v>15.42771053314209</v>
      </c>
      <c r="BQ477" s="244">
        <v>0</v>
      </c>
      <c r="BR477" s="244">
        <v>0</v>
      </c>
      <c r="BS477" s="244">
        <v>0</v>
      </c>
      <c r="BT477" s="244">
        <v>72.262374877929688</v>
      </c>
      <c r="BU477" s="244">
        <v>0</v>
      </c>
      <c r="BV477" s="244">
        <v>178.87702941894531</v>
      </c>
      <c r="BW477" s="244">
        <v>18.273408889770508</v>
      </c>
      <c r="BX477" s="244">
        <v>19.91282844543457</v>
      </c>
      <c r="BY477" s="244"/>
      <c r="BZ477" s="244">
        <v>0</v>
      </c>
      <c r="CA477" s="244">
        <v>0</v>
      </c>
      <c r="CB477" s="244">
        <v>379.884521484375</v>
      </c>
      <c r="CC477" s="244">
        <v>19.91282844543457</v>
      </c>
      <c r="CD477" s="228">
        <v>19.077376540140314</v>
      </c>
      <c r="CE477" s="244">
        <v>-157.64627075195312</v>
      </c>
      <c r="CF477" s="244">
        <v>1.0176110726672427</v>
      </c>
      <c r="CG477" s="244">
        <v>0</v>
      </c>
      <c r="CH477" s="244">
        <v>1.0176110726672427</v>
      </c>
      <c r="CI477" s="244">
        <v>4.9897974454869556E-2</v>
      </c>
      <c r="CJ477" s="244">
        <v>0</v>
      </c>
      <c r="CK477" s="244">
        <v>4.9897974454869556E-2</v>
      </c>
      <c r="CL477" s="244"/>
      <c r="CM477" s="244">
        <v>0</v>
      </c>
      <c r="CN477" s="244" t="s">
        <v>442</v>
      </c>
      <c r="CO477" s="244">
        <v>0</v>
      </c>
      <c r="CP477" s="244">
        <v>0</v>
      </c>
      <c r="CQ477" s="244">
        <v>0</v>
      </c>
      <c r="CR477" s="244">
        <v>0</v>
      </c>
      <c r="CS477" s="244">
        <v>0</v>
      </c>
      <c r="CT477" s="244">
        <v>0</v>
      </c>
      <c r="CU477" s="244">
        <v>0</v>
      </c>
      <c r="CV477" s="244">
        <v>9999</v>
      </c>
      <c r="CW477" s="228">
        <v>9999</v>
      </c>
    </row>
    <row r="478" spans="1:101">
      <c r="A478" s="221" t="s">
        <v>560</v>
      </c>
      <c r="B478" s="221" t="s">
        <v>440</v>
      </c>
      <c r="C478" s="244">
        <v>10</v>
      </c>
      <c r="D478" s="244">
        <v>0</v>
      </c>
      <c r="E478" s="244">
        <v>5.5148098468412918</v>
      </c>
      <c r="F478" s="244">
        <v>11.336666666666666</v>
      </c>
      <c r="G478" s="244">
        <v>0</v>
      </c>
      <c r="H478" s="244">
        <v>0</v>
      </c>
      <c r="I478" s="244" t="s">
        <v>441</v>
      </c>
      <c r="J478" s="244">
        <v>0</v>
      </c>
      <c r="K478" s="244">
        <v>0</v>
      </c>
      <c r="L478" s="244">
        <v>0</v>
      </c>
      <c r="M478" s="244">
        <v>0</v>
      </c>
      <c r="N478" s="244">
        <v>0</v>
      </c>
      <c r="O478" s="244">
        <v>5.5699579453097048</v>
      </c>
      <c r="P478" s="244">
        <v>1.6902653500437737E-2</v>
      </c>
      <c r="Q478" s="244">
        <v>5.332067608833313E-2</v>
      </c>
      <c r="R478" s="244">
        <v>1.1271885633468628</v>
      </c>
      <c r="S478" s="244">
        <v>6.2292284965515137</v>
      </c>
      <c r="T478" s="244">
        <v>0</v>
      </c>
      <c r="U478" s="244">
        <v>12.556410789489746</v>
      </c>
      <c r="V478" s="244" t="s">
        <v>226</v>
      </c>
      <c r="W478" s="244" t="s">
        <v>226</v>
      </c>
      <c r="X478" s="244" t="s">
        <v>226</v>
      </c>
      <c r="Y478" s="244" t="s">
        <v>226</v>
      </c>
      <c r="Z478" s="244">
        <v>0</v>
      </c>
      <c r="AA478" s="244">
        <v>0</v>
      </c>
      <c r="AB478" s="244">
        <v>0</v>
      </c>
      <c r="AC478" s="244">
        <v>0</v>
      </c>
      <c r="AD478" s="244">
        <v>0</v>
      </c>
      <c r="AE478" s="244">
        <v>0</v>
      </c>
      <c r="AF478" s="244">
        <v>0</v>
      </c>
      <c r="AG478" s="244">
        <v>0</v>
      </c>
      <c r="AH478" s="244">
        <v>1.1271885633468628</v>
      </c>
      <c r="AI478" s="244">
        <v>6.2292284965515137</v>
      </c>
      <c r="AJ478" s="244">
        <v>0</v>
      </c>
      <c r="AK478" s="244">
        <v>12.556410789489746</v>
      </c>
      <c r="AL478" s="244">
        <v>19.912827849388123</v>
      </c>
      <c r="AM478" s="244">
        <v>0</v>
      </c>
      <c r="AN478" s="244">
        <v>0</v>
      </c>
      <c r="AO478" s="244">
        <v>0</v>
      </c>
      <c r="AP478" s="244">
        <v>0</v>
      </c>
      <c r="AQ478" s="244">
        <v>0</v>
      </c>
      <c r="AR478" s="244">
        <v>1.1271885633468628</v>
      </c>
      <c r="AS478" s="255">
        <v>0</v>
      </c>
      <c r="AT478" s="244">
        <v>0</v>
      </c>
      <c r="AU478" s="244">
        <v>0</v>
      </c>
      <c r="AV478" s="244">
        <v>0</v>
      </c>
      <c r="AW478" s="244">
        <v>0</v>
      </c>
      <c r="AX478" s="244">
        <v>0</v>
      </c>
      <c r="AY478" s="244">
        <v>6.2292284965515137</v>
      </c>
      <c r="AZ478" s="255">
        <v>0</v>
      </c>
      <c r="BA478" s="244">
        <v>0</v>
      </c>
      <c r="BB478" s="244">
        <v>0</v>
      </c>
      <c r="BC478" s="244">
        <v>0</v>
      </c>
      <c r="BD478" s="244">
        <v>0</v>
      </c>
      <c r="BE478" s="244">
        <v>0</v>
      </c>
      <c r="BF478" s="244">
        <v>7.356417179107666</v>
      </c>
      <c r="BG478" s="244">
        <v>9999</v>
      </c>
      <c r="BH478" s="255">
        <v>0</v>
      </c>
      <c r="BI478" s="244">
        <v>9999</v>
      </c>
      <c r="BJ478" s="244">
        <v>9999</v>
      </c>
      <c r="BK478" s="244">
        <v>9999</v>
      </c>
      <c r="BL478" s="244">
        <v>9999</v>
      </c>
      <c r="BM478" s="244">
        <v>9999</v>
      </c>
      <c r="BN478" s="244">
        <v>0</v>
      </c>
      <c r="BO478" s="244">
        <v>46.04054913006113</v>
      </c>
      <c r="BP478" s="244">
        <v>0</v>
      </c>
      <c r="BQ478" s="244">
        <v>0</v>
      </c>
      <c r="BR478" s="244">
        <v>0</v>
      </c>
      <c r="BS478" s="244">
        <v>0</v>
      </c>
      <c r="BT478" s="244">
        <v>0</v>
      </c>
      <c r="BU478" s="244">
        <v>0</v>
      </c>
      <c r="BV478" s="244">
        <v>178.87702941894531</v>
      </c>
      <c r="BW478" s="244">
        <v>0</v>
      </c>
      <c r="BX478" s="244">
        <v>19.91282844543457</v>
      </c>
      <c r="BY478" s="244"/>
      <c r="BZ478" s="244">
        <v>0</v>
      </c>
      <c r="CA478" s="244">
        <v>0</v>
      </c>
      <c r="CB478" s="244">
        <v>224.91757202148437</v>
      </c>
      <c r="CC478" s="244">
        <v>19.91282844543457</v>
      </c>
      <c r="CD478" s="228">
        <v>11.295109540331197</v>
      </c>
      <c r="CE478" s="244">
        <v>9999</v>
      </c>
      <c r="CF478" s="244">
        <v>0</v>
      </c>
      <c r="CG478" s="244">
        <v>0.52134806368098807</v>
      </c>
      <c r="CH478" s="244">
        <v>0.52134806368098807</v>
      </c>
      <c r="CI478" s="244">
        <v>0</v>
      </c>
      <c r="CJ478" s="244">
        <v>3.2584253980061775E-2</v>
      </c>
      <c r="CK478" s="244">
        <v>3.2584253980061775E-2</v>
      </c>
      <c r="CL478" s="244"/>
      <c r="CM478" s="244">
        <v>5.5148098468412918</v>
      </c>
      <c r="CN478" s="244" t="s">
        <v>442</v>
      </c>
      <c r="CO478" s="244">
        <v>0.28600001335144043</v>
      </c>
      <c r="CP478" s="244">
        <v>0.31700000166893005</v>
      </c>
      <c r="CQ478" s="244">
        <v>46.04054913006113</v>
      </c>
      <c r="CR478" s="244">
        <v>0</v>
      </c>
      <c r="CS478" s="244">
        <v>0</v>
      </c>
      <c r="CT478" s="244">
        <v>46.040550231933594</v>
      </c>
      <c r="CU478" s="244">
        <v>0</v>
      </c>
      <c r="CV478" s="244">
        <v>0</v>
      </c>
      <c r="CW478" s="228">
        <v>9999</v>
      </c>
    </row>
    <row r="479" spans="1:101">
      <c r="A479" s="221" t="s">
        <v>561</v>
      </c>
      <c r="B479" s="221" t="s">
        <v>440</v>
      </c>
      <c r="C479" s="244">
        <v>10</v>
      </c>
      <c r="D479" s="244">
        <v>43.353222306192862</v>
      </c>
      <c r="E479" s="244">
        <v>3.5814238236299598</v>
      </c>
      <c r="F479" s="244">
        <v>11.336666666666666</v>
      </c>
      <c r="G479" s="244">
        <v>0</v>
      </c>
      <c r="H479" s="244">
        <v>0</v>
      </c>
      <c r="I479" s="244" t="s">
        <v>441</v>
      </c>
      <c r="J479" s="244">
        <v>0.28600001335144043</v>
      </c>
      <c r="K479" s="244">
        <v>0.31700000166893005</v>
      </c>
      <c r="L479" s="244">
        <v>47.275553222592876</v>
      </c>
      <c r="M479" s="244">
        <v>5.9817149303853512E-3</v>
      </c>
      <c r="N479" s="244">
        <v>1.8869763240218163E-2</v>
      </c>
      <c r="O479" s="244">
        <v>3.6172380618662596</v>
      </c>
      <c r="P479" s="244">
        <v>1.0976909659802914E-2</v>
      </c>
      <c r="Q479" s="244">
        <v>3.4627474844455719E-2</v>
      </c>
      <c r="R479" s="244">
        <v>1.1271885633468628</v>
      </c>
      <c r="S479" s="244">
        <v>6.2292284965515137</v>
      </c>
      <c r="T479" s="244">
        <v>0</v>
      </c>
      <c r="U479" s="244">
        <v>12.556410789489746</v>
      </c>
      <c r="V479" s="244" t="s">
        <v>226</v>
      </c>
      <c r="W479" s="244" t="s">
        <v>226</v>
      </c>
      <c r="X479" s="244" t="s">
        <v>226</v>
      </c>
      <c r="Y479" s="244" t="s">
        <v>226</v>
      </c>
      <c r="Z479" s="244">
        <v>0</v>
      </c>
      <c r="AA479" s="244">
        <v>0</v>
      </c>
      <c r="AB479" s="244">
        <v>0</v>
      </c>
      <c r="AC479" s="244">
        <v>0</v>
      </c>
      <c r="AD479" s="244">
        <v>0</v>
      </c>
      <c r="AE479" s="244">
        <v>0</v>
      </c>
      <c r="AF479" s="244">
        <v>0</v>
      </c>
      <c r="AG479" s="244">
        <v>0</v>
      </c>
      <c r="AH479" s="244">
        <v>1.1271885633468628</v>
      </c>
      <c r="AI479" s="244">
        <v>6.2292284965515137</v>
      </c>
      <c r="AJ479" s="244">
        <v>0</v>
      </c>
      <c r="AK479" s="244">
        <v>12.556410789489746</v>
      </c>
      <c r="AL479" s="244">
        <v>19.912827849388123</v>
      </c>
      <c r="AM479" s="244">
        <v>33.320595116061348</v>
      </c>
      <c r="AN479" s="244">
        <v>0</v>
      </c>
      <c r="AO479" s="244">
        <v>5.8654398918151855</v>
      </c>
      <c r="AP479" s="244">
        <v>25.333805084228516</v>
      </c>
      <c r="AQ479" s="244">
        <v>64.51983642578125</v>
      </c>
      <c r="AR479" s="244">
        <v>1.1271885633468628</v>
      </c>
      <c r="AS479" s="228">
        <v>57.239615615449395</v>
      </c>
      <c r="AT479" s="244">
        <v>33.320595116061348</v>
      </c>
      <c r="AU479" s="244">
        <v>5.4086580276489258</v>
      </c>
      <c r="AV479" s="244">
        <v>6.4063057899475098</v>
      </c>
      <c r="AW479" s="244">
        <v>25.333805084228516</v>
      </c>
      <c r="AX479" s="244">
        <v>70.4693603515625</v>
      </c>
      <c r="AY479" s="244">
        <v>6.2292284965515137</v>
      </c>
      <c r="AZ479" s="228">
        <v>11.31269531321543</v>
      </c>
      <c r="BA479" s="244">
        <v>33.320595116061348</v>
      </c>
      <c r="BB479" s="244">
        <v>5.4086580276489258</v>
      </c>
      <c r="BC479" s="244">
        <v>6.4063057899475098</v>
      </c>
      <c r="BD479" s="244">
        <v>25.333805084228516</v>
      </c>
      <c r="BE479" s="244">
        <v>70.4693603515625</v>
      </c>
      <c r="BF479" s="244">
        <v>7.356417179107666</v>
      </c>
      <c r="BG479" s="244">
        <v>-50.567684173583984</v>
      </c>
      <c r="BH479" s="228">
        <v>9.5793051758894965</v>
      </c>
      <c r="BI479" s="244">
        <v>1.9132198095321655</v>
      </c>
      <c r="BJ479" s="244">
        <v>10.573104858398438</v>
      </c>
      <c r="BK479" s="244">
        <v>0</v>
      </c>
      <c r="BL479" s="244">
        <v>21.312471389770508</v>
      </c>
      <c r="BM479" s="244">
        <v>33.798797607421875</v>
      </c>
      <c r="BN479" s="244">
        <v>33.320595116061348</v>
      </c>
      <c r="BO479" s="244">
        <v>29.899620129577222</v>
      </c>
      <c r="BP479" s="244">
        <v>5.4086580276489258</v>
      </c>
      <c r="BQ479" s="244">
        <v>0</v>
      </c>
      <c r="BR479" s="244">
        <v>0</v>
      </c>
      <c r="BS479" s="244">
        <v>0</v>
      </c>
      <c r="BT479" s="244">
        <v>25.333805084228516</v>
      </c>
      <c r="BU479" s="244">
        <v>0</v>
      </c>
      <c r="BV479" s="244">
        <v>178.87702941894531</v>
      </c>
      <c r="BW479" s="244">
        <v>6.4063057899475098</v>
      </c>
      <c r="BX479" s="244">
        <v>19.91282844543457</v>
      </c>
      <c r="BY479" s="244"/>
      <c r="BZ479" s="244">
        <v>0</v>
      </c>
      <c r="CA479" s="244">
        <v>0</v>
      </c>
      <c r="CB479" s="244">
        <v>279.24600219726562</v>
      </c>
      <c r="CC479" s="244">
        <v>19.91282844543457</v>
      </c>
      <c r="CD479" s="228">
        <v>14.023422856858479</v>
      </c>
      <c r="CE479" s="244">
        <v>-383.61972045898437</v>
      </c>
      <c r="CF479" s="244">
        <v>0.35675482556970201</v>
      </c>
      <c r="CG479" s="244">
        <v>0.33857348259068143</v>
      </c>
      <c r="CH479" s="244">
        <v>0.69532830816038338</v>
      </c>
      <c r="CI479" s="244">
        <v>1.749326795970255E-2</v>
      </c>
      <c r="CJ479" s="244">
        <v>2.1160842661917627E-2</v>
      </c>
      <c r="CK479" s="244">
        <v>3.8654110621620177E-2</v>
      </c>
      <c r="CL479" s="244"/>
      <c r="CM479" s="244">
        <v>3.5814238236299598</v>
      </c>
      <c r="CN479" s="244" t="s">
        <v>442</v>
      </c>
      <c r="CO479" s="244">
        <v>0.28600001335144043</v>
      </c>
      <c r="CP479" s="244">
        <v>0.31700000166893005</v>
      </c>
      <c r="CQ479" s="244">
        <v>29.899620129577222</v>
      </c>
      <c r="CR479" s="244">
        <v>0</v>
      </c>
      <c r="CS479" s="244">
        <v>0</v>
      </c>
      <c r="CT479" s="244">
        <v>29.899620056152344</v>
      </c>
      <c r="CU479" s="244">
        <v>0</v>
      </c>
      <c r="CV479" s="244">
        <v>0</v>
      </c>
      <c r="CW479" s="228">
        <v>9999</v>
      </c>
    </row>
    <row r="480" spans="1:101">
      <c r="A480" s="221" t="s">
        <v>562</v>
      </c>
      <c r="B480" s="221" t="s">
        <v>440</v>
      </c>
      <c r="C480" s="244">
        <v>10</v>
      </c>
      <c r="D480" s="244">
        <v>131.97306622381231</v>
      </c>
      <c r="E480" s="244">
        <v>0</v>
      </c>
      <c r="F480" s="244">
        <v>11.336666666666666</v>
      </c>
      <c r="G480" s="244">
        <v>0</v>
      </c>
      <c r="H480" s="244">
        <v>0</v>
      </c>
      <c r="I480" s="244" t="s">
        <v>441</v>
      </c>
      <c r="J480" s="244">
        <v>0.28600001335144043</v>
      </c>
      <c r="K480" s="244">
        <v>0.31700000166893005</v>
      </c>
      <c r="L480" s="244">
        <v>143.91317148578776</v>
      </c>
      <c r="M480" s="244">
        <v>1.8209148198366165E-2</v>
      </c>
      <c r="N480" s="244">
        <v>5.7442110031843185E-2</v>
      </c>
      <c r="O480" s="244">
        <v>0</v>
      </c>
      <c r="P480" s="244">
        <v>0</v>
      </c>
      <c r="Q480" s="244">
        <v>0</v>
      </c>
      <c r="R480" s="244">
        <v>1.1271885633468628</v>
      </c>
      <c r="S480" s="244">
        <v>6.2292284965515137</v>
      </c>
      <c r="T480" s="244">
        <v>0</v>
      </c>
      <c r="U480" s="244">
        <v>12.556410789489746</v>
      </c>
      <c r="V480" s="244" t="s">
        <v>226</v>
      </c>
      <c r="W480" s="244" t="s">
        <v>226</v>
      </c>
      <c r="X480" s="244" t="s">
        <v>226</v>
      </c>
      <c r="Y480" s="244" t="s">
        <v>226</v>
      </c>
      <c r="Z480" s="244">
        <v>0</v>
      </c>
      <c r="AA480" s="244">
        <v>0</v>
      </c>
      <c r="AB480" s="244">
        <v>0</v>
      </c>
      <c r="AC480" s="244">
        <v>0</v>
      </c>
      <c r="AD480" s="244">
        <v>0</v>
      </c>
      <c r="AE480" s="244">
        <v>0</v>
      </c>
      <c r="AF480" s="244">
        <v>0</v>
      </c>
      <c r="AG480" s="244">
        <v>0</v>
      </c>
      <c r="AH480" s="244">
        <v>1.1271885633468628</v>
      </c>
      <c r="AI480" s="244">
        <v>6.2292284965515137</v>
      </c>
      <c r="AJ480" s="244">
        <v>0</v>
      </c>
      <c r="AK480" s="244">
        <v>12.556410789489746</v>
      </c>
      <c r="AL480" s="244">
        <v>19.912827849388123</v>
      </c>
      <c r="AM480" s="244">
        <v>101.43239353261735</v>
      </c>
      <c r="AN480" s="244">
        <v>0</v>
      </c>
      <c r="AO480" s="244">
        <v>17.855190277099609</v>
      </c>
      <c r="AP480" s="244">
        <v>77.1195068359375</v>
      </c>
      <c r="AQ480" s="244">
        <v>196.40708923339844</v>
      </c>
      <c r="AR480" s="244">
        <v>1.1271885633468628</v>
      </c>
      <c r="AS480" s="228">
        <v>174.24510594969135</v>
      </c>
      <c r="AT480" s="244">
        <v>101.43239353261735</v>
      </c>
      <c r="AU480" s="244">
        <v>16.464685440063477</v>
      </c>
      <c r="AV480" s="244">
        <v>19.501659393310547</v>
      </c>
      <c r="AW480" s="244">
        <v>77.1195068359375</v>
      </c>
      <c r="AX480" s="244">
        <v>214.51824951171875</v>
      </c>
      <c r="AY480" s="244">
        <v>6.2292284965515137</v>
      </c>
      <c r="AZ480" s="228">
        <v>34.437369783543126</v>
      </c>
      <c r="BA480" s="244">
        <v>101.43239353261735</v>
      </c>
      <c r="BB480" s="244">
        <v>16.464685440063477</v>
      </c>
      <c r="BC480" s="244">
        <v>19.501659393310547</v>
      </c>
      <c r="BD480" s="244">
        <v>77.1195068359375</v>
      </c>
      <c r="BE480" s="244">
        <v>214.51824951171875</v>
      </c>
      <c r="BF480" s="244">
        <v>7.356417179107666</v>
      </c>
      <c r="BG480" s="244">
        <v>-58.952236175537109</v>
      </c>
      <c r="BH480" s="228">
        <v>29.160696498750752</v>
      </c>
      <c r="BI480" s="244">
        <v>0.62849372625350952</v>
      </c>
      <c r="BJ480" s="244">
        <v>3.4732706546783447</v>
      </c>
      <c r="BK480" s="244">
        <v>0</v>
      </c>
      <c r="BL480" s="244">
        <v>7.0011582374572754</v>
      </c>
      <c r="BM480" s="244">
        <v>11.102922439575195</v>
      </c>
      <c r="BN480" s="244">
        <v>101.43239353261735</v>
      </c>
      <c r="BO480" s="244">
        <v>0</v>
      </c>
      <c r="BP480" s="244">
        <v>16.464685440063477</v>
      </c>
      <c r="BQ480" s="244">
        <v>0</v>
      </c>
      <c r="BR480" s="244">
        <v>0</v>
      </c>
      <c r="BS480" s="244">
        <v>0</v>
      </c>
      <c r="BT480" s="244">
        <v>77.1195068359375</v>
      </c>
      <c r="BU480" s="244">
        <v>0</v>
      </c>
      <c r="BV480" s="244">
        <v>201.23664855957031</v>
      </c>
      <c r="BW480" s="244">
        <v>19.501659393310547</v>
      </c>
      <c r="BX480" s="244">
        <v>19.91282844543457</v>
      </c>
      <c r="BY480" s="244"/>
      <c r="BZ480" s="244">
        <v>0</v>
      </c>
      <c r="CA480" s="244">
        <v>0</v>
      </c>
      <c r="CB480" s="244">
        <v>415.7548828125</v>
      </c>
      <c r="CC480" s="244">
        <v>19.91282844543457</v>
      </c>
      <c r="CD480" s="228">
        <v>20.878746326809221</v>
      </c>
      <c r="CE480" s="244">
        <v>-164.1558837890625</v>
      </c>
      <c r="CF480" s="244">
        <v>1.0860098907538185</v>
      </c>
      <c r="CG480" s="244">
        <v>0</v>
      </c>
      <c r="CH480" s="244">
        <v>1.0860098907538185</v>
      </c>
      <c r="CI480" s="244">
        <v>5.3251871212971785E-2</v>
      </c>
      <c r="CJ480" s="244">
        <v>0</v>
      </c>
      <c r="CK480" s="244">
        <v>5.3251871212971785E-2</v>
      </c>
      <c r="CL480" s="244"/>
      <c r="CM480" s="244">
        <v>0</v>
      </c>
      <c r="CN480" s="244" t="s">
        <v>442</v>
      </c>
      <c r="CO480" s="244">
        <v>0</v>
      </c>
      <c r="CP480" s="244">
        <v>0</v>
      </c>
      <c r="CQ480" s="244">
        <v>0</v>
      </c>
      <c r="CR480" s="244">
        <v>0</v>
      </c>
      <c r="CS480" s="244">
        <v>0</v>
      </c>
      <c r="CT480" s="244">
        <v>0</v>
      </c>
      <c r="CU480" s="244">
        <v>0</v>
      </c>
      <c r="CV480" s="244">
        <v>9999</v>
      </c>
      <c r="CW480" s="228">
        <v>9999</v>
      </c>
    </row>
    <row r="481" spans="1:101">
      <c r="A481" s="221" t="s">
        <v>563</v>
      </c>
      <c r="B481" s="221" t="s">
        <v>440</v>
      </c>
      <c r="C481" s="244">
        <v>10</v>
      </c>
      <c r="D481" s="244">
        <v>0</v>
      </c>
      <c r="E481" s="244">
        <v>5.8854882775579469</v>
      </c>
      <c r="F481" s="244">
        <v>11.336666666666666</v>
      </c>
      <c r="G481" s="244">
        <v>0</v>
      </c>
      <c r="H481" s="244">
        <v>0</v>
      </c>
      <c r="I481" s="244" t="s">
        <v>441</v>
      </c>
      <c r="J481" s="244">
        <v>0</v>
      </c>
      <c r="K481" s="244">
        <v>0</v>
      </c>
      <c r="L481" s="244">
        <v>0</v>
      </c>
      <c r="M481" s="244">
        <v>0</v>
      </c>
      <c r="N481" s="244">
        <v>0</v>
      </c>
      <c r="O481" s="244">
        <v>5.9443431603335242</v>
      </c>
      <c r="P481" s="244">
        <v>1.8038768321275711E-2</v>
      </c>
      <c r="Q481" s="244">
        <v>5.6904628872871399E-2</v>
      </c>
      <c r="R481" s="244">
        <v>1.1271885633468628</v>
      </c>
      <c r="S481" s="244">
        <v>6.2292284965515137</v>
      </c>
      <c r="T481" s="244">
        <v>0</v>
      </c>
      <c r="U481" s="244">
        <v>12.556410789489746</v>
      </c>
      <c r="V481" s="244" t="s">
        <v>226</v>
      </c>
      <c r="W481" s="244" t="s">
        <v>226</v>
      </c>
      <c r="X481" s="244" t="s">
        <v>226</v>
      </c>
      <c r="Y481" s="244" t="s">
        <v>226</v>
      </c>
      <c r="Z481" s="244">
        <v>0</v>
      </c>
      <c r="AA481" s="244">
        <v>0</v>
      </c>
      <c r="AB481" s="244">
        <v>0</v>
      </c>
      <c r="AC481" s="244">
        <v>0</v>
      </c>
      <c r="AD481" s="244">
        <v>0</v>
      </c>
      <c r="AE481" s="244">
        <v>0</v>
      </c>
      <c r="AF481" s="244">
        <v>0</v>
      </c>
      <c r="AG481" s="244">
        <v>0</v>
      </c>
      <c r="AH481" s="244">
        <v>1.1271885633468628</v>
      </c>
      <c r="AI481" s="244">
        <v>6.2292284965515137</v>
      </c>
      <c r="AJ481" s="244">
        <v>0</v>
      </c>
      <c r="AK481" s="244">
        <v>12.556410789489746</v>
      </c>
      <c r="AL481" s="244">
        <v>19.912827849388123</v>
      </c>
      <c r="AM481" s="244">
        <v>0</v>
      </c>
      <c r="AN481" s="244">
        <v>0</v>
      </c>
      <c r="AO481" s="244">
        <v>0</v>
      </c>
      <c r="AP481" s="244">
        <v>0</v>
      </c>
      <c r="AQ481" s="244">
        <v>0</v>
      </c>
      <c r="AR481" s="244">
        <v>1.1271885633468628</v>
      </c>
      <c r="AS481" s="255">
        <v>0</v>
      </c>
      <c r="AT481" s="244">
        <v>0</v>
      </c>
      <c r="AU481" s="244">
        <v>0</v>
      </c>
      <c r="AV481" s="244">
        <v>0</v>
      </c>
      <c r="AW481" s="244">
        <v>0</v>
      </c>
      <c r="AX481" s="244">
        <v>0</v>
      </c>
      <c r="AY481" s="244">
        <v>6.2292284965515137</v>
      </c>
      <c r="AZ481" s="255">
        <v>0</v>
      </c>
      <c r="BA481" s="244">
        <v>0</v>
      </c>
      <c r="BB481" s="244">
        <v>0</v>
      </c>
      <c r="BC481" s="244">
        <v>0</v>
      </c>
      <c r="BD481" s="244">
        <v>0</v>
      </c>
      <c r="BE481" s="244">
        <v>0</v>
      </c>
      <c r="BF481" s="244">
        <v>7.356417179107666</v>
      </c>
      <c r="BG481" s="244">
        <v>9999</v>
      </c>
      <c r="BH481" s="255">
        <v>0</v>
      </c>
      <c r="BI481" s="244">
        <v>9999</v>
      </c>
      <c r="BJ481" s="244">
        <v>9999</v>
      </c>
      <c r="BK481" s="244">
        <v>9999</v>
      </c>
      <c r="BL481" s="244">
        <v>9999</v>
      </c>
      <c r="BM481" s="244">
        <v>9999</v>
      </c>
      <c r="BN481" s="244">
        <v>0</v>
      </c>
      <c r="BO481" s="244">
        <v>49.13516870441314</v>
      </c>
      <c r="BP481" s="244">
        <v>0</v>
      </c>
      <c r="BQ481" s="244">
        <v>0</v>
      </c>
      <c r="BR481" s="244">
        <v>0</v>
      </c>
      <c r="BS481" s="244">
        <v>0</v>
      </c>
      <c r="BT481" s="244">
        <v>0</v>
      </c>
      <c r="BU481" s="244">
        <v>0</v>
      </c>
      <c r="BV481" s="244">
        <v>201.23664855957031</v>
      </c>
      <c r="BW481" s="244">
        <v>0</v>
      </c>
      <c r="BX481" s="244">
        <v>19.91282844543457</v>
      </c>
      <c r="BY481" s="244"/>
      <c r="BZ481" s="244">
        <v>0</v>
      </c>
      <c r="CA481" s="244">
        <v>0</v>
      </c>
      <c r="CB481" s="244">
        <v>250.37181091308594</v>
      </c>
      <c r="CC481" s="244">
        <v>19.91282844543457</v>
      </c>
      <c r="CD481" s="228">
        <v>12.573392973783511</v>
      </c>
      <c r="CE481" s="244">
        <v>9999</v>
      </c>
      <c r="CF481" s="244">
        <v>0</v>
      </c>
      <c r="CG481" s="244">
        <v>0.55639051980721932</v>
      </c>
      <c r="CH481" s="244">
        <v>0.55639051980721932</v>
      </c>
      <c r="CI481" s="244">
        <v>0</v>
      </c>
      <c r="CJ481" s="244">
        <v>3.4774407487951096E-2</v>
      </c>
      <c r="CK481" s="244">
        <v>3.4774407487951096E-2</v>
      </c>
      <c r="CL481" s="244"/>
      <c r="CM481" s="244">
        <v>5.8854882775579469</v>
      </c>
      <c r="CN481" s="244" t="s">
        <v>442</v>
      </c>
      <c r="CO481" s="244">
        <v>0.28600001335144043</v>
      </c>
      <c r="CP481" s="244">
        <v>0.31700000166893005</v>
      </c>
      <c r="CQ481" s="244">
        <v>49.13516870441314</v>
      </c>
      <c r="CR481" s="244">
        <v>0</v>
      </c>
      <c r="CS481" s="244">
        <v>0</v>
      </c>
      <c r="CT481" s="244">
        <v>49.135169982910156</v>
      </c>
      <c r="CU481" s="244">
        <v>0</v>
      </c>
      <c r="CV481" s="244">
        <v>0</v>
      </c>
      <c r="CW481" s="228">
        <v>9999</v>
      </c>
    </row>
    <row r="482" spans="1:101">
      <c r="A482" s="221" t="s">
        <v>564</v>
      </c>
      <c r="B482" s="221" t="s">
        <v>440</v>
      </c>
      <c r="C482" s="244">
        <v>10</v>
      </c>
      <c r="D482" s="244">
        <v>46.267212970834677</v>
      </c>
      <c r="E482" s="244">
        <v>3.8221495421123075</v>
      </c>
      <c r="F482" s="244">
        <v>11.336666666666666</v>
      </c>
      <c r="G482" s="244">
        <v>0</v>
      </c>
      <c r="H482" s="244">
        <v>0</v>
      </c>
      <c r="I482" s="244" t="s">
        <v>441</v>
      </c>
      <c r="J482" s="244">
        <v>0.28600001335144043</v>
      </c>
      <c r="K482" s="244">
        <v>0.31700000166893005</v>
      </c>
      <c r="L482" s="244">
        <v>50.453183706053714</v>
      </c>
      <c r="M482" s="244">
        <v>6.3837766647338867E-3</v>
      </c>
      <c r="N482" s="244">
        <v>2.0138096064329147E-2</v>
      </c>
      <c r="O482" s="244">
        <v>3.8603710375334281</v>
      </c>
      <c r="P482" s="244">
        <v>1.1714722961187363E-2</v>
      </c>
      <c r="Q482" s="244">
        <v>3.6954961717128754E-2</v>
      </c>
      <c r="R482" s="244">
        <v>1.1271885633468628</v>
      </c>
      <c r="S482" s="244">
        <v>6.2292284965515137</v>
      </c>
      <c r="T482" s="244">
        <v>0</v>
      </c>
      <c r="U482" s="244">
        <v>12.556410789489746</v>
      </c>
      <c r="V482" s="244" t="s">
        <v>226</v>
      </c>
      <c r="W482" s="244" t="s">
        <v>226</v>
      </c>
      <c r="X482" s="244" t="s">
        <v>226</v>
      </c>
      <c r="Y482" s="244" t="s">
        <v>226</v>
      </c>
      <c r="Z482" s="244">
        <v>0</v>
      </c>
      <c r="AA482" s="244">
        <v>0</v>
      </c>
      <c r="AB482" s="244">
        <v>0</v>
      </c>
      <c r="AC482" s="244">
        <v>0</v>
      </c>
      <c r="AD482" s="244">
        <v>0</v>
      </c>
      <c r="AE482" s="244">
        <v>0</v>
      </c>
      <c r="AF482" s="244">
        <v>0</v>
      </c>
      <c r="AG482" s="244">
        <v>0</v>
      </c>
      <c r="AH482" s="244">
        <v>1.1271885633468628</v>
      </c>
      <c r="AI482" s="244">
        <v>6.2292284965515137</v>
      </c>
      <c r="AJ482" s="244">
        <v>0</v>
      </c>
      <c r="AK482" s="244">
        <v>12.556410789489746</v>
      </c>
      <c r="AL482" s="244">
        <v>19.912827849388123</v>
      </c>
      <c r="AM482" s="244">
        <v>35.560241858413001</v>
      </c>
      <c r="AN482" s="244">
        <v>0</v>
      </c>
      <c r="AO482" s="244">
        <v>6.2596859931945801</v>
      </c>
      <c r="AP482" s="244">
        <v>27.036615371704102</v>
      </c>
      <c r="AQ482" s="244">
        <v>68.856544494628906</v>
      </c>
      <c r="AR482" s="244">
        <v>1.1271885633468628</v>
      </c>
      <c r="AS482" s="228">
        <v>61.086978223822598</v>
      </c>
      <c r="AT482" s="244">
        <v>35.560241858413001</v>
      </c>
      <c r="AU482" s="244">
        <v>5.7722020149230957</v>
      </c>
      <c r="AV482" s="244">
        <v>6.8369059562683105</v>
      </c>
      <c r="AW482" s="244">
        <v>27.036615371704102</v>
      </c>
      <c r="AX482" s="244">
        <v>75.205963134765625</v>
      </c>
      <c r="AY482" s="244">
        <v>6.2292284965515137</v>
      </c>
      <c r="AZ482" s="228">
        <v>12.073078591183862</v>
      </c>
      <c r="BA482" s="244">
        <v>35.560241858413001</v>
      </c>
      <c r="BB482" s="244">
        <v>5.7722020149230957</v>
      </c>
      <c r="BC482" s="244">
        <v>6.8369059562683105</v>
      </c>
      <c r="BD482" s="244">
        <v>27.036615371704102</v>
      </c>
      <c r="BE482" s="244">
        <v>75.205963134765625</v>
      </c>
      <c r="BF482" s="244">
        <v>7.356417179107666</v>
      </c>
      <c r="BG482" s="244">
        <v>-51.354091644287109</v>
      </c>
      <c r="BH482" s="228">
        <v>10.223178564912336</v>
      </c>
      <c r="BI482" s="244">
        <v>1.7927218675613403</v>
      </c>
      <c r="BJ482" s="244">
        <v>9.9071922302246094</v>
      </c>
      <c r="BK482" s="244">
        <v>0</v>
      </c>
      <c r="BL482" s="244">
        <v>19.970174789428711</v>
      </c>
      <c r="BM482" s="244">
        <v>31.670089721679688</v>
      </c>
      <c r="BN482" s="244">
        <v>35.560241858413001</v>
      </c>
      <c r="BO482" s="244">
        <v>31.909325736200053</v>
      </c>
      <c r="BP482" s="244">
        <v>5.7722020149230957</v>
      </c>
      <c r="BQ482" s="244">
        <v>0</v>
      </c>
      <c r="BR482" s="244">
        <v>0</v>
      </c>
      <c r="BS482" s="244">
        <v>0</v>
      </c>
      <c r="BT482" s="244">
        <v>27.036615371704102</v>
      </c>
      <c r="BU482" s="244">
        <v>0</v>
      </c>
      <c r="BV482" s="244">
        <v>201.23664855957031</v>
      </c>
      <c r="BW482" s="244">
        <v>6.8369059562683105</v>
      </c>
      <c r="BX482" s="244">
        <v>19.91282844543457</v>
      </c>
      <c r="BY482" s="244"/>
      <c r="BZ482" s="244">
        <v>0</v>
      </c>
      <c r="CA482" s="244">
        <v>0</v>
      </c>
      <c r="CB482" s="244">
        <v>308.3519287109375</v>
      </c>
      <c r="CC482" s="244">
        <v>19.91282844543457</v>
      </c>
      <c r="CD482" s="228">
        <v>15.485089942999783</v>
      </c>
      <c r="CE482" s="244">
        <v>-402.18777465820312</v>
      </c>
      <c r="CF482" s="244">
        <v>0.38073413266557787</v>
      </c>
      <c r="CG482" s="244">
        <v>0.36133072911312941</v>
      </c>
      <c r="CH482" s="244">
        <v>0.74206486177870734</v>
      </c>
      <c r="CI482" s="244">
        <v>1.8669079509963476E-2</v>
      </c>
      <c r="CJ482" s="244">
        <v>2.258317056957055E-2</v>
      </c>
      <c r="CK482" s="244">
        <v>4.1252250079534022E-2</v>
      </c>
      <c r="CL482" s="244"/>
      <c r="CM482" s="244">
        <v>3.8221495421123075</v>
      </c>
      <c r="CN482" s="244" t="s">
        <v>442</v>
      </c>
      <c r="CO482" s="244">
        <v>0.28600001335144043</v>
      </c>
      <c r="CP482" s="244">
        <v>0.31700000166893005</v>
      </c>
      <c r="CQ482" s="244">
        <v>31.909325736200053</v>
      </c>
      <c r="CR482" s="244">
        <v>0</v>
      </c>
      <c r="CS482" s="244">
        <v>0</v>
      </c>
      <c r="CT482" s="244">
        <v>31.909326553344727</v>
      </c>
      <c r="CU482" s="244">
        <v>0</v>
      </c>
      <c r="CV482" s="244">
        <v>0</v>
      </c>
      <c r="CW482" s="228">
        <v>9999</v>
      </c>
    </row>
    <row r="483" spans="1:101">
      <c r="A483" s="221" t="s">
        <v>565</v>
      </c>
      <c r="B483" s="221" t="s">
        <v>440</v>
      </c>
      <c r="C483" s="244">
        <v>10</v>
      </c>
      <c r="D483" s="244">
        <v>218.19348455954196</v>
      </c>
      <c r="E483" s="244">
        <v>0</v>
      </c>
      <c r="F483" s="244">
        <v>11.336666666666666</v>
      </c>
      <c r="G483" s="244">
        <v>0</v>
      </c>
      <c r="H483" s="244">
        <v>0</v>
      </c>
      <c r="I483" s="244" t="s">
        <v>441</v>
      </c>
      <c r="J483" s="244">
        <v>0.28600001335144043</v>
      </c>
      <c r="K483" s="244">
        <v>0.31700000166893005</v>
      </c>
      <c r="L483" s="244">
        <v>237.93427900846314</v>
      </c>
      <c r="M483" s="244">
        <v>3.0105520039796829E-2</v>
      </c>
      <c r="N483" s="244">
        <v>9.4970092177391052E-2</v>
      </c>
      <c r="O483" s="244">
        <v>0</v>
      </c>
      <c r="P483" s="244">
        <v>0</v>
      </c>
      <c r="Q483" s="244">
        <v>0</v>
      </c>
      <c r="R483" s="244">
        <v>1.1271885633468628</v>
      </c>
      <c r="S483" s="244">
        <v>6.2292284965515137</v>
      </c>
      <c r="T483" s="244">
        <v>0</v>
      </c>
      <c r="U483" s="244">
        <v>12.556410789489746</v>
      </c>
      <c r="V483" s="244" t="s">
        <v>226</v>
      </c>
      <c r="W483" s="244" t="s">
        <v>226</v>
      </c>
      <c r="X483" s="244" t="s">
        <v>226</v>
      </c>
      <c r="Y483" s="244" t="s">
        <v>226</v>
      </c>
      <c r="Z483" s="244">
        <v>0</v>
      </c>
      <c r="AA483" s="244">
        <v>0</v>
      </c>
      <c r="AB483" s="244">
        <v>0</v>
      </c>
      <c r="AC483" s="244">
        <v>0</v>
      </c>
      <c r="AD483" s="244">
        <v>0</v>
      </c>
      <c r="AE483" s="244">
        <v>0</v>
      </c>
      <c r="AF483" s="244">
        <v>0</v>
      </c>
      <c r="AG483" s="244">
        <v>0</v>
      </c>
      <c r="AH483" s="244">
        <v>1.1271885633468628</v>
      </c>
      <c r="AI483" s="244">
        <v>6.2292284965515137</v>
      </c>
      <c r="AJ483" s="244">
        <v>0</v>
      </c>
      <c r="AK483" s="244">
        <v>12.556410789489746</v>
      </c>
      <c r="AL483" s="244">
        <v>19.912827849388123</v>
      </c>
      <c r="AM483" s="244">
        <v>167.70003172134534</v>
      </c>
      <c r="AN483" s="244">
        <v>0</v>
      </c>
      <c r="AO483" s="244">
        <v>29.520313262939453</v>
      </c>
      <c r="AP483" s="244">
        <v>127.50308990478516</v>
      </c>
      <c r="AQ483" s="244">
        <v>324.72344970703125</v>
      </c>
      <c r="AR483" s="244">
        <v>1.1271885633468628</v>
      </c>
      <c r="AS483" s="228">
        <v>288.08262028927703</v>
      </c>
      <c r="AT483" s="244">
        <v>167.70003172134534</v>
      </c>
      <c r="AU483" s="244">
        <v>27.221364974975586</v>
      </c>
      <c r="AV483" s="244">
        <v>32.242450714111328</v>
      </c>
      <c r="AW483" s="244">
        <v>127.50308990478516</v>
      </c>
      <c r="AX483" s="244">
        <v>354.66693115234375</v>
      </c>
      <c r="AY483" s="244">
        <v>6.2292284965515137</v>
      </c>
      <c r="AZ483" s="228">
        <v>56.935933159549407</v>
      </c>
      <c r="BA483" s="244">
        <v>167.70003172134534</v>
      </c>
      <c r="BB483" s="244">
        <v>27.221364974975586</v>
      </c>
      <c r="BC483" s="244">
        <v>32.242450714111328</v>
      </c>
      <c r="BD483" s="244">
        <v>127.50308990478516</v>
      </c>
      <c r="BE483" s="244">
        <v>354.66693115234375</v>
      </c>
      <c r="BF483" s="244">
        <v>7.356417179107666</v>
      </c>
      <c r="BG483" s="244">
        <v>-60.573070526123047</v>
      </c>
      <c r="BH483" s="228">
        <v>48.21191273243511</v>
      </c>
      <c r="BI483" s="244">
        <v>0.38014081120491028</v>
      </c>
      <c r="BJ483" s="244">
        <v>2.1007876396179199</v>
      </c>
      <c r="BK483" s="244">
        <v>0</v>
      </c>
      <c r="BL483" s="244">
        <v>4.2346100807189941</v>
      </c>
      <c r="BM483" s="244">
        <v>6.715538501739502</v>
      </c>
      <c r="BN483" s="244">
        <v>167.70003172134534</v>
      </c>
      <c r="BO483" s="244">
        <v>0</v>
      </c>
      <c r="BP483" s="244">
        <v>27.221364974975586</v>
      </c>
      <c r="BQ483" s="244">
        <v>0</v>
      </c>
      <c r="BR483" s="244">
        <v>0</v>
      </c>
      <c r="BS483" s="244">
        <v>0</v>
      </c>
      <c r="BT483" s="244">
        <v>127.50308990478516</v>
      </c>
      <c r="BU483" s="244">
        <v>0</v>
      </c>
      <c r="BV483" s="244">
        <v>313.0347900390625</v>
      </c>
      <c r="BW483" s="244">
        <v>32.242450714111328</v>
      </c>
      <c r="BX483" s="244">
        <v>19.91282844543457</v>
      </c>
      <c r="BY483" s="244"/>
      <c r="BZ483" s="244">
        <v>0</v>
      </c>
      <c r="CA483" s="244">
        <v>0</v>
      </c>
      <c r="CB483" s="244">
        <v>667.70172119140625</v>
      </c>
      <c r="CC483" s="244">
        <v>19.91282844543457</v>
      </c>
      <c r="CD483" s="228">
        <v>33.531234861181382</v>
      </c>
      <c r="CE483" s="244">
        <v>-161.90846252441406</v>
      </c>
      <c r="CF483" s="244">
        <v>1.7955200186668763</v>
      </c>
      <c r="CG483" s="244">
        <v>0</v>
      </c>
      <c r="CH483" s="244">
        <v>1.7955200186668763</v>
      </c>
      <c r="CI483" s="244">
        <v>8.8042292808210798E-2</v>
      </c>
      <c r="CJ483" s="244">
        <v>0</v>
      </c>
      <c r="CK483" s="244">
        <v>8.8042292808210798E-2</v>
      </c>
      <c r="CL483" s="244"/>
      <c r="CM483" s="244">
        <v>0</v>
      </c>
      <c r="CN483" s="244" t="s">
        <v>442</v>
      </c>
      <c r="CO483" s="244">
        <v>0</v>
      </c>
      <c r="CP483" s="244">
        <v>0</v>
      </c>
      <c r="CQ483" s="244">
        <v>0</v>
      </c>
      <c r="CR483" s="244">
        <v>0</v>
      </c>
      <c r="CS483" s="244">
        <v>0</v>
      </c>
      <c r="CT483" s="244">
        <v>0</v>
      </c>
      <c r="CU483" s="244">
        <v>0</v>
      </c>
      <c r="CV483" s="244">
        <v>9999</v>
      </c>
      <c r="CW483" s="228">
        <v>9999</v>
      </c>
    </row>
    <row r="484" spans="1:101">
      <c r="A484" s="221" t="s">
        <v>566</v>
      </c>
      <c r="B484" s="221" t="s">
        <v>440</v>
      </c>
      <c r="C484" s="244">
        <v>10</v>
      </c>
      <c r="D484" s="244">
        <v>0</v>
      </c>
      <c r="E484" s="244">
        <v>9.7305854320068779</v>
      </c>
      <c r="F484" s="244">
        <v>11.336666666666666</v>
      </c>
      <c r="G484" s="244">
        <v>0</v>
      </c>
      <c r="H484" s="244">
        <v>0</v>
      </c>
      <c r="I484" s="244" t="s">
        <v>441</v>
      </c>
      <c r="J484" s="244">
        <v>0</v>
      </c>
      <c r="K484" s="244">
        <v>0</v>
      </c>
      <c r="L484" s="244">
        <v>0</v>
      </c>
      <c r="M484" s="244">
        <v>0</v>
      </c>
      <c r="N484" s="244">
        <v>0</v>
      </c>
      <c r="O484" s="244">
        <v>9.8278912863269454</v>
      </c>
      <c r="P484" s="244">
        <v>2.9823822900652885E-2</v>
      </c>
      <c r="Q484" s="244">
        <v>9.4081461429595947E-2</v>
      </c>
      <c r="R484" s="244">
        <v>1.1271885633468628</v>
      </c>
      <c r="S484" s="244">
        <v>6.2292284965515137</v>
      </c>
      <c r="T484" s="244">
        <v>0</v>
      </c>
      <c r="U484" s="244">
        <v>12.556410789489746</v>
      </c>
      <c r="V484" s="244" t="s">
        <v>226</v>
      </c>
      <c r="W484" s="244" t="s">
        <v>226</v>
      </c>
      <c r="X484" s="244" t="s">
        <v>226</v>
      </c>
      <c r="Y484" s="244" t="s">
        <v>226</v>
      </c>
      <c r="Z484" s="244">
        <v>0</v>
      </c>
      <c r="AA484" s="244">
        <v>0</v>
      </c>
      <c r="AB484" s="244">
        <v>0</v>
      </c>
      <c r="AC484" s="244">
        <v>0</v>
      </c>
      <c r="AD484" s="244">
        <v>0</v>
      </c>
      <c r="AE484" s="244">
        <v>0</v>
      </c>
      <c r="AF484" s="244">
        <v>0</v>
      </c>
      <c r="AG484" s="244">
        <v>0</v>
      </c>
      <c r="AH484" s="244">
        <v>1.1271885633468628</v>
      </c>
      <c r="AI484" s="244">
        <v>6.2292284965515137</v>
      </c>
      <c r="AJ484" s="244">
        <v>0</v>
      </c>
      <c r="AK484" s="244">
        <v>12.556410789489746</v>
      </c>
      <c r="AL484" s="244">
        <v>19.912827849388123</v>
      </c>
      <c r="AM484" s="244">
        <v>0</v>
      </c>
      <c r="AN484" s="244">
        <v>0</v>
      </c>
      <c r="AO484" s="244">
        <v>0</v>
      </c>
      <c r="AP484" s="244">
        <v>0</v>
      </c>
      <c r="AQ484" s="244">
        <v>0</v>
      </c>
      <c r="AR484" s="244">
        <v>1.1271885633468628</v>
      </c>
      <c r="AS484" s="255">
        <v>0</v>
      </c>
      <c r="AT484" s="244">
        <v>0</v>
      </c>
      <c r="AU484" s="244">
        <v>0</v>
      </c>
      <c r="AV484" s="244">
        <v>0</v>
      </c>
      <c r="AW484" s="244">
        <v>0</v>
      </c>
      <c r="AX484" s="244">
        <v>0</v>
      </c>
      <c r="AY484" s="244">
        <v>6.2292284965515137</v>
      </c>
      <c r="AZ484" s="255">
        <v>0</v>
      </c>
      <c r="BA484" s="244">
        <v>0</v>
      </c>
      <c r="BB484" s="244">
        <v>0</v>
      </c>
      <c r="BC484" s="244">
        <v>0</v>
      </c>
      <c r="BD484" s="244">
        <v>0</v>
      </c>
      <c r="BE484" s="244">
        <v>0</v>
      </c>
      <c r="BF484" s="244">
        <v>7.356417179107666</v>
      </c>
      <c r="BG484" s="244">
        <v>9999</v>
      </c>
      <c r="BH484" s="255">
        <v>0</v>
      </c>
      <c r="BI484" s="244">
        <v>9999</v>
      </c>
      <c r="BJ484" s="244">
        <v>9999</v>
      </c>
      <c r="BK484" s="244">
        <v>9999</v>
      </c>
      <c r="BL484" s="244">
        <v>9999</v>
      </c>
      <c r="BM484" s="244">
        <v>9999</v>
      </c>
      <c r="BN484" s="244">
        <v>0</v>
      </c>
      <c r="BO484" s="244">
        <v>81.236073244333298</v>
      </c>
      <c r="BP484" s="244">
        <v>0</v>
      </c>
      <c r="BQ484" s="244">
        <v>0</v>
      </c>
      <c r="BR484" s="244">
        <v>0</v>
      </c>
      <c r="BS484" s="244">
        <v>0</v>
      </c>
      <c r="BT484" s="244">
        <v>0</v>
      </c>
      <c r="BU484" s="244">
        <v>0</v>
      </c>
      <c r="BV484" s="244">
        <v>313.0347900390625</v>
      </c>
      <c r="BW484" s="244">
        <v>0</v>
      </c>
      <c r="BX484" s="244">
        <v>19.91282844543457</v>
      </c>
      <c r="BY484" s="244"/>
      <c r="BZ484" s="244">
        <v>0</v>
      </c>
      <c r="CA484" s="244">
        <v>0</v>
      </c>
      <c r="CB484" s="244">
        <v>394.2708740234375</v>
      </c>
      <c r="CC484" s="244">
        <v>19.91282844543457</v>
      </c>
      <c r="CD484" s="228">
        <v>19.799842315911206</v>
      </c>
      <c r="CE484" s="244">
        <v>9999</v>
      </c>
      <c r="CF484" s="244">
        <v>0</v>
      </c>
      <c r="CG484" s="244">
        <v>0.9198906244001982</v>
      </c>
      <c r="CH484" s="244">
        <v>0.9198906244001982</v>
      </c>
      <c r="CI484" s="244">
        <v>0</v>
      </c>
      <c r="CJ484" s="244">
        <v>5.7493164025012602E-2</v>
      </c>
      <c r="CK484" s="244">
        <v>5.7493164025012602E-2</v>
      </c>
      <c r="CL484" s="244"/>
      <c r="CM484" s="244">
        <v>9.7305854320068779</v>
      </c>
      <c r="CN484" s="244" t="s">
        <v>442</v>
      </c>
      <c r="CO484" s="244">
        <v>0.28600001335144043</v>
      </c>
      <c r="CP484" s="244">
        <v>0.31700000166893005</v>
      </c>
      <c r="CQ484" s="244">
        <v>81.236073244333298</v>
      </c>
      <c r="CR484" s="244">
        <v>0</v>
      </c>
      <c r="CS484" s="244">
        <v>0</v>
      </c>
      <c r="CT484" s="244">
        <v>81.236076354980469</v>
      </c>
      <c r="CU484" s="244">
        <v>0</v>
      </c>
      <c r="CV484" s="244">
        <v>0</v>
      </c>
      <c r="CW484" s="228">
        <v>9999</v>
      </c>
    </row>
    <row r="485" spans="1:101">
      <c r="A485" s="221" t="s">
        <v>567</v>
      </c>
      <c r="B485" s="221" t="s">
        <v>440</v>
      </c>
      <c r="C485" s="244">
        <v>10</v>
      </c>
      <c r="D485" s="244">
        <v>76.494429566745552</v>
      </c>
      <c r="E485" s="244">
        <v>6.3192297562202731</v>
      </c>
      <c r="F485" s="244">
        <v>11.336666666666666</v>
      </c>
      <c r="G485" s="244">
        <v>0</v>
      </c>
      <c r="H485" s="244">
        <v>0</v>
      </c>
      <c r="I485" s="244" t="s">
        <v>441</v>
      </c>
      <c r="J485" s="244">
        <v>0.28600001335144043</v>
      </c>
      <c r="K485" s="244">
        <v>0.31700000166893005</v>
      </c>
      <c r="L485" s="244">
        <v>83.415171556878306</v>
      </c>
      <c r="M485" s="244">
        <v>1.0554414242506027E-2</v>
      </c>
      <c r="N485" s="244">
        <v>3.3294681459665298E-2</v>
      </c>
      <c r="O485" s="244">
        <v>6.3824220537824754</v>
      </c>
      <c r="P485" s="244">
        <v>1.9368166103959084E-2</v>
      </c>
      <c r="Q485" s="244">
        <v>6.1098314821720123E-2</v>
      </c>
      <c r="R485" s="244">
        <v>1.1271885633468628</v>
      </c>
      <c r="S485" s="244">
        <v>6.2292284965515137</v>
      </c>
      <c r="T485" s="244">
        <v>0</v>
      </c>
      <c r="U485" s="244">
        <v>12.556410789489746</v>
      </c>
      <c r="V485" s="244" t="s">
        <v>226</v>
      </c>
      <c r="W485" s="244" t="s">
        <v>226</v>
      </c>
      <c r="X485" s="244" t="s">
        <v>226</v>
      </c>
      <c r="Y485" s="244" t="s">
        <v>226</v>
      </c>
      <c r="Z485" s="244">
        <v>0</v>
      </c>
      <c r="AA485" s="244">
        <v>0</v>
      </c>
      <c r="AB485" s="244">
        <v>0</v>
      </c>
      <c r="AC485" s="244">
        <v>0</v>
      </c>
      <c r="AD485" s="244">
        <v>0</v>
      </c>
      <c r="AE485" s="244">
        <v>0</v>
      </c>
      <c r="AF485" s="244">
        <v>0</v>
      </c>
      <c r="AG485" s="244">
        <v>0</v>
      </c>
      <c r="AH485" s="244">
        <v>1.1271885633468628</v>
      </c>
      <c r="AI485" s="244">
        <v>6.2292284965515137</v>
      </c>
      <c r="AJ485" s="244">
        <v>0</v>
      </c>
      <c r="AK485" s="244">
        <v>12.556410789489746</v>
      </c>
      <c r="AL485" s="244">
        <v>19.912827849388123</v>
      </c>
      <c r="AM485" s="244">
        <v>58.792398364896307</v>
      </c>
      <c r="AN485" s="244">
        <v>0</v>
      </c>
      <c r="AO485" s="244">
        <v>10.349252700805664</v>
      </c>
      <c r="AP485" s="244">
        <v>44.700130462646484</v>
      </c>
      <c r="AQ485" s="244">
        <v>113.84178161621094</v>
      </c>
      <c r="AR485" s="244">
        <v>1.1271885633468628</v>
      </c>
      <c r="AS485" s="228">
        <v>100.99621769611286</v>
      </c>
      <c r="AT485" s="244">
        <v>58.792398364896307</v>
      </c>
      <c r="AU485" s="244">
        <v>9.5432853698730469</v>
      </c>
      <c r="AV485" s="244">
        <v>11.303581237792969</v>
      </c>
      <c r="AW485" s="244">
        <v>44.700130462646484</v>
      </c>
      <c r="AX485" s="244">
        <v>124.33939361572266</v>
      </c>
      <c r="AY485" s="244">
        <v>6.2292284965515137</v>
      </c>
      <c r="AZ485" s="228">
        <v>19.960641274283454</v>
      </c>
      <c r="BA485" s="244">
        <v>58.792398364896307</v>
      </c>
      <c r="BB485" s="244">
        <v>9.5432853698730469</v>
      </c>
      <c r="BC485" s="244">
        <v>11.303581237792969</v>
      </c>
      <c r="BD485" s="244">
        <v>44.700130462646484</v>
      </c>
      <c r="BE485" s="244">
        <v>124.33939361572266</v>
      </c>
      <c r="BF485" s="244">
        <v>7.356417179107666</v>
      </c>
      <c r="BG485" s="244">
        <v>-55.977378845214844</v>
      </c>
      <c r="BH485" s="228">
        <v>16.902167783962817</v>
      </c>
      <c r="BI485" s="244">
        <v>1.0843174457550049</v>
      </c>
      <c r="BJ485" s="244">
        <v>5.9923081398010254</v>
      </c>
      <c r="BK485" s="244">
        <v>0</v>
      </c>
      <c r="BL485" s="244">
        <v>12.07884407043457</v>
      </c>
      <c r="BM485" s="244">
        <v>19.15546989440918</v>
      </c>
      <c r="BN485" s="244">
        <v>58.792398364896307</v>
      </c>
      <c r="BO485" s="244">
        <v>52.756271954153696</v>
      </c>
      <c r="BP485" s="244">
        <v>9.5432853698730469</v>
      </c>
      <c r="BQ485" s="244">
        <v>0</v>
      </c>
      <c r="BR485" s="244">
        <v>0</v>
      </c>
      <c r="BS485" s="244">
        <v>0</v>
      </c>
      <c r="BT485" s="244">
        <v>44.700130462646484</v>
      </c>
      <c r="BU485" s="244">
        <v>0</v>
      </c>
      <c r="BV485" s="244">
        <v>313.0347900390625</v>
      </c>
      <c r="BW485" s="244">
        <v>11.303581237792969</v>
      </c>
      <c r="BX485" s="244">
        <v>19.91282844543457</v>
      </c>
      <c r="BY485" s="244"/>
      <c r="BZ485" s="244">
        <v>0</v>
      </c>
      <c r="CA485" s="244">
        <v>0</v>
      </c>
      <c r="CB485" s="244">
        <v>490.13046264648437</v>
      </c>
      <c r="CC485" s="244">
        <v>19.91282844543457</v>
      </c>
      <c r="CD485" s="228">
        <v>24.6138040495597</v>
      </c>
      <c r="CE485" s="244">
        <v>-395.7772216796875</v>
      </c>
      <c r="CF485" s="244">
        <v>0.62947470627206237</v>
      </c>
      <c r="CG485" s="244">
        <v>0.59739470423403918</v>
      </c>
      <c r="CH485" s="244">
        <v>1.2268694105061015</v>
      </c>
      <c r="CI485" s="244">
        <v>3.0865930665654916E-2</v>
      </c>
      <c r="CJ485" s="244">
        <v>3.7337169014627476E-2</v>
      </c>
      <c r="CK485" s="244">
        <v>6.8203099680282389E-2</v>
      </c>
      <c r="CL485" s="244"/>
      <c r="CM485" s="244">
        <v>6.3192297562202731</v>
      </c>
      <c r="CN485" s="244" t="s">
        <v>442</v>
      </c>
      <c r="CO485" s="244">
        <v>0.28600001335144043</v>
      </c>
      <c r="CP485" s="244">
        <v>0.31700000166893005</v>
      </c>
      <c r="CQ485" s="244">
        <v>52.756271954153696</v>
      </c>
      <c r="CR485" s="244">
        <v>0</v>
      </c>
      <c r="CS485" s="244">
        <v>0</v>
      </c>
      <c r="CT485" s="244">
        <v>52.756271362304688</v>
      </c>
      <c r="CU485" s="244">
        <v>0</v>
      </c>
      <c r="CV485" s="244">
        <v>0</v>
      </c>
      <c r="CW485" s="228">
        <v>9999</v>
      </c>
    </row>
    <row r="486" spans="1:101">
      <c r="A486" s="221" t="s">
        <v>568</v>
      </c>
      <c r="B486" s="221" t="s">
        <v>440</v>
      </c>
      <c r="C486" s="244">
        <v>10</v>
      </c>
      <c r="D486" s="244">
        <v>82.440779853290692</v>
      </c>
      <c r="E486" s="244">
        <v>0</v>
      </c>
      <c r="F486" s="244">
        <v>8.1096944444444432</v>
      </c>
      <c r="G486" s="244">
        <v>0</v>
      </c>
      <c r="H486" s="244">
        <v>0</v>
      </c>
      <c r="I486" s="244" t="s">
        <v>441</v>
      </c>
      <c r="J486" s="244">
        <v>0.28600001335144043</v>
      </c>
      <c r="K486" s="244">
        <v>0.31700000166893005</v>
      </c>
      <c r="L486" s="244">
        <v>89.899510770842241</v>
      </c>
      <c r="M486" s="244">
        <v>1.137487031519413E-2</v>
      </c>
      <c r="N486" s="244">
        <v>3.5882871598005295E-2</v>
      </c>
      <c r="O486" s="244">
        <v>0</v>
      </c>
      <c r="P486" s="244">
        <v>0</v>
      </c>
      <c r="Q486" s="244">
        <v>0</v>
      </c>
      <c r="R486" s="244">
        <v>0.80633538961410522</v>
      </c>
      <c r="S486" s="244">
        <v>4.4560842514038086</v>
      </c>
      <c r="T486" s="244">
        <v>0</v>
      </c>
      <c r="U486" s="244">
        <v>8.9822397232055664</v>
      </c>
      <c r="V486" s="244" t="s">
        <v>226</v>
      </c>
      <c r="W486" s="244" t="s">
        <v>226</v>
      </c>
      <c r="X486" s="244" t="s">
        <v>226</v>
      </c>
      <c r="Y486" s="244" t="s">
        <v>226</v>
      </c>
      <c r="Z486" s="244">
        <v>0</v>
      </c>
      <c r="AA486" s="244">
        <v>0</v>
      </c>
      <c r="AB486" s="244">
        <v>0</v>
      </c>
      <c r="AC486" s="244">
        <v>0</v>
      </c>
      <c r="AD486" s="244">
        <v>0</v>
      </c>
      <c r="AE486" s="244">
        <v>0</v>
      </c>
      <c r="AF486" s="244">
        <v>0</v>
      </c>
      <c r="AG486" s="244">
        <v>0</v>
      </c>
      <c r="AH486" s="244">
        <v>0.80633538961410522</v>
      </c>
      <c r="AI486" s="244">
        <v>4.4560842514038086</v>
      </c>
      <c r="AJ486" s="244">
        <v>0</v>
      </c>
      <c r="AK486" s="244">
        <v>8.9822397232055664</v>
      </c>
      <c r="AL486" s="244">
        <v>14.24465936422348</v>
      </c>
      <c r="AM486" s="244">
        <v>63.362668341989732</v>
      </c>
      <c r="AN486" s="244">
        <v>0</v>
      </c>
      <c r="AO486" s="244">
        <v>11.153759002685547</v>
      </c>
      <c r="AP486" s="244">
        <v>48.174922943115234</v>
      </c>
      <c r="AQ486" s="244">
        <v>122.69135284423828</v>
      </c>
      <c r="AR486" s="244">
        <v>0.80633538961410522</v>
      </c>
      <c r="AS486" s="228">
        <v>152.15920306624264</v>
      </c>
      <c r="AT486" s="244">
        <v>63.362668341989732</v>
      </c>
      <c r="AU486" s="244">
        <v>10.28514289855957</v>
      </c>
      <c r="AV486" s="244">
        <v>12.182273864746094</v>
      </c>
      <c r="AW486" s="244">
        <v>48.174922943115234</v>
      </c>
      <c r="AX486" s="244">
        <v>134.0050048828125</v>
      </c>
      <c r="AY486" s="244">
        <v>4.4560842514038086</v>
      </c>
      <c r="AZ486" s="228">
        <v>30.072368583739134</v>
      </c>
      <c r="BA486" s="244">
        <v>63.362668341989732</v>
      </c>
      <c r="BB486" s="244">
        <v>10.28514289855957</v>
      </c>
      <c r="BC486" s="244">
        <v>12.182273864746094</v>
      </c>
      <c r="BD486" s="244">
        <v>48.174922943115234</v>
      </c>
      <c r="BE486" s="244">
        <v>134.0050048828125</v>
      </c>
      <c r="BF486" s="244">
        <v>5.2624197006225586</v>
      </c>
      <c r="BG486" s="244">
        <v>-58.356868743896484</v>
      </c>
      <c r="BH486" s="228">
        <v>25.464523392226077</v>
      </c>
      <c r="BI486" s="244">
        <v>0.7197195291519165</v>
      </c>
      <c r="BJ486" s="244">
        <v>3.9774158000946045</v>
      </c>
      <c r="BK486" s="244">
        <v>0</v>
      </c>
      <c r="BL486" s="244">
        <v>8.0173749923706055</v>
      </c>
      <c r="BM486" s="244">
        <v>12.714510917663574</v>
      </c>
      <c r="BN486" s="244">
        <v>63.362668341989732</v>
      </c>
      <c r="BO486" s="244">
        <v>0</v>
      </c>
      <c r="BP486" s="244">
        <v>10.28514289855957</v>
      </c>
      <c r="BQ486" s="244">
        <v>0</v>
      </c>
      <c r="BR486" s="244">
        <v>0</v>
      </c>
      <c r="BS486" s="244">
        <v>0</v>
      </c>
      <c r="BT486" s="244">
        <v>48.174922943115234</v>
      </c>
      <c r="BU486" s="244">
        <v>0</v>
      </c>
      <c r="BV486" s="244">
        <v>119.25135803222656</v>
      </c>
      <c r="BW486" s="244">
        <v>12.182273864746094</v>
      </c>
      <c r="BX486" s="244">
        <v>14.244659423828125</v>
      </c>
      <c r="BY486" s="244"/>
      <c r="BZ486" s="244">
        <v>0</v>
      </c>
      <c r="CA486" s="244">
        <v>0</v>
      </c>
      <c r="CB486" s="244">
        <v>253.25636291503906</v>
      </c>
      <c r="CC486" s="244">
        <v>14.244659423828125</v>
      </c>
      <c r="CD486" s="228">
        <v>17.779039747134703</v>
      </c>
      <c r="CE486" s="244">
        <v>-156.78097534179687</v>
      </c>
      <c r="CF486" s="244">
        <v>0.67840738177815851</v>
      </c>
      <c r="CG486" s="244">
        <v>0</v>
      </c>
      <c r="CH486" s="244">
        <v>0.67840738177815851</v>
      </c>
      <c r="CI486" s="244">
        <v>3.3265316303246334E-2</v>
      </c>
      <c r="CJ486" s="244">
        <v>0</v>
      </c>
      <c r="CK486" s="244">
        <v>3.3265316303246334E-2</v>
      </c>
      <c r="CL486" s="244"/>
      <c r="CM486" s="244">
        <v>0</v>
      </c>
      <c r="CN486" s="244" t="s">
        <v>442</v>
      </c>
      <c r="CO486" s="244">
        <v>0</v>
      </c>
      <c r="CP486" s="244">
        <v>0</v>
      </c>
      <c r="CQ486" s="244">
        <v>0</v>
      </c>
      <c r="CR486" s="244">
        <v>0</v>
      </c>
      <c r="CS486" s="244">
        <v>0</v>
      </c>
      <c r="CT486" s="244">
        <v>0</v>
      </c>
      <c r="CU486" s="244">
        <v>0</v>
      </c>
      <c r="CV486" s="244">
        <v>9999</v>
      </c>
      <c r="CW486" s="228">
        <v>9999</v>
      </c>
    </row>
    <row r="487" spans="1:101">
      <c r="A487" s="221" t="s">
        <v>569</v>
      </c>
      <c r="B487" s="221" t="s">
        <v>440</v>
      </c>
      <c r="C487" s="244">
        <v>10</v>
      </c>
      <c r="D487" s="244">
        <v>0</v>
      </c>
      <c r="E487" s="244">
        <v>3.6765398978941946</v>
      </c>
      <c r="F487" s="244">
        <v>8.1096944444444432</v>
      </c>
      <c r="G487" s="244">
        <v>0</v>
      </c>
      <c r="H487" s="244">
        <v>0</v>
      </c>
      <c r="I487" s="244" t="s">
        <v>441</v>
      </c>
      <c r="J487" s="244">
        <v>0</v>
      </c>
      <c r="K487" s="244">
        <v>0</v>
      </c>
      <c r="L487" s="244">
        <v>0</v>
      </c>
      <c r="M487" s="244">
        <v>0</v>
      </c>
      <c r="N487" s="244">
        <v>0</v>
      </c>
      <c r="O487" s="244">
        <v>3.713305296873135</v>
      </c>
      <c r="P487" s="244">
        <v>1.1268435046076775E-2</v>
      </c>
      <c r="Q487" s="244">
        <v>3.5547114908695221E-2</v>
      </c>
      <c r="R487" s="244">
        <v>0.80633538961410522</v>
      </c>
      <c r="S487" s="244">
        <v>4.4560842514038086</v>
      </c>
      <c r="T487" s="244">
        <v>0</v>
      </c>
      <c r="U487" s="244">
        <v>8.9822397232055664</v>
      </c>
      <c r="V487" s="244" t="s">
        <v>226</v>
      </c>
      <c r="W487" s="244" t="s">
        <v>226</v>
      </c>
      <c r="X487" s="244" t="s">
        <v>226</v>
      </c>
      <c r="Y487" s="244" t="s">
        <v>226</v>
      </c>
      <c r="Z487" s="244">
        <v>0</v>
      </c>
      <c r="AA487" s="244">
        <v>0</v>
      </c>
      <c r="AB487" s="244">
        <v>0</v>
      </c>
      <c r="AC487" s="244">
        <v>0</v>
      </c>
      <c r="AD487" s="244">
        <v>0</v>
      </c>
      <c r="AE487" s="244">
        <v>0</v>
      </c>
      <c r="AF487" s="244">
        <v>0</v>
      </c>
      <c r="AG487" s="244">
        <v>0</v>
      </c>
      <c r="AH487" s="244">
        <v>0.80633538961410522</v>
      </c>
      <c r="AI487" s="244">
        <v>4.4560842514038086</v>
      </c>
      <c r="AJ487" s="244">
        <v>0</v>
      </c>
      <c r="AK487" s="244">
        <v>8.9822397232055664</v>
      </c>
      <c r="AL487" s="244">
        <v>14.24465936422348</v>
      </c>
      <c r="AM487" s="244">
        <v>0</v>
      </c>
      <c r="AN487" s="244">
        <v>0</v>
      </c>
      <c r="AO487" s="244">
        <v>0</v>
      </c>
      <c r="AP487" s="244">
        <v>0</v>
      </c>
      <c r="AQ487" s="244">
        <v>0</v>
      </c>
      <c r="AR487" s="244">
        <v>0.80633538961410522</v>
      </c>
      <c r="AS487" s="255">
        <v>0</v>
      </c>
      <c r="AT487" s="244">
        <v>0</v>
      </c>
      <c r="AU487" s="244">
        <v>0</v>
      </c>
      <c r="AV487" s="244">
        <v>0</v>
      </c>
      <c r="AW487" s="244">
        <v>0</v>
      </c>
      <c r="AX487" s="244">
        <v>0</v>
      </c>
      <c r="AY487" s="244">
        <v>4.4560842514038086</v>
      </c>
      <c r="AZ487" s="255">
        <v>0</v>
      </c>
      <c r="BA487" s="244">
        <v>0</v>
      </c>
      <c r="BB487" s="244">
        <v>0</v>
      </c>
      <c r="BC487" s="244">
        <v>0</v>
      </c>
      <c r="BD487" s="244">
        <v>0</v>
      </c>
      <c r="BE487" s="244">
        <v>0</v>
      </c>
      <c r="BF487" s="244">
        <v>5.2624197006225586</v>
      </c>
      <c r="BG487" s="244">
        <v>9999</v>
      </c>
      <c r="BH487" s="255">
        <v>0</v>
      </c>
      <c r="BI487" s="244">
        <v>9999</v>
      </c>
      <c r="BJ487" s="244">
        <v>9999</v>
      </c>
      <c r="BK487" s="244">
        <v>9999</v>
      </c>
      <c r="BL487" s="244">
        <v>9999</v>
      </c>
      <c r="BM487" s="244">
        <v>9999</v>
      </c>
      <c r="BN487" s="244">
        <v>0</v>
      </c>
      <c r="BO487" s="244">
        <v>30.693699420040776</v>
      </c>
      <c r="BP487" s="244">
        <v>0</v>
      </c>
      <c r="BQ487" s="244">
        <v>0</v>
      </c>
      <c r="BR487" s="244">
        <v>0</v>
      </c>
      <c r="BS487" s="244">
        <v>0</v>
      </c>
      <c r="BT487" s="244">
        <v>0</v>
      </c>
      <c r="BU487" s="244">
        <v>0</v>
      </c>
      <c r="BV487" s="244">
        <v>119.25135803222656</v>
      </c>
      <c r="BW487" s="244">
        <v>0</v>
      </c>
      <c r="BX487" s="244">
        <v>14.244659423828125</v>
      </c>
      <c r="BY487" s="244"/>
      <c r="BZ487" s="244">
        <v>0</v>
      </c>
      <c r="CA487" s="244">
        <v>0</v>
      </c>
      <c r="CB487" s="244">
        <v>149.94505310058594</v>
      </c>
      <c r="CC487" s="244">
        <v>14.244659423828125</v>
      </c>
      <c r="CD487" s="228">
        <v>10.526405229558724</v>
      </c>
      <c r="CE487" s="244">
        <v>9999</v>
      </c>
      <c r="CF487" s="244">
        <v>0</v>
      </c>
      <c r="CG487" s="244">
        <v>0.34756537578732394</v>
      </c>
      <c r="CH487" s="244">
        <v>0.34756537578732394</v>
      </c>
      <c r="CI487" s="244">
        <v>0</v>
      </c>
      <c r="CJ487" s="244">
        <v>2.1722835986707836E-2</v>
      </c>
      <c r="CK487" s="244">
        <v>2.1722835986707836E-2</v>
      </c>
      <c r="CL487" s="244"/>
      <c r="CM487" s="244">
        <v>3.6765398978941946</v>
      </c>
      <c r="CN487" s="244" t="s">
        <v>442</v>
      </c>
      <c r="CO487" s="244">
        <v>0.28600001335144043</v>
      </c>
      <c r="CP487" s="244">
        <v>0.31700000166893005</v>
      </c>
      <c r="CQ487" s="244">
        <v>30.693699420040776</v>
      </c>
      <c r="CR487" s="244">
        <v>0</v>
      </c>
      <c r="CS487" s="244">
        <v>0</v>
      </c>
      <c r="CT487" s="244">
        <v>30.693698883056641</v>
      </c>
      <c r="CU487" s="244">
        <v>0</v>
      </c>
      <c r="CV487" s="244">
        <v>0</v>
      </c>
      <c r="CW487" s="228">
        <v>9999</v>
      </c>
    </row>
    <row r="488" spans="1:101">
      <c r="A488" s="221" t="s">
        <v>570</v>
      </c>
      <c r="B488" s="221" t="s">
        <v>440</v>
      </c>
      <c r="C488" s="244">
        <v>10</v>
      </c>
      <c r="D488" s="244">
        <v>28.902148204128572</v>
      </c>
      <c r="E488" s="244">
        <v>2.3876158824199729</v>
      </c>
      <c r="F488" s="244">
        <v>8.1096944444444432</v>
      </c>
      <c r="G488" s="244">
        <v>0</v>
      </c>
      <c r="H488" s="244">
        <v>0</v>
      </c>
      <c r="I488" s="244" t="s">
        <v>441</v>
      </c>
      <c r="J488" s="244">
        <v>0.28600001335144043</v>
      </c>
      <c r="K488" s="244">
        <v>0.31700000166893005</v>
      </c>
      <c r="L488" s="244">
        <v>31.517035481728566</v>
      </c>
      <c r="M488" s="244">
        <v>3.9878101088106632E-3</v>
      </c>
      <c r="N488" s="244">
        <v>1.25798424705863E-2</v>
      </c>
      <c r="O488" s="244">
        <v>2.4114920412441738</v>
      </c>
      <c r="P488" s="244">
        <v>7.3179397732019424E-3</v>
      </c>
      <c r="Q488" s="244">
        <v>2.3084983229637146E-2</v>
      </c>
      <c r="R488" s="244">
        <v>0.80633538961410522</v>
      </c>
      <c r="S488" s="244">
        <v>4.4560842514038086</v>
      </c>
      <c r="T488" s="244">
        <v>0</v>
      </c>
      <c r="U488" s="244">
        <v>8.9822397232055664</v>
      </c>
      <c r="V488" s="244" t="s">
        <v>226</v>
      </c>
      <c r="W488" s="244" t="s">
        <v>226</v>
      </c>
      <c r="X488" s="244" t="s">
        <v>226</v>
      </c>
      <c r="Y488" s="244" t="s">
        <v>226</v>
      </c>
      <c r="Z488" s="244">
        <v>0</v>
      </c>
      <c r="AA488" s="244">
        <v>0</v>
      </c>
      <c r="AB488" s="244">
        <v>0</v>
      </c>
      <c r="AC488" s="244">
        <v>0</v>
      </c>
      <c r="AD488" s="244">
        <v>0</v>
      </c>
      <c r="AE488" s="244">
        <v>0</v>
      </c>
      <c r="AF488" s="244">
        <v>0</v>
      </c>
      <c r="AG488" s="244">
        <v>0</v>
      </c>
      <c r="AH488" s="244">
        <v>0.80633538961410522</v>
      </c>
      <c r="AI488" s="244">
        <v>4.4560842514038086</v>
      </c>
      <c r="AJ488" s="244">
        <v>0</v>
      </c>
      <c r="AK488" s="244">
        <v>8.9822397232055664</v>
      </c>
      <c r="AL488" s="244">
        <v>14.24465936422348</v>
      </c>
      <c r="AM488" s="244">
        <v>22.21373007737423</v>
      </c>
      <c r="AN488" s="244">
        <v>0</v>
      </c>
      <c r="AO488" s="244">
        <v>3.9102928638458252</v>
      </c>
      <c r="AP488" s="244">
        <v>16.889198303222656</v>
      </c>
      <c r="AQ488" s="244">
        <v>43.013221740722656</v>
      </c>
      <c r="AR488" s="244">
        <v>0.80633538961410522</v>
      </c>
      <c r="AS488" s="228">
        <v>53.344082125711878</v>
      </c>
      <c r="AT488" s="244">
        <v>22.21373007737423</v>
      </c>
      <c r="AU488" s="244">
        <v>3.6057727336883545</v>
      </c>
      <c r="AV488" s="244">
        <v>4.2708702087402344</v>
      </c>
      <c r="AW488" s="244">
        <v>16.889198303222656</v>
      </c>
      <c r="AX488" s="244">
        <v>46.979572296142578</v>
      </c>
      <c r="AY488" s="244">
        <v>4.4560842514038086</v>
      </c>
      <c r="AZ488" s="228">
        <v>10.542792432217908</v>
      </c>
      <c r="BA488" s="244">
        <v>22.21373007737423</v>
      </c>
      <c r="BB488" s="244">
        <v>3.6057727336883545</v>
      </c>
      <c r="BC488" s="244">
        <v>4.2708702087402344</v>
      </c>
      <c r="BD488" s="244">
        <v>16.889198303222656</v>
      </c>
      <c r="BE488" s="244">
        <v>46.979572296142578</v>
      </c>
      <c r="BF488" s="244">
        <v>5.2624197006225586</v>
      </c>
      <c r="BG488" s="244">
        <v>-49.655841827392578</v>
      </c>
      <c r="BH488" s="228">
        <v>8.9273707776634446</v>
      </c>
      <c r="BI488" s="244">
        <v>2.0529353618621826</v>
      </c>
      <c r="BJ488" s="244">
        <v>11.345221519470215</v>
      </c>
      <c r="BK488" s="244">
        <v>0</v>
      </c>
      <c r="BL488" s="244">
        <v>22.868841171264648</v>
      </c>
      <c r="BM488" s="244">
        <v>36.266998291015625</v>
      </c>
      <c r="BN488" s="244">
        <v>22.21373007737423</v>
      </c>
      <c r="BO488" s="244">
        <v>19.933080086384823</v>
      </c>
      <c r="BP488" s="244">
        <v>3.6057727336883545</v>
      </c>
      <c r="BQ488" s="244">
        <v>0</v>
      </c>
      <c r="BR488" s="244">
        <v>0</v>
      </c>
      <c r="BS488" s="244">
        <v>0</v>
      </c>
      <c r="BT488" s="244">
        <v>16.889198303222656</v>
      </c>
      <c r="BU488" s="244">
        <v>0</v>
      </c>
      <c r="BV488" s="244">
        <v>119.25135803222656</v>
      </c>
      <c r="BW488" s="244">
        <v>4.2708702087402344</v>
      </c>
      <c r="BX488" s="244">
        <v>14.244659423828125</v>
      </c>
      <c r="BY488" s="244"/>
      <c r="BZ488" s="244">
        <v>0</v>
      </c>
      <c r="CA488" s="244">
        <v>0</v>
      </c>
      <c r="CB488" s="244">
        <v>186.16401672363281</v>
      </c>
      <c r="CC488" s="244">
        <v>14.244659423828125</v>
      </c>
      <c r="CD488" s="228">
        <v>13.069038992271459</v>
      </c>
      <c r="CE488" s="244">
        <v>-381.15151977539062</v>
      </c>
      <c r="CF488" s="244">
        <v>0.23783655037980053</v>
      </c>
      <c r="CG488" s="244">
        <v>0.22571565506045402</v>
      </c>
      <c r="CH488" s="244">
        <v>0.46355220544025455</v>
      </c>
      <c r="CI488" s="244">
        <v>1.1662178639801691E-2</v>
      </c>
      <c r="CJ488" s="244">
        <v>1.4107228441278411E-2</v>
      </c>
      <c r="CK488" s="244">
        <v>2.5769407081080102E-2</v>
      </c>
      <c r="CL488" s="244"/>
      <c r="CM488" s="244">
        <v>2.3876158824199729</v>
      </c>
      <c r="CN488" s="244" t="s">
        <v>442</v>
      </c>
      <c r="CO488" s="244">
        <v>0.28600001335144043</v>
      </c>
      <c r="CP488" s="244">
        <v>0.31700000166893005</v>
      </c>
      <c r="CQ488" s="244">
        <v>19.933080086384823</v>
      </c>
      <c r="CR488" s="244">
        <v>0</v>
      </c>
      <c r="CS488" s="244">
        <v>0</v>
      </c>
      <c r="CT488" s="244">
        <v>19.933080673217773</v>
      </c>
      <c r="CU488" s="244">
        <v>0</v>
      </c>
      <c r="CV488" s="244">
        <v>0</v>
      </c>
      <c r="CW488" s="228">
        <v>9999</v>
      </c>
    </row>
    <row r="489" spans="1:101">
      <c r="A489" s="221" t="s">
        <v>571</v>
      </c>
      <c r="B489" s="221" t="s">
        <v>440</v>
      </c>
      <c r="C489" s="244">
        <v>10</v>
      </c>
      <c r="D489" s="244">
        <v>87.982044149208193</v>
      </c>
      <c r="E489" s="244">
        <v>0</v>
      </c>
      <c r="F489" s="244">
        <v>8.1096944444444432</v>
      </c>
      <c r="G489" s="244">
        <v>0</v>
      </c>
      <c r="H489" s="244">
        <v>0</v>
      </c>
      <c r="I489" s="244" t="s">
        <v>441</v>
      </c>
      <c r="J489" s="244">
        <v>0.28600001335144043</v>
      </c>
      <c r="K489" s="244">
        <v>0.31700000166893005</v>
      </c>
      <c r="L489" s="244">
        <v>95.942114323858462</v>
      </c>
      <c r="M489" s="244">
        <v>1.2139433063566685E-2</v>
      </c>
      <c r="N489" s="244">
        <v>3.829474002122879E-2</v>
      </c>
      <c r="O489" s="244">
        <v>0</v>
      </c>
      <c r="P489" s="244">
        <v>0</v>
      </c>
      <c r="Q489" s="244">
        <v>0</v>
      </c>
      <c r="R489" s="244">
        <v>0.80633538961410522</v>
      </c>
      <c r="S489" s="244">
        <v>4.4560842514038086</v>
      </c>
      <c r="T489" s="244">
        <v>0</v>
      </c>
      <c r="U489" s="244">
        <v>8.9822397232055664</v>
      </c>
      <c r="V489" s="244" t="s">
        <v>226</v>
      </c>
      <c r="W489" s="244" t="s">
        <v>226</v>
      </c>
      <c r="X489" s="244" t="s">
        <v>226</v>
      </c>
      <c r="Y489" s="244" t="s">
        <v>226</v>
      </c>
      <c r="Z489" s="244">
        <v>0</v>
      </c>
      <c r="AA489" s="244">
        <v>0</v>
      </c>
      <c r="AB489" s="244">
        <v>0</v>
      </c>
      <c r="AC489" s="244">
        <v>0</v>
      </c>
      <c r="AD489" s="244">
        <v>0</v>
      </c>
      <c r="AE489" s="244">
        <v>0</v>
      </c>
      <c r="AF489" s="244">
        <v>0</v>
      </c>
      <c r="AG489" s="244">
        <v>0</v>
      </c>
      <c r="AH489" s="244">
        <v>0.80633538961410522</v>
      </c>
      <c r="AI489" s="244">
        <v>4.4560842514038086</v>
      </c>
      <c r="AJ489" s="244">
        <v>0</v>
      </c>
      <c r="AK489" s="244">
        <v>8.9822397232055664</v>
      </c>
      <c r="AL489" s="244">
        <v>14.24465936422348</v>
      </c>
      <c r="AM489" s="244">
        <v>67.621595688411603</v>
      </c>
      <c r="AN489" s="244">
        <v>0</v>
      </c>
      <c r="AO489" s="244">
        <v>11.903460502624512</v>
      </c>
      <c r="AP489" s="244">
        <v>51.413009643554688</v>
      </c>
      <c r="AQ489" s="244">
        <v>130.93806457519531</v>
      </c>
      <c r="AR489" s="244">
        <v>0.80633538961410522</v>
      </c>
      <c r="AS489" s="228">
        <v>162.38660428541399</v>
      </c>
      <c r="AT489" s="244">
        <v>67.621595688411603</v>
      </c>
      <c r="AU489" s="244">
        <v>10.976457595825195</v>
      </c>
      <c r="AV489" s="244">
        <v>13.001106262207031</v>
      </c>
      <c r="AW489" s="244">
        <v>51.413009643554688</v>
      </c>
      <c r="AX489" s="244">
        <v>143.01217651367188</v>
      </c>
      <c r="AY489" s="244">
        <v>4.4560842514038086</v>
      </c>
      <c r="AZ489" s="228">
        <v>32.093686097821227</v>
      </c>
      <c r="BA489" s="244">
        <v>67.621595688411603</v>
      </c>
      <c r="BB489" s="244">
        <v>10.976457595825195</v>
      </c>
      <c r="BC489" s="244">
        <v>13.001106262207031</v>
      </c>
      <c r="BD489" s="244">
        <v>51.413009643554688</v>
      </c>
      <c r="BE489" s="244">
        <v>143.01217651367188</v>
      </c>
      <c r="BF489" s="244">
        <v>5.2624197006225586</v>
      </c>
      <c r="BG489" s="244">
        <v>-58.652702331542969</v>
      </c>
      <c r="BH489" s="228">
        <v>27.176124092288386</v>
      </c>
      <c r="BI489" s="244">
        <v>0.67439037561416626</v>
      </c>
      <c r="BJ489" s="244">
        <v>3.7269110679626465</v>
      </c>
      <c r="BK489" s="244">
        <v>0</v>
      </c>
      <c r="BL489" s="244">
        <v>7.5124268531799316</v>
      </c>
      <c r="BM489" s="244">
        <v>11.913728713989258</v>
      </c>
      <c r="BN489" s="244">
        <v>67.621595688411603</v>
      </c>
      <c r="BO489" s="244">
        <v>0</v>
      </c>
      <c r="BP489" s="244">
        <v>10.976457595825195</v>
      </c>
      <c r="BQ489" s="244">
        <v>0</v>
      </c>
      <c r="BR489" s="244">
        <v>0</v>
      </c>
      <c r="BS489" s="244">
        <v>0</v>
      </c>
      <c r="BT489" s="244">
        <v>51.413009643554688</v>
      </c>
      <c r="BU489" s="244">
        <v>0</v>
      </c>
      <c r="BV489" s="244">
        <v>134.15776062011719</v>
      </c>
      <c r="BW489" s="244">
        <v>13.001106262207031</v>
      </c>
      <c r="BX489" s="244">
        <v>14.244659423828125</v>
      </c>
      <c r="BY489" s="244"/>
      <c r="BZ489" s="244">
        <v>0</v>
      </c>
      <c r="CA489" s="244">
        <v>0</v>
      </c>
      <c r="CB489" s="244">
        <v>277.169921875</v>
      </c>
      <c r="CC489" s="244">
        <v>14.244659423828125</v>
      </c>
      <c r="CD489" s="228">
        <v>19.457813736597487</v>
      </c>
      <c r="CE489" s="244">
        <v>-163.34507751464844</v>
      </c>
      <c r="CF489" s="244">
        <v>0.72400659383588184</v>
      </c>
      <c r="CG489" s="244">
        <v>0</v>
      </c>
      <c r="CH489" s="244">
        <v>0.72400659383588184</v>
      </c>
      <c r="CI489" s="244">
        <v>3.5501247475314517E-2</v>
      </c>
      <c r="CJ489" s="244">
        <v>0</v>
      </c>
      <c r="CK489" s="244">
        <v>3.5501247475314517E-2</v>
      </c>
      <c r="CL489" s="244"/>
      <c r="CM489" s="244">
        <v>0</v>
      </c>
      <c r="CN489" s="244" t="s">
        <v>442</v>
      </c>
      <c r="CO489" s="244">
        <v>0</v>
      </c>
      <c r="CP489" s="244">
        <v>0</v>
      </c>
      <c r="CQ489" s="244">
        <v>0</v>
      </c>
      <c r="CR489" s="244">
        <v>0</v>
      </c>
      <c r="CS489" s="244">
        <v>0</v>
      </c>
      <c r="CT489" s="244">
        <v>0</v>
      </c>
      <c r="CU489" s="244">
        <v>0</v>
      </c>
      <c r="CV489" s="244">
        <v>9999</v>
      </c>
      <c r="CW489" s="228">
        <v>9999</v>
      </c>
    </row>
    <row r="490" spans="1:101">
      <c r="A490" s="221" t="s">
        <v>572</v>
      </c>
      <c r="B490" s="221" t="s">
        <v>440</v>
      </c>
      <c r="C490" s="244">
        <v>10</v>
      </c>
      <c r="D490" s="244">
        <v>0</v>
      </c>
      <c r="E490" s="244">
        <v>3.9236588517052979</v>
      </c>
      <c r="F490" s="244">
        <v>8.1096944444444432</v>
      </c>
      <c r="G490" s="244">
        <v>0</v>
      </c>
      <c r="H490" s="244">
        <v>0</v>
      </c>
      <c r="I490" s="244" t="s">
        <v>441</v>
      </c>
      <c r="J490" s="244">
        <v>0</v>
      </c>
      <c r="K490" s="244">
        <v>0</v>
      </c>
      <c r="L490" s="244">
        <v>0</v>
      </c>
      <c r="M490" s="244">
        <v>0</v>
      </c>
      <c r="N490" s="244">
        <v>0</v>
      </c>
      <c r="O490" s="244">
        <v>3.9628954402223515</v>
      </c>
      <c r="P490" s="244">
        <v>1.2025845237076283E-2</v>
      </c>
      <c r="Q490" s="244">
        <v>3.7936419248580933E-2</v>
      </c>
      <c r="R490" s="244">
        <v>0.80633538961410522</v>
      </c>
      <c r="S490" s="244">
        <v>4.4560842514038086</v>
      </c>
      <c r="T490" s="244">
        <v>0</v>
      </c>
      <c r="U490" s="244">
        <v>8.9822397232055664</v>
      </c>
      <c r="V490" s="244" t="s">
        <v>226</v>
      </c>
      <c r="W490" s="244" t="s">
        <v>226</v>
      </c>
      <c r="X490" s="244" t="s">
        <v>226</v>
      </c>
      <c r="Y490" s="244" t="s">
        <v>226</v>
      </c>
      <c r="Z490" s="244">
        <v>0</v>
      </c>
      <c r="AA490" s="244">
        <v>0</v>
      </c>
      <c r="AB490" s="244">
        <v>0</v>
      </c>
      <c r="AC490" s="244">
        <v>0</v>
      </c>
      <c r="AD490" s="244">
        <v>0</v>
      </c>
      <c r="AE490" s="244">
        <v>0</v>
      </c>
      <c r="AF490" s="244">
        <v>0</v>
      </c>
      <c r="AG490" s="244">
        <v>0</v>
      </c>
      <c r="AH490" s="244">
        <v>0.80633538961410522</v>
      </c>
      <c r="AI490" s="244">
        <v>4.4560842514038086</v>
      </c>
      <c r="AJ490" s="244">
        <v>0</v>
      </c>
      <c r="AK490" s="244">
        <v>8.9822397232055664</v>
      </c>
      <c r="AL490" s="244">
        <v>14.24465936422348</v>
      </c>
      <c r="AM490" s="244">
        <v>0</v>
      </c>
      <c r="AN490" s="244">
        <v>0</v>
      </c>
      <c r="AO490" s="244">
        <v>0</v>
      </c>
      <c r="AP490" s="244">
        <v>0</v>
      </c>
      <c r="AQ490" s="244">
        <v>0</v>
      </c>
      <c r="AR490" s="244">
        <v>0.80633538961410522</v>
      </c>
      <c r="AS490" s="255">
        <v>0</v>
      </c>
      <c r="AT490" s="244">
        <v>0</v>
      </c>
      <c r="AU490" s="244">
        <v>0</v>
      </c>
      <c r="AV490" s="244">
        <v>0</v>
      </c>
      <c r="AW490" s="244">
        <v>0</v>
      </c>
      <c r="AX490" s="244">
        <v>0</v>
      </c>
      <c r="AY490" s="244">
        <v>4.4560842514038086</v>
      </c>
      <c r="AZ490" s="255">
        <v>0</v>
      </c>
      <c r="BA490" s="244">
        <v>0</v>
      </c>
      <c r="BB490" s="244">
        <v>0</v>
      </c>
      <c r="BC490" s="244">
        <v>0</v>
      </c>
      <c r="BD490" s="244">
        <v>0</v>
      </c>
      <c r="BE490" s="244">
        <v>0</v>
      </c>
      <c r="BF490" s="244">
        <v>5.2624197006225586</v>
      </c>
      <c r="BG490" s="244">
        <v>9999</v>
      </c>
      <c r="BH490" s="255">
        <v>0</v>
      </c>
      <c r="BI490" s="244">
        <v>9999</v>
      </c>
      <c r="BJ490" s="244">
        <v>9999</v>
      </c>
      <c r="BK490" s="244">
        <v>9999</v>
      </c>
      <c r="BL490" s="244">
        <v>9999</v>
      </c>
      <c r="BM490" s="244">
        <v>9999</v>
      </c>
      <c r="BN490" s="244">
        <v>0</v>
      </c>
      <c r="BO490" s="244">
        <v>32.756779136275448</v>
      </c>
      <c r="BP490" s="244">
        <v>0</v>
      </c>
      <c r="BQ490" s="244">
        <v>0</v>
      </c>
      <c r="BR490" s="244">
        <v>0</v>
      </c>
      <c r="BS490" s="244">
        <v>0</v>
      </c>
      <c r="BT490" s="244">
        <v>0</v>
      </c>
      <c r="BU490" s="244">
        <v>0</v>
      </c>
      <c r="BV490" s="244">
        <v>134.15776062011719</v>
      </c>
      <c r="BW490" s="244">
        <v>0</v>
      </c>
      <c r="BX490" s="244">
        <v>14.244659423828125</v>
      </c>
      <c r="BY490" s="244"/>
      <c r="BZ490" s="244">
        <v>0</v>
      </c>
      <c r="CA490" s="244">
        <v>0</v>
      </c>
      <c r="CB490" s="244">
        <v>166.91453552246094</v>
      </c>
      <c r="CC490" s="244">
        <v>14.244659423828125</v>
      </c>
      <c r="CD490" s="228">
        <v>11.717692560425979</v>
      </c>
      <c r="CE490" s="244">
        <v>9999</v>
      </c>
      <c r="CF490" s="244">
        <v>0</v>
      </c>
      <c r="CG490" s="244">
        <v>0.37092701320480997</v>
      </c>
      <c r="CH490" s="244">
        <v>0.37092701320480997</v>
      </c>
      <c r="CI490" s="244">
        <v>0</v>
      </c>
      <c r="CJ490" s="244">
        <v>2.3182938325300755E-2</v>
      </c>
      <c r="CK490" s="244">
        <v>2.3182938325300755E-2</v>
      </c>
      <c r="CL490" s="244"/>
      <c r="CM490" s="244">
        <v>3.9236588517052979</v>
      </c>
      <c r="CN490" s="244" t="s">
        <v>442</v>
      </c>
      <c r="CO490" s="244">
        <v>0.28600001335144043</v>
      </c>
      <c r="CP490" s="244">
        <v>0.31700000166893005</v>
      </c>
      <c r="CQ490" s="244">
        <v>32.756779136275448</v>
      </c>
      <c r="CR490" s="244">
        <v>0</v>
      </c>
      <c r="CS490" s="244">
        <v>0</v>
      </c>
      <c r="CT490" s="244">
        <v>32.756778717041016</v>
      </c>
      <c r="CU490" s="244">
        <v>0</v>
      </c>
      <c r="CV490" s="244">
        <v>0</v>
      </c>
      <c r="CW490" s="228">
        <v>9999</v>
      </c>
    </row>
    <row r="491" spans="1:101">
      <c r="A491" s="221" t="s">
        <v>573</v>
      </c>
      <c r="B491" s="221" t="s">
        <v>440</v>
      </c>
      <c r="C491" s="244">
        <v>10</v>
      </c>
      <c r="D491" s="244">
        <v>30.844808647223118</v>
      </c>
      <c r="E491" s="244">
        <v>2.5480996947415382</v>
      </c>
      <c r="F491" s="244">
        <v>8.1096944444444432</v>
      </c>
      <c r="G491" s="244">
        <v>0</v>
      </c>
      <c r="H491" s="244">
        <v>0</v>
      </c>
      <c r="I491" s="244" t="s">
        <v>441</v>
      </c>
      <c r="J491" s="244">
        <v>0.28600001335144043</v>
      </c>
      <c r="K491" s="244">
        <v>0.31700000166893005</v>
      </c>
      <c r="L491" s="244">
        <v>33.635455804035807</v>
      </c>
      <c r="M491" s="244">
        <v>4.2558512650430202E-3</v>
      </c>
      <c r="N491" s="244">
        <v>1.342539768666029E-2</v>
      </c>
      <c r="O491" s="244">
        <v>2.5735806916889552</v>
      </c>
      <c r="P491" s="244">
        <v>7.8098154626786709E-3</v>
      </c>
      <c r="Q491" s="244">
        <v>2.4636641144752502E-2</v>
      </c>
      <c r="R491" s="244">
        <v>0.80633538961410522</v>
      </c>
      <c r="S491" s="244">
        <v>4.4560842514038086</v>
      </c>
      <c r="T491" s="244">
        <v>0</v>
      </c>
      <c r="U491" s="244">
        <v>8.9822397232055664</v>
      </c>
      <c r="V491" s="244" t="s">
        <v>226</v>
      </c>
      <c r="W491" s="244" t="s">
        <v>226</v>
      </c>
      <c r="X491" s="244" t="s">
        <v>226</v>
      </c>
      <c r="Y491" s="244" t="s">
        <v>226</v>
      </c>
      <c r="Z491" s="244">
        <v>0</v>
      </c>
      <c r="AA491" s="244">
        <v>0</v>
      </c>
      <c r="AB491" s="244">
        <v>0</v>
      </c>
      <c r="AC491" s="244">
        <v>0</v>
      </c>
      <c r="AD491" s="244">
        <v>0</v>
      </c>
      <c r="AE491" s="244">
        <v>0</v>
      </c>
      <c r="AF491" s="244">
        <v>0</v>
      </c>
      <c r="AG491" s="244">
        <v>0</v>
      </c>
      <c r="AH491" s="244">
        <v>0.80633538961410522</v>
      </c>
      <c r="AI491" s="244">
        <v>4.4560842514038086</v>
      </c>
      <c r="AJ491" s="244">
        <v>0</v>
      </c>
      <c r="AK491" s="244">
        <v>8.9822397232055664</v>
      </c>
      <c r="AL491" s="244">
        <v>14.24465936422348</v>
      </c>
      <c r="AM491" s="244">
        <v>23.706827905608691</v>
      </c>
      <c r="AN491" s="244">
        <v>0</v>
      </c>
      <c r="AO491" s="244">
        <v>4.173123836517334</v>
      </c>
      <c r="AP491" s="244">
        <v>18.024410247802734</v>
      </c>
      <c r="AQ491" s="244">
        <v>45.904361724853516</v>
      </c>
      <c r="AR491" s="244">
        <v>0.80633538961410522</v>
      </c>
      <c r="AS491" s="228">
        <v>56.92961338568756</v>
      </c>
      <c r="AT491" s="244">
        <v>23.706827905608691</v>
      </c>
      <c r="AU491" s="244">
        <v>3.8481347560882568</v>
      </c>
      <c r="AV491" s="244">
        <v>4.5579371452331543</v>
      </c>
      <c r="AW491" s="244">
        <v>18.024410247802734</v>
      </c>
      <c r="AX491" s="244">
        <v>50.137310028076172</v>
      </c>
      <c r="AY491" s="244">
        <v>4.4560842514038086</v>
      </c>
      <c r="AZ491" s="228">
        <v>11.251427761703111</v>
      </c>
      <c r="BA491" s="244">
        <v>23.706827905608691</v>
      </c>
      <c r="BB491" s="244">
        <v>3.8481347560882568</v>
      </c>
      <c r="BC491" s="244">
        <v>4.5579371452331543</v>
      </c>
      <c r="BD491" s="244">
        <v>18.024410247802734</v>
      </c>
      <c r="BE491" s="244">
        <v>50.137310028076172</v>
      </c>
      <c r="BF491" s="244">
        <v>5.2624197006225586</v>
      </c>
      <c r="BG491" s="244">
        <v>-50.499687194824219</v>
      </c>
      <c r="BH491" s="228">
        <v>9.5274253052602891</v>
      </c>
      <c r="BI491" s="244">
        <v>1.923637866973877</v>
      </c>
      <c r="BJ491" s="244">
        <v>10.630679130554199</v>
      </c>
      <c r="BK491" s="244">
        <v>0</v>
      </c>
      <c r="BL491" s="244">
        <v>21.428522109985352</v>
      </c>
      <c r="BM491" s="244">
        <v>33.982837677001953</v>
      </c>
      <c r="BN491" s="244">
        <v>23.706827905608691</v>
      </c>
      <c r="BO491" s="244">
        <v>21.272883824133437</v>
      </c>
      <c r="BP491" s="244">
        <v>3.8481347560882568</v>
      </c>
      <c r="BQ491" s="244">
        <v>0</v>
      </c>
      <c r="BR491" s="244">
        <v>0</v>
      </c>
      <c r="BS491" s="244">
        <v>0</v>
      </c>
      <c r="BT491" s="244">
        <v>18.024410247802734</v>
      </c>
      <c r="BU491" s="244">
        <v>0</v>
      </c>
      <c r="BV491" s="244">
        <v>134.15776062011719</v>
      </c>
      <c r="BW491" s="244">
        <v>4.5579371452331543</v>
      </c>
      <c r="BX491" s="244">
        <v>14.244659423828125</v>
      </c>
      <c r="BY491" s="244"/>
      <c r="BZ491" s="244">
        <v>0</v>
      </c>
      <c r="CA491" s="244">
        <v>0</v>
      </c>
      <c r="CB491" s="244">
        <v>205.56794738769531</v>
      </c>
      <c r="CC491" s="244">
        <v>14.244659423828125</v>
      </c>
      <c r="CD491" s="228">
        <v>14.431229865356718</v>
      </c>
      <c r="CE491" s="244">
        <v>-399.87503051757813</v>
      </c>
      <c r="CF491" s="244">
        <v>0.25382275511038571</v>
      </c>
      <c r="CG491" s="244">
        <v>0.24088715274208702</v>
      </c>
      <c r="CH491" s="244">
        <v>0.49470990785247271</v>
      </c>
      <c r="CI491" s="244">
        <v>1.244605300664231E-2</v>
      </c>
      <c r="CJ491" s="244">
        <v>1.5055447046380385E-2</v>
      </c>
      <c r="CK491" s="244">
        <v>2.7501500053022696E-2</v>
      </c>
      <c r="CL491" s="244"/>
      <c r="CM491" s="244">
        <v>2.5480996947415382</v>
      </c>
      <c r="CN491" s="244" t="s">
        <v>442</v>
      </c>
      <c r="CO491" s="244">
        <v>0.28600001335144043</v>
      </c>
      <c r="CP491" s="244">
        <v>0.31700000166893005</v>
      </c>
      <c r="CQ491" s="244">
        <v>21.272883824133437</v>
      </c>
      <c r="CR491" s="244">
        <v>0</v>
      </c>
      <c r="CS491" s="244">
        <v>0</v>
      </c>
      <c r="CT491" s="244">
        <v>21.272884368896484</v>
      </c>
      <c r="CU491" s="244">
        <v>0</v>
      </c>
      <c r="CV491" s="244">
        <v>0</v>
      </c>
      <c r="CW491" s="228">
        <v>9999</v>
      </c>
    </row>
    <row r="492" spans="1:101">
      <c r="A492" s="221" t="s">
        <v>574</v>
      </c>
      <c r="B492" s="221" t="s">
        <v>440</v>
      </c>
      <c r="C492" s="244">
        <v>10</v>
      </c>
      <c r="D492" s="244">
        <v>145.46232303969464</v>
      </c>
      <c r="E492" s="244">
        <v>0</v>
      </c>
      <c r="F492" s="244">
        <v>8.1096944444444432</v>
      </c>
      <c r="G492" s="244">
        <v>0</v>
      </c>
      <c r="H492" s="244">
        <v>0</v>
      </c>
      <c r="I492" s="244" t="s">
        <v>441</v>
      </c>
      <c r="J492" s="244">
        <v>0.28600001335144043</v>
      </c>
      <c r="K492" s="244">
        <v>0.31700000166893005</v>
      </c>
      <c r="L492" s="244">
        <v>158.62285267230877</v>
      </c>
      <c r="M492" s="244">
        <v>2.007034607231617E-2</v>
      </c>
      <c r="N492" s="244">
        <v>6.3313394784927368E-2</v>
      </c>
      <c r="O492" s="244">
        <v>0</v>
      </c>
      <c r="P492" s="244">
        <v>0</v>
      </c>
      <c r="Q492" s="244">
        <v>0</v>
      </c>
      <c r="R492" s="244">
        <v>0.80633538961410522</v>
      </c>
      <c r="S492" s="244">
        <v>4.4560842514038086</v>
      </c>
      <c r="T492" s="244">
        <v>0</v>
      </c>
      <c r="U492" s="244">
        <v>8.9822397232055664</v>
      </c>
      <c r="V492" s="244" t="s">
        <v>226</v>
      </c>
      <c r="W492" s="244" t="s">
        <v>226</v>
      </c>
      <c r="X492" s="244" t="s">
        <v>226</v>
      </c>
      <c r="Y492" s="244" t="s">
        <v>226</v>
      </c>
      <c r="Z492" s="244">
        <v>0</v>
      </c>
      <c r="AA492" s="244">
        <v>0</v>
      </c>
      <c r="AB492" s="244">
        <v>0</v>
      </c>
      <c r="AC492" s="244">
        <v>0</v>
      </c>
      <c r="AD492" s="244">
        <v>0</v>
      </c>
      <c r="AE492" s="244">
        <v>0</v>
      </c>
      <c r="AF492" s="244">
        <v>0</v>
      </c>
      <c r="AG492" s="244">
        <v>0</v>
      </c>
      <c r="AH492" s="244">
        <v>0.80633538961410522</v>
      </c>
      <c r="AI492" s="244">
        <v>4.4560842514038086</v>
      </c>
      <c r="AJ492" s="244">
        <v>0</v>
      </c>
      <c r="AK492" s="244">
        <v>8.9822397232055664</v>
      </c>
      <c r="AL492" s="244">
        <v>14.24465936422348</v>
      </c>
      <c r="AM492" s="244">
        <v>111.80002114756378</v>
      </c>
      <c r="AN492" s="244">
        <v>0</v>
      </c>
      <c r="AO492" s="244">
        <v>19.680208206176758</v>
      </c>
      <c r="AP492" s="244">
        <v>85.002059936523438</v>
      </c>
      <c r="AQ492" s="244">
        <v>216.48228454589844</v>
      </c>
      <c r="AR492" s="244">
        <v>0.80633538961410522</v>
      </c>
      <c r="AS492" s="228">
        <v>268.47673074831522</v>
      </c>
      <c r="AT492" s="244">
        <v>111.80002114756378</v>
      </c>
      <c r="AU492" s="244">
        <v>18.147579193115234</v>
      </c>
      <c r="AV492" s="244">
        <v>21.494966506958008</v>
      </c>
      <c r="AW492" s="244">
        <v>85.002059936523438</v>
      </c>
      <c r="AX492" s="244">
        <v>236.44462585449219</v>
      </c>
      <c r="AY492" s="244">
        <v>4.4560842514038086</v>
      </c>
      <c r="AZ492" s="228">
        <v>53.061076372080002</v>
      </c>
      <c r="BA492" s="244">
        <v>111.80002114756378</v>
      </c>
      <c r="BB492" s="244">
        <v>18.147579193115234</v>
      </c>
      <c r="BC492" s="244">
        <v>21.494966506958008</v>
      </c>
      <c r="BD492" s="244">
        <v>85.002059936523438</v>
      </c>
      <c r="BE492" s="244">
        <v>236.44462585449219</v>
      </c>
      <c r="BF492" s="244">
        <v>5.2624197006225586</v>
      </c>
      <c r="BG492" s="244">
        <v>-60.391899108886719</v>
      </c>
      <c r="BH492" s="228">
        <v>44.930781449125327</v>
      </c>
      <c r="BI492" s="244">
        <v>0.4079011082649231</v>
      </c>
      <c r="BJ492" s="244">
        <v>2.2542006969451904</v>
      </c>
      <c r="BK492" s="244">
        <v>0</v>
      </c>
      <c r="BL492" s="244">
        <v>4.5438475608825684</v>
      </c>
      <c r="BM492" s="244">
        <v>7.2059497833251953</v>
      </c>
      <c r="BN492" s="244">
        <v>111.80002114756378</v>
      </c>
      <c r="BO492" s="244">
        <v>0</v>
      </c>
      <c r="BP492" s="244">
        <v>18.147579193115234</v>
      </c>
      <c r="BQ492" s="244">
        <v>0</v>
      </c>
      <c r="BR492" s="244">
        <v>0</v>
      </c>
      <c r="BS492" s="244">
        <v>0</v>
      </c>
      <c r="BT492" s="244">
        <v>85.002059936523438</v>
      </c>
      <c r="BU492" s="244">
        <v>0</v>
      </c>
      <c r="BV492" s="244">
        <v>208.68986511230469</v>
      </c>
      <c r="BW492" s="244">
        <v>21.494966506958008</v>
      </c>
      <c r="BX492" s="244">
        <v>14.244659423828125</v>
      </c>
      <c r="BY492" s="244"/>
      <c r="BZ492" s="244">
        <v>0</v>
      </c>
      <c r="CA492" s="244">
        <v>0</v>
      </c>
      <c r="CB492" s="244">
        <v>445.13449096679687</v>
      </c>
      <c r="CC492" s="244">
        <v>14.244659423828125</v>
      </c>
      <c r="CD492" s="228">
        <v>31.24921970067286</v>
      </c>
      <c r="CE492" s="244">
        <v>-161.41804504394531</v>
      </c>
      <c r="CF492" s="244">
        <v>1.1970133457779168</v>
      </c>
      <c r="CG492" s="244">
        <v>0</v>
      </c>
      <c r="CH492" s="244">
        <v>1.1970133457779168</v>
      </c>
      <c r="CI492" s="244">
        <v>5.8694861872140507E-2</v>
      </c>
      <c r="CJ492" s="244">
        <v>0</v>
      </c>
      <c r="CK492" s="244">
        <v>5.8694861872140507E-2</v>
      </c>
      <c r="CL492" s="244"/>
      <c r="CM492" s="244">
        <v>0</v>
      </c>
      <c r="CN492" s="244" t="s">
        <v>442</v>
      </c>
      <c r="CO492" s="244">
        <v>0</v>
      </c>
      <c r="CP492" s="244">
        <v>0</v>
      </c>
      <c r="CQ492" s="244">
        <v>0</v>
      </c>
      <c r="CR492" s="244">
        <v>0</v>
      </c>
      <c r="CS492" s="244">
        <v>0</v>
      </c>
      <c r="CT492" s="244">
        <v>0</v>
      </c>
      <c r="CU492" s="244">
        <v>0</v>
      </c>
      <c r="CV492" s="244">
        <v>9999</v>
      </c>
      <c r="CW492" s="228">
        <v>9999</v>
      </c>
    </row>
    <row r="493" spans="1:101">
      <c r="A493" s="221" t="s">
        <v>575</v>
      </c>
      <c r="B493" s="221" t="s">
        <v>440</v>
      </c>
      <c r="C493" s="244">
        <v>10</v>
      </c>
      <c r="D493" s="244">
        <v>0</v>
      </c>
      <c r="E493" s="244">
        <v>6.4870569546712513</v>
      </c>
      <c r="F493" s="244">
        <v>8.1096944444444432</v>
      </c>
      <c r="G493" s="244">
        <v>0</v>
      </c>
      <c r="H493" s="244">
        <v>0</v>
      </c>
      <c r="I493" s="244" t="s">
        <v>441</v>
      </c>
      <c r="J493" s="244">
        <v>0</v>
      </c>
      <c r="K493" s="244">
        <v>0</v>
      </c>
      <c r="L493" s="244">
        <v>0</v>
      </c>
      <c r="M493" s="244">
        <v>0</v>
      </c>
      <c r="N493" s="244">
        <v>0</v>
      </c>
      <c r="O493" s="244">
        <v>6.5519275242179642</v>
      </c>
      <c r="P493" s="244">
        <v>1.9882550463080406E-2</v>
      </c>
      <c r="Q493" s="244">
        <v>6.2720976769924164E-2</v>
      </c>
      <c r="R493" s="244">
        <v>0.80633538961410522</v>
      </c>
      <c r="S493" s="244">
        <v>4.4560842514038086</v>
      </c>
      <c r="T493" s="244">
        <v>0</v>
      </c>
      <c r="U493" s="244">
        <v>8.9822397232055664</v>
      </c>
      <c r="V493" s="244" t="s">
        <v>226</v>
      </c>
      <c r="W493" s="244" t="s">
        <v>226</v>
      </c>
      <c r="X493" s="244" t="s">
        <v>226</v>
      </c>
      <c r="Y493" s="244" t="s">
        <v>226</v>
      </c>
      <c r="Z493" s="244">
        <v>0</v>
      </c>
      <c r="AA493" s="244">
        <v>0</v>
      </c>
      <c r="AB493" s="244">
        <v>0</v>
      </c>
      <c r="AC493" s="244">
        <v>0</v>
      </c>
      <c r="AD493" s="244">
        <v>0</v>
      </c>
      <c r="AE493" s="244">
        <v>0</v>
      </c>
      <c r="AF493" s="244">
        <v>0</v>
      </c>
      <c r="AG493" s="244">
        <v>0</v>
      </c>
      <c r="AH493" s="244">
        <v>0.80633538961410522</v>
      </c>
      <c r="AI493" s="244">
        <v>4.4560842514038086</v>
      </c>
      <c r="AJ493" s="244">
        <v>0</v>
      </c>
      <c r="AK493" s="244">
        <v>8.9822397232055664</v>
      </c>
      <c r="AL493" s="244">
        <v>14.24465936422348</v>
      </c>
      <c r="AM493" s="244">
        <v>0</v>
      </c>
      <c r="AN493" s="244">
        <v>0</v>
      </c>
      <c r="AO493" s="244">
        <v>0</v>
      </c>
      <c r="AP493" s="244">
        <v>0</v>
      </c>
      <c r="AQ493" s="244">
        <v>0</v>
      </c>
      <c r="AR493" s="244">
        <v>0.80633538961410522</v>
      </c>
      <c r="AS493" s="255">
        <v>0</v>
      </c>
      <c r="AT493" s="244">
        <v>0</v>
      </c>
      <c r="AU493" s="244">
        <v>0</v>
      </c>
      <c r="AV493" s="244">
        <v>0</v>
      </c>
      <c r="AW493" s="244">
        <v>0</v>
      </c>
      <c r="AX493" s="244">
        <v>0</v>
      </c>
      <c r="AY493" s="244">
        <v>4.4560842514038086</v>
      </c>
      <c r="AZ493" s="255">
        <v>0</v>
      </c>
      <c r="BA493" s="244">
        <v>0</v>
      </c>
      <c r="BB493" s="244">
        <v>0</v>
      </c>
      <c r="BC493" s="244">
        <v>0</v>
      </c>
      <c r="BD493" s="244">
        <v>0</v>
      </c>
      <c r="BE493" s="244">
        <v>0</v>
      </c>
      <c r="BF493" s="244">
        <v>5.2624197006225586</v>
      </c>
      <c r="BG493" s="244">
        <v>9999</v>
      </c>
      <c r="BH493" s="255">
        <v>0</v>
      </c>
      <c r="BI493" s="244">
        <v>9999</v>
      </c>
      <c r="BJ493" s="244">
        <v>9999</v>
      </c>
      <c r="BK493" s="244">
        <v>9999</v>
      </c>
      <c r="BL493" s="244">
        <v>9999</v>
      </c>
      <c r="BM493" s="244">
        <v>9999</v>
      </c>
      <c r="BN493" s="244">
        <v>0</v>
      </c>
      <c r="BO493" s="244">
        <v>54.157382162888894</v>
      </c>
      <c r="BP493" s="244">
        <v>0</v>
      </c>
      <c r="BQ493" s="244">
        <v>0</v>
      </c>
      <c r="BR493" s="244">
        <v>0</v>
      </c>
      <c r="BS493" s="244">
        <v>0</v>
      </c>
      <c r="BT493" s="244">
        <v>0</v>
      </c>
      <c r="BU493" s="244">
        <v>0</v>
      </c>
      <c r="BV493" s="244">
        <v>208.68986511230469</v>
      </c>
      <c r="BW493" s="244">
        <v>0</v>
      </c>
      <c r="BX493" s="244">
        <v>14.244659423828125</v>
      </c>
      <c r="BY493" s="244"/>
      <c r="BZ493" s="244">
        <v>0</v>
      </c>
      <c r="CA493" s="244">
        <v>0</v>
      </c>
      <c r="CB493" s="244">
        <v>262.84725952148437</v>
      </c>
      <c r="CC493" s="244">
        <v>14.244659423828125</v>
      </c>
      <c r="CD493" s="228">
        <v>18.452336377766184</v>
      </c>
      <c r="CE493" s="244">
        <v>9999</v>
      </c>
      <c r="CF493" s="244">
        <v>0</v>
      </c>
      <c r="CG493" s="244">
        <v>0.61326041626680783</v>
      </c>
      <c r="CH493" s="244">
        <v>0.61326041626680783</v>
      </c>
      <c r="CI493" s="244">
        <v>0</v>
      </c>
      <c r="CJ493" s="244">
        <v>3.832877601667508E-2</v>
      </c>
      <c r="CK493" s="244">
        <v>3.832877601667508E-2</v>
      </c>
      <c r="CL493" s="244"/>
      <c r="CM493" s="244">
        <v>6.4870569546712513</v>
      </c>
      <c r="CN493" s="244" t="s">
        <v>442</v>
      </c>
      <c r="CO493" s="244">
        <v>0.28600001335144043</v>
      </c>
      <c r="CP493" s="244">
        <v>0.31700000166893005</v>
      </c>
      <c r="CQ493" s="244">
        <v>54.157382162888894</v>
      </c>
      <c r="CR493" s="244">
        <v>0</v>
      </c>
      <c r="CS493" s="244">
        <v>0</v>
      </c>
      <c r="CT493" s="244">
        <v>54.157382965087891</v>
      </c>
      <c r="CU493" s="244">
        <v>0</v>
      </c>
      <c r="CV493" s="244">
        <v>0</v>
      </c>
      <c r="CW493" s="228">
        <v>9999</v>
      </c>
    </row>
    <row r="494" spans="1:101">
      <c r="A494" s="221" t="s">
        <v>576</v>
      </c>
      <c r="B494" s="221" t="s">
        <v>440</v>
      </c>
      <c r="C494" s="244">
        <v>10</v>
      </c>
      <c r="D494" s="244">
        <v>50.996286377830366</v>
      </c>
      <c r="E494" s="244">
        <v>4.2128198374801817</v>
      </c>
      <c r="F494" s="244">
        <v>8.1096944444444432</v>
      </c>
      <c r="G494" s="244">
        <v>0</v>
      </c>
      <c r="H494" s="244">
        <v>0</v>
      </c>
      <c r="I494" s="244" t="s">
        <v>441</v>
      </c>
      <c r="J494" s="244">
        <v>0.28600001335144043</v>
      </c>
      <c r="K494" s="244">
        <v>0.31700000166893005</v>
      </c>
      <c r="L494" s="244">
        <v>55.610114371252195</v>
      </c>
      <c r="M494" s="244">
        <v>7.0362761616706848E-3</v>
      </c>
      <c r="N494" s="244">
        <v>2.2196454927325249E-2</v>
      </c>
      <c r="O494" s="244">
        <v>4.2549480358549827</v>
      </c>
      <c r="P494" s="244">
        <v>1.2912111356854439E-2</v>
      </c>
      <c r="Q494" s="244">
        <v>4.0732212364673615E-2</v>
      </c>
      <c r="R494" s="244">
        <v>0.80633538961410522</v>
      </c>
      <c r="S494" s="244">
        <v>4.4560842514038086</v>
      </c>
      <c r="T494" s="244">
        <v>0</v>
      </c>
      <c r="U494" s="244">
        <v>8.9822397232055664</v>
      </c>
      <c r="V494" s="244" t="s">
        <v>226</v>
      </c>
      <c r="W494" s="244" t="s">
        <v>226</v>
      </c>
      <c r="X494" s="244" t="s">
        <v>226</v>
      </c>
      <c r="Y494" s="244" t="s">
        <v>226</v>
      </c>
      <c r="Z494" s="244">
        <v>0</v>
      </c>
      <c r="AA494" s="244">
        <v>0</v>
      </c>
      <c r="AB494" s="244">
        <v>0</v>
      </c>
      <c r="AC494" s="244">
        <v>0</v>
      </c>
      <c r="AD494" s="244">
        <v>0</v>
      </c>
      <c r="AE494" s="244">
        <v>0</v>
      </c>
      <c r="AF494" s="244">
        <v>0</v>
      </c>
      <c r="AG494" s="244">
        <v>0</v>
      </c>
      <c r="AH494" s="244">
        <v>0.80633538961410522</v>
      </c>
      <c r="AI494" s="244">
        <v>4.4560842514038086</v>
      </c>
      <c r="AJ494" s="244">
        <v>0</v>
      </c>
      <c r="AK494" s="244">
        <v>8.9822397232055664</v>
      </c>
      <c r="AL494" s="244">
        <v>14.24465936422348</v>
      </c>
      <c r="AM494" s="244">
        <v>39.19493224326434</v>
      </c>
      <c r="AN494" s="244">
        <v>0</v>
      </c>
      <c r="AO494" s="244">
        <v>6.8995018005371094</v>
      </c>
      <c r="AP494" s="244">
        <v>29.800085067749023</v>
      </c>
      <c r="AQ494" s="244">
        <v>75.894515991210938</v>
      </c>
      <c r="AR494" s="244">
        <v>0.80633538961410522</v>
      </c>
      <c r="AS494" s="228">
        <v>94.12276837789787</v>
      </c>
      <c r="AT494" s="244">
        <v>39.19493224326434</v>
      </c>
      <c r="AU494" s="244">
        <v>6.3621912002563477</v>
      </c>
      <c r="AV494" s="244">
        <v>7.5357208251953125</v>
      </c>
      <c r="AW494" s="244">
        <v>29.800085067749023</v>
      </c>
      <c r="AX494" s="244">
        <v>82.892929077148438</v>
      </c>
      <c r="AY494" s="244">
        <v>4.4560842514038086</v>
      </c>
      <c r="AZ494" s="228">
        <v>18.602190771045475</v>
      </c>
      <c r="BA494" s="244">
        <v>39.19493224326434</v>
      </c>
      <c r="BB494" s="244">
        <v>6.3621912002563477</v>
      </c>
      <c r="BC494" s="244">
        <v>7.5357208251953125</v>
      </c>
      <c r="BD494" s="244">
        <v>29.800085067749023</v>
      </c>
      <c r="BE494" s="244">
        <v>82.892929077148438</v>
      </c>
      <c r="BF494" s="244">
        <v>5.2624197006225586</v>
      </c>
      <c r="BG494" s="244">
        <v>-55.460597991943359</v>
      </c>
      <c r="BH494" s="228">
        <v>15.751866059931126</v>
      </c>
      <c r="BI494" s="244">
        <v>1.1635012626647949</v>
      </c>
      <c r="BJ494" s="244">
        <v>6.4299049377441406</v>
      </c>
      <c r="BK494" s="244">
        <v>0</v>
      </c>
      <c r="BL494" s="244">
        <v>12.960917472839355</v>
      </c>
      <c r="BM494" s="244">
        <v>20.554323196411133</v>
      </c>
      <c r="BN494" s="244">
        <v>39.19493224326434</v>
      </c>
      <c r="BO494" s="244">
        <v>35.170847969435748</v>
      </c>
      <c r="BP494" s="244">
        <v>6.3621912002563477</v>
      </c>
      <c r="BQ494" s="244">
        <v>0</v>
      </c>
      <c r="BR494" s="244">
        <v>0</v>
      </c>
      <c r="BS494" s="244">
        <v>0</v>
      </c>
      <c r="BT494" s="244">
        <v>29.800085067749023</v>
      </c>
      <c r="BU494" s="244">
        <v>0</v>
      </c>
      <c r="BV494" s="244">
        <v>208.68986511230469</v>
      </c>
      <c r="BW494" s="244">
        <v>7.5357208251953125</v>
      </c>
      <c r="BX494" s="244">
        <v>14.244659423828125</v>
      </c>
      <c r="BY494" s="244"/>
      <c r="BZ494" s="244">
        <v>0</v>
      </c>
      <c r="CA494" s="244">
        <v>0</v>
      </c>
      <c r="CB494" s="244">
        <v>326.75363159179687</v>
      </c>
      <c r="CC494" s="244">
        <v>14.244659423828125</v>
      </c>
      <c r="CD494" s="228">
        <v>22.938677064586031</v>
      </c>
      <c r="CE494" s="244">
        <v>-394.37835693359375</v>
      </c>
      <c r="CF494" s="244">
        <v>0.41964980418137376</v>
      </c>
      <c r="CG494" s="244">
        <v>0.39826313615602493</v>
      </c>
      <c r="CH494" s="244">
        <v>0.8179129403373987</v>
      </c>
      <c r="CI494" s="244">
        <v>2.0577287110436618E-2</v>
      </c>
      <c r="CJ494" s="244">
        <v>2.4891446009751649E-2</v>
      </c>
      <c r="CK494" s="244">
        <v>4.5468733120188266E-2</v>
      </c>
      <c r="CL494" s="244"/>
      <c r="CM494" s="244">
        <v>4.2128198374801817</v>
      </c>
      <c r="CN494" s="244" t="s">
        <v>442</v>
      </c>
      <c r="CO494" s="244">
        <v>0.28600001335144043</v>
      </c>
      <c r="CP494" s="244">
        <v>0.31700000166893005</v>
      </c>
      <c r="CQ494" s="244">
        <v>35.170847969435748</v>
      </c>
      <c r="CR494" s="244">
        <v>0</v>
      </c>
      <c r="CS494" s="244">
        <v>0</v>
      </c>
      <c r="CT494" s="244">
        <v>35.170848846435547</v>
      </c>
      <c r="CU494" s="244">
        <v>0</v>
      </c>
      <c r="CV494" s="244">
        <v>0</v>
      </c>
      <c r="CW494" s="228">
        <v>9999</v>
      </c>
    </row>
    <row r="495" spans="1:101">
      <c r="A495" s="221" t="s">
        <v>577</v>
      </c>
      <c r="B495" s="221" t="s">
        <v>440</v>
      </c>
      <c r="C495" s="244">
        <v>10</v>
      </c>
      <c r="D495" s="244">
        <v>2064.5481497692804</v>
      </c>
      <c r="E495" s="244">
        <v>0</v>
      </c>
      <c r="F495" s="244">
        <v>3.2966774171383419</v>
      </c>
      <c r="G495" s="244">
        <v>0</v>
      </c>
      <c r="H495" s="244">
        <v>0</v>
      </c>
      <c r="I495" s="244" t="s">
        <v>441</v>
      </c>
      <c r="J495" s="244">
        <v>0.28600001335144043</v>
      </c>
      <c r="K495" s="244">
        <v>0.31700000166893005</v>
      </c>
      <c r="L495" s="244">
        <v>2251.3356734057807</v>
      </c>
      <c r="M495" s="244">
        <v>0.28485861420631409</v>
      </c>
      <c r="N495" s="244">
        <v>0.89860761165618896</v>
      </c>
      <c r="O495" s="244">
        <v>0</v>
      </c>
      <c r="P495" s="244">
        <v>0</v>
      </c>
      <c r="Q495" s="244">
        <v>0</v>
      </c>
      <c r="R495" s="244">
        <v>0.32778394222259521</v>
      </c>
      <c r="S495" s="244">
        <v>1.8114458322525024</v>
      </c>
      <c r="T495" s="244">
        <v>0</v>
      </c>
      <c r="U495" s="244">
        <v>3.6513762474060059</v>
      </c>
      <c r="V495" s="244" t="s">
        <v>226</v>
      </c>
      <c r="W495" s="244" t="s">
        <v>226</v>
      </c>
      <c r="X495" s="244" t="s">
        <v>226</v>
      </c>
      <c r="Y495" s="244" t="s">
        <v>226</v>
      </c>
      <c r="Z495" s="244">
        <v>0</v>
      </c>
      <c r="AA495" s="244">
        <v>0</v>
      </c>
      <c r="AB495" s="244">
        <v>0</v>
      </c>
      <c r="AC495" s="244">
        <v>0</v>
      </c>
      <c r="AD495" s="244">
        <v>0</v>
      </c>
      <c r="AE495" s="244">
        <v>0</v>
      </c>
      <c r="AF495" s="244">
        <v>0</v>
      </c>
      <c r="AG495" s="244">
        <v>0</v>
      </c>
      <c r="AH495" s="244">
        <v>0.32778394222259521</v>
      </c>
      <c r="AI495" s="244">
        <v>1.8114458322525024</v>
      </c>
      <c r="AJ495" s="244">
        <v>0</v>
      </c>
      <c r="AK495" s="244">
        <v>3.6513762474060059</v>
      </c>
      <c r="AL495" s="244">
        <v>5.7906060218811035</v>
      </c>
      <c r="AM495" s="244">
        <v>1586.7787752941526</v>
      </c>
      <c r="AN495" s="244">
        <v>0</v>
      </c>
      <c r="AO495" s="244">
        <v>279.32138061523437</v>
      </c>
      <c r="AP495" s="244">
        <v>1206.43505859375</v>
      </c>
      <c r="AQ495" s="244">
        <v>3072.53515625</v>
      </c>
      <c r="AR495" s="244">
        <v>0.32778394222259521</v>
      </c>
      <c r="AS495" s="228">
        <v>9373.6599592685507</v>
      </c>
      <c r="AT495" s="244">
        <v>1586.7787752941526</v>
      </c>
      <c r="AU495" s="244">
        <v>257.56875610351562</v>
      </c>
      <c r="AV495" s="244">
        <v>305.07827758789062</v>
      </c>
      <c r="AW495" s="244">
        <v>1206.43505859375</v>
      </c>
      <c r="AX495" s="244">
        <v>3355.86083984375</v>
      </c>
      <c r="AY495" s="244">
        <v>1.8114458322525024</v>
      </c>
      <c r="AZ495" s="228">
        <v>1852.5869268783777</v>
      </c>
      <c r="BA495" s="244">
        <v>1586.7787752941526</v>
      </c>
      <c r="BB495" s="244">
        <v>257.56875610351562</v>
      </c>
      <c r="BC495" s="244">
        <v>305.07827758789062</v>
      </c>
      <c r="BD495" s="244">
        <v>1206.43505859375</v>
      </c>
      <c r="BE495" s="244">
        <v>3355.86083984375</v>
      </c>
      <c r="BF495" s="244">
        <v>2.1392297744750977</v>
      </c>
      <c r="BG495" s="244">
        <v>-62.977752685546875</v>
      </c>
      <c r="BH495" s="228">
        <v>1568.7238966196308</v>
      </c>
      <c r="BI495" s="244">
        <v>1.1682944372296333E-2</v>
      </c>
      <c r="BJ495" s="244">
        <v>6.4563937485218048E-2</v>
      </c>
      <c r="BK495" s="244">
        <v>0</v>
      </c>
      <c r="BL495" s="244">
        <v>0.13014312088489532</v>
      </c>
      <c r="BM495" s="244">
        <v>0.20639000833034515</v>
      </c>
      <c r="BN495" s="244">
        <v>1586.7787752941526</v>
      </c>
      <c r="BO495" s="244">
        <v>0</v>
      </c>
      <c r="BP495" s="244">
        <v>257.56875610351562</v>
      </c>
      <c r="BQ495" s="244">
        <v>0</v>
      </c>
      <c r="BR495" s="244">
        <v>0</v>
      </c>
      <c r="BS495" s="244">
        <v>0</v>
      </c>
      <c r="BT495" s="244">
        <v>1206.43505859375</v>
      </c>
      <c r="BU495" s="244">
        <v>0</v>
      </c>
      <c r="BV495" s="244">
        <v>2986.3876953125</v>
      </c>
      <c r="BW495" s="244">
        <v>305.07827758789062</v>
      </c>
      <c r="BX495" s="244">
        <v>5.7906060218811035</v>
      </c>
      <c r="BY495" s="244"/>
      <c r="BZ495" s="244">
        <v>0</v>
      </c>
      <c r="CA495" s="244">
        <v>0</v>
      </c>
      <c r="CB495" s="244">
        <v>6342.24853515625</v>
      </c>
      <c r="CC495" s="244">
        <v>5.7906060218811035</v>
      </c>
      <c r="CD495" s="228">
        <v>1095.2650791516812</v>
      </c>
      <c r="CE495" s="244">
        <v>-169.28907775878906</v>
      </c>
      <c r="CF495" s="244">
        <v>16.989221927939084</v>
      </c>
      <c r="CG495" s="244">
        <v>0</v>
      </c>
      <c r="CH495" s="244">
        <v>16.989221927939084</v>
      </c>
      <c r="CI495" s="244">
        <v>0.83305673900191546</v>
      </c>
      <c r="CJ495" s="244">
        <v>0</v>
      </c>
      <c r="CK495" s="244">
        <v>0.83305673900191546</v>
      </c>
      <c r="CL495" s="244"/>
      <c r="CM495" s="244">
        <v>0</v>
      </c>
      <c r="CN495" s="244" t="s">
        <v>442</v>
      </c>
      <c r="CO495" s="244">
        <v>0</v>
      </c>
      <c r="CP495" s="244">
        <v>0</v>
      </c>
      <c r="CQ495" s="244">
        <v>0</v>
      </c>
      <c r="CR495" s="244">
        <v>0</v>
      </c>
      <c r="CS495" s="244">
        <v>0</v>
      </c>
      <c r="CT495" s="244">
        <v>0</v>
      </c>
      <c r="CU495" s="244">
        <v>0</v>
      </c>
      <c r="CV495" s="244">
        <v>9999</v>
      </c>
      <c r="CW495" s="228">
        <v>9999</v>
      </c>
    </row>
    <row r="496" spans="1:101">
      <c r="A496" s="221" t="s">
        <v>578</v>
      </c>
      <c r="B496" s="221" t="s">
        <v>440</v>
      </c>
      <c r="C496" s="244">
        <v>10</v>
      </c>
      <c r="D496" s="244">
        <v>0</v>
      </c>
      <c r="E496" s="244">
        <v>92.070861741701819</v>
      </c>
      <c r="F496" s="244">
        <v>3.2966774171383419</v>
      </c>
      <c r="G496" s="244">
        <v>0</v>
      </c>
      <c r="H496" s="244">
        <v>0</v>
      </c>
      <c r="I496" s="244" t="s">
        <v>441</v>
      </c>
      <c r="J496" s="244">
        <v>0</v>
      </c>
      <c r="K496" s="244">
        <v>0</v>
      </c>
      <c r="L496" s="244">
        <v>0</v>
      </c>
      <c r="M496" s="244">
        <v>0</v>
      </c>
      <c r="N496" s="244">
        <v>0</v>
      </c>
      <c r="O496" s="244">
        <v>92.991570359118853</v>
      </c>
      <c r="P496" s="244">
        <v>0.28219321370124817</v>
      </c>
      <c r="Q496" s="244">
        <v>0.89019942283630371</v>
      </c>
      <c r="R496" s="244">
        <v>0.32778394222259521</v>
      </c>
      <c r="S496" s="244">
        <v>1.8114458322525024</v>
      </c>
      <c r="T496" s="244">
        <v>0</v>
      </c>
      <c r="U496" s="244">
        <v>3.6513762474060059</v>
      </c>
      <c r="V496" s="244" t="s">
        <v>226</v>
      </c>
      <c r="W496" s="244" t="s">
        <v>226</v>
      </c>
      <c r="X496" s="244" t="s">
        <v>226</v>
      </c>
      <c r="Y496" s="244" t="s">
        <v>226</v>
      </c>
      <c r="Z496" s="244">
        <v>0</v>
      </c>
      <c r="AA496" s="244">
        <v>0</v>
      </c>
      <c r="AB496" s="244">
        <v>0</v>
      </c>
      <c r="AC496" s="244">
        <v>0</v>
      </c>
      <c r="AD496" s="244">
        <v>0</v>
      </c>
      <c r="AE496" s="244">
        <v>0</v>
      </c>
      <c r="AF496" s="244">
        <v>0</v>
      </c>
      <c r="AG496" s="244">
        <v>0</v>
      </c>
      <c r="AH496" s="244">
        <v>0.32778394222259521</v>
      </c>
      <c r="AI496" s="244">
        <v>1.8114458322525024</v>
      </c>
      <c r="AJ496" s="244">
        <v>0</v>
      </c>
      <c r="AK496" s="244">
        <v>3.6513762474060059</v>
      </c>
      <c r="AL496" s="244">
        <v>5.7906060218811035</v>
      </c>
      <c r="AM496" s="244">
        <v>0</v>
      </c>
      <c r="AN496" s="244">
        <v>0</v>
      </c>
      <c r="AO496" s="244">
        <v>0</v>
      </c>
      <c r="AP496" s="244">
        <v>0</v>
      </c>
      <c r="AQ496" s="244">
        <v>0</v>
      </c>
      <c r="AR496" s="244">
        <v>0.32778394222259521</v>
      </c>
      <c r="AS496" s="255">
        <v>0</v>
      </c>
      <c r="AT496" s="244">
        <v>0</v>
      </c>
      <c r="AU496" s="244">
        <v>0</v>
      </c>
      <c r="AV496" s="244">
        <v>0</v>
      </c>
      <c r="AW496" s="244">
        <v>0</v>
      </c>
      <c r="AX496" s="244">
        <v>0</v>
      </c>
      <c r="AY496" s="244">
        <v>1.8114458322525024</v>
      </c>
      <c r="AZ496" s="255">
        <v>0</v>
      </c>
      <c r="BA496" s="244">
        <v>0</v>
      </c>
      <c r="BB496" s="244">
        <v>0</v>
      </c>
      <c r="BC496" s="244">
        <v>0</v>
      </c>
      <c r="BD496" s="244">
        <v>0</v>
      </c>
      <c r="BE496" s="244">
        <v>0</v>
      </c>
      <c r="BF496" s="244">
        <v>2.1392297744750977</v>
      </c>
      <c r="BG496" s="244">
        <v>9999</v>
      </c>
      <c r="BH496" s="255">
        <v>0</v>
      </c>
      <c r="BI496" s="244">
        <v>9999</v>
      </c>
      <c r="BJ496" s="244">
        <v>9999</v>
      </c>
      <c r="BK496" s="244">
        <v>9999</v>
      </c>
      <c r="BL496" s="244">
        <v>9999</v>
      </c>
      <c r="BM496" s="244">
        <v>9999</v>
      </c>
      <c r="BN496" s="244">
        <v>0</v>
      </c>
      <c r="BO496" s="244">
        <v>768.65624585294665</v>
      </c>
      <c r="BP496" s="244">
        <v>0</v>
      </c>
      <c r="BQ496" s="244">
        <v>0</v>
      </c>
      <c r="BR496" s="244">
        <v>0</v>
      </c>
      <c r="BS496" s="244">
        <v>0</v>
      </c>
      <c r="BT496" s="244">
        <v>0</v>
      </c>
      <c r="BU496" s="244">
        <v>0</v>
      </c>
      <c r="BV496" s="244">
        <v>2986.3876953125</v>
      </c>
      <c r="BW496" s="244">
        <v>0</v>
      </c>
      <c r="BX496" s="244">
        <v>5.7906060218811035</v>
      </c>
      <c r="BY496" s="244"/>
      <c r="BZ496" s="244">
        <v>0</v>
      </c>
      <c r="CA496" s="244">
        <v>0</v>
      </c>
      <c r="CB496" s="244">
        <v>3755.0439453125</v>
      </c>
      <c r="CC496" s="244">
        <v>5.7906060218811035</v>
      </c>
      <c r="CD496" s="228">
        <v>648.47166720998996</v>
      </c>
      <c r="CE496" s="244">
        <v>9999</v>
      </c>
      <c r="CF496" s="244">
        <v>0</v>
      </c>
      <c r="CG496" s="244">
        <v>8.7040109856135341</v>
      </c>
      <c r="CH496" s="244">
        <v>8.7040109856135341</v>
      </c>
      <c r="CI496" s="244">
        <v>0</v>
      </c>
      <c r="CJ496" s="244">
        <v>0.54400068660084511</v>
      </c>
      <c r="CK496" s="244">
        <v>0.54400068660084511</v>
      </c>
      <c r="CL496" s="244"/>
      <c r="CM496" s="244">
        <v>92.070861741701819</v>
      </c>
      <c r="CN496" s="244" t="s">
        <v>442</v>
      </c>
      <c r="CO496" s="244">
        <v>0.28600001335144043</v>
      </c>
      <c r="CP496" s="244">
        <v>0.31700000166893005</v>
      </c>
      <c r="CQ496" s="244">
        <v>768.65624585294665</v>
      </c>
      <c r="CR496" s="244">
        <v>0</v>
      </c>
      <c r="CS496" s="244">
        <v>0</v>
      </c>
      <c r="CT496" s="244">
        <v>768.65625</v>
      </c>
      <c r="CU496" s="244">
        <v>0</v>
      </c>
      <c r="CV496" s="244">
        <v>0</v>
      </c>
      <c r="CW496" s="228">
        <v>9999</v>
      </c>
    </row>
    <row r="497" spans="1:101">
      <c r="A497" s="221" t="s">
        <v>579</v>
      </c>
      <c r="B497" s="221" t="s">
        <v>440</v>
      </c>
      <c r="C497" s="244">
        <v>10</v>
      </c>
      <c r="D497" s="244">
        <v>653.77358076027213</v>
      </c>
      <c r="E497" s="244">
        <v>62.915088856829577</v>
      </c>
      <c r="F497" s="244">
        <v>3.2966774171383419</v>
      </c>
      <c r="G497" s="244">
        <v>0</v>
      </c>
      <c r="H497" s="244">
        <v>0</v>
      </c>
      <c r="I497" s="244" t="s">
        <v>441</v>
      </c>
      <c r="J497" s="244">
        <v>0.28600001335144043</v>
      </c>
      <c r="K497" s="244">
        <v>0.31700000166893005</v>
      </c>
      <c r="L497" s="244">
        <v>712.92296324516451</v>
      </c>
      <c r="M497" s="244">
        <v>9.0205222368240356E-2</v>
      </c>
      <c r="N497" s="244">
        <v>0.28455907106399536</v>
      </c>
      <c r="O497" s="244">
        <v>63.544239745397832</v>
      </c>
      <c r="P497" s="244">
        <v>0.19283203780651093</v>
      </c>
      <c r="Q497" s="244">
        <v>0.60830295085906982</v>
      </c>
      <c r="R497" s="244">
        <v>0.32778394222259521</v>
      </c>
      <c r="S497" s="244">
        <v>1.8114458322525024</v>
      </c>
      <c r="T497" s="244">
        <v>0</v>
      </c>
      <c r="U497" s="244">
        <v>3.6513762474060059</v>
      </c>
      <c r="V497" s="244" t="s">
        <v>226</v>
      </c>
      <c r="W497" s="244" t="s">
        <v>226</v>
      </c>
      <c r="X497" s="244" t="s">
        <v>226</v>
      </c>
      <c r="Y497" s="244" t="s">
        <v>226</v>
      </c>
      <c r="Z497" s="244">
        <v>0</v>
      </c>
      <c r="AA497" s="244">
        <v>0</v>
      </c>
      <c r="AB497" s="244">
        <v>0</v>
      </c>
      <c r="AC497" s="244">
        <v>0</v>
      </c>
      <c r="AD497" s="244">
        <v>0</v>
      </c>
      <c r="AE497" s="244">
        <v>0</v>
      </c>
      <c r="AF497" s="244">
        <v>0</v>
      </c>
      <c r="AG497" s="244">
        <v>0</v>
      </c>
      <c r="AH497" s="244">
        <v>0.32778394222259521</v>
      </c>
      <c r="AI497" s="244">
        <v>1.8114458322525024</v>
      </c>
      <c r="AJ497" s="244">
        <v>0</v>
      </c>
      <c r="AK497" s="244">
        <v>3.6513762474060059</v>
      </c>
      <c r="AL497" s="244">
        <v>5.7906060218811035</v>
      </c>
      <c r="AM497" s="244">
        <v>502.47994550981525</v>
      </c>
      <c r="AN497" s="244">
        <v>0</v>
      </c>
      <c r="AO497" s="244">
        <v>88.451774597167969</v>
      </c>
      <c r="AP497" s="244">
        <v>382.03775024414062</v>
      </c>
      <c r="AQ497" s="244">
        <v>972.969482421875</v>
      </c>
      <c r="AR497" s="244">
        <v>0.32778394222259521</v>
      </c>
      <c r="AS497" s="228">
        <v>2968.3256103204371</v>
      </c>
      <c r="AT497" s="244">
        <v>502.47994550981525</v>
      </c>
      <c r="AU497" s="244">
        <v>81.563438415527344</v>
      </c>
      <c r="AV497" s="244">
        <v>96.608116149902344</v>
      </c>
      <c r="AW497" s="244">
        <v>382.03775024414062</v>
      </c>
      <c r="AX497" s="244">
        <v>1062.689208984375</v>
      </c>
      <c r="AY497" s="244">
        <v>1.8114458322525024</v>
      </c>
      <c r="AZ497" s="228">
        <v>586.65251336715346</v>
      </c>
      <c r="BA497" s="244">
        <v>502.47994550981525</v>
      </c>
      <c r="BB497" s="244">
        <v>81.563438415527344</v>
      </c>
      <c r="BC497" s="244">
        <v>96.608116149902344</v>
      </c>
      <c r="BD497" s="244">
        <v>382.03775024414062</v>
      </c>
      <c r="BE497" s="244">
        <v>1062.689208984375</v>
      </c>
      <c r="BF497" s="244">
        <v>2.1392297744750977</v>
      </c>
      <c r="BG497" s="244">
        <v>-62.813217163085937</v>
      </c>
      <c r="BH497" s="228">
        <v>496.76255585033516</v>
      </c>
      <c r="BI497" s="244">
        <v>3.6893509328365326E-2</v>
      </c>
      <c r="BJ497" s="244">
        <v>0.20388612151145935</v>
      </c>
      <c r="BK497" s="244">
        <v>0</v>
      </c>
      <c r="BL497" s="244">
        <v>0.4109782874584198</v>
      </c>
      <c r="BM497" s="244">
        <v>0.65175789594650269</v>
      </c>
      <c r="BN497" s="244">
        <v>502.47994550981525</v>
      </c>
      <c r="BO497" s="244">
        <v>525.24843466618051</v>
      </c>
      <c r="BP497" s="244">
        <v>81.563438415527344</v>
      </c>
      <c r="BQ497" s="244">
        <v>0</v>
      </c>
      <c r="BR497" s="244">
        <v>0</v>
      </c>
      <c r="BS497" s="244">
        <v>0</v>
      </c>
      <c r="BT497" s="244">
        <v>382.03775024414062</v>
      </c>
      <c r="BU497" s="244">
        <v>0</v>
      </c>
      <c r="BV497" s="244">
        <v>2986.3876953125</v>
      </c>
      <c r="BW497" s="244">
        <v>96.608116149902344</v>
      </c>
      <c r="BX497" s="244">
        <v>5.7906060218811035</v>
      </c>
      <c r="BY497" s="244"/>
      <c r="BZ497" s="244">
        <v>0</v>
      </c>
      <c r="CA497" s="244">
        <v>0</v>
      </c>
      <c r="CB497" s="244">
        <v>4574.3251953125</v>
      </c>
      <c r="CC497" s="244">
        <v>5.7906060218811035</v>
      </c>
      <c r="CD497" s="228">
        <v>789.95624344204248</v>
      </c>
      <c r="CE497" s="244">
        <v>-457.65219116210937</v>
      </c>
      <c r="CF497" s="244">
        <v>5.3799202771807169</v>
      </c>
      <c r="CG497" s="244">
        <v>5.9477408401692591</v>
      </c>
      <c r="CH497" s="244">
        <v>11.327661117349976</v>
      </c>
      <c r="CI497" s="244">
        <v>0.26380130068393998</v>
      </c>
      <c r="CJ497" s="244">
        <v>0.37173380251057725</v>
      </c>
      <c r="CK497" s="244">
        <v>0.63553510319451723</v>
      </c>
      <c r="CL497" s="244"/>
      <c r="CM497" s="244">
        <v>62.915088856829577</v>
      </c>
      <c r="CN497" s="244" t="s">
        <v>442</v>
      </c>
      <c r="CO497" s="244">
        <v>0.28600001335144043</v>
      </c>
      <c r="CP497" s="244">
        <v>0.31700000166893005</v>
      </c>
      <c r="CQ497" s="244">
        <v>525.24843466618051</v>
      </c>
      <c r="CR497" s="244">
        <v>0</v>
      </c>
      <c r="CS497" s="244">
        <v>0</v>
      </c>
      <c r="CT497" s="244">
        <v>525.2484130859375</v>
      </c>
      <c r="CU497" s="244">
        <v>0</v>
      </c>
      <c r="CV497" s="244">
        <v>0</v>
      </c>
      <c r="CW497" s="228">
        <v>9999</v>
      </c>
    </row>
    <row r="498" spans="1:101">
      <c r="A498" s="221" t="s">
        <v>580</v>
      </c>
      <c r="B498" s="221" t="s">
        <v>440</v>
      </c>
      <c r="C498" s="244">
        <v>10</v>
      </c>
      <c r="D498" s="244">
        <v>2065.6096274245328</v>
      </c>
      <c r="E498" s="244">
        <v>0</v>
      </c>
      <c r="F498" s="244">
        <v>3.2966774171383419</v>
      </c>
      <c r="G498" s="244">
        <v>0</v>
      </c>
      <c r="H498" s="244">
        <v>0</v>
      </c>
      <c r="I498" s="244" t="s">
        <v>441</v>
      </c>
      <c r="J498" s="244">
        <v>0.28600001335144043</v>
      </c>
      <c r="K498" s="244">
        <v>0.31700000166893005</v>
      </c>
      <c r="L498" s="244">
        <v>2252.4931869818429</v>
      </c>
      <c r="M498" s="244">
        <v>0.28500506281852722</v>
      </c>
      <c r="N498" s="244">
        <v>0.89906960725784302</v>
      </c>
      <c r="O498" s="244">
        <v>0</v>
      </c>
      <c r="P498" s="244">
        <v>0</v>
      </c>
      <c r="Q498" s="244">
        <v>0</v>
      </c>
      <c r="R498" s="244">
        <v>0.32778394222259521</v>
      </c>
      <c r="S498" s="244">
        <v>1.8114458322525024</v>
      </c>
      <c r="T498" s="244">
        <v>0</v>
      </c>
      <c r="U498" s="244">
        <v>3.6513762474060059</v>
      </c>
      <c r="V498" s="244" t="s">
        <v>226</v>
      </c>
      <c r="W498" s="244" t="s">
        <v>226</v>
      </c>
      <c r="X498" s="244" t="s">
        <v>226</v>
      </c>
      <c r="Y498" s="244" t="s">
        <v>226</v>
      </c>
      <c r="Z498" s="244">
        <v>0</v>
      </c>
      <c r="AA498" s="244">
        <v>0</v>
      </c>
      <c r="AB498" s="244">
        <v>0</v>
      </c>
      <c r="AC498" s="244">
        <v>0</v>
      </c>
      <c r="AD498" s="244">
        <v>0</v>
      </c>
      <c r="AE498" s="244">
        <v>0</v>
      </c>
      <c r="AF498" s="244">
        <v>0</v>
      </c>
      <c r="AG498" s="244">
        <v>0</v>
      </c>
      <c r="AH498" s="244">
        <v>0.32778394222259521</v>
      </c>
      <c r="AI498" s="244">
        <v>1.8114458322525024</v>
      </c>
      <c r="AJ498" s="244">
        <v>0</v>
      </c>
      <c r="AK498" s="244">
        <v>3.6513762474060059</v>
      </c>
      <c r="AL498" s="244">
        <v>5.7906060218811035</v>
      </c>
      <c r="AM498" s="244">
        <v>1587.5946100878277</v>
      </c>
      <c r="AN498" s="244">
        <v>0</v>
      </c>
      <c r="AO498" s="244">
        <v>279.46502685546875</v>
      </c>
      <c r="AP498" s="244">
        <v>1207.0555419921875</v>
      </c>
      <c r="AQ498" s="244">
        <v>3074.115234375</v>
      </c>
      <c r="AR498" s="244">
        <v>0.32778394222259521</v>
      </c>
      <c r="AS498" s="228">
        <v>9378.4800990888052</v>
      </c>
      <c r="AT498" s="244">
        <v>1587.5946100878277</v>
      </c>
      <c r="AU498" s="244">
        <v>257.701171875</v>
      </c>
      <c r="AV498" s="244">
        <v>305.23513793945312</v>
      </c>
      <c r="AW498" s="244">
        <v>1207.0555419921875</v>
      </c>
      <c r="AX498" s="244">
        <v>3357.58642578125</v>
      </c>
      <c r="AY498" s="244">
        <v>1.8114458322525024</v>
      </c>
      <c r="AZ498" s="228">
        <v>1853.5395329593521</v>
      </c>
      <c r="BA498" s="244">
        <v>1587.5946100878277</v>
      </c>
      <c r="BB498" s="244">
        <v>257.701171875</v>
      </c>
      <c r="BC498" s="244">
        <v>305.23513793945312</v>
      </c>
      <c r="BD498" s="244">
        <v>1207.0555419921875</v>
      </c>
      <c r="BE498" s="244">
        <v>3357.58642578125</v>
      </c>
      <c r="BF498" s="244">
        <v>2.1392297744750977</v>
      </c>
      <c r="BG498" s="244">
        <v>-62.977798461914062</v>
      </c>
      <c r="BH498" s="228">
        <v>1569.5305394289956</v>
      </c>
      <c r="BI498" s="244">
        <v>1.1676941066980362E-2</v>
      </c>
      <c r="BJ498" s="244">
        <v>6.4530760049819946E-2</v>
      </c>
      <c r="BK498" s="244">
        <v>0</v>
      </c>
      <c r="BL498" s="244">
        <v>0.13007624447345734</v>
      </c>
      <c r="BM498" s="244">
        <v>0.20628395676612854</v>
      </c>
      <c r="BN498" s="244">
        <v>1587.5946100878277</v>
      </c>
      <c r="BO498" s="244">
        <v>0</v>
      </c>
      <c r="BP498" s="244">
        <v>257.701171875</v>
      </c>
      <c r="BQ498" s="244">
        <v>0</v>
      </c>
      <c r="BR498" s="244">
        <v>0</v>
      </c>
      <c r="BS498" s="244">
        <v>0</v>
      </c>
      <c r="BT498" s="244">
        <v>1207.0555419921875</v>
      </c>
      <c r="BU498" s="244">
        <v>0</v>
      </c>
      <c r="BV498" s="244">
        <v>3149.7060546875</v>
      </c>
      <c r="BW498" s="244">
        <v>305.23513793945312</v>
      </c>
      <c r="BX498" s="244">
        <v>5.7906060218811035</v>
      </c>
      <c r="BY498" s="244"/>
      <c r="BZ498" s="244">
        <v>0</v>
      </c>
      <c r="CA498" s="244">
        <v>0</v>
      </c>
      <c r="CB498" s="244">
        <v>6507.29248046875</v>
      </c>
      <c r="CC498" s="244">
        <v>5.7906060218811035</v>
      </c>
      <c r="CD498" s="228">
        <v>1123.7670965685984</v>
      </c>
      <c r="CE498" s="244">
        <v>-175.05252075195312</v>
      </c>
      <c r="CF498" s="244">
        <v>16.997956855946729</v>
      </c>
      <c r="CG498" s="244">
        <v>0</v>
      </c>
      <c r="CH498" s="244">
        <v>16.997956855946729</v>
      </c>
      <c r="CI498" s="244">
        <v>0.83348505117962179</v>
      </c>
      <c r="CJ498" s="244">
        <v>0</v>
      </c>
      <c r="CK498" s="244">
        <v>0.83348505117962179</v>
      </c>
      <c r="CL498" s="244"/>
      <c r="CM498" s="244">
        <v>0</v>
      </c>
      <c r="CN498" s="244" t="s">
        <v>442</v>
      </c>
      <c r="CO498" s="244">
        <v>0</v>
      </c>
      <c r="CP498" s="244">
        <v>0</v>
      </c>
      <c r="CQ498" s="244">
        <v>0</v>
      </c>
      <c r="CR498" s="244">
        <v>0</v>
      </c>
      <c r="CS498" s="244">
        <v>0</v>
      </c>
      <c r="CT498" s="244">
        <v>0</v>
      </c>
      <c r="CU498" s="244">
        <v>0</v>
      </c>
      <c r="CV498" s="244">
        <v>9999</v>
      </c>
      <c r="CW498" s="228">
        <v>9999</v>
      </c>
    </row>
    <row r="499" spans="1:101">
      <c r="A499" s="221" t="s">
        <v>581</v>
      </c>
      <c r="B499" s="221" t="s">
        <v>440</v>
      </c>
      <c r="C499" s="244">
        <v>10</v>
      </c>
      <c r="D499" s="244">
        <v>0</v>
      </c>
      <c r="E499" s="244">
        <v>92.118199539296626</v>
      </c>
      <c r="F499" s="244">
        <v>3.2966774171383419</v>
      </c>
      <c r="G499" s="244">
        <v>0</v>
      </c>
      <c r="H499" s="244">
        <v>0</v>
      </c>
      <c r="I499" s="244" t="s">
        <v>441</v>
      </c>
      <c r="J499" s="244">
        <v>0</v>
      </c>
      <c r="K499" s="244">
        <v>0</v>
      </c>
      <c r="L499" s="244">
        <v>0</v>
      </c>
      <c r="M499" s="244">
        <v>0</v>
      </c>
      <c r="N499" s="244">
        <v>0</v>
      </c>
      <c r="O499" s="244">
        <v>93.039381534689596</v>
      </c>
      <c r="P499" s="244">
        <v>0.28233832120895386</v>
      </c>
      <c r="Q499" s="244">
        <v>0.89065712690353394</v>
      </c>
      <c r="R499" s="244">
        <v>0.32778394222259521</v>
      </c>
      <c r="S499" s="244">
        <v>1.8114458322525024</v>
      </c>
      <c r="T499" s="244">
        <v>0</v>
      </c>
      <c r="U499" s="244">
        <v>3.6513762474060059</v>
      </c>
      <c r="V499" s="244" t="s">
        <v>226</v>
      </c>
      <c r="W499" s="244" t="s">
        <v>226</v>
      </c>
      <c r="X499" s="244" t="s">
        <v>226</v>
      </c>
      <c r="Y499" s="244" t="s">
        <v>226</v>
      </c>
      <c r="Z499" s="244">
        <v>0</v>
      </c>
      <c r="AA499" s="244">
        <v>0</v>
      </c>
      <c r="AB499" s="244">
        <v>0</v>
      </c>
      <c r="AC499" s="244">
        <v>0</v>
      </c>
      <c r="AD499" s="244">
        <v>0</v>
      </c>
      <c r="AE499" s="244">
        <v>0</v>
      </c>
      <c r="AF499" s="244">
        <v>0</v>
      </c>
      <c r="AG499" s="244">
        <v>0</v>
      </c>
      <c r="AH499" s="244">
        <v>0.32778394222259521</v>
      </c>
      <c r="AI499" s="244">
        <v>1.8114458322525024</v>
      </c>
      <c r="AJ499" s="244">
        <v>0</v>
      </c>
      <c r="AK499" s="244">
        <v>3.6513762474060059</v>
      </c>
      <c r="AL499" s="244">
        <v>5.7906060218811035</v>
      </c>
      <c r="AM499" s="244">
        <v>0</v>
      </c>
      <c r="AN499" s="244">
        <v>0</v>
      </c>
      <c r="AO499" s="244">
        <v>0</v>
      </c>
      <c r="AP499" s="244">
        <v>0</v>
      </c>
      <c r="AQ499" s="244">
        <v>0</v>
      </c>
      <c r="AR499" s="244">
        <v>0.32778394222259521</v>
      </c>
      <c r="AS499" s="255">
        <v>0</v>
      </c>
      <c r="AT499" s="244">
        <v>0</v>
      </c>
      <c r="AU499" s="244">
        <v>0</v>
      </c>
      <c r="AV499" s="244">
        <v>0</v>
      </c>
      <c r="AW499" s="244">
        <v>0</v>
      </c>
      <c r="AX499" s="244">
        <v>0</v>
      </c>
      <c r="AY499" s="244">
        <v>1.8114458322525024</v>
      </c>
      <c r="AZ499" s="255">
        <v>0</v>
      </c>
      <c r="BA499" s="244">
        <v>0</v>
      </c>
      <c r="BB499" s="244">
        <v>0</v>
      </c>
      <c r="BC499" s="244">
        <v>0</v>
      </c>
      <c r="BD499" s="244">
        <v>0</v>
      </c>
      <c r="BE499" s="244">
        <v>0</v>
      </c>
      <c r="BF499" s="244">
        <v>2.1392297744750977</v>
      </c>
      <c r="BG499" s="244">
        <v>9999</v>
      </c>
      <c r="BH499" s="255">
        <v>0</v>
      </c>
      <c r="BI499" s="244">
        <v>9999</v>
      </c>
      <c r="BJ499" s="244">
        <v>9999</v>
      </c>
      <c r="BK499" s="244">
        <v>9999</v>
      </c>
      <c r="BL499" s="244">
        <v>9999</v>
      </c>
      <c r="BM499" s="244">
        <v>9999</v>
      </c>
      <c r="BN499" s="244">
        <v>0</v>
      </c>
      <c r="BO499" s="244">
        <v>769.05144682204798</v>
      </c>
      <c r="BP499" s="244">
        <v>0</v>
      </c>
      <c r="BQ499" s="244">
        <v>0</v>
      </c>
      <c r="BR499" s="244">
        <v>0</v>
      </c>
      <c r="BS499" s="244">
        <v>0</v>
      </c>
      <c r="BT499" s="244">
        <v>0</v>
      </c>
      <c r="BU499" s="244">
        <v>0</v>
      </c>
      <c r="BV499" s="244">
        <v>3149.7060546875</v>
      </c>
      <c r="BW499" s="244">
        <v>0</v>
      </c>
      <c r="BX499" s="244">
        <v>5.7906060218811035</v>
      </c>
      <c r="BY499" s="244"/>
      <c r="BZ499" s="244">
        <v>0</v>
      </c>
      <c r="CA499" s="244">
        <v>0</v>
      </c>
      <c r="CB499" s="244">
        <v>3918.757568359375</v>
      </c>
      <c r="CC499" s="244">
        <v>5.7906060218811035</v>
      </c>
      <c r="CD499" s="228">
        <v>676.7439343484333</v>
      </c>
      <c r="CE499" s="244">
        <v>9999</v>
      </c>
      <c r="CF499" s="244">
        <v>0</v>
      </c>
      <c r="CG499" s="244">
        <v>8.7084861116469892</v>
      </c>
      <c r="CH499" s="244">
        <v>8.7084861116469892</v>
      </c>
      <c r="CI499" s="244">
        <v>0</v>
      </c>
      <c r="CJ499" s="244">
        <v>0.54428038197793405</v>
      </c>
      <c r="CK499" s="244">
        <v>0.54428038197793405</v>
      </c>
      <c r="CL499" s="244"/>
      <c r="CM499" s="244">
        <v>92.118199539296626</v>
      </c>
      <c r="CN499" s="244" t="s">
        <v>442</v>
      </c>
      <c r="CO499" s="244">
        <v>0.28600001335144043</v>
      </c>
      <c r="CP499" s="244">
        <v>0.31700000166893005</v>
      </c>
      <c r="CQ499" s="244">
        <v>769.05144682204798</v>
      </c>
      <c r="CR499" s="244">
        <v>0</v>
      </c>
      <c r="CS499" s="244">
        <v>0</v>
      </c>
      <c r="CT499" s="244">
        <v>769.05145263671875</v>
      </c>
      <c r="CU499" s="244">
        <v>0</v>
      </c>
      <c r="CV499" s="244">
        <v>0</v>
      </c>
      <c r="CW499" s="228">
        <v>9999</v>
      </c>
    </row>
    <row r="500" spans="1:101">
      <c r="A500" s="221" t="s">
        <v>582</v>
      </c>
      <c r="B500" s="221" t="s">
        <v>440</v>
      </c>
      <c r="C500" s="244">
        <v>10</v>
      </c>
      <c r="D500" s="244">
        <v>654.10971535110207</v>
      </c>
      <c r="E500" s="244">
        <v>62.947436351852694</v>
      </c>
      <c r="F500" s="244">
        <v>3.2966774171383419</v>
      </c>
      <c r="G500" s="244">
        <v>0</v>
      </c>
      <c r="H500" s="244">
        <v>0</v>
      </c>
      <c r="I500" s="244" t="s">
        <v>441</v>
      </c>
      <c r="J500" s="244">
        <v>0.28600001335144043</v>
      </c>
      <c r="K500" s="244">
        <v>0.31700000166893005</v>
      </c>
      <c r="L500" s="244">
        <v>713.289509210917</v>
      </c>
      <c r="M500" s="244">
        <v>9.0251602232456207E-2</v>
      </c>
      <c r="N500" s="244">
        <v>0.28470537066459656</v>
      </c>
      <c r="O500" s="244">
        <v>63.57691071537122</v>
      </c>
      <c r="P500" s="244">
        <v>0.19293117523193359</v>
      </c>
      <c r="Q500" s="244">
        <v>0.6086156964302063</v>
      </c>
      <c r="R500" s="244">
        <v>0.32778394222259521</v>
      </c>
      <c r="S500" s="244">
        <v>1.8114458322525024</v>
      </c>
      <c r="T500" s="244">
        <v>0</v>
      </c>
      <c r="U500" s="244">
        <v>3.6513762474060059</v>
      </c>
      <c r="V500" s="244" t="s">
        <v>226</v>
      </c>
      <c r="W500" s="244" t="s">
        <v>226</v>
      </c>
      <c r="X500" s="244" t="s">
        <v>226</v>
      </c>
      <c r="Y500" s="244" t="s">
        <v>226</v>
      </c>
      <c r="Z500" s="244">
        <v>0</v>
      </c>
      <c r="AA500" s="244">
        <v>0</v>
      </c>
      <c r="AB500" s="244">
        <v>0</v>
      </c>
      <c r="AC500" s="244">
        <v>0</v>
      </c>
      <c r="AD500" s="244">
        <v>0</v>
      </c>
      <c r="AE500" s="244">
        <v>0</v>
      </c>
      <c r="AF500" s="244">
        <v>0</v>
      </c>
      <c r="AG500" s="244">
        <v>0</v>
      </c>
      <c r="AH500" s="244">
        <v>0.32778394222259521</v>
      </c>
      <c r="AI500" s="244">
        <v>1.8114458322525024</v>
      </c>
      <c r="AJ500" s="244">
        <v>0</v>
      </c>
      <c r="AK500" s="244">
        <v>3.6513762474060059</v>
      </c>
      <c r="AL500" s="244">
        <v>5.7906060218811035</v>
      </c>
      <c r="AM500" s="244">
        <v>502.7382931944789</v>
      </c>
      <c r="AN500" s="244">
        <v>0</v>
      </c>
      <c r="AO500" s="244">
        <v>88.49725341796875</v>
      </c>
      <c r="AP500" s="244">
        <v>382.2342529296875</v>
      </c>
      <c r="AQ500" s="244">
        <v>973.46978759765625</v>
      </c>
      <c r="AR500" s="244">
        <v>0.32778394222259521</v>
      </c>
      <c r="AS500" s="228">
        <v>2969.8520096541529</v>
      </c>
      <c r="AT500" s="244">
        <v>502.7382931944789</v>
      </c>
      <c r="AU500" s="244">
        <v>81.605369567871094</v>
      </c>
      <c r="AV500" s="244">
        <v>96.657791137695313</v>
      </c>
      <c r="AW500" s="244">
        <v>382.2342529296875</v>
      </c>
      <c r="AX500" s="244">
        <v>1063.2357177734375</v>
      </c>
      <c r="AY500" s="244">
        <v>1.8114458322525024</v>
      </c>
      <c r="AZ500" s="228">
        <v>586.95418206771171</v>
      </c>
      <c r="BA500" s="244">
        <v>502.7382931944789</v>
      </c>
      <c r="BB500" s="244">
        <v>81.605369567871094</v>
      </c>
      <c r="BC500" s="244">
        <v>96.657791137695313</v>
      </c>
      <c r="BD500" s="244">
        <v>382.2342529296875</v>
      </c>
      <c r="BE500" s="244">
        <v>1063.2357177734375</v>
      </c>
      <c r="BF500" s="244">
        <v>2.1392297744750977</v>
      </c>
      <c r="BG500" s="244">
        <v>-62.813350677490234</v>
      </c>
      <c r="BH500" s="228">
        <v>497.01800129937834</v>
      </c>
      <c r="BI500" s="244">
        <v>3.6874551326036453E-2</v>
      </c>
      <c r="BJ500" s="244">
        <v>0.20378133654594421</v>
      </c>
      <c r="BK500" s="244">
        <v>0</v>
      </c>
      <c r="BL500" s="244">
        <v>0.41076710820198059</v>
      </c>
      <c r="BM500" s="244">
        <v>0.65142297744750977</v>
      </c>
      <c r="BN500" s="244">
        <v>502.7382931944789</v>
      </c>
      <c r="BO500" s="244">
        <v>525.51848866173123</v>
      </c>
      <c r="BP500" s="244">
        <v>81.605369567871094</v>
      </c>
      <c r="BQ500" s="244">
        <v>0</v>
      </c>
      <c r="BR500" s="244">
        <v>0</v>
      </c>
      <c r="BS500" s="244">
        <v>0</v>
      </c>
      <c r="BT500" s="244">
        <v>382.2342529296875</v>
      </c>
      <c r="BU500" s="244">
        <v>0</v>
      </c>
      <c r="BV500" s="244">
        <v>3149.7060546875</v>
      </c>
      <c r="BW500" s="244">
        <v>96.657791137695313</v>
      </c>
      <c r="BX500" s="244">
        <v>5.7906060218811035</v>
      </c>
      <c r="BY500" s="244"/>
      <c r="BZ500" s="244">
        <v>0</v>
      </c>
      <c r="CA500" s="244">
        <v>0</v>
      </c>
      <c r="CB500" s="244">
        <v>4738.46044921875</v>
      </c>
      <c r="CC500" s="244">
        <v>5.7906060218811035</v>
      </c>
      <c r="CD500" s="228">
        <v>818.30126799744801</v>
      </c>
      <c r="CE500" s="244">
        <v>-475.8525390625</v>
      </c>
      <c r="CF500" s="244">
        <v>5.3826863377164651</v>
      </c>
      <c r="CG500" s="244">
        <v>5.9507988429587382</v>
      </c>
      <c r="CH500" s="244">
        <v>11.333485180675204</v>
      </c>
      <c r="CI500" s="244">
        <v>0.26393693287354691</v>
      </c>
      <c r="CJ500" s="244">
        <v>0.37192492768492147</v>
      </c>
      <c r="CK500" s="244">
        <v>0.63586186055846838</v>
      </c>
      <c r="CL500" s="244"/>
      <c r="CM500" s="244">
        <v>62.947436351852694</v>
      </c>
      <c r="CN500" s="244" t="s">
        <v>442</v>
      </c>
      <c r="CO500" s="244">
        <v>0.28600001335144043</v>
      </c>
      <c r="CP500" s="244">
        <v>0.31700000166893005</v>
      </c>
      <c r="CQ500" s="244">
        <v>525.51848866173123</v>
      </c>
      <c r="CR500" s="244">
        <v>0</v>
      </c>
      <c r="CS500" s="244">
        <v>0</v>
      </c>
      <c r="CT500" s="244">
        <v>525.51849365234375</v>
      </c>
      <c r="CU500" s="244">
        <v>0</v>
      </c>
      <c r="CV500" s="244">
        <v>0</v>
      </c>
      <c r="CW500" s="228">
        <v>9999</v>
      </c>
    </row>
    <row r="501" spans="1:101">
      <c r="A501" s="221" t="s">
        <v>583</v>
      </c>
      <c r="B501" s="221" t="s">
        <v>440</v>
      </c>
      <c r="C501" s="244">
        <v>10</v>
      </c>
      <c r="D501" s="244">
        <v>3187.4361708341003</v>
      </c>
      <c r="E501" s="244">
        <v>0</v>
      </c>
      <c r="F501" s="244">
        <v>3.2966774171383419</v>
      </c>
      <c r="G501" s="244">
        <v>0</v>
      </c>
      <c r="H501" s="244">
        <v>0</v>
      </c>
      <c r="I501" s="244" t="s">
        <v>441</v>
      </c>
      <c r="J501" s="244">
        <v>0.28600001335144043</v>
      </c>
      <c r="K501" s="244">
        <v>0.31700000166893005</v>
      </c>
      <c r="L501" s="244">
        <v>3475.8156446507069</v>
      </c>
      <c r="M501" s="244">
        <v>0.4397905170917511</v>
      </c>
      <c r="N501" s="244">
        <v>1.3873517513275146</v>
      </c>
      <c r="O501" s="244">
        <v>0</v>
      </c>
      <c r="P501" s="244">
        <v>0</v>
      </c>
      <c r="Q501" s="244">
        <v>0</v>
      </c>
      <c r="R501" s="244">
        <v>0.32778394222259521</v>
      </c>
      <c r="S501" s="244">
        <v>1.8114458322525024</v>
      </c>
      <c r="T501" s="244">
        <v>0</v>
      </c>
      <c r="U501" s="244">
        <v>3.6513762474060059</v>
      </c>
      <c r="V501" s="244" t="s">
        <v>226</v>
      </c>
      <c r="W501" s="244" t="s">
        <v>226</v>
      </c>
      <c r="X501" s="244" t="s">
        <v>226</v>
      </c>
      <c r="Y501" s="244" t="s">
        <v>226</v>
      </c>
      <c r="Z501" s="244">
        <v>0</v>
      </c>
      <c r="AA501" s="244">
        <v>0</v>
      </c>
      <c r="AB501" s="244">
        <v>0</v>
      </c>
      <c r="AC501" s="244">
        <v>0</v>
      </c>
      <c r="AD501" s="244">
        <v>0</v>
      </c>
      <c r="AE501" s="244">
        <v>0</v>
      </c>
      <c r="AF501" s="244">
        <v>0</v>
      </c>
      <c r="AG501" s="244">
        <v>0</v>
      </c>
      <c r="AH501" s="244">
        <v>0.32778394222259521</v>
      </c>
      <c r="AI501" s="244">
        <v>1.8114458322525024</v>
      </c>
      <c r="AJ501" s="244">
        <v>0</v>
      </c>
      <c r="AK501" s="244">
        <v>3.6513762474060059</v>
      </c>
      <c r="AL501" s="244">
        <v>5.7906060218811035</v>
      </c>
      <c r="AM501" s="244">
        <v>2449.8125965478857</v>
      </c>
      <c r="AN501" s="244">
        <v>0</v>
      </c>
      <c r="AO501" s="244">
        <v>431.24163818359375</v>
      </c>
      <c r="AP501" s="244">
        <v>1862.603759765625</v>
      </c>
      <c r="AQ501" s="244">
        <v>4743.658203125</v>
      </c>
      <c r="AR501" s="244">
        <v>0.32778394222259521</v>
      </c>
      <c r="AS501" s="228">
        <v>14471.904762423437</v>
      </c>
      <c r="AT501" s="244">
        <v>2449.8125965478857</v>
      </c>
      <c r="AU501" s="244">
        <v>397.65798950195312</v>
      </c>
      <c r="AV501" s="244">
        <v>471.0074462890625</v>
      </c>
      <c r="AW501" s="244">
        <v>1862.603759765625</v>
      </c>
      <c r="AX501" s="244">
        <v>5181.08203125</v>
      </c>
      <c r="AY501" s="244">
        <v>1.8114458322525024</v>
      </c>
      <c r="AZ501" s="228">
        <v>2860.191400623853</v>
      </c>
      <c r="BA501" s="244">
        <v>2449.8125965478857</v>
      </c>
      <c r="BB501" s="244">
        <v>397.65798950195312</v>
      </c>
      <c r="BC501" s="244">
        <v>471.0074462890625</v>
      </c>
      <c r="BD501" s="244">
        <v>1862.603759765625</v>
      </c>
      <c r="BE501" s="244">
        <v>5181.08203125</v>
      </c>
      <c r="BF501" s="244">
        <v>2.1392297744750977</v>
      </c>
      <c r="BG501" s="244">
        <v>-63.004619598388672</v>
      </c>
      <c r="BH501" s="228">
        <v>2421.937958196102</v>
      </c>
      <c r="BI501" s="244">
        <v>7.5672110542654991E-3</v>
      </c>
      <c r="BJ501" s="244">
        <v>4.181898757815361E-2</v>
      </c>
      <c r="BK501" s="244">
        <v>0</v>
      </c>
      <c r="BL501" s="244">
        <v>8.4295570850372314E-2</v>
      </c>
      <c r="BM501" s="244">
        <v>0.1336817741394043</v>
      </c>
      <c r="BN501" s="244">
        <v>2449.8125965478857</v>
      </c>
      <c r="BO501" s="244">
        <v>0</v>
      </c>
      <c r="BP501" s="244">
        <v>397.65798950195312</v>
      </c>
      <c r="BQ501" s="244">
        <v>0</v>
      </c>
      <c r="BR501" s="244">
        <v>0</v>
      </c>
      <c r="BS501" s="244">
        <v>0</v>
      </c>
      <c r="BT501" s="244">
        <v>1862.603759765625</v>
      </c>
      <c r="BU501" s="244">
        <v>0</v>
      </c>
      <c r="BV501" s="244">
        <v>4572.90625</v>
      </c>
      <c r="BW501" s="244">
        <v>471.0074462890625</v>
      </c>
      <c r="BX501" s="244">
        <v>5.7906060218811035</v>
      </c>
      <c r="BY501" s="244"/>
      <c r="BZ501" s="244">
        <v>0</v>
      </c>
      <c r="CA501" s="244">
        <v>0</v>
      </c>
      <c r="CB501" s="244">
        <v>9753.98828125</v>
      </c>
      <c r="CC501" s="244">
        <v>5.7906060218811035</v>
      </c>
      <c r="CD501" s="228">
        <v>1684.4502985088081</v>
      </c>
      <c r="CE501" s="244">
        <v>-168.49031066894531</v>
      </c>
      <c r="CF501" s="244">
        <v>26.229497477931201</v>
      </c>
      <c r="CG501" s="244">
        <v>0</v>
      </c>
      <c r="CH501" s="244">
        <v>26.229497477931201</v>
      </c>
      <c r="CI501" s="244">
        <v>1.2861483431851888</v>
      </c>
      <c r="CJ501" s="244">
        <v>0</v>
      </c>
      <c r="CK501" s="244">
        <v>1.2861483431851888</v>
      </c>
      <c r="CL501" s="244"/>
      <c r="CM501" s="244">
        <v>0</v>
      </c>
      <c r="CN501" s="244" t="s">
        <v>442</v>
      </c>
      <c r="CO501" s="244">
        <v>0</v>
      </c>
      <c r="CP501" s="244">
        <v>0</v>
      </c>
      <c r="CQ501" s="244">
        <v>0</v>
      </c>
      <c r="CR501" s="244">
        <v>0</v>
      </c>
      <c r="CS501" s="244">
        <v>0</v>
      </c>
      <c r="CT501" s="244">
        <v>0</v>
      </c>
      <c r="CU501" s="244">
        <v>0</v>
      </c>
      <c r="CV501" s="244">
        <v>9999</v>
      </c>
      <c r="CW501" s="228">
        <v>9999</v>
      </c>
    </row>
    <row r="502" spans="1:101">
      <c r="A502" s="221" t="s">
        <v>584</v>
      </c>
      <c r="B502" s="221" t="s">
        <v>440</v>
      </c>
      <c r="C502" s="244">
        <v>10</v>
      </c>
      <c r="D502" s="244">
        <v>0</v>
      </c>
      <c r="E502" s="244">
        <v>142.14732411455836</v>
      </c>
      <c r="F502" s="244">
        <v>3.2966774171383419</v>
      </c>
      <c r="G502" s="244">
        <v>0</v>
      </c>
      <c r="H502" s="244">
        <v>0</v>
      </c>
      <c r="I502" s="244" t="s">
        <v>441</v>
      </c>
      <c r="J502" s="244">
        <v>0</v>
      </c>
      <c r="K502" s="244">
        <v>0</v>
      </c>
      <c r="L502" s="244">
        <v>0</v>
      </c>
      <c r="M502" s="244">
        <v>0</v>
      </c>
      <c r="N502" s="244">
        <v>0</v>
      </c>
      <c r="O502" s="244">
        <v>143.56879735570394</v>
      </c>
      <c r="P502" s="244">
        <v>0.43567541241645813</v>
      </c>
      <c r="Q502" s="244">
        <v>1.3743703365325928</v>
      </c>
      <c r="R502" s="244">
        <v>0.32778394222259521</v>
      </c>
      <c r="S502" s="244">
        <v>1.8114458322525024</v>
      </c>
      <c r="T502" s="244">
        <v>0</v>
      </c>
      <c r="U502" s="244">
        <v>3.6513762474060059</v>
      </c>
      <c r="V502" s="244" t="s">
        <v>226</v>
      </c>
      <c r="W502" s="244" t="s">
        <v>226</v>
      </c>
      <c r="X502" s="244" t="s">
        <v>226</v>
      </c>
      <c r="Y502" s="244" t="s">
        <v>226</v>
      </c>
      <c r="Z502" s="244">
        <v>0</v>
      </c>
      <c r="AA502" s="244">
        <v>0</v>
      </c>
      <c r="AB502" s="244">
        <v>0</v>
      </c>
      <c r="AC502" s="244">
        <v>0</v>
      </c>
      <c r="AD502" s="244">
        <v>0</v>
      </c>
      <c r="AE502" s="244">
        <v>0</v>
      </c>
      <c r="AF502" s="244">
        <v>0</v>
      </c>
      <c r="AG502" s="244">
        <v>0</v>
      </c>
      <c r="AH502" s="244">
        <v>0.32778394222259521</v>
      </c>
      <c r="AI502" s="244">
        <v>1.8114458322525024</v>
      </c>
      <c r="AJ502" s="244">
        <v>0</v>
      </c>
      <c r="AK502" s="244">
        <v>3.6513762474060059</v>
      </c>
      <c r="AL502" s="244">
        <v>5.7906060218811035</v>
      </c>
      <c r="AM502" s="244">
        <v>0</v>
      </c>
      <c r="AN502" s="244">
        <v>0</v>
      </c>
      <c r="AO502" s="244">
        <v>0</v>
      </c>
      <c r="AP502" s="244">
        <v>0</v>
      </c>
      <c r="AQ502" s="244">
        <v>0</v>
      </c>
      <c r="AR502" s="244">
        <v>0.32778394222259521</v>
      </c>
      <c r="AS502" s="255">
        <v>0</v>
      </c>
      <c r="AT502" s="244">
        <v>0</v>
      </c>
      <c r="AU502" s="244">
        <v>0</v>
      </c>
      <c r="AV502" s="244">
        <v>0</v>
      </c>
      <c r="AW502" s="244">
        <v>0</v>
      </c>
      <c r="AX502" s="244">
        <v>0</v>
      </c>
      <c r="AY502" s="244">
        <v>1.8114458322525024</v>
      </c>
      <c r="AZ502" s="255">
        <v>0</v>
      </c>
      <c r="BA502" s="244">
        <v>0</v>
      </c>
      <c r="BB502" s="244">
        <v>0</v>
      </c>
      <c r="BC502" s="244">
        <v>0</v>
      </c>
      <c r="BD502" s="244">
        <v>0</v>
      </c>
      <c r="BE502" s="244">
        <v>0</v>
      </c>
      <c r="BF502" s="244">
        <v>2.1392297744750977</v>
      </c>
      <c r="BG502" s="244">
        <v>9999</v>
      </c>
      <c r="BH502" s="255">
        <v>0</v>
      </c>
      <c r="BI502" s="244">
        <v>9999</v>
      </c>
      <c r="BJ502" s="244">
        <v>9999</v>
      </c>
      <c r="BK502" s="244">
        <v>9999</v>
      </c>
      <c r="BL502" s="244">
        <v>9999</v>
      </c>
      <c r="BM502" s="244">
        <v>9999</v>
      </c>
      <c r="BN502" s="244">
        <v>0</v>
      </c>
      <c r="BO502" s="244">
        <v>1186.7210368733856</v>
      </c>
      <c r="BP502" s="244">
        <v>0</v>
      </c>
      <c r="BQ502" s="244">
        <v>0</v>
      </c>
      <c r="BR502" s="244">
        <v>0</v>
      </c>
      <c r="BS502" s="244">
        <v>0</v>
      </c>
      <c r="BT502" s="244">
        <v>0</v>
      </c>
      <c r="BU502" s="244">
        <v>0</v>
      </c>
      <c r="BV502" s="244">
        <v>4572.90625</v>
      </c>
      <c r="BW502" s="244">
        <v>0</v>
      </c>
      <c r="BX502" s="244">
        <v>5.7906060218811035</v>
      </c>
      <c r="BY502" s="244"/>
      <c r="BZ502" s="244">
        <v>0</v>
      </c>
      <c r="CA502" s="244">
        <v>0</v>
      </c>
      <c r="CB502" s="244">
        <v>5759.62744140625</v>
      </c>
      <c r="CC502" s="244">
        <v>5.7906060218811035</v>
      </c>
      <c r="CD502" s="228">
        <v>994.6501739385036</v>
      </c>
      <c r="CE502" s="244">
        <v>9999</v>
      </c>
      <c r="CF502" s="244">
        <v>0</v>
      </c>
      <c r="CG502" s="244">
        <v>13.438039432493873</v>
      </c>
      <c r="CH502" s="244">
        <v>13.438039432493873</v>
      </c>
      <c r="CI502" s="244">
        <v>0</v>
      </c>
      <c r="CJ502" s="244">
        <v>0.83987746453086753</v>
      </c>
      <c r="CK502" s="244">
        <v>0.83987746453086753</v>
      </c>
      <c r="CL502" s="244"/>
      <c r="CM502" s="244">
        <v>142.14732411455836</v>
      </c>
      <c r="CN502" s="244" t="s">
        <v>442</v>
      </c>
      <c r="CO502" s="244">
        <v>0.28600001335144043</v>
      </c>
      <c r="CP502" s="244">
        <v>0.31700000166893005</v>
      </c>
      <c r="CQ502" s="244">
        <v>1186.7210368733856</v>
      </c>
      <c r="CR502" s="244">
        <v>0</v>
      </c>
      <c r="CS502" s="244">
        <v>0</v>
      </c>
      <c r="CT502" s="244">
        <v>1186.7210693359375</v>
      </c>
      <c r="CU502" s="244">
        <v>0</v>
      </c>
      <c r="CV502" s="244">
        <v>0</v>
      </c>
      <c r="CW502" s="228">
        <v>9999</v>
      </c>
    </row>
    <row r="503" spans="1:101">
      <c r="A503" s="221" t="s">
        <v>585</v>
      </c>
      <c r="B503" s="221" t="s">
        <v>440</v>
      </c>
      <c r="C503" s="244">
        <v>10</v>
      </c>
      <c r="D503" s="244">
        <v>1009.3547874307983</v>
      </c>
      <c r="E503" s="244">
        <v>97.134004811614886</v>
      </c>
      <c r="F503" s="244">
        <v>3.2966774171383419</v>
      </c>
      <c r="G503" s="244">
        <v>0</v>
      </c>
      <c r="H503" s="244">
        <v>0</v>
      </c>
      <c r="I503" s="244" t="s">
        <v>441</v>
      </c>
      <c r="J503" s="244">
        <v>0.28600001335144043</v>
      </c>
      <c r="K503" s="244">
        <v>0.31700000166893005</v>
      </c>
      <c r="L503" s="244">
        <v>1100.6749541393904</v>
      </c>
      <c r="M503" s="244">
        <v>0.13926699757575989</v>
      </c>
      <c r="N503" s="244">
        <v>0.43932804465293884</v>
      </c>
      <c r="O503" s="244">
        <v>98.105344859731034</v>
      </c>
      <c r="P503" s="244">
        <v>0.29771152138710022</v>
      </c>
      <c r="Q503" s="244">
        <v>0.93915307521820068</v>
      </c>
      <c r="R503" s="244">
        <v>0.32778394222259521</v>
      </c>
      <c r="S503" s="244">
        <v>1.8114458322525024</v>
      </c>
      <c r="T503" s="244">
        <v>0</v>
      </c>
      <c r="U503" s="244">
        <v>3.6513762474060059</v>
      </c>
      <c r="V503" s="244" t="s">
        <v>226</v>
      </c>
      <c r="W503" s="244" t="s">
        <v>226</v>
      </c>
      <c r="X503" s="244" t="s">
        <v>226</v>
      </c>
      <c r="Y503" s="244" t="s">
        <v>226</v>
      </c>
      <c r="Z503" s="244">
        <v>0</v>
      </c>
      <c r="AA503" s="244">
        <v>0</v>
      </c>
      <c r="AB503" s="244">
        <v>0</v>
      </c>
      <c r="AC503" s="244">
        <v>0</v>
      </c>
      <c r="AD503" s="244">
        <v>0</v>
      </c>
      <c r="AE503" s="244">
        <v>0</v>
      </c>
      <c r="AF503" s="244">
        <v>0</v>
      </c>
      <c r="AG503" s="244">
        <v>0</v>
      </c>
      <c r="AH503" s="244">
        <v>0.32778394222259521</v>
      </c>
      <c r="AI503" s="244">
        <v>1.8114458322525024</v>
      </c>
      <c r="AJ503" s="244">
        <v>0</v>
      </c>
      <c r="AK503" s="244">
        <v>3.6513762474060059</v>
      </c>
      <c r="AL503" s="244">
        <v>5.7906060218811035</v>
      </c>
      <c r="AM503" s="244">
        <v>775.77398890682969</v>
      </c>
      <c r="AN503" s="244">
        <v>0</v>
      </c>
      <c r="AO503" s="244">
        <v>136.55986022949219</v>
      </c>
      <c r="AP503" s="244">
        <v>589.82452392578125</v>
      </c>
      <c r="AQ503" s="244">
        <v>1502.1583251953125</v>
      </c>
      <c r="AR503" s="244">
        <v>0.32778394222259521</v>
      </c>
      <c r="AS503" s="228">
        <v>4582.7698662614794</v>
      </c>
      <c r="AT503" s="244">
        <v>775.77398890682969</v>
      </c>
      <c r="AU503" s="244">
        <v>125.92503356933594</v>
      </c>
      <c r="AV503" s="244">
        <v>149.15235900878906</v>
      </c>
      <c r="AW503" s="244">
        <v>589.82452392578125</v>
      </c>
      <c r="AX503" s="244">
        <v>1640.6759033203125</v>
      </c>
      <c r="AY503" s="244">
        <v>1.8114458322525024</v>
      </c>
      <c r="AZ503" s="228">
        <v>905.7272793912822</v>
      </c>
      <c r="BA503" s="244">
        <v>775.77398890682969</v>
      </c>
      <c r="BB503" s="244">
        <v>125.92503356933594</v>
      </c>
      <c r="BC503" s="244">
        <v>149.15235900878906</v>
      </c>
      <c r="BD503" s="244">
        <v>589.82452392578125</v>
      </c>
      <c r="BE503" s="244">
        <v>1640.6759033203125</v>
      </c>
      <c r="BF503" s="244">
        <v>2.1392297744750977</v>
      </c>
      <c r="BG503" s="244">
        <v>-62.898048400878906</v>
      </c>
      <c r="BH503" s="228">
        <v>766.94702223528486</v>
      </c>
      <c r="BI503" s="244">
        <v>2.3896455764770508E-2</v>
      </c>
      <c r="BJ503" s="244">
        <v>0.13205996155738831</v>
      </c>
      <c r="BK503" s="244">
        <v>0</v>
      </c>
      <c r="BL503" s="244">
        <v>0.26619654893875122</v>
      </c>
      <c r="BM503" s="244">
        <v>0.42215296626091003</v>
      </c>
      <c r="BN503" s="244">
        <v>775.77398890682969</v>
      </c>
      <c r="BO503" s="244">
        <v>810.92604186347887</v>
      </c>
      <c r="BP503" s="244">
        <v>125.92503356933594</v>
      </c>
      <c r="BQ503" s="244">
        <v>0</v>
      </c>
      <c r="BR503" s="244">
        <v>0</v>
      </c>
      <c r="BS503" s="244">
        <v>0</v>
      </c>
      <c r="BT503" s="244">
        <v>589.82452392578125</v>
      </c>
      <c r="BU503" s="244">
        <v>0</v>
      </c>
      <c r="BV503" s="244">
        <v>4572.90625</v>
      </c>
      <c r="BW503" s="244">
        <v>149.15235900878906</v>
      </c>
      <c r="BX503" s="244">
        <v>5.7906060218811035</v>
      </c>
      <c r="BY503" s="244"/>
      <c r="BZ503" s="244">
        <v>0</v>
      </c>
      <c r="CA503" s="244">
        <v>0</v>
      </c>
      <c r="CB503" s="244">
        <v>7024.50830078125</v>
      </c>
      <c r="CC503" s="244">
        <v>5.7906060218811035</v>
      </c>
      <c r="CD503" s="228">
        <v>1213.0868808429609</v>
      </c>
      <c r="CE503" s="244">
        <v>-455.1297607421875</v>
      </c>
      <c r="CF503" s="244">
        <v>8.3060075346782067</v>
      </c>
      <c r="CG503" s="244">
        <v>9.18266027887082</v>
      </c>
      <c r="CH503" s="244">
        <v>17.488667813549029</v>
      </c>
      <c r="CI503" s="244">
        <v>0.40728030867530995</v>
      </c>
      <c r="CJ503" s="244">
        <v>0.57391626742942636</v>
      </c>
      <c r="CK503" s="244">
        <v>0.98119657610473632</v>
      </c>
      <c r="CL503" s="244"/>
      <c r="CM503" s="244">
        <v>97.134004811614886</v>
      </c>
      <c r="CN503" s="244" t="s">
        <v>442</v>
      </c>
      <c r="CO503" s="244">
        <v>0.28600001335144043</v>
      </c>
      <c r="CP503" s="244">
        <v>0.31700000166893005</v>
      </c>
      <c r="CQ503" s="244">
        <v>810.92604186347887</v>
      </c>
      <c r="CR503" s="244">
        <v>0</v>
      </c>
      <c r="CS503" s="244">
        <v>0</v>
      </c>
      <c r="CT503" s="244">
        <v>810.926025390625</v>
      </c>
      <c r="CU503" s="244">
        <v>0</v>
      </c>
      <c r="CV503" s="244">
        <v>0</v>
      </c>
      <c r="CW503" s="228">
        <v>9999</v>
      </c>
    </row>
    <row r="504" spans="1:101">
      <c r="A504" s="221" t="s">
        <v>586</v>
      </c>
      <c r="B504" s="221" t="s">
        <v>440</v>
      </c>
      <c r="C504" s="244">
        <v>10</v>
      </c>
      <c r="D504" s="244">
        <v>2322.6166684904406</v>
      </c>
      <c r="E504" s="244">
        <v>0</v>
      </c>
      <c r="F504" s="244">
        <v>11.336666666666666</v>
      </c>
      <c r="G504" s="244">
        <v>0</v>
      </c>
      <c r="H504" s="244">
        <v>0</v>
      </c>
      <c r="I504" s="244" t="s">
        <v>441</v>
      </c>
      <c r="J504" s="244">
        <v>0.28600001335144043</v>
      </c>
      <c r="K504" s="244">
        <v>0.31700000166893005</v>
      </c>
      <c r="L504" s="244">
        <v>2532.7526325815038</v>
      </c>
      <c r="M504" s="244">
        <v>0.32046592235565186</v>
      </c>
      <c r="N504" s="244">
        <v>1.010933518409729</v>
      </c>
      <c r="O504" s="244">
        <v>0</v>
      </c>
      <c r="P504" s="244">
        <v>0</v>
      </c>
      <c r="Q504" s="244">
        <v>0</v>
      </c>
      <c r="R504" s="244">
        <v>1.1271885633468628</v>
      </c>
      <c r="S504" s="244">
        <v>6.2292284965515137</v>
      </c>
      <c r="T504" s="244">
        <v>0</v>
      </c>
      <c r="U504" s="244">
        <v>12.556410789489746</v>
      </c>
      <c r="V504" s="244" t="s">
        <v>226</v>
      </c>
      <c r="W504" s="244" t="s">
        <v>226</v>
      </c>
      <c r="X504" s="244" t="s">
        <v>226</v>
      </c>
      <c r="Y504" s="244" t="s">
        <v>226</v>
      </c>
      <c r="Z504" s="244">
        <v>0</v>
      </c>
      <c r="AA504" s="244">
        <v>0</v>
      </c>
      <c r="AB504" s="244">
        <v>0</v>
      </c>
      <c r="AC504" s="244">
        <v>0</v>
      </c>
      <c r="AD504" s="244">
        <v>0</v>
      </c>
      <c r="AE504" s="244">
        <v>0</v>
      </c>
      <c r="AF504" s="244">
        <v>0</v>
      </c>
      <c r="AG504" s="244">
        <v>0</v>
      </c>
      <c r="AH504" s="244">
        <v>1.1271885633468628</v>
      </c>
      <c r="AI504" s="244">
        <v>6.2292284965515137</v>
      </c>
      <c r="AJ504" s="244">
        <v>0</v>
      </c>
      <c r="AK504" s="244">
        <v>12.556410789489746</v>
      </c>
      <c r="AL504" s="244">
        <v>19.912827849388123</v>
      </c>
      <c r="AM504" s="244">
        <v>1785.1261222059193</v>
      </c>
      <c r="AN504" s="244">
        <v>0</v>
      </c>
      <c r="AO504" s="244">
        <v>314.23654174804688</v>
      </c>
      <c r="AP504" s="244">
        <v>1357.2393798828125</v>
      </c>
      <c r="AQ504" s="244">
        <v>3456.60205078125</v>
      </c>
      <c r="AR504" s="244">
        <v>1.1271885633468628</v>
      </c>
      <c r="AS504" s="228">
        <v>3066.5694775800343</v>
      </c>
      <c r="AT504" s="244">
        <v>1785.1261222059193</v>
      </c>
      <c r="AU504" s="244">
        <v>289.76486206054687</v>
      </c>
      <c r="AV504" s="244">
        <v>343.21304321289063</v>
      </c>
      <c r="AW504" s="244">
        <v>1357.2393798828125</v>
      </c>
      <c r="AX504" s="244">
        <v>3775.343505859375</v>
      </c>
      <c r="AY504" s="244">
        <v>6.2292284965515137</v>
      </c>
      <c r="AZ504" s="228">
        <v>606.06918006815624</v>
      </c>
      <c r="BA504" s="244">
        <v>1785.1261222059193</v>
      </c>
      <c r="BB504" s="244">
        <v>289.76486206054687</v>
      </c>
      <c r="BC504" s="244">
        <v>343.21304321289063</v>
      </c>
      <c r="BD504" s="244">
        <v>1357.2393798828125</v>
      </c>
      <c r="BE504" s="244">
        <v>3775.343505859375</v>
      </c>
      <c r="BF504" s="244">
        <v>7.356417179107666</v>
      </c>
      <c r="BG504" s="244">
        <v>-62.820934295654297</v>
      </c>
      <c r="BH504" s="228">
        <v>513.20410148338203</v>
      </c>
      <c r="BI504" s="244">
        <v>3.5711552947759628E-2</v>
      </c>
      <c r="BJ504" s="244">
        <v>0.19735421240329742</v>
      </c>
      <c r="BK504" s="244">
        <v>0</v>
      </c>
      <c r="BL504" s="244">
        <v>0.39781180024147034</v>
      </c>
      <c r="BM504" s="244">
        <v>0.63087755441665649</v>
      </c>
      <c r="BN504" s="244">
        <v>1785.1261222059193</v>
      </c>
      <c r="BO504" s="244">
        <v>0</v>
      </c>
      <c r="BP504" s="244">
        <v>289.76486206054687</v>
      </c>
      <c r="BQ504" s="244">
        <v>0</v>
      </c>
      <c r="BR504" s="244">
        <v>0</v>
      </c>
      <c r="BS504" s="244">
        <v>0</v>
      </c>
      <c r="BT504" s="244">
        <v>1357.2393798828125</v>
      </c>
      <c r="BU504" s="244">
        <v>0</v>
      </c>
      <c r="BV504" s="244">
        <v>3359.6865234375</v>
      </c>
      <c r="BW504" s="244">
        <v>343.21304321289063</v>
      </c>
      <c r="BX504" s="244">
        <v>19.91282844543457</v>
      </c>
      <c r="BY504" s="244"/>
      <c r="BZ504" s="244">
        <v>0</v>
      </c>
      <c r="CA504" s="244">
        <v>0</v>
      </c>
      <c r="CB504" s="244">
        <v>7135.02978515625</v>
      </c>
      <c r="CC504" s="244">
        <v>19.91282844543457</v>
      </c>
      <c r="CD504" s="228">
        <v>358.31323261540592</v>
      </c>
      <c r="CE504" s="244">
        <v>-168.86459350585937</v>
      </c>
      <c r="CF504" s="244">
        <v>19.112874668931514</v>
      </c>
      <c r="CG504" s="244">
        <v>0</v>
      </c>
      <c r="CH504" s="244">
        <v>19.112874668931514</v>
      </c>
      <c r="CI504" s="244">
        <v>0.93718883137715492</v>
      </c>
      <c r="CJ504" s="244">
        <v>0</v>
      </c>
      <c r="CK504" s="244">
        <v>0.93718883137715492</v>
      </c>
      <c r="CL504" s="244"/>
      <c r="CM504" s="244">
        <v>0</v>
      </c>
      <c r="CN504" s="244" t="s">
        <v>442</v>
      </c>
      <c r="CO504" s="244">
        <v>0</v>
      </c>
      <c r="CP504" s="244">
        <v>0</v>
      </c>
      <c r="CQ504" s="244">
        <v>0</v>
      </c>
      <c r="CR504" s="244">
        <v>0</v>
      </c>
      <c r="CS504" s="244">
        <v>0</v>
      </c>
      <c r="CT504" s="244">
        <v>0</v>
      </c>
      <c r="CU504" s="244">
        <v>0</v>
      </c>
      <c r="CV504" s="244">
        <v>9999</v>
      </c>
      <c r="CW504" s="228">
        <v>9999</v>
      </c>
    </row>
    <row r="505" spans="1:101">
      <c r="A505" s="221" t="s">
        <v>587</v>
      </c>
      <c r="B505" s="221" t="s">
        <v>440</v>
      </c>
      <c r="C505" s="244">
        <v>10</v>
      </c>
      <c r="D505" s="244">
        <v>0</v>
      </c>
      <c r="E505" s="244">
        <v>103.57971945941453</v>
      </c>
      <c r="F505" s="244">
        <v>11.336666666666666</v>
      </c>
      <c r="G505" s="244">
        <v>0</v>
      </c>
      <c r="H505" s="244">
        <v>0</v>
      </c>
      <c r="I505" s="244" t="s">
        <v>441</v>
      </c>
      <c r="J505" s="244">
        <v>0</v>
      </c>
      <c r="K505" s="244">
        <v>0</v>
      </c>
      <c r="L505" s="244">
        <v>0</v>
      </c>
      <c r="M505" s="244">
        <v>0</v>
      </c>
      <c r="N505" s="244">
        <v>0</v>
      </c>
      <c r="O505" s="244">
        <v>104.6155166540087</v>
      </c>
      <c r="P505" s="244">
        <v>0.31746739149093628</v>
      </c>
      <c r="Q505" s="244">
        <v>1.0014743804931641</v>
      </c>
      <c r="R505" s="244">
        <v>1.1271885633468628</v>
      </c>
      <c r="S505" s="244">
        <v>6.2292284965515137</v>
      </c>
      <c r="T505" s="244">
        <v>0</v>
      </c>
      <c r="U505" s="244">
        <v>12.556410789489746</v>
      </c>
      <c r="V505" s="244" t="s">
        <v>226</v>
      </c>
      <c r="W505" s="244" t="s">
        <v>226</v>
      </c>
      <c r="X505" s="244" t="s">
        <v>226</v>
      </c>
      <c r="Y505" s="244" t="s">
        <v>226</v>
      </c>
      <c r="Z505" s="244">
        <v>0</v>
      </c>
      <c r="AA505" s="244">
        <v>0</v>
      </c>
      <c r="AB505" s="244">
        <v>0</v>
      </c>
      <c r="AC505" s="244">
        <v>0</v>
      </c>
      <c r="AD505" s="244">
        <v>0</v>
      </c>
      <c r="AE505" s="244">
        <v>0</v>
      </c>
      <c r="AF505" s="244">
        <v>0</v>
      </c>
      <c r="AG505" s="244">
        <v>0</v>
      </c>
      <c r="AH505" s="244">
        <v>1.1271885633468628</v>
      </c>
      <c r="AI505" s="244">
        <v>6.2292284965515137</v>
      </c>
      <c r="AJ505" s="244">
        <v>0</v>
      </c>
      <c r="AK505" s="244">
        <v>12.556410789489746</v>
      </c>
      <c r="AL505" s="244">
        <v>19.912827849388123</v>
      </c>
      <c r="AM505" s="244">
        <v>0</v>
      </c>
      <c r="AN505" s="244">
        <v>0</v>
      </c>
      <c r="AO505" s="244">
        <v>0</v>
      </c>
      <c r="AP505" s="244">
        <v>0</v>
      </c>
      <c r="AQ505" s="244">
        <v>0</v>
      </c>
      <c r="AR505" s="244">
        <v>1.1271885633468628</v>
      </c>
      <c r="AS505" s="255">
        <v>0</v>
      </c>
      <c r="AT505" s="244">
        <v>0</v>
      </c>
      <c r="AU505" s="244">
        <v>0</v>
      </c>
      <c r="AV505" s="244">
        <v>0</v>
      </c>
      <c r="AW505" s="244">
        <v>0</v>
      </c>
      <c r="AX505" s="244">
        <v>0</v>
      </c>
      <c r="AY505" s="244">
        <v>6.2292284965515137</v>
      </c>
      <c r="AZ505" s="255">
        <v>0</v>
      </c>
      <c r="BA505" s="244">
        <v>0</v>
      </c>
      <c r="BB505" s="244">
        <v>0</v>
      </c>
      <c r="BC505" s="244">
        <v>0</v>
      </c>
      <c r="BD505" s="244">
        <v>0</v>
      </c>
      <c r="BE505" s="244">
        <v>0</v>
      </c>
      <c r="BF505" s="244">
        <v>7.356417179107666</v>
      </c>
      <c r="BG505" s="244">
        <v>9999</v>
      </c>
      <c r="BH505" s="255">
        <v>0</v>
      </c>
      <c r="BI505" s="244">
        <v>9999</v>
      </c>
      <c r="BJ505" s="244">
        <v>9999</v>
      </c>
      <c r="BK505" s="244">
        <v>9999</v>
      </c>
      <c r="BL505" s="244">
        <v>9999</v>
      </c>
      <c r="BM505" s="244">
        <v>9999</v>
      </c>
      <c r="BN505" s="244">
        <v>0</v>
      </c>
      <c r="BO505" s="244">
        <v>864.73827658456582</v>
      </c>
      <c r="BP505" s="244">
        <v>0</v>
      </c>
      <c r="BQ505" s="244">
        <v>0</v>
      </c>
      <c r="BR505" s="244">
        <v>0</v>
      </c>
      <c r="BS505" s="244">
        <v>0</v>
      </c>
      <c r="BT505" s="244">
        <v>0</v>
      </c>
      <c r="BU505" s="244">
        <v>0</v>
      </c>
      <c r="BV505" s="244">
        <v>3359.6865234375</v>
      </c>
      <c r="BW505" s="244">
        <v>0</v>
      </c>
      <c r="BX505" s="244">
        <v>19.91282844543457</v>
      </c>
      <c r="BY505" s="244"/>
      <c r="BZ505" s="244">
        <v>0</v>
      </c>
      <c r="CA505" s="244">
        <v>0</v>
      </c>
      <c r="CB505" s="244">
        <v>4224.4248046875</v>
      </c>
      <c r="CC505" s="244">
        <v>19.91282844543457</v>
      </c>
      <c r="CD505" s="228">
        <v>212.14589437145494</v>
      </c>
      <c r="CE505" s="244">
        <v>9999</v>
      </c>
      <c r="CF505" s="244">
        <v>0</v>
      </c>
      <c r="CG505" s="244">
        <v>9.7920123588152777</v>
      </c>
      <c r="CH505" s="244">
        <v>9.7920123588152777</v>
      </c>
      <c r="CI505" s="244">
        <v>0</v>
      </c>
      <c r="CJ505" s="244">
        <v>0.61200077242595086</v>
      </c>
      <c r="CK505" s="244">
        <v>0.61200077242595086</v>
      </c>
      <c r="CL505" s="244"/>
      <c r="CM505" s="244">
        <v>103.57971945941453</v>
      </c>
      <c r="CN505" s="244" t="s">
        <v>442</v>
      </c>
      <c r="CO505" s="244">
        <v>0.28600001335144043</v>
      </c>
      <c r="CP505" s="244">
        <v>0.31700000166893005</v>
      </c>
      <c r="CQ505" s="244">
        <v>864.73827658456582</v>
      </c>
      <c r="CR505" s="244">
        <v>0</v>
      </c>
      <c r="CS505" s="244">
        <v>0</v>
      </c>
      <c r="CT505" s="244">
        <v>864.73828125</v>
      </c>
      <c r="CU505" s="244">
        <v>0</v>
      </c>
      <c r="CV505" s="244">
        <v>0</v>
      </c>
      <c r="CW505" s="228">
        <v>9999</v>
      </c>
    </row>
    <row r="506" spans="1:101">
      <c r="A506" s="221" t="s">
        <v>588</v>
      </c>
      <c r="B506" s="221" t="s">
        <v>440</v>
      </c>
      <c r="C506" s="244">
        <v>10</v>
      </c>
      <c r="D506" s="244">
        <v>735.49527835530603</v>
      </c>
      <c r="E506" s="244">
        <v>70.779474963933268</v>
      </c>
      <c r="F506" s="244">
        <v>11.336666666666666</v>
      </c>
      <c r="G506" s="244">
        <v>0</v>
      </c>
      <c r="H506" s="244">
        <v>0</v>
      </c>
      <c r="I506" s="244" t="s">
        <v>441</v>
      </c>
      <c r="J506" s="244">
        <v>0.28600001335144043</v>
      </c>
      <c r="K506" s="244">
        <v>0.31700000166893005</v>
      </c>
      <c r="L506" s="244">
        <v>802.03833365080936</v>
      </c>
      <c r="M506" s="244">
        <v>0.1014808788895607</v>
      </c>
      <c r="N506" s="244">
        <v>0.32012894749641418</v>
      </c>
      <c r="O506" s="244">
        <v>71.487269713572601</v>
      </c>
      <c r="P506" s="244">
        <v>0.21693602204322815</v>
      </c>
      <c r="Q506" s="244">
        <v>0.68434077501296997</v>
      </c>
      <c r="R506" s="244">
        <v>1.1271885633468628</v>
      </c>
      <c r="S506" s="244">
        <v>6.2292284965515137</v>
      </c>
      <c r="T506" s="244">
        <v>0</v>
      </c>
      <c r="U506" s="244">
        <v>12.556410789489746</v>
      </c>
      <c r="V506" s="244" t="s">
        <v>226</v>
      </c>
      <c r="W506" s="244" t="s">
        <v>226</v>
      </c>
      <c r="X506" s="244" t="s">
        <v>226</v>
      </c>
      <c r="Y506" s="244" t="s">
        <v>226</v>
      </c>
      <c r="Z506" s="244">
        <v>0</v>
      </c>
      <c r="AA506" s="244">
        <v>0</v>
      </c>
      <c r="AB506" s="244">
        <v>0</v>
      </c>
      <c r="AC506" s="244">
        <v>0</v>
      </c>
      <c r="AD506" s="244">
        <v>0</v>
      </c>
      <c r="AE506" s="244">
        <v>0</v>
      </c>
      <c r="AF506" s="244">
        <v>0</v>
      </c>
      <c r="AG506" s="244">
        <v>0</v>
      </c>
      <c r="AH506" s="244">
        <v>1.1271885633468628</v>
      </c>
      <c r="AI506" s="244">
        <v>6.2292284965515137</v>
      </c>
      <c r="AJ506" s="244">
        <v>0</v>
      </c>
      <c r="AK506" s="244">
        <v>12.556410789489746</v>
      </c>
      <c r="AL506" s="244">
        <v>19.912827849388123</v>
      </c>
      <c r="AM506" s="244">
        <v>565.28993869854207</v>
      </c>
      <c r="AN506" s="244">
        <v>0</v>
      </c>
      <c r="AO506" s="244">
        <v>99.50823974609375</v>
      </c>
      <c r="AP506" s="244">
        <v>429.79248046875</v>
      </c>
      <c r="AQ506" s="244">
        <v>1094.5906982421875</v>
      </c>
      <c r="AR506" s="244">
        <v>1.1271885633468628</v>
      </c>
      <c r="AS506" s="228">
        <v>971.08034494540391</v>
      </c>
      <c r="AT506" s="244">
        <v>565.28993869854207</v>
      </c>
      <c r="AU506" s="244">
        <v>91.758865356445313</v>
      </c>
      <c r="AV506" s="244">
        <v>108.68412780761719</v>
      </c>
      <c r="AW506" s="244">
        <v>429.79248046875</v>
      </c>
      <c r="AX506" s="244">
        <v>1195.525390625</v>
      </c>
      <c r="AY506" s="244">
        <v>6.2292284965515137</v>
      </c>
      <c r="AZ506" s="228">
        <v>191.92190702158294</v>
      </c>
      <c r="BA506" s="244">
        <v>565.28993869854207</v>
      </c>
      <c r="BB506" s="244">
        <v>91.758865356445313</v>
      </c>
      <c r="BC506" s="244">
        <v>108.68412780761719</v>
      </c>
      <c r="BD506" s="244">
        <v>429.79248046875</v>
      </c>
      <c r="BE506" s="244">
        <v>1195.525390625</v>
      </c>
      <c r="BF506" s="244">
        <v>7.356417179107666</v>
      </c>
      <c r="BG506" s="244">
        <v>-62.318000793457031</v>
      </c>
      <c r="BH506" s="228">
        <v>162.51463213640443</v>
      </c>
      <c r="BI506" s="244">
        <v>0.11277332156896591</v>
      </c>
      <c r="BJ506" s="244">
        <v>0.62322384119033813</v>
      </c>
      <c r="BK506" s="244">
        <v>0</v>
      </c>
      <c r="BL506" s="244">
        <v>1.2562477588653564</v>
      </c>
      <c r="BM506" s="244">
        <v>1.9922449588775635</v>
      </c>
      <c r="BN506" s="244">
        <v>565.28993869854207</v>
      </c>
      <c r="BO506" s="244">
        <v>590.90448899945238</v>
      </c>
      <c r="BP506" s="244">
        <v>91.758865356445313</v>
      </c>
      <c r="BQ506" s="244">
        <v>0</v>
      </c>
      <c r="BR506" s="244">
        <v>0</v>
      </c>
      <c r="BS506" s="244">
        <v>0</v>
      </c>
      <c r="BT506" s="244">
        <v>429.79248046875</v>
      </c>
      <c r="BU506" s="244">
        <v>0</v>
      </c>
      <c r="BV506" s="244">
        <v>3359.6865234375</v>
      </c>
      <c r="BW506" s="244">
        <v>108.68412780761719</v>
      </c>
      <c r="BX506" s="244">
        <v>19.91282844543457</v>
      </c>
      <c r="BY506" s="244"/>
      <c r="BZ506" s="244">
        <v>0</v>
      </c>
      <c r="CA506" s="244">
        <v>0</v>
      </c>
      <c r="CB506" s="244">
        <v>5146.1162109375</v>
      </c>
      <c r="CC506" s="244">
        <v>19.91282844543457</v>
      </c>
      <c r="CD506" s="228">
        <v>258.43221814870606</v>
      </c>
      <c r="CE506" s="244">
        <v>-456.31173706054687</v>
      </c>
      <c r="CF506" s="244">
        <v>6.052410311828293</v>
      </c>
      <c r="CG506" s="244">
        <v>6.6912084451904201</v>
      </c>
      <c r="CH506" s="244">
        <v>12.743618757018712</v>
      </c>
      <c r="CI506" s="244">
        <v>0.29677646326943208</v>
      </c>
      <c r="CJ506" s="244">
        <v>0.41820052782439976</v>
      </c>
      <c r="CK506" s="244">
        <v>0.71497699109383184</v>
      </c>
      <c r="CL506" s="244"/>
      <c r="CM506" s="244">
        <v>70.779474963933268</v>
      </c>
      <c r="CN506" s="244" t="s">
        <v>442</v>
      </c>
      <c r="CO506" s="244">
        <v>0.28600001335144043</v>
      </c>
      <c r="CP506" s="244">
        <v>0.31700000166893005</v>
      </c>
      <c r="CQ506" s="244">
        <v>590.90448899945238</v>
      </c>
      <c r="CR506" s="244">
        <v>0</v>
      </c>
      <c r="CS506" s="244">
        <v>0</v>
      </c>
      <c r="CT506" s="244">
        <v>590.90447998046875</v>
      </c>
      <c r="CU506" s="244">
        <v>0</v>
      </c>
      <c r="CV506" s="244">
        <v>0</v>
      </c>
      <c r="CW506" s="228">
        <v>9999</v>
      </c>
    </row>
    <row r="507" spans="1:101">
      <c r="A507" s="221" t="s">
        <v>589</v>
      </c>
      <c r="B507" s="221" t="s">
        <v>440</v>
      </c>
      <c r="C507" s="244">
        <v>10</v>
      </c>
      <c r="D507" s="244">
        <v>2478.7315529094394</v>
      </c>
      <c r="E507" s="244">
        <v>0</v>
      </c>
      <c r="F507" s="244">
        <v>11.336666666666666</v>
      </c>
      <c r="G507" s="244">
        <v>0</v>
      </c>
      <c r="H507" s="244">
        <v>0</v>
      </c>
      <c r="I507" s="244" t="s">
        <v>441</v>
      </c>
      <c r="J507" s="244">
        <v>0.28600001335144043</v>
      </c>
      <c r="K507" s="244">
        <v>0.31700000166893005</v>
      </c>
      <c r="L507" s="244">
        <v>2702.9918243782126</v>
      </c>
      <c r="M507" s="244">
        <v>0.34200608730316162</v>
      </c>
      <c r="N507" s="244">
        <v>1.0788835287094116</v>
      </c>
      <c r="O507" s="244">
        <v>0</v>
      </c>
      <c r="P507" s="244">
        <v>0</v>
      </c>
      <c r="Q507" s="244">
        <v>0</v>
      </c>
      <c r="R507" s="244">
        <v>1.1271885633468628</v>
      </c>
      <c r="S507" s="244">
        <v>6.2292284965515137</v>
      </c>
      <c r="T507" s="244">
        <v>0</v>
      </c>
      <c r="U507" s="244">
        <v>12.556410789489746</v>
      </c>
      <c r="V507" s="244" t="s">
        <v>226</v>
      </c>
      <c r="W507" s="244" t="s">
        <v>226</v>
      </c>
      <c r="X507" s="244" t="s">
        <v>226</v>
      </c>
      <c r="Y507" s="244" t="s">
        <v>226</v>
      </c>
      <c r="Z507" s="244">
        <v>0</v>
      </c>
      <c r="AA507" s="244">
        <v>0</v>
      </c>
      <c r="AB507" s="244">
        <v>0</v>
      </c>
      <c r="AC507" s="244">
        <v>0</v>
      </c>
      <c r="AD507" s="244">
        <v>0</v>
      </c>
      <c r="AE507" s="244">
        <v>0</v>
      </c>
      <c r="AF507" s="244">
        <v>0</v>
      </c>
      <c r="AG507" s="244">
        <v>0</v>
      </c>
      <c r="AH507" s="244">
        <v>1.1271885633468628</v>
      </c>
      <c r="AI507" s="244">
        <v>6.2292284965515137</v>
      </c>
      <c r="AJ507" s="244">
        <v>0</v>
      </c>
      <c r="AK507" s="244">
        <v>12.556410789489746</v>
      </c>
      <c r="AL507" s="244">
        <v>19.912827849388123</v>
      </c>
      <c r="AM507" s="244">
        <v>1905.113532105396</v>
      </c>
      <c r="AN507" s="244">
        <v>0</v>
      </c>
      <c r="AO507" s="244">
        <v>335.35800170898437</v>
      </c>
      <c r="AP507" s="244">
        <v>1448.46630859375</v>
      </c>
      <c r="AQ507" s="244">
        <v>3688.937744140625</v>
      </c>
      <c r="AR507" s="244">
        <v>1.1271885633468628</v>
      </c>
      <c r="AS507" s="228">
        <v>3272.6892042400509</v>
      </c>
      <c r="AT507" s="244">
        <v>1905.113532105396</v>
      </c>
      <c r="AU507" s="244">
        <v>309.241455078125</v>
      </c>
      <c r="AV507" s="244">
        <v>366.28213500976562</v>
      </c>
      <c r="AW507" s="244">
        <v>1448.46630859375</v>
      </c>
      <c r="AX507" s="244">
        <v>4029.103515625</v>
      </c>
      <c r="AY507" s="244">
        <v>6.2292284965515137</v>
      </c>
      <c r="AZ507" s="228">
        <v>646.80617078303339</v>
      </c>
      <c r="BA507" s="244">
        <v>1905.113532105396</v>
      </c>
      <c r="BB507" s="244">
        <v>309.241455078125</v>
      </c>
      <c r="BC507" s="244">
        <v>366.28213500976562</v>
      </c>
      <c r="BD507" s="244">
        <v>1448.46630859375</v>
      </c>
      <c r="BE507" s="244">
        <v>4029.103515625</v>
      </c>
      <c r="BF507" s="244">
        <v>7.356417179107666</v>
      </c>
      <c r="BG507" s="244">
        <v>-62.835609436035156</v>
      </c>
      <c r="BH507" s="228">
        <v>547.69915816092896</v>
      </c>
      <c r="BI507" s="244">
        <v>3.3462375402450562E-2</v>
      </c>
      <c r="BJ507" s="244">
        <v>0.18492449820041656</v>
      </c>
      <c r="BK507" s="244">
        <v>0</v>
      </c>
      <c r="BL507" s="244">
        <v>0.37275692820549011</v>
      </c>
      <c r="BM507" s="244">
        <v>0.59114378690719604</v>
      </c>
      <c r="BN507" s="244">
        <v>1905.113532105396</v>
      </c>
      <c r="BO507" s="244">
        <v>0</v>
      </c>
      <c r="BP507" s="244">
        <v>309.241455078125</v>
      </c>
      <c r="BQ507" s="244">
        <v>0</v>
      </c>
      <c r="BR507" s="244">
        <v>0</v>
      </c>
      <c r="BS507" s="244">
        <v>0</v>
      </c>
      <c r="BT507" s="244">
        <v>1448.46630859375</v>
      </c>
      <c r="BU507" s="244">
        <v>0</v>
      </c>
      <c r="BV507" s="244">
        <v>3779.6474609375</v>
      </c>
      <c r="BW507" s="244">
        <v>366.28213500976562</v>
      </c>
      <c r="BX507" s="244">
        <v>19.91282844543457</v>
      </c>
      <c r="BY507" s="244"/>
      <c r="BZ507" s="244">
        <v>0</v>
      </c>
      <c r="CA507" s="244">
        <v>0</v>
      </c>
      <c r="CB507" s="244">
        <v>7808.7509765625</v>
      </c>
      <c r="CC507" s="244">
        <v>19.91282844543457</v>
      </c>
      <c r="CD507" s="228">
        <v>392.14674666244389</v>
      </c>
      <c r="CE507" s="244">
        <v>-174.66766357421875</v>
      </c>
      <c r="CF507" s="244">
        <v>20.39754822713607</v>
      </c>
      <c r="CG507" s="244">
        <v>0</v>
      </c>
      <c r="CH507" s="244">
        <v>20.39754822713607</v>
      </c>
      <c r="CI507" s="244">
        <v>1.0001820614155466</v>
      </c>
      <c r="CJ507" s="244">
        <v>0</v>
      </c>
      <c r="CK507" s="244">
        <v>1.0001820614155466</v>
      </c>
      <c r="CL507" s="244"/>
      <c r="CM507" s="244">
        <v>0</v>
      </c>
      <c r="CN507" s="244" t="s">
        <v>442</v>
      </c>
      <c r="CO507" s="244">
        <v>0</v>
      </c>
      <c r="CP507" s="244">
        <v>0</v>
      </c>
      <c r="CQ507" s="244">
        <v>0</v>
      </c>
      <c r="CR507" s="244">
        <v>0</v>
      </c>
      <c r="CS507" s="244">
        <v>0</v>
      </c>
      <c r="CT507" s="244">
        <v>0</v>
      </c>
      <c r="CU507" s="244">
        <v>0</v>
      </c>
      <c r="CV507" s="244">
        <v>9999</v>
      </c>
      <c r="CW507" s="228">
        <v>9999</v>
      </c>
    </row>
    <row r="508" spans="1:101">
      <c r="A508" s="221" t="s">
        <v>590</v>
      </c>
      <c r="B508" s="221" t="s">
        <v>440</v>
      </c>
      <c r="C508" s="244">
        <v>10</v>
      </c>
      <c r="D508" s="244">
        <v>0</v>
      </c>
      <c r="E508" s="244">
        <v>110.54183944715595</v>
      </c>
      <c r="F508" s="244">
        <v>11.336666666666666</v>
      </c>
      <c r="G508" s="244">
        <v>0</v>
      </c>
      <c r="H508" s="244">
        <v>0</v>
      </c>
      <c r="I508" s="244" t="s">
        <v>441</v>
      </c>
      <c r="J508" s="244">
        <v>0</v>
      </c>
      <c r="K508" s="244">
        <v>0</v>
      </c>
      <c r="L508" s="244">
        <v>0</v>
      </c>
      <c r="M508" s="244">
        <v>0</v>
      </c>
      <c r="N508" s="244">
        <v>0</v>
      </c>
      <c r="O508" s="244">
        <v>111.64725784162754</v>
      </c>
      <c r="P508" s="244">
        <v>0.33880597352981567</v>
      </c>
      <c r="Q508" s="244">
        <v>1.0687885284423828</v>
      </c>
      <c r="R508" s="244">
        <v>1.1271885633468628</v>
      </c>
      <c r="S508" s="244">
        <v>6.2292284965515137</v>
      </c>
      <c r="T508" s="244">
        <v>0</v>
      </c>
      <c r="U508" s="244">
        <v>12.556410789489746</v>
      </c>
      <c r="V508" s="244" t="s">
        <v>226</v>
      </c>
      <c r="W508" s="244" t="s">
        <v>226</v>
      </c>
      <c r="X508" s="244" t="s">
        <v>226</v>
      </c>
      <c r="Y508" s="244" t="s">
        <v>226</v>
      </c>
      <c r="Z508" s="244">
        <v>0</v>
      </c>
      <c r="AA508" s="244">
        <v>0</v>
      </c>
      <c r="AB508" s="244">
        <v>0</v>
      </c>
      <c r="AC508" s="244">
        <v>0</v>
      </c>
      <c r="AD508" s="244">
        <v>0</v>
      </c>
      <c r="AE508" s="244">
        <v>0</v>
      </c>
      <c r="AF508" s="244">
        <v>0</v>
      </c>
      <c r="AG508" s="244">
        <v>0</v>
      </c>
      <c r="AH508" s="244">
        <v>1.1271885633468628</v>
      </c>
      <c r="AI508" s="244">
        <v>6.2292284965515137</v>
      </c>
      <c r="AJ508" s="244">
        <v>0</v>
      </c>
      <c r="AK508" s="244">
        <v>12.556410789489746</v>
      </c>
      <c r="AL508" s="244">
        <v>19.912827849388123</v>
      </c>
      <c r="AM508" s="244">
        <v>0</v>
      </c>
      <c r="AN508" s="244">
        <v>0</v>
      </c>
      <c r="AO508" s="244">
        <v>0</v>
      </c>
      <c r="AP508" s="244">
        <v>0</v>
      </c>
      <c r="AQ508" s="244">
        <v>0</v>
      </c>
      <c r="AR508" s="244">
        <v>1.1271885633468628</v>
      </c>
      <c r="AS508" s="255">
        <v>0</v>
      </c>
      <c r="AT508" s="244">
        <v>0</v>
      </c>
      <c r="AU508" s="244">
        <v>0</v>
      </c>
      <c r="AV508" s="244">
        <v>0</v>
      </c>
      <c r="AW508" s="244">
        <v>0</v>
      </c>
      <c r="AX508" s="244">
        <v>0</v>
      </c>
      <c r="AY508" s="244">
        <v>6.2292284965515137</v>
      </c>
      <c r="AZ508" s="255">
        <v>0</v>
      </c>
      <c r="BA508" s="244">
        <v>0</v>
      </c>
      <c r="BB508" s="244">
        <v>0</v>
      </c>
      <c r="BC508" s="244">
        <v>0</v>
      </c>
      <c r="BD508" s="244">
        <v>0</v>
      </c>
      <c r="BE508" s="244">
        <v>0</v>
      </c>
      <c r="BF508" s="244">
        <v>7.356417179107666</v>
      </c>
      <c r="BG508" s="244">
        <v>9999</v>
      </c>
      <c r="BH508" s="255">
        <v>0</v>
      </c>
      <c r="BI508" s="244">
        <v>9999</v>
      </c>
      <c r="BJ508" s="244">
        <v>9999</v>
      </c>
      <c r="BK508" s="244">
        <v>9999</v>
      </c>
      <c r="BL508" s="244">
        <v>9999</v>
      </c>
      <c r="BM508" s="244">
        <v>9999</v>
      </c>
      <c r="BN508" s="244">
        <v>0</v>
      </c>
      <c r="BO508" s="244">
        <v>922.86173618645637</v>
      </c>
      <c r="BP508" s="244">
        <v>0</v>
      </c>
      <c r="BQ508" s="244">
        <v>0</v>
      </c>
      <c r="BR508" s="244">
        <v>0</v>
      </c>
      <c r="BS508" s="244">
        <v>0</v>
      </c>
      <c r="BT508" s="244">
        <v>0</v>
      </c>
      <c r="BU508" s="244">
        <v>0</v>
      </c>
      <c r="BV508" s="244">
        <v>3779.6474609375</v>
      </c>
      <c r="BW508" s="244">
        <v>0</v>
      </c>
      <c r="BX508" s="244">
        <v>19.91282844543457</v>
      </c>
      <c r="BY508" s="244"/>
      <c r="BZ508" s="244">
        <v>0</v>
      </c>
      <c r="CA508" s="244">
        <v>0</v>
      </c>
      <c r="CB508" s="244">
        <v>4702.50927734375</v>
      </c>
      <c r="CC508" s="244">
        <v>19.91282844543457</v>
      </c>
      <c r="CD508" s="228">
        <v>236.15475872801505</v>
      </c>
      <c r="CE508" s="244">
        <v>9999</v>
      </c>
      <c r="CF508" s="244">
        <v>0</v>
      </c>
      <c r="CG508" s="244">
        <v>10.450183333976304</v>
      </c>
      <c r="CH508" s="244">
        <v>10.450183333976304</v>
      </c>
      <c r="CI508" s="244">
        <v>0</v>
      </c>
      <c r="CJ508" s="244">
        <v>0.65313645837352052</v>
      </c>
      <c r="CK508" s="244">
        <v>0.65313645837352052</v>
      </c>
      <c r="CL508" s="244"/>
      <c r="CM508" s="244">
        <v>110.54183944715595</v>
      </c>
      <c r="CN508" s="244" t="s">
        <v>442</v>
      </c>
      <c r="CO508" s="244">
        <v>0.28600001335144043</v>
      </c>
      <c r="CP508" s="244">
        <v>0.31700000166893005</v>
      </c>
      <c r="CQ508" s="244">
        <v>922.86173618645637</v>
      </c>
      <c r="CR508" s="244">
        <v>0</v>
      </c>
      <c r="CS508" s="244">
        <v>0</v>
      </c>
      <c r="CT508" s="244">
        <v>922.86175537109375</v>
      </c>
      <c r="CU508" s="244">
        <v>0</v>
      </c>
      <c r="CV508" s="244">
        <v>0</v>
      </c>
      <c r="CW508" s="228">
        <v>9999</v>
      </c>
    </row>
    <row r="509" spans="1:101">
      <c r="A509" s="221" t="s">
        <v>591</v>
      </c>
      <c r="B509" s="221" t="s">
        <v>440</v>
      </c>
      <c r="C509" s="244">
        <v>10</v>
      </c>
      <c r="D509" s="244">
        <v>784.93165842132248</v>
      </c>
      <c r="E509" s="244">
        <v>75.536923622223242</v>
      </c>
      <c r="F509" s="244">
        <v>11.336666666666666</v>
      </c>
      <c r="G509" s="244">
        <v>0</v>
      </c>
      <c r="H509" s="244">
        <v>0</v>
      </c>
      <c r="I509" s="244" t="s">
        <v>441</v>
      </c>
      <c r="J509" s="244">
        <v>0.28600001335144043</v>
      </c>
      <c r="K509" s="244">
        <v>0.31700000166893005</v>
      </c>
      <c r="L509" s="244">
        <v>855.94741105310061</v>
      </c>
      <c r="M509" s="244">
        <v>0.10830193012952805</v>
      </c>
      <c r="N509" s="244">
        <v>0.3416464626789093</v>
      </c>
      <c r="O509" s="244">
        <v>76.292292858445464</v>
      </c>
      <c r="P509" s="244">
        <v>0.23151740431785583</v>
      </c>
      <c r="Q509" s="244">
        <v>0.73033881187438965</v>
      </c>
      <c r="R509" s="244">
        <v>1.1271885633468628</v>
      </c>
      <c r="S509" s="244">
        <v>6.2292284965515137</v>
      </c>
      <c r="T509" s="244">
        <v>0</v>
      </c>
      <c r="U509" s="244">
        <v>12.556410789489746</v>
      </c>
      <c r="V509" s="244" t="s">
        <v>226</v>
      </c>
      <c r="W509" s="244" t="s">
        <v>226</v>
      </c>
      <c r="X509" s="244" t="s">
        <v>226</v>
      </c>
      <c r="Y509" s="244" t="s">
        <v>226</v>
      </c>
      <c r="Z509" s="244">
        <v>0</v>
      </c>
      <c r="AA509" s="244">
        <v>0</v>
      </c>
      <c r="AB509" s="244">
        <v>0</v>
      </c>
      <c r="AC509" s="244">
        <v>0</v>
      </c>
      <c r="AD509" s="244">
        <v>0</v>
      </c>
      <c r="AE509" s="244">
        <v>0</v>
      </c>
      <c r="AF509" s="244">
        <v>0</v>
      </c>
      <c r="AG509" s="244">
        <v>0</v>
      </c>
      <c r="AH509" s="244">
        <v>1.1271885633468628</v>
      </c>
      <c r="AI509" s="244">
        <v>6.2292284965515137</v>
      </c>
      <c r="AJ509" s="244">
        <v>0</v>
      </c>
      <c r="AK509" s="244">
        <v>12.556410789489746</v>
      </c>
      <c r="AL509" s="244">
        <v>19.912827849388123</v>
      </c>
      <c r="AM509" s="244">
        <v>603.28595183337552</v>
      </c>
      <c r="AN509" s="244">
        <v>0</v>
      </c>
      <c r="AO509" s="244">
        <v>106.19670104980469</v>
      </c>
      <c r="AP509" s="244">
        <v>458.6810302734375</v>
      </c>
      <c r="AQ509" s="244">
        <v>1168.1636962890625</v>
      </c>
      <c r="AR509" s="244">
        <v>1.1271885633468628</v>
      </c>
      <c r="AS509" s="228">
        <v>1036.3516106729217</v>
      </c>
      <c r="AT509" s="244">
        <v>603.28595183337552</v>
      </c>
      <c r="AU509" s="244">
        <v>97.926445007324219</v>
      </c>
      <c r="AV509" s="244">
        <v>115.98934173583984</v>
      </c>
      <c r="AW509" s="244">
        <v>458.6810302734375</v>
      </c>
      <c r="AX509" s="244">
        <v>1275.8828125</v>
      </c>
      <c r="AY509" s="244">
        <v>6.2292284965515137</v>
      </c>
      <c r="AZ509" s="228">
        <v>204.82195661249267</v>
      </c>
      <c r="BA509" s="244">
        <v>603.28595183337552</v>
      </c>
      <c r="BB509" s="244">
        <v>97.926445007324219</v>
      </c>
      <c r="BC509" s="244">
        <v>115.98934173583984</v>
      </c>
      <c r="BD509" s="244">
        <v>458.6810302734375</v>
      </c>
      <c r="BE509" s="244">
        <v>1275.8828125</v>
      </c>
      <c r="BF509" s="244">
        <v>7.356417179107666</v>
      </c>
      <c r="BG509" s="244">
        <v>-62.364356994628906</v>
      </c>
      <c r="BH509" s="228">
        <v>173.43806889431613</v>
      </c>
      <c r="BI509" s="244">
        <v>0.10567066073417664</v>
      </c>
      <c r="BJ509" s="244">
        <v>0.58397209644317627</v>
      </c>
      <c r="BK509" s="244">
        <v>0</v>
      </c>
      <c r="BL509" s="244">
        <v>1.1771271228790283</v>
      </c>
      <c r="BM509" s="244">
        <v>1.8667697906494141</v>
      </c>
      <c r="BN509" s="244">
        <v>603.28595183337552</v>
      </c>
      <c r="BO509" s="244">
        <v>630.62218639407808</v>
      </c>
      <c r="BP509" s="244">
        <v>97.926445007324219</v>
      </c>
      <c r="BQ509" s="244">
        <v>0</v>
      </c>
      <c r="BR509" s="244">
        <v>0</v>
      </c>
      <c r="BS509" s="244">
        <v>0</v>
      </c>
      <c r="BT509" s="244">
        <v>458.6810302734375</v>
      </c>
      <c r="BU509" s="244">
        <v>0</v>
      </c>
      <c r="BV509" s="244">
        <v>3779.6474609375</v>
      </c>
      <c r="BW509" s="244">
        <v>115.98934173583984</v>
      </c>
      <c r="BX509" s="244">
        <v>19.91282844543457</v>
      </c>
      <c r="BY509" s="244"/>
      <c r="BZ509" s="244">
        <v>0</v>
      </c>
      <c r="CA509" s="244">
        <v>0</v>
      </c>
      <c r="CB509" s="244">
        <v>5686.15234375</v>
      </c>
      <c r="CC509" s="244">
        <v>19.91282844543457</v>
      </c>
      <c r="CD509" s="228">
        <v>285.55222236573951</v>
      </c>
      <c r="CE509" s="244">
        <v>-474.63720703125</v>
      </c>
      <c r="CF509" s="244">
        <v>6.4592236052597727</v>
      </c>
      <c r="CG509" s="244">
        <v>7.1409586115505226</v>
      </c>
      <c r="CH509" s="244">
        <v>13.600182216810296</v>
      </c>
      <c r="CI509" s="244">
        <v>0.31672431944825624</v>
      </c>
      <c r="CJ509" s="244">
        <v>0.44630991322190605</v>
      </c>
      <c r="CK509" s="244">
        <v>0.76303423267016224</v>
      </c>
      <c r="CL509" s="244"/>
      <c r="CM509" s="244">
        <v>75.536923622223242</v>
      </c>
      <c r="CN509" s="244" t="s">
        <v>442</v>
      </c>
      <c r="CO509" s="244">
        <v>0.28600001335144043</v>
      </c>
      <c r="CP509" s="244">
        <v>0.31700000166893005</v>
      </c>
      <c r="CQ509" s="244">
        <v>630.62218639407808</v>
      </c>
      <c r="CR509" s="244">
        <v>0</v>
      </c>
      <c r="CS509" s="244">
        <v>0</v>
      </c>
      <c r="CT509" s="244">
        <v>630.6221923828125</v>
      </c>
      <c r="CU509" s="244">
        <v>0</v>
      </c>
      <c r="CV509" s="244">
        <v>0</v>
      </c>
      <c r="CW509" s="228">
        <v>9999</v>
      </c>
    </row>
    <row r="510" spans="1:101">
      <c r="A510" s="221" t="s">
        <v>592</v>
      </c>
      <c r="B510" s="221" t="s">
        <v>440</v>
      </c>
      <c r="C510" s="244">
        <v>10</v>
      </c>
      <c r="D510" s="244">
        <v>4098.1322196438432</v>
      </c>
      <c r="E510" s="244">
        <v>0</v>
      </c>
      <c r="F510" s="244">
        <v>11.336666666666666</v>
      </c>
      <c r="G510" s="244">
        <v>0</v>
      </c>
      <c r="H510" s="244">
        <v>0</v>
      </c>
      <c r="I510" s="244" t="s">
        <v>441</v>
      </c>
      <c r="J510" s="244">
        <v>0.28600001335144043</v>
      </c>
      <c r="K510" s="244">
        <v>0.31700000166893005</v>
      </c>
      <c r="L510" s="244">
        <v>4468.9058288366223</v>
      </c>
      <c r="M510" s="244">
        <v>0.5654449462890625</v>
      </c>
      <c r="N510" s="244">
        <v>1.7837378978729248</v>
      </c>
      <c r="O510" s="244">
        <v>0</v>
      </c>
      <c r="P510" s="244">
        <v>0</v>
      </c>
      <c r="Q510" s="244">
        <v>0</v>
      </c>
      <c r="R510" s="244">
        <v>1.1271885633468628</v>
      </c>
      <c r="S510" s="244">
        <v>6.2292284965515137</v>
      </c>
      <c r="T510" s="244">
        <v>0</v>
      </c>
      <c r="U510" s="244">
        <v>12.556410789489746</v>
      </c>
      <c r="V510" s="244" t="s">
        <v>226</v>
      </c>
      <c r="W510" s="244" t="s">
        <v>226</v>
      </c>
      <c r="X510" s="244" t="s">
        <v>226</v>
      </c>
      <c r="Y510" s="244" t="s">
        <v>226</v>
      </c>
      <c r="Z510" s="244">
        <v>0</v>
      </c>
      <c r="AA510" s="244">
        <v>0</v>
      </c>
      <c r="AB510" s="244">
        <v>0</v>
      </c>
      <c r="AC510" s="244">
        <v>0</v>
      </c>
      <c r="AD510" s="244">
        <v>0</v>
      </c>
      <c r="AE510" s="244">
        <v>0</v>
      </c>
      <c r="AF510" s="244">
        <v>0</v>
      </c>
      <c r="AG510" s="244">
        <v>0</v>
      </c>
      <c r="AH510" s="244">
        <v>1.1271885633468628</v>
      </c>
      <c r="AI510" s="244">
        <v>6.2292284965515137</v>
      </c>
      <c r="AJ510" s="244">
        <v>0</v>
      </c>
      <c r="AK510" s="244">
        <v>12.556410789489746</v>
      </c>
      <c r="AL510" s="244">
        <v>19.912827849388123</v>
      </c>
      <c r="AM510" s="244">
        <v>3149.7590527044276</v>
      </c>
      <c r="AN510" s="244">
        <v>0</v>
      </c>
      <c r="AO510" s="244">
        <v>554.45355224609375</v>
      </c>
      <c r="AP510" s="244">
        <v>2394.776123046875</v>
      </c>
      <c r="AQ510" s="244">
        <v>6098.98876953125</v>
      </c>
      <c r="AR510" s="244">
        <v>1.1271885633468628</v>
      </c>
      <c r="AS510" s="228">
        <v>5410.7972049398732</v>
      </c>
      <c r="AT510" s="244">
        <v>3149.7590527044276</v>
      </c>
      <c r="AU510" s="244">
        <v>511.27450561523438</v>
      </c>
      <c r="AV510" s="244">
        <v>605.58099365234375</v>
      </c>
      <c r="AW510" s="244">
        <v>2394.776123046875</v>
      </c>
      <c r="AX510" s="244">
        <v>6661.390625</v>
      </c>
      <c r="AY510" s="244">
        <v>6.2292284965515137</v>
      </c>
      <c r="AZ510" s="228">
        <v>1069.3765172856656</v>
      </c>
      <c r="BA510" s="244">
        <v>3149.7590527044276</v>
      </c>
      <c r="BB510" s="244">
        <v>511.27450561523438</v>
      </c>
      <c r="BC510" s="244">
        <v>605.58099365234375</v>
      </c>
      <c r="BD510" s="244">
        <v>2394.776123046875</v>
      </c>
      <c r="BE510" s="244">
        <v>6661.390625</v>
      </c>
      <c r="BF510" s="244">
        <v>7.356417179107666</v>
      </c>
      <c r="BG510" s="244">
        <v>-62.921913146972656</v>
      </c>
      <c r="BH510" s="228">
        <v>905.52107374821719</v>
      </c>
      <c r="BI510" s="244">
        <v>2.023952454328537E-2</v>
      </c>
      <c r="BJ510" s="244">
        <v>0.11185050755739212</v>
      </c>
      <c r="BK510" s="244">
        <v>0</v>
      </c>
      <c r="BL510" s="244">
        <v>0.22545985877513885</v>
      </c>
      <c r="BM510" s="244">
        <v>0.35754990577697754</v>
      </c>
      <c r="BN510" s="244">
        <v>3149.7590527044276</v>
      </c>
      <c r="BO510" s="244">
        <v>0</v>
      </c>
      <c r="BP510" s="244">
        <v>511.27450561523438</v>
      </c>
      <c r="BQ510" s="244">
        <v>0</v>
      </c>
      <c r="BR510" s="244">
        <v>0</v>
      </c>
      <c r="BS510" s="244">
        <v>0</v>
      </c>
      <c r="BT510" s="244">
        <v>2394.776123046875</v>
      </c>
      <c r="BU510" s="244">
        <v>0</v>
      </c>
      <c r="BV510" s="244">
        <v>5879.45068359375</v>
      </c>
      <c r="BW510" s="244">
        <v>605.58099365234375</v>
      </c>
      <c r="BX510" s="244">
        <v>19.91282844543457</v>
      </c>
      <c r="BY510" s="244"/>
      <c r="BZ510" s="244">
        <v>0</v>
      </c>
      <c r="CA510" s="244">
        <v>0</v>
      </c>
      <c r="CB510" s="244">
        <v>12540.841796875</v>
      </c>
      <c r="CC510" s="244">
        <v>19.91282844543457</v>
      </c>
      <c r="CD510" s="228">
        <v>629.78704371291258</v>
      </c>
      <c r="CE510" s="244">
        <v>-168.26643371582031</v>
      </c>
      <c r="CF510" s="244">
        <v>33.723639614482927</v>
      </c>
      <c r="CG510" s="244">
        <v>0</v>
      </c>
      <c r="CH510" s="244">
        <v>33.723639614482927</v>
      </c>
      <c r="CI510" s="244">
        <v>1.6536192983809579</v>
      </c>
      <c r="CJ510" s="244">
        <v>0</v>
      </c>
      <c r="CK510" s="244">
        <v>1.6536192983809579</v>
      </c>
      <c r="CL510" s="244"/>
      <c r="CM510" s="244">
        <v>0</v>
      </c>
      <c r="CN510" s="244" t="s">
        <v>442</v>
      </c>
      <c r="CO510" s="244">
        <v>0</v>
      </c>
      <c r="CP510" s="244">
        <v>0</v>
      </c>
      <c r="CQ510" s="244">
        <v>0</v>
      </c>
      <c r="CR510" s="244">
        <v>0</v>
      </c>
      <c r="CS510" s="244">
        <v>0</v>
      </c>
      <c r="CT510" s="244">
        <v>0</v>
      </c>
      <c r="CU510" s="244">
        <v>0</v>
      </c>
      <c r="CV510" s="244">
        <v>9999</v>
      </c>
      <c r="CW510" s="228">
        <v>9999</v>
      </c>
    </row>
    <row r="511" spans="1:101">
      <c r="A511" s="221" t="s">
        <v>593</v>
      </c>
      <c r="B511" s="221" t="s">
        <v>440</v>
      </c>
      <c r="C511" s="244">
        <v>10</v>
      </c>
      <c r="D511" s="244">
        <v>0</v>
      </c>
      <c r="E511" s="244">
        <v>182.76084529014648</v>
      </c>
      <c r="F511" s="244">
        <v>11.336666666666666</v>
      </c>
      <c r="G511" s="244">
        <v>0</v>
      </c>
      <c r="H511" s="244">
        <v>0</v>
      </c>
      <c r="I511" s="244" t="s">
        <v>441</v>
      </c>
      <c r="J511" s="244">
        <v>0</v>
      </c>
      <c r="K511" s="244">
        <v>0</v>
      </c>
      <c r="L511" s="244">
        <v>0</v>
      </c>
      <c r="M511" s="244">
        <v>0</v>
      </c>
      <c r="N511" s="244">
        <v>0</v>
      </c>
      <c r="O511" s="244">
        <v>184.58845374304798</v>
      </c>
      <c r="P511" s="244">
        <v>0.56015408039093018</v>
      </c>
      <c r="Q511" s="244">
        <v>1.767047643661499</v>
      </c>
      <c r="R511" s="244">
        <v>1.1271885633468628</v>
      </c>
      <c r="S511" s="244">
        <v>6.2292284965515137</v>
      </c>
      <c r="T511" s="244">
        <v>0</v>
      </c>
      <c r="U511" s="244">
        <v>12.556410789489746</v>
      </c>
      <c r="V511" s="244" t="s">
        <v>226</v>
      </c>
      <c r="W511" s="244" t="s">
        <v>226</v>
      </c>
      <c r="X511" s="244" t="s">
        <v>226</v>
      </c>
      <c r="Y511" s="244" t="s">
        <v>226</v>
      </c>
      <c r="Z511" s="244">
        <v>0</v>
      </c>
      <c r="AA511" s="244">
        <v>0</v>
      </c>
      <c r="AB511" s="244">
        <v>0</v>
      </c>
      <c r="AC511" s="244">
        <v>0</v>
      </c>
      <c r="AD511" s="244">
        <v>0</v>
      </c>
      <c r="AE511" s="244">
        <v>0</v>
      </c>
      <c r="AF511" s="244">
        <v>0</v>
      </c>
      <c r="AG511" s="244">
        <v>0</v>
      </c>
      <c r="AH511" s="244">
        <v>1.1271885633468628</v>
      </c>
      <c r="AI511" s="244">
        <v>6.2292284965515137</v>
      </c>
      <c r="AJ511" s="244">
        <v>0</v>
      </c>
      <c r="AK511" s="244">
        <v>12.556410789489746</v>
      </c>
      <c r="AL511" s="244">
        <v>19.912827849388123</v>
      </c>
      <c r="AM511" s="244">
        <v>0</v>
      </c>
      <c r="AN511" s="244">
        <v>0</v>
      </c>
      <c r="AO511" s="244">
        <v>0</v>
      </c>
      <c r="AP511" s="244">
        <v>0</v>
      </c>
      <c r="AQ511" s="244">
        <v>0</v>
      </c>
      <c r="AR511" s="244">
        <v>1.1271885633468628</v>
      </c>
      <c r="AS511" s="255">
        <v>0</v>
      </c>
      <c r="AT511" s="244">
        <v>0</v>
      </c>
      <c r="AU511" s="244">
        <v>0</v>
      </c>
      <c r="AV511" s="244">
        <v>0</v>
      </c>
      <c r="AW511" s="244">
        <v>0</v>
      </c>
      <c r="AX511" s="244">
        <v>0</v>
      </c>
      <c r="AY511" s="244">
        <v>6.2292284965515137</v>
      </c>
      <c r="AZ511" s="255">
        <v>0</v>
      </c>
      <c r="BA511" s="244">
        <v>0</v>
      </c>
      <c r="BB511" s="244">
        <v>0</v>
      </c>
      <c r="BC511" s="244">
        <v>0</v>
      </c>
      <c r="BD511" s="244">
        <v>0</v>
      </c>
      <c r="BE511" s="244">
        <v>0</v>
      </c>
      <c r="BF511" s="244">
        <v>7.356417179107666</v>
      </c>
      <c r="BG511" s="244">
        <v>9999</v>
      </c>
      <c r="BH511" s="255">
        <v>0</v>
      </c>
      <c r="BI511" s="244">
        <v>9999</v>
      </c>
      <c r="BJ511" s="244">
        <v>9999</v>
      </c>
      <c r="BK511" s="244">
        <v>9999</v>
      </c>
      <c r="BL511" s="244">
        <v>9999</v>
      </c>
      <c r="BM511" s="244">
        <v>9999</v>
      </c>
      <c r="BN511" s="244">
        <v>0</v>
      </c>
      <c r="BO511" s="244">
        <v>1525.784190265781</v>
      </c>
      <c r="BP511" s="244">
        <v>0</v>
      </c>
      <c r="BQ511" s="244">
        <v>0</v>
      </c>
      <c r="BR511" s="244">
        <v>0</v>
      </c>
      <c r="BS511" s="244">
        <v>0</v>
      </c>
      <c r="BT511" s="244">
        <v>0</v>
      </c>
      <c r="BU511" s="244">
        <v>0</v>
      </c>
      <c r="BV511" s="244">
        <v>5879.45068359375</v>
      </c>
      <c r="BW511" s="244">
        <v>0</v>
      </c>
      <c r="BX511" s="244">
        <v>19.91282844543457</v>
      </c>
      <c r="BY511" s="244"/>
      <c r="BZ511" s="244">
        <v>0</v>
      </c>
      <c r="CA511" s="244">
        <v>0</v>
      </c>
      <c r="CB511" s="244">
        <v>7405.23486328125</v>
      </c>
      <c r="CC511" s="244">
        <v>19.91282844543457</v>
      </c>
      <c r="CD511" s="228">
        <v>371.88262301116418</v>
      </c>
      <c r="CE511" s="244">
        <v>9999</v>
      </c>
      <c r="CF511" s="244">
        <v>0</v>
      </c>
      <c r="CG511" s="244">
        <v>17.277479270349243</v>
      </c>
      <c r="CH511" s="244">
        <v>17.277479270349243</v>
      </c>
      <c r="CI511" s="244">
        <v>0</v>
      </c>
      <c r="CJ511" s="244">
        <v>1.0798424543968308</v>
      </c>
      <c r="CK511" s="244">
        <v>1.0798424543968308</v>
      </c>
      <c r="CL511" s="244"/>
      <c r="CM511" s="244">
        <v>182.76084529014648</v>
      </c>
      <c r="CN511" s="244" t="s">
        <v>442</v>
      </c>
      <c r="CO511" s="244">
        <v>0.28600001335144043</v>
      </c>
      <c r="CP511" s="244">
        <v>0.31700000166893005</v>
      </c>
      <c r="CQ511" s="244">
        <v>1525.784190265781</v>
      </c>
      <c r="CR511" s="244">
        <v>0</v>
      </c>
      <c r="CS511" s="244">
        <v>0</v>
      </c>
      <c r="CT511" s="244">
        <v>1525.7841796875</v>
      </c>
      <c r="CU511" s="244">
        <v>0</v>
      </c>
      <c r="CV511" s="244">
        <v>0</v>
      </c>
      <c r="CW511" s="228">
        <v>9999</v>
      </c>
    </row>
    <row r="512" spans="1:101">
      <c r="A512" s="221" t="s">
        <v>594</v>
      </c>
      <c r="B512" s="221" t="s">
        <v>440</v>
      </c>
      <c r="C512" s="244">
        <v>10</v>
      </c>
      <c r="D512" s="244">
        <v>1297.7418695538836</v>
      </c>
      <c r="E512" s="244">
        <v>124.88657761493343</v>
      </c>
      <c r="F512" s="244">
        <v>11.336666666666666</v>
      </c>
      <c r="G512" s="244">
        <v>0</v>
      </c>
      <c r="H512" s="244">
        <v>0</v>
      </c>
      <c r="I512" s="244" t="s">
        <v>441</v>
      </c>
      <c r="J512" s="244">
        <v>0.28600001335144043</v>
      </c>
      <c r="K512" s="244">
        <v>0.31700000166893005</v>
      </c>
      <c r="L512" s="244">
        <v>1415.1535124649299</v>
      </c>
      <c r="M512" s="244">
        <v>0.17905755341053009</v>
      </c>
      <c r="N512" s="244">
        <v>0.5648503303527832</v>
      </c>
      <c r="O512" s="244">
        <v>126.13544339108272</v>
      </c>
      <c r="P512" s="244">
        <v>0.38277196884155273</v>
      </c>
      <c r="Q512" s="244">
        <v>1.2074825763702393</v>
      </c>
      <c r="R512" s="244">
        <v>1.1271885633468628</v>
      </c>
      <c r="S512" s="244">
        <v>6.2292284965515137</v>
      </c>
      <c r="T512" s="244">
        <v>0</v>
      </c>
      <c r="U512" s="244">
        <v>12.556410789489746</v>
      </c>
      <c r="V512" s="244" t="s">
        <v>226</v>
      </c>
      <c r="W512" s="244" t="s">
        <v>226</v>
      </c>
      <c r="X512" s="244" t="s">
        <v>226</v>
      </c>
      <c r="Y512" s="244" t="s">
        <v>226</v>
      </c>
      <c r="Z512" s="244">
        <v>0</v>
      </c>
      <c r="AA512" s="244">
        <v>0</v>
      </c>
      <c r="AB512" s="244">
        <v>0</v>
      </c>
      <c r="AC512" s="244">
        <v>0</v>
      </c>
      <c r="AD512" s="244">
        <v>0</v>
      </c>
      <c r="AE512" s="244">
        <v>0</v>
      </c>
      <c r="AF512" s="244">
        <v>0</v>
      </c>
      <c r="AG512" s="244">
        <v>0</v>
      </c>
      <c r="AH512" s="244">
        <v>1.1271885633468628</v>
      </c>
      <c r="AI512" s="244">
        <v>6.2292284965515137</v>
      </c>
      <c r="AJ512" s="244">
        <v>0</v>
      </c>
      <c r="AK512" s="244">
        <v>12.556410789489746</v>
      </c>
      <c r="AL512" s="244">
        <v>19.912827849388123</v>
      </c>
      <c r="AM512" s="244">
        <v>997.42370002306689</v>
      </c>
      <c r="AN512" s="244">
        <v>0</v>
      </c>
      <c r="AO512" s="244">
        <v>175.57695007324219</v>
      </c>
      <c r="AP512" s="244">
        <v>758.345703125</v>
      </c>
      <c r="AQ512" s="244">
        <v>1931.3463134765625</v>
      </c>
      <c r="AR512" s="244">
        <v>1.1271885633468628</v>
      </c>
      <c r="AS512" s="228">
        <v>1713.4190463099897</v>
      </c>
      <c r="AT512" s="244">
        <v>997.42370002306689</v>
      </c>
      <c r="AU512" s="244">
        <v>161.90361022949219</v>
      </c>
      <c r="AV512" s="244">
        <v>191.76730346679687</v>
      </c>
      <c r="AW512" s="244">
        <v>758.345703125</v>
      </c>
      <c r="AX512" s="244">
        <v>2109.4404296875</v>
      </c>
      <c r="AY512" s="244">
        <v>6.2292284965515137</v>
      </c>
      <c r="AZ512" s="228">
        <v>338.63588693401391</v>
      </c>
      <c r="BA512" s="244">
        <v>997.42370002306689</v>
      </c>
      <c r="BB512" s="244">
        <v>161.90361022949219</v>
      </c>
      <c r="BC512" s="244">
        <v>191.76730346679687</v>
      </c>
      <c r="BD512" s="244">
        <v>758.345703125</v>
      </c>
      <c r="BE512" s="244">
        <v>2109.4404296875</v>
      </c>
      <c r="BF512" s="244">
        <v>7.356417179107666</v>
      </c>
      <c r="BG512" s="244">
        <v>-62.636871337890625</v>
      </c>
      <c r="BH512" s="228">
        <v>286.7483313777069</v>
      </c>
      <c r="BI512" s="244">
        <v>6.3914284110069275E-2</v>
      </c>
      <c r="BJ512" s="244">
        <v>0.3532121479511261</v>
      </c>
      <c r="BK512" s="244">
        <v>0</v>
      </c>
      <c r="BL512" s="244">
        <v>0.7119784951210022</v>
      </c>
      <c r="BM512" s="244">
        <v>1.1291049718856812</v>
      </c>
      <c r="BN512" s="244">
        <v>997.42370002306689</v>
      </c>
      <c r="BO512" s="244">
        <v>1042.6191966816177</v>
      </c>
      <c r="BP512" s="244">
        <v>161.90361022949219</v>
      </c>
      <c r="BQ512" s="244">
        <v>0</v>
      </c>
      <c r="BR512" s="244">
        <v>0</v>
      </c>
      <c r="BS512" s="244">
        <v>0</v>
      </c>
      <c r="BT512" s="244">
        <v>758.345703125</v>
      </c>
      <c r="BU512" s="244">
        <v>0</v>
      </c>
      <c r="BV512" s="244">
        <v>5879.45068359375</v>
      </c>
      <c r="BW512" s="244">
        <v>191.76730346679687</v>
      </c>
      <c r="BX512" s="244">
        <v>19.91282844543457</v>
      </c>
      <c r="BY512" s="244"/>
      <c r="BZ512" s="244">
        <v>0</v>
      </c>
      <c r="CA512" s="244">
        <v>0</v>
      </c>
      <c r="CB512" s="244">
        <v>9031.509765625</v>
      </c>
      <c r="CC512" s="244">
        <v>19.91282844543457</v>
      </c>
      <c r="CD512" s="228">
        <v>453.55235304055384</v>
      </c>
      <c r="CE512" s="244">
        <v>-454.42279052734375</v>
      </c>
      <c r="CF512" s="244">
        <v>10.679152544586234</v>
      </c>
      <c r="CG512" s="244">
        <v>11.806277501405351</v>
      </c>
      <c r="CH512" s="244">
        <v>22.485430045991585</v>
      </c>
      <c r="CI512" s="244">
        <v>0.52364611115396964</v>
      </c>
      <c r="CJ512" s="244">
        <v>0.7378923438378332</v>
      </c>
      <c r="CK512" s="244">
        <v>1.2615384549918027</v>
      </c>
      <c r="CL512" s="244"/>
      <c r="CM512" s="244">
        <v>124.88657761493343</v>
      </c>
      <c r="CN512" s="244" t="s">
        <v>442</v>
      </c>
      <c r="CO512" s="244">
        <v>0.28600001335144043</v>
      </c>
      <c r="CP512" s="244">
        <v>0.31700000166893005</v>
      </c>
      <c r="CQ512" s="244">
        <v>1042.6191966816177</v>
      </c>
      <c r="CR512" s="244">
        <v>0</v>
      </c>
      <c r="CS512" s="244">
        <v>0</v>
      </c>
      <c r="CT512" s="244">
        <v>1042.619140625</v>
      </c>
      <c r="CU512" s="244">
        <v>0</v>
      </c>
      <c r="CV512" s="244">
        <v>0</v>
      </c>
      <c r="CW512" s="228">
        <v>9999</v>
      </c>
    </row>
    <row r="513" spans="1:101">
      <c r="A513" s="221" t="s">
        <v>595</v>
      </c>
      <c r="B513" s="221" t="s">
        <v>440</v>
      </c>
      <c r="C513" s="244">
        <v>10</v>
      </c>
      <c r="D513" s="244">
        <v>1548.4111123269602</v>
      </c>
      <c r="E513" s="244">
        <v>0</v>
      </c>
      <c r="F513" s="244">
        <v>8.1096944444444432</v>
      </c>
      <c r="G513" s="244">
        <v>0</v>
      </c>
      <c r="H513" s="244">
        <v>0</v>
      </c>
      <c r="I513" s="244" t="s">
        <v>441</v>
      </c>
      <c r="J513" s="244">
        <v>0.28600001335144043</v>
      </c>
      <c r="K513" s="244">
        <v>0.31700000166893005</v>
      </c>
      <c r="L513" s="244">
        <v>1688.5017550543357</v>
      </c>
      <c r="M513" s="244">
        <v>0.21364396810531616</v>
      </c>
      <c r="N513" s="244">
        <v>0.67395573854446411</v>
      </c>
      <c r="O513" s="244">
        <v>0</v>
      </c>
      <c r="P513" s="244">
        <v>0</v>
      </c>
      <c r="Q513" s="244">
        <v>0</v>
      </c>
      <c r="R513" s="244">
        <v>0.80633538961410522</v>
      </c>
      <c r="S513" s="244">
        <v>4.4560842514038086</v>
      </c>
      <c r="T513" s="244">
        <v>0</v>
      </c>
      <c r="U513" s="244">
        <v>8.9822397232055664</v>
      </c>
      <c r="V513" s="244" t="s">
        <v>226</v>
      </c>
      <c r="W513" s="244" t="s">
        <v>226</v>
      </c>
      <c r="X513" s="244" t="s">
        <v>226</v>
      </c>
      <c r="Y513" s="244" t="s">
        <v>226</v>
      </c>
      <c r="Z513" s="244">
        <v>0</v>
      </c>
      <c r="AA513" s="244">
        <v>0</v>
      </c>
      <c r="AB513" s="244">
        <v>0</v>
      </c>
      <c r="AC513" s="244">
        <v>0</v>
      </c>
      <c r="AD513" s="244">
        <v>0</v>
      </c>
      <c r="AE513" s="244">
        <v>0</v>
      </c>
      <c r="AF513" s="244">
        <v>0</v>
      </c>
      <c r="AG513" s="244">
        <v>0</v>
      </c>
      <c r="AH513" s="244">
        <v>0.80633538961410522</v>
      </c>
      <c r="AI513" s="244">
        <v>4.4560842514038086</v>
      </c>
      <c r="AJ513" s="244">
        <v>0</v>
      </c>
      <c r="AK513" s="244">
        <v>8.9822397232055664</v>
      </c>
      <c r="AL513" s="244">
        <v>14.24465936422348</v>
      </c>
      <c r="AM513" s="244">
        <v>1190.0840814706153</v>
      </c>
      <c r="AN513" s="244">
        <v>0</v>
      </c>
      <c r="AO513" s="244">
        <v>209.49105834960937</v>
      </c>
      <c r="AP513" s="244">
        <v>904.826416015625</v>
      </c>
      <c r="AQ513" s="244">
        <v>2304.401611328125</v>
      </c>
      <c r="AR513" s="244">
        <v>0.80633538961410522</v>
      </c>
      <c r="AS513" s="228">
        <v>2857.8697965107135</v>
      </c>
      <c r="AT513" s="244">
        <v>1190.0840814706153</v>
      </c>
      <c r="AU513" s="244">
        <v>193.17657470703125</v>
      </c>
      <c r="AV513" s="244">
        <v>228.8087158203125</v>
      </c>
      <c r="AW513" s="244">
        <v>904.826416015625</v>
      </c>
      <c r="AX513" s="244">
        <v>2516.895751953125</v>
      </c>
      <c r="AY513" s="244">
        <v>4.4560842514038086</v>
      </c>
      <c r="AZ513" s="228">
        <v>564.82230721303836</v>
      </c>
      <c r="BA513" s="244">
        <v>1190.0840814706153</v>
      </c>
      <c r="BB513" s="244">
        <v>193.17657470703125</v>
      </c>
      <c r="BC513" s="244">
        <v>228.8087158203125</v>
      </c>
      <c r="BD513" s="244">
        <v>904.826416015625</v>
      </c>
      <c r="BE513" s="244">
        <v>2516.895751953125</v>
      </c>
      <c r="BF513" s="244">
        <v>5.2624197006225586</v>
      </c>
      <c r="BG513" s="244">
        <v>-62.803920745849609</v>
      </c>
      <c r="BH513" s="228">
        <v>478.27728681985894</v>
      </c>
      <c r="BI513" s="244">
        <v>3.8319434970617294E-2</v>
      </c>
      <c r="BJ513" s="244">
        <v>0.21176628768444061</v>
      </c>
      <c r="BK513" s="244">
        <v>0</v>
      </c>
      <c r="BL513" s="244">
        <v>0.42686250805854797</v>
      </c>
      <c r="BM513" s="244">
        <v>0.67694824934005737</v>
      </c>
      <c r="BN513" s="244">
        <v>1190.0840814706153</v>
      </c>
      <c r="BO513" s="244">
        <v>0</v>
      </c>
      <c r="BP513" s="244">
        <v>193.17657470703125</v>
      </c>
      <c r="BQ513" s="244">
        <v>0</v>
      </c>
      <c r="BR513" s="244">
        <v>0</v>
      </c>
      <c r="BS513" s="244">
        <v>0</v>
      </c>
      <c r="BT513" s="244">
        <v>904.826416015625</v>
      </c>
      <c r="BU513" s="244">
        <v>0</v>
      </c>
      <c r="BV513" s="244">
        <v>2239.790771484375</v>
      </c>
      <c r="BW513" s="244">
        <v>228.8087158203125</v>
      </c>
      <c r="BX513" s="244">
        <v>14.244659423828125</v>
      </c>
      <c r="BY513" s="244"/>
      <c r="BZ513" s="244">
        <v>0</v>
      </c>
      <c r="CA513" s="244">
        <v>0</v>
      </c>
      <c r="CB513" s="244">
        <v>4756.6865234375</v>
      </c>
      <c r="CC513" s="244">
        <v>14.244659423828125</v>
      </c>
      <c r="CD513" s="228">
        <v>333.92771409761383</v>
      </c>
      <c r="CE513" s="244">
        <v>-168.81852722167969</v>
      </c>
      <c r="CF513" s="244">
        <v>12.741916445954299</v>
      </c>
      <c r="CG513" s="244">
        <v>0</v>
      </c>
      <c r="CH513" s="244">
        <v>12.741916445954299</v>
      </c>
      <c r="CI513" s="244">
        <v>0.62479255425143621</v>
      </c>
      <c r="CJ513" s="244">
        <v>0</v>
      </c>
      <c r="CK513" s="244">
        <v>0.62479255425143621</v>
      </c>
      <c r="CL513" s="244"/>
      <c r="CM513" s="244">
        <v>0</v>
      </c>
      <c r="CN513" s="244" t="s">
        <v>442</v>
      </c>
      <c r="CO513" s="244">
        <v>0</v>
      </c>
      <c r="CP513" s="244">
        <v>0</v>
      </c>
      <c r="CQ513" s="244">
        <v>0</v>
      </c>
      <c r="CR513" s="244">
        <v>0</v>
      </c>
      <c r="CS513" s="244">
        <v>0</v>
      </c>
      <c r="CT513" s="244">
        <v>0</v>
      </c>
      <c r="CU513" s="244">
        <v>0</v>
      </c>
      <c r="CV513" s="244">
        <v>9999</v>
      </c>
      <c r="CW513" s="228">
        <v>9999</v>
      </c>
    </row>
    <row r="514" spans="1:101">
      <c r="A514" s="221" t="s">
        <v>596</v>
      </c>
      <c r="B514" s="221" t="s">
        <v>440</v>
      </c>
      <c r="C514" s="244">
        <v>10</v>
      </c>
      <c r="D514" s="244">
        <v>0</v>
      </c>
      <c r="E514" s="244">
        <v>69.053146306276361</v>
      </c>
      <c r="F514" s="244">
        <v>8.1096944444444432</v>
      </c>
      <c r="G514" s="244">
        <v>0</v>
      </c>
      <c r="H514" s="244">
        <v>0</v>
      </c>
      <c r="I514" s="244" t="s">
        <v>441</v>
      </c>
      <c r="J514" s="244">
        <v>0</v>
      </c>
      <c r="K514" s="244">
        <v>0</v>
      </c>
      <c r="L514" s="244">
        <v>0</v>
      </c>
      <c r="M514" s="244">
        <v>0</v>
      </c>
      <c r="N514" s="244">
        <v>0</v>
      </c>
      <c r="O514" s="244">
        <v>69.743677769339158</v>
      </c>
      <c r="P514" s="244">
        <v>0.21164491772651672</v>
      </c>
      <c r="Q514" s="244">
        <v>0.66764956712722778</v>
      </c>
      <c r="R514" s="244">
        <v>0.80633538961410522</v>
      </c>
      <c r="S514" s="244">
        <v>4.4560842514038086</v>
      </c>
      <c r="T514" s="244">
        <v>0</v>
      </c>
      <c r="U514" s="244">
        <v>8.9822397232055664</v>
      </c>
      <c r="V514" s="244" t="s">
        <v>226</v>
      </c>
      <c r="W514" s="244" t="s">
        <v>226</v>
      </c>
      <c r="X514" s="244" t="s">
        <v>226</v>
      </c>
      <c r="Y514" s="244" t="s">
        <v>226</v>
      </c>
      <c r="Z514" s="244">
        <v>0</v>
      </c>
      <c r="AA514" s="244">
        <v>0</v>
      </c>
      <c r="AB514" s="244">
        <v>0</v>
      </c>
      <c r="AC514" s="244">
        <v>0</v>
      </c>
      <c r="AD514" s="244">
        <v>0</v>
      </c>
      <c r="AE514" s="244">
        <v>0</v>
      </c>
      <c r="AF514" s="244">
        <v>0</v>
      </c>
      <c r="AG514" s="244">
        <v>0</v>
      </c>
      <c r="AH514" s="244">
        <v>0.80633538961410522</v>
      </c>
      <c r="AI514" s="244">
        <v>4.4560842514038086</v>
      </c>
      <c r="AJ514" s="244">
        <v>0</v>
      </c>
      <c r="AK514" s="244">
        <v>8.9822397232055664</v>
      </c>
      <c r="AL514" s="244">
        <v>14.24465936422348</v>
      </c>
      <c r="AM514" s="244">
        <v>0</v>
      </c>
      <c r="AN514" s="244">
        <v>0</v>
      </c>
      <c r="AO514" s="244">
        <v>0</v>
      </c>
      <c r="AP514" s="244">
        <v>0</v>
      </c>
      <c r="AQ514" s="244">
        <v>0</v>
      </c>
      <c r="AR514" s="244">
        <v>0.80633538961410522</v>
      </c>
      <c r="AS514" s="255">
        <v>0</v>
      </c>
      <c r="AT514" s="244">
        <v>0</v>
      </c>
      <c r="AU514" s="244">
        <v>0</v>
      </c>
      <c r="AV514" s="244">
        <v>0</v>
      </c>
      <c r="AW514" s="244">
        <v>0</v>
      </c>
      <c r="AX514" s="244">
        <v>0</v>
      </c>
      <c r="AY514" s="244">
        <v>4.4560842514038086</v>
      </c>
      <c r="AZ514" s="255">
        <v>0</v>
      </c>
      <c r="BA514" s="244">
        <v>0</v>
      </c>
      <c r="BB514" s="244">
        <v>0</v>
      </c>
      <c r="BC514" s="244">
        <v>0</v>
      </c>
      <c r="BD514" s="244">
        <v>0</v>
      </c>
      <c r="BE514" s="244">
        <v>0</v>
      </c>
      <c r="BF514" s="244">
        <v>5.2624197006225586</v>
      </c>
      <c r="BG514" s="244">
        <v>9999</v>
      </c>
      <c r="BH514" s="255">
        <v>0</v>
      </c>
      <c r="BI514" s="244">
        <v>9999</v>
      </c>
      <c r="BJ514" s="244">
        <v>9999</v>
      </c>
      <c r="BK514" s="244">
        <v>9999</v>
      </c>
      <c r="BL514" s="244">
        <v>9999</v>
      </c>
      <c r="BM514" s="244">
        <v>9999</v>
      </c>
      <c r="BN514" s="244">
        <v>0</v>
      </c>
      <c r="BO514" s="244">
        <v>576.49218438970956</v>
      </c>
      <c r="BP514" s="244">
        <v>0</v>
      </c>
      <c r="BQ514" s="244">
        <v>0</v>
      </c>
      <c r="BR514" s="244">
        <v>0</v>
      </c>
      <c r="BS514" s="244">
        <v>0</v>
      </c>
      <c r="BT514" s="244">
        <v>0</v>
      </c>
      <c r="BU514" s="244">
        <v>0</v>
      </c>
      <c r="BV514" s="244">
        <v>2239.790771484375</v>
      </c>
      <c r="BW514" s="244">
        <v>0</v>
      </c>
      <c r="BX514" s="244">
        <v>14.244659423828125</v>
      </c>
      <c r="BY514" s="244"/>
      <c r="BZ514" s="244">
        <v>0</v>
      </c>
      <c r="CA514" s="244">
        <v>0</v>
      </c>
      <c r="CB514" s="244">
        <v>2816.282958984375</v>
      </c>
      <c r="CC514" s="244">
        <v>14.244659423828125</v>
      </c>
      <c r="CD514" s="228">
        <v>197.70798810135636</v>
      </c>
      <c r="CE514" s="244">
        <v>9999</v>
      </c>
      <c r="CF514" s="244">
        <v>0</v>
      </c>
      <c r="CG514" s="244">
        <v>6.5280082392101058</v>
      </c>
      <c r="CH514" s="244">
        <v>6.5280082392101058</v>
      </c>
      <c r="CI514" s="244">
        <v>0</v>
      </c>
      <c r="CJ514" s="244">
        <v>0.408000514950634</v>
      </c>
      <c r="CK514" s="244">
        <v>0.408000514950634</v>
      </c>
      <c r="CL514" s="244"/>
      <c r="CM514" s="244">
        <v>69.053146306276361</v>
      </c>
      <c r="CN514" s="244" t="s">
        <v>442</v>
      </c>
      <c r="CO514" s="244">
        <v>0.28600001335144043</v>
      </c>
      <c r="CP514" s="244">
        <v>0.31700000166893005</v>
      </c>
      <c r="CQ514" s="244">
        <v>576.49218438970956</v>
      </c>
      <c r="CR514" s="244">
        <v>0</v>
      </c>
      <c r="CS514" s="244">
        <v>0</v>
      </c>
      <c r="CT514" s="244">
        <v>576.4921875</v>
      </c>
      <c r="CU514" s="244">
        <v>0</v>
      </c>
      <c r="CV514" s="244">
        <v>0</v>
      </c>
      <c r="CW514" s="228">
        <v>9999</v>
      </c>
    </row>
    <row r="515" spans="1:101">
      <c r="A515" s="221" t="s">
        <v>597</v>
      </c>
      <c r="B515" s="221" t="s">
        <v>440</v>
      </c>
      <c r="C515" s="244">
        <v>10</v>
      </c>
      <c r="D515" s="244">
        <v>490.33018557020398</v>
      </c>
      <c r="E515" s="244">
        <v>47.186316642622181</v>
      </c>
      <c r="F515" s="244">
        <v>8.1096944444444432</v>
      </c>
      <c r="G515" s="244">
        <v>0</v>
      </c>
      <c r="H515" s="244">
        <v>0</v>
      </c>
      <c r="I515" s="244" t="s">
        <v>441</v>
      </c>
      <c r="J515" s="244">
        <v>0.28600001335144043</v>
      </c>
      <c r="K515" s="244">
        <v>0.31700000166893005</v>
      </c>
      <c r="L515" s="244">
        <v>534.69222243387287</v>
      </c>
      <c r="M515" s="244">
        <v>6.7653916776180267E-2</v>
      </c>
      <c r="N515" s="244">
        <v>0.21341930329799652</v>
      </c>
      <c r="O515" s="244">
        <v>47.658179809048399</v>
      </c>
      <c r="P515" s="244">
        <v>0.1446240246295929</v>
      </c>
      <c r="Q515" s="244">
        <v>0.45622721314430237</v>
      </c>
      <c r="R515" s="244">
        <v>0.80633538961410522</v>
      </c>
      <c r="S515" s="244">
        <v>4.4560842514038086</v>
      </c>
      <c r="T515" s="244">
        <v>0</v>
      </c>
      <c r="U515" s="244">
        <v>8.9822397232055664</v>
      </c>
      <c r="V515" s="244" t="s">
        <v>226</v>
      </c>
      <c r="W515" s="244" t="s">
        <v>226</v>
      </c>
      <c r="X515" s="244" t="s">
        <v>226</v>
      </c>
      <c r="Y515" s="244" t="s">
        <v>226</v>
      </c>
      <c r="Z515" s="244">
        <v>0</v>
      </c>
      <c r="AA515" s="244">
        <v>0</v>
      </c>
      <c r="AB515" s="244">
        <v>0</v>
      </c>
      <c r="AC515" s="244">
        <v>0</v>
      </c>
      <c r="AD515" s="244">
        <v>0</v>
      </c>
      <c r="AE515" s="244">
        <v>0</v>
      </c>
      <c r="AF515" s="244">
        <v>0</v>
      </c>
      <c r="AG515" s="244">
        <v>0</v>
      </c>
      <c r="AH515" s="244">
        <v>0.80633538961410522</v>
      </c>
      <c r="AI515" s="244">
        <v>4.4560842514038086</v>
      </c>
      <c r="AJ515" s="244">
        <v>0</v>
      </c>
      <c r="AK515" s="244">
        <v>8.9822397232055664</v>
      </c>
      <c r="AL515" s="244">
        <v>14.24465936422348</v>
      </c>
      <c r="AM515" s="244">
        <v>376.85995913236127</v>
      </c>
      <c r="AN515" s="244">
        <v>0</v>
      </c>
      <c r="AO515" s="244">
        <v>66.338836669921875</v>
      </c>
      <c r="AP515" s="244">
        <v>286.52838134765625</v>
      </c>
      <c r="AQ515" s="244">
        <v>729.7271728515625</v>
      </c>
      <c r="AR515" s="244">
        <v>0.80633538961410522</v>
      </c>
      <c r="AS515" s="228">
        <v>904.99212430595549</v>
      </c>
      <c r="AT515" s="244">
        <v>376.85995913236127</v>
      </c>
      <c r="AU515" s="244">
        <v>61.172588348388672</v>
      </c>
      <c r="AV515" s="244">
        <v>72.456092834472656</v>
      </c>
      <c r="AW515" s="244">
        <v>286.52838134765625</v>
      </c>
      <c r="AX515" s="244">
        <v>797.01702880859375</v>
      </c>
      <c r="AY515" s="244">
        <v>4.4560842514038086</v>
      </c>
      <c r="AZ515" s="228">
        <v>178.86040224930511</v>
      </c>
      <c r="BA515" s="244">
        <v>376.85995913236127</v>
      </c>
      <c r="BB515" s="244">
        <v>61.172588348388672</v>
      </c>
      <c r="BC515" s="244">
        <v>72.456092834472656</v>
      </c>
      <c r="BD515" s="244">
        <v>286.52838134765625</v>
      </c>
      <c r="BE515" s="244">
        <v>797.01702880859375</v>
      </c>
      <c r="BF515" s="244">
        <v>5.2624197006225586</v>
      </c>
      <c r="BG515" s="244">
        <v>-62.264266967773437</v>
      </c>
      <c r="BH515" s="228">
        <v>151.45447836400808</v>
      </c>
      <c r="BI515" s="244">
        <v>0.1210087463259697</v>
      </c>
      <c r="BJ515" s="244">
        <v>0.66873562335968018</v>
      </c>
      <c r="BK515" s="244">
        <v>0</v>
      </c>
      <c r="BL515" s="244">
        <v>1.3479868173599243</v>
      </c>
      <c r="BM515" s="244">
        <v>2.1377313137054443</v>
      </c>
      <c r="BN515" s="244">
        <v>376.85995913236127</v>
      </c>
      <c r="BO515" s="244">
        <v>393.93632599963519</v>
      </c>
      <c r="BP515" s="244">
        <v>61.172588348388672</v>
      </c>
      <c r="BQ515" s="244">
        <v>0</v>
      </c>
      <c r="BR515" s="244">
        <v>0</v>
      </c>
      <c r="BS515" s="244">
        <v>0</v>
      </c>
      <c r="BT515" s="244">
        <v>286.52838134765625</v>
      </c>
      <c r="BU515" s="244">
        <v>0</v>
      </c>
      <c r="BV515" s="244">
        <v>2239.790771484375</v>
      </c>
      <c r="BW515" s="244">
        <v>72.456092834472656</v>
      </c>
      <c r="BX515" s="244">
        <v>14.244659423828125</v>
      </c>
      <c r="BY515" s="244"/>
      <c r="BZ515" s="244">
        <v>0</v>
      </c>
      <c r="CA515" s="244">
        <v>0</v>
      </c>
      <c r="CB515" s="244">
        <v>3430.744140625</v>
      </c>
      <c r="CC515" s="244">
        <v>14.244659423828125</v>
      </c>
      <c r="CD515" s="228">
        <v>240.84423622006875</v>
      </c>
      <c r="CE515" s="244">
        <v>-456.16622924804688</v>
      </c>
      <c r="CF515" s="244">
        <v>4.0349402078855192</v>
      </c>
      <c r="CG515" s="244">
        <v>4.4608056301269121</v>
      </c>
      <c r="CH515" s="244">
        <v>8.4957458380124322</v>
      </c>
      <c r="CI515" s="244">
        <v>0.19785097551295483</v>
      </c>
      <c r="CJ515" s="244">
        <v>0.2788003518829329</v>
      </c>
      <c r="CK515" s="244">
        <v>0.47665132739588773</v>
      </c>
      <c r="CL515" s="244"/>
      <c r="CM515" s="244">
        <v>47.186316642622181</v>
      </c>
      <c r="CN515" s="244" t="s">
        <v>442</v>
      </c>
      <c r="CO515" s="244">
        <v>0.28600001335144043</v>
      </c>
      <c r="CP515" s="244">
        <v>0.31700000166893005</v>
      </c>
      <c r="CQ515" s="244">
        <v>393.93632599963519</v>
      </c>
      <c r="CR515" s="244">
        <v>0</v>
      </c>
      <c r="CS515" s="244">
        <v>0</v>
      </c>
      <c r="CT515" s="244">
        <v>393.93634033203125</v>
      </c>
      <c r="CU515" s="244">
        <v>0</v>
      </c>
      <c r="CV515" s="244">
        <v>0</v>
      </c>
      <c r="CW515" s="228">
        <v>9999</v>
      </c>
    </row>
    <row r="516" spans="1:101">
      <c r="A516" s="221" t="s">
        <v>598</v>
      </c>
      <c r="B516" s="221" t="s">
        <v>440</v>
      </c>
      <c r="C516" s="244">
        <v>10</v>
      </c>
      <c r="D516" s="244">
        <v>1652.4877019396263</v>
      </c>
      <c r="E516" s="244">
        <v>0</v>
      </c>
      <c r="F516" s="244">
        <v>8.1096944444444432</v>
      </c>
      <c r="G516" s="244">
        <v>0</v>
      </c>
      <c r="H516" s="244">
        <v>0</v>
      </c>
      <c r="I516" s="244" t="s">
        <v>441</v>
      </c>
      <c r="J516" s="244">
        <v>0.28600001335144043</v>
      </c>
      <c r="K516" s="244">
        <v>0.31700000166893005</v>
      </c>
      <c r="L516" s="244">
        <v>1801.9945495854752</v>
      </c>
      <c r="M516" s="244">
        <v>0.22800405323505402</v>
      </c>
      <c r="N516" s="244">
        <v>0.71925568580627441</v>
      </c>
      <c r="O516" s="244">
        <v>0</v>
      </c>
      <c r="P516" s="244">
        <v>0</v>
      </c>
      <c r="Q516" s="244">
        <v>0</v>
      </c>
      <c r="R516" s="244">
        <v>0.80633538961410522</v>
      </c>
      <c r="S516" s="244">
        <v>4.4560842514038086</v>
      </c>
      <c r="T516" s="244">
        <v>0</v>
      </c>
      <c r="U516" s="244">
        <v>8.9822397232055664</v>
      </c>
      <c r="V516" s="244" t="s">
        <v>226</v>
      </c>
      <c r="W516" s="244" t="s">
        <v>226</v>
      </c>
      <c r="X516" s="244" t="s">
        <v>226</v>
      </c>
      <c r="Y516" s="244" t="s">
        <v>226</v>
      </c>
      <c r="Z516" s="244">
        <v>0</v>
      </c>
      <c r="AA516" s="244">
        <v>0</v>
      </c>
      <c r="AB516" s="244">
        <v>0</v>
      </c>
      <c r="AC516" s="244">
        <v>0</v>
      </c>
      <c r="AD516" s="244">
        <v>0</v>
      </c>
      <c r="AE516" s="244">
        <v>0</v>
      </c>
      <c r="AF516" s="244">
        <v>0</v>
      </c>
      <c r="AG516" s="244">
        <v>0</v>
      </c>
      <c r="AH516" s="244">
        <v>0.80633538961410522</v>
      </c>
      <c r="AI516" s="244">
        <v>4.4560842514038086</v>
      </c>
      <c r="AJ516" s="244">
        <v>0</v>
      </c>
      <c r="AK516" s="244">
        <v>8.9822397232055664</v>
      </c>
      <c r="AL516" s="244">
        <v>14.24465936422348</v>
      </c>
      <c r="AM516" s="244">
        <v>1270.0756880702659</v>
      </c>
      <c r="AN516" s="244">
        <v>0</v>
      </c>
      <c r="AO516" s="244">
        <v>223.57200622558594</v>
      </c>
      <c r="AP516" s="244">
        <v>965.644287109375</v>
      </c>
      <c r="AQ516" s="244">
        <v>2459.2919921875</v>
      </c>
      <c r="AR516" s="244">
        <v>0.80633538961410522</v>
      </c>
      <c r="AS516" s="228">
        <v>3049.961607888984</v>
      </c>
      <c r="AT516" s="244">
        <v>1270.0756880702659</v>
      </c>
      <c r="AU516" s="244">
        <v>206.16096496582031</v>
      </c>
      <c r="AV516" s="244">
        <v>244.18809509277344</v>
      </c>
      <c r="AW516" s="244">
        <v>965.644287109375</v>
      </c>
      <c r="AX516" s="244">
        <v>2686.069091796875</v>
      </c>
      <c r="AY516" s="244">
        <v>4.4560842514038086</v>
      </c>
      <c r="AZ516" s="228">
        <v>602.78686032294763</v>
      </c>
      <c r="BA516" s="244">
        <v>1270.0756880702659</v>
      </c>
      <c r="BB516" s="244">
        <v>206.16096496582031</v>
      </c>
      <c r="BC516" s="244">
        <v>244.18809509277344</v>
      </c>
      <c r="BD516" s="244">
        <v>965.644287109375</v>
      </c>
      <c r="BE516" s="244">
        <v>2686.069091796875</v>
      </c>
      <c r="BF516" s="244">
        <v>5.2624197006225586</v>
      </c>
      <c r="BG516" s="244">
        <v>-62.819667816162109</v>
      </c>
      <c r="BH516" s="228">
        <v>510.42471305436715</v>
      </c>
      <c r="BI516" s="244">
        <v>3.5906009376049042E-2</v>
      </c>
      <c r="BJ516" s="244">
        <v>0.19842886924743652</v>
      </c>
      <c r="BK516" s="244">
        <v>0</v>
      </c>
      <c r="BL516" s="244">
        <v>0.39997795224189758</v>
      </c>
      <c r="BM516" s="244">
        <v>0.63431286811828613</v>
      </c>
      <c r="BN516" s="244">
        <v>1270.0756880702659</v>
      </c>
      <c r="BO516" s="244">
        <v>0</v>
      </c>
      <c r="BP516" s="244">
        <v>206.16096496582031</v>
      </c>
      <c r="BQ516" s="244">
        <v>0</v>
      </c>
      <c r="BR516" s="244">
        <v>0</v>
      </c>
      <c r="BS516" s="244">
        <v>0</v>
      </c>
      <c r="BT516" s="244">
        <v>965.644287109375</v>
      </c>
      <c r="BU516" s="244">
        <v>0</v>
      </c>
      <c r="BV516" s="244">
        <v>2519.764892578125</v>
      </c>
      <c r="BW516" s="244">
        <v>244.18809509277344</v>
      </c>
      <c r="BX516" s="244">
        <v>14.244659423828125</v>
      </c>
      <c r="BY516" s="244"/>
      <c r="BZ516" s="244">
        <v>0</v>
      </c>
      <c r="CA516" s="244">
        <v>0</v>
      </c>
      <c r="CB516" s="244">
        <v>5205.833984375</v>
      </c>
      <c r="CC516" s="244">
        <v>14.244659423828125</v>
      </c>
      <c r="CD516" s="228">
        <v>365.45864474008869</v>
      </c>
      <c r="CE516" s="244">
        <v>-174.62449645996094</v>
      </c>
      <c r="CF516" s="244">
        <v>13.598365484757373</v>
      </c>
      <c r="CG516" s="244">
        <v>0</v>
      </c>
      <c r="CH516" s="244">
        <v>13.598365484757373</v>
      </c>
      <c r="CI516" s="244">
        <v>0.66678804094369759</v>
      </c>
      <c r="CJ516" s="244">
        <v>0</v>
      </c>
      <c r="CK516" s="244">
        <v>0.66678804094369759</v>
      </c>
      <c r="CL516" s="244"/>
      <c r="CM516" s="244">
        <v>0</v>
      </c>
      <c r="CN516" s="244" t="s">
        <v>442</v>
      </c>
      <c r="CO516" s="244">
        <v>0</v>
      </c>
      <c r="CP516" s="244">
        <v>0</v>
      </c>
      <c r="CQ516" s="244">
        <v>0</v>
      </c>
      <c r="CR516" s="244">
        <v>0</v>
      </c>
      <c r="CS516" s="244">
        <v>0</v>
      </c>
      <c r="CT516" s="244">
        <v>0</v>
      </c>
      <c r="CU516" s="244">
        <v>0</v>
      </c>
      <c r="CV516" s="244">
        <v>9999</v>
      </c>
      <c r="CW516" s="228">
        <v>9999</v>
      </c>
    </row>
    <row r="517" spans="1:101">
      <c r="A517" s="221" t="s">
        <v>599</v>
      </c>
      <c r="B517" s="221" t="s">
        <v>440</v>
      </c>
      <c r="C517" s="244">
        <v>10</v>
      </c>
      <c r="D517" s="244">
        <v>0</v>
      </c>
      <c r="E517" s="244">
        <v>73.694559631437301</v>
      </c>
      <c r="F517" s="244">
        <v>8.1096944444444432</v>
      </c>
      <c r="G517" s="244">
        <v>0</v>
      </c>
      <c r="H517" s="244">
        <v>0</v>
      </c>
      <c r="I517" s="244" t="s">
        <v>441</v>
      </c>
      <c r="J517" s="244">
        <v>0</v>
      </c>
      <c r="K517" s="244">
        <v>0</v>
      </c>
      <c r="L517" s="244">
        <v>0</v>
      </c>
      <c r="M517" s="244">
        <v>0</v>
      </c>
      <c r="N517" s="244">
        <v>0</v>
      </c>
      <c r="O517" s="244">
        <v>74.431505227751614</v>
      </c>
      <c r="P517" s="244">
        <v>0.22587063908576965</v>
      </c>
      <c r="Q517" s="244">
        <v>0.71252566576004028</v>
      </c>
      <c r="R517" s="244">
        <v>0.80633538961410522</v>
      </c>
      <c r="S517" s="244">
        <v>4.4560842514038086</v>
      </c>
      <c r="T517" s="244">
        <v>0</v>
      </c>
      <c r="U517" s="244">
        <v>8.9822397232055664</v>
      </c>
      <c r="V517" s="244" t="s">
        <v>226</v>
      </c>
      <c r="W517" s="244" t="s">
        <v>226</v>
      </c>
      <c r="X517" s="244" t="s">
        <v>226</v>
      </c>
      <c r="Y517" s="244" t="s">
        <v>226</v>
      </c>
      <c r="Z517" s="244">
        <v>0</v>
      </c>
      <c r="AA517" s="244">
        <v>0</v>
      </c>
      <c r="AB517" s="244">
        <v>0</v>
      </c>
      <c r="AC517" s="244">
        <v>0</v>
      </c>
      <c r="AD517" s="244">
        <v>0</v>
      </c>
      <c r="AE517" s="244">
        <v>0</v>
      </c>
      <c r="AF517" s="244">
        <v>0</v>
      </c>
      <c r="AG517" s="244">
        <v>0</v>
      </c>
      <c r="AH517" s="244">
        <v>0.80633538961410522</v>
      </c>
      <c r="AI517" s="244">
        <v>4.4560842514038086</v>
      </c>
      <c r="AJ517" s="244">
        <v>0</v>
      </c>
      <c r="AK517" s="244">
        <v>8.9822397232055664</v>
      </c>
      <c r="AL517" s="244">
        <v>14.24465936422348</v>
      </c>
      <c r="AM517" s="244">
        <v>0</v>
      </c>
      <c r="AN517" s="244">
        <v>0</v>
      </c>
      <c r="AO517" s="244">
        <v>0</v>
      </c>
      <c r="AP517" s="244">
        <v>0</v>
      </c>
      <c r="AQ517" s="244">
        <v>0</v>
      </c>
      <c r="AR517" s="244">
        <v>0.80633538961410522</v>
      </c>
      <c r="AS517" s="255">
        <v>0</v>
      </c>
      <c r="AT517" s="244">
        <v>0</v>
      </c>
      <c r="AU517" s="244">
        <v>0</v>
      </c>
      <c r="AV517" s="244">
        <v>0</v>
      </c>
      <c r="AW517" s="244">
        <v>0</v>
      </c>
      <c r="AX517" s="244">
        <v>0</v>
      </c>
      <c r="AY517" s="244">
        <v>4.4560842514038086</v>
      </c>
      <c r="AZ517" s="255">
        <v>0</v>
      </c>
      <c r="BA517" s="244">
        <v>0</v>
      </c>
      <c r="BB517" s="244">
        <v>0</v>
      </c>
      <c r="BC517" s="244">
        <v>0</v>
      </c>
      <c r="BD517" s="244">
        <v>0</v>
      </c>
      <c r="BE517" s="244">
        <v>0</v>
      </c>
      <c r="BF517" s="244">
        <v>5.2624197006225586</v>
      </c>
      <c r="BG517" s="244">
        <v>9999</v>
      </c>
      <c r="BH517" s="255">
        <v>0</v>
      </c>
      <c r="BI517" s="244">
        <v>9999</v>
      </c>
      <c r="BJ517" s="244">
        <v>9999</v>
      </c>
      <c r="BK517" s="244">
        <v>9999</v>
      </c>
      <c r="BL517" s="244">
        <v>9999</v>
      </c>
      <c r="BM517" s="244">
        <v>9999</v>
      </c>
      <c r="BN517" s="244">
        <v>0</v>
      </c>
      <c r="BO517" s="244">
        <v>615.24115745763618</v>
      </c>
      <c r="BP517" s="244">
        <v>0</v>
      </c>
      <c r="BQ517" s="244">
        <v>0</v>
      </c>
      <c r="BR517" s="244">
        <v>0</v>
      </c>
      <c r="BS517" s="244">
        <v>0</v>
      </c>
      <c r="BT517" s="244">
        <v>0</v>
      </c>
      <c r="BU517" s="244">
        <v>0</v>
      </c>
      <c r="BV517" s="244">
        <v>2519.764892578125</v>
      </c>
      <c r="BW517" s="244">
        <v>0</v>
      </c>
      <c r="BX517" s="244">
        <v>14.244659423828125</v>
      </c>
      <c r="BY517" s="244"/>
      <c r="BZ517" s="244">
        <v>0</v>
      </c>
      <c r="CA517" s="244">
        <v>0</v>
      </c>
      <c r="CB517" s="244">
        <v>3135.006103515625</v>
      </c>
      <c r="CC517" s="244">
        <v>14.244659423828125</v>
      </c>
      <c r="CD517" s="228">
        <v>220.08290663598444</v>
      </c>
      <c r="CE517" s="244">
        <v>9999</v>
      </c>
      <c r="CF517" s="244">
        <v>0</v>
      </c>
      <c r="CG517" s="244">
        <v>6.9667888893175896</v>
      </c>
      <c r="CH517" s="244">
        <v>6.9667888893175896</v>
      </c>
      <c r="CI517" s="244">
        <v>0</v>
      </c>
      <c r="CJ517" s="244">
        <v>0.43542430558234696</v>
      </c>
      <c r="CK517" s="244">
        <v>0.43542430558234696</v>
      </c>
      <c r="CL517" s="244"/>
      <c r="CM517" s="244">
        <v>73.694559631437301</v>
      </c>
      <c r="CN517" s="244" t="s">
        <v>442</v>
      </c>
      <c r="CO517" s="244">
        <v>0.28600001335144043</v>
      </c>
      <c r="CP517" s="244">
        <v>0.31700000166893005</v>
      </c>
      <c r="CQ517" s="244">
        <v>615.24115745763618</v>
      </c>
      <c r="CR517" s="244">
        <v>0</v>
      </c>
      <c r="CS517" s="244">
        <v>0</v>
      </c>
      <c r="CT517" s="244">
        <v>615.24114990234375</v>
      </c>
      <c r="CU517" s="244">
        <v>0</v>
      </c>
      <c r="CV517" s="244">
        <v>0</v>
      </c>
      <c r="CW517" s="228">
        <v>9999</v>
      </c>
    </row>
    <row r="518" spans="1:101">
      <c r="A518" s="221" t="s">
        <v>600</v>
      </c>
      <c r="B518" s="221" t="s">
        <v>440</v>
      </c>
      <c r="C518" s="244">
        <v>10</v>
      </c>
      <c r="D518" s="244">
        <v>523.28777228088165</v>
      </c>
      <c r="E518" s="244">
        <v>50.357949081482154</v>
      </c>
      <c r="F518" s="244">
        <v>8.1096944444444432</v>
      </c>
      <c r="G518" s="244">
        <v>0</v>
      </c>
      <c r="H518" s="244">
        <v>0</v>
      </c>
      <c r="I518" s="244" t="s">
        <v>441</v>
      </c>
      <c r="J518" s="244">
        <v>0.28600001335144043</v>
      </c>
      <c r="K518" s="244">
        <v>0.31700000166893005</v>
      </c>
      <c r="L518" s="244">
        <v>570.63160736873385</v>
      </c>
      <c r="M518" s="244">
        <v>7.2201289236545563E-2</v>
      </c>
      <c r="N518" s="244">
        <v>0.2277643084526062</v>
      </c>
      <c r="O518" s="244">
        <v>50.861528572296955</v>
      </c>
      <c r="P518" s="244">
        <v>0.15434494614601135</v>
      </c>
      <c r="Q518" s="244">
        <v>0.48689255118370056</v>
      </c>
      <c r="R518" s="244">
        <v>0.80633538961410522</v>
      </c>
      <c r="S518" s="244">
        <v>4.4560842514038086</v>
      </c>
      <c r="T518" s="244">
        <v>0</v>
      </c>
      <c r="U518" s="244">
        <v>8.9822397232055664</v>
      </c>
      <c r="V518" s="244" t="s">
        <v>226</v>
      </c>
      <c r="W518" s="244" t="s">
        <v>226</v>
      </c>
      <c r="X518" s="244" t="s">
        <v>226</v>
      </c>
      <c r="Y518" s="244" t="s">
        <v>226</v>
      </c>
      <c r="Z518" s="244">
        <v>0</v>
      </c>
      <c r="AA518" s="244">
        <v>0</v>
      </c>
      <c r="AB518" s="244">
        <v>0</v>
      </c>
      <c r="AC518" s="244">
        <v>0</v>
      </c>
      <c r="AD518" s="244">
        <v>0</v>
      </c>
      <c r="AE518" s="244">
        <v>0</v>
      </c>
      <c r="AF518" s="244">
        <v>0</v>
      </c>
      <c r="AG518" s="244">
        <v>0</v>
      </c>
      <c r="AH518" s="244">
        <v>0.80633538961410522</v>
      </c>
      <c r="AI518" s="244">
        <v>4.4560842514038086</v>
      </c>
      <c r="AJ518" s="244">
        <v>0</v>
      </c>
      <c r="AK518" s="244">
        <v>8.9822397232055664</v>
      </c>
      <c r="AL518" s="244">
        <v>14.24465936422348</v>
      </c>
      <c r="AM518" s="244">
        <v>402.1906345555829</v>
      </c>
      <c r="AN518" s="244">
        <v>0</v>
      </c>
      <c r="AO518" s="244">
        <v>70.797798156738281</v>
      </c>
      <c r="AP518" s="244">
        <v>305.787353515625</v>
      </c>
      <c r="AQ518" s="244">
        <v>778.7757568359375</v>
      </c>
      <c r="AR518" s="244">
        <v>0.80633538961410522</v>
      </c>
      <c r="AS518" s="228">
        <v>965.82116605430338</v>
      </c>
      <c r="AT518" s="244">
        <v>402.1906345555829</v>
      </c>
      <c r="AU518" s="244">
        <v>65.2843017578125</v>
      </c>
      <c r="AV518" s="244">
        <v>77.32623291015625</v>
      </c>
      <c r="AW518" s="244">
        <v>305.787353515625</v>
      </c>
      <c r="AX518" s="244">
        <v>850.5885009765625</v>
      </c>
      <c r="AY518" s="244">
        <v>4.4560842514038086</v>
      </c>
      <c r="AZ518" s="228">
        <v>190.8825046275133</v>
      </c>
      <c r="BA518" s="244">
        <v>402.1906345555829</v>
      </c>
      <c r="BB518" s="244">
        <v>65.2843017578125</v>
      </c>
      <c r="BC518" s="244">
        <v>77.32623291015625</v>
      </c>
      <c r="BD518" s="244">
        <v>305.787353515625</v>
      </c>
      <c r="BE518" s="244">
        <v>850.5885009765625</v>
      </c>
      <c r="BF518" s="244">
        <v>5.2624197006225586</v>
      </c>
      <c r="BG518" s="244">
        <v>-62.313995361328125</v>
      </c>
      <c r="BH518" s="228">
        <v>161.63449150069047</v>
      </c>
      <c r="BI518" s="244">
        <v>0.11338740587234497</v>
      </c>
      <c r="BJ518" s="244">
        <v>0.62661749124526978</v>
      </c>
      <c r="BK518" s="244">
        <v>0</v>
      </c>
      <c r="BL518" s="244">
        <v>1.2630882263183594</v>
      </c>
      <c r="BM518" s="244">
        <v>2.0030932426452637</v>
      </c>
      <c r="BN518" s="244">
        <v>402.1906345555829</v>
      </c>
      <c r="BO518" s="244">
        <v>420.41479092938522</v>
      </c>
      <c r="BP518" s="244">
        <v>65.2843017578125</v>
      </c>
      <c r="BQ518" s="244">
        <v>0</v>
      </c>
      <c r="BR518" s="244">
        <v>0</v>
      </c>
      <c r="BS518" s="244">
        <v>0</v>
      </c>
      <c r="BT518" s="244">
        <v>305.787353515625</v>
      </c>
      <c r="BU518" s="244">
        <v>0</v>
      </c>
      <c r="BV518" s="244">
        <v>2519.764892578125</v>
      </c>
      <c r="BW518" s="244">
        <v>77.32623291015625</v>
      </c>
      <c r="BX518" s="244">
        <v>14.244659423828125</v>
      </c>
      <c r="BY518" s="244"/>
      <c r="BZ518" s="244">
        <v>0</v>
      </c>
      <c r="CA518" s="244">
        <v>0</v>
      </c>
      <c r="CB518" s="244">
        <v>3790.768310546875</v>
      </c>
      <c r="CC518" s="244">
        <v>14.244659423828125</v>
      </c>
      <c r="CD518" s="228">
        <v>266.11855667855281</v>
      </c>
      <c r="CE518" s="244">
        <v>-474.50088500976562</v>
      </c>
      <c r="CF518" s="244">
        <v>4.3061490701731753</v>
      </c>
      <c r="CG518" s="244">
        <v>4.7606390743670213</v>
      </c>
      <c r="CH518" s="244">
        <v>9.0667881445401974</v>
      </c>
      <c r="CI518" s="244">
        <v>0.21114954629883767</v>
      </c>
      <c r="CJ518" s="244">
        <v>0.29753994214793716</v>
      </c>
      <c r="CK518" s="244">
        <v>0.50868948844677486</v>
      </c>
      <c r="CL518" s="244"/>
      <c r="CM518" s="244">
        <v>50.357949081482154</v>
      </c>
      <c r="CN518" s="244" t="s">
        <v>442</v>
      </c>
      <c r="CO518" s="244">
        <v>0.28600001335144043</v>
      </c>
      <c r="CP518" s="244">
        <v>0.31700000166893005</v>
      </c>
      <c r="CQ518" s="244">
        <v>420.41479092938522</v>
      </c>
      <c r="CR518" s="244">
        <v>0</v>
      </c>
      <c r="CS518" s="244">
        <v>0</v>
      </c>
      <c r="CT518" s="244">
        <v>420.414794921875</v>
      </c>
      <c r="CU518" s="244">
        <v>0</v>
      </c>
      <c r="CV518" s="244">
        <v>0</v>
      </c>
      <c r="CW518" s="228">
        <v>9999</v>
      </c>
    </row>
    <row r="519" spans="1:101">
      <c r="A519" s="221" t="s">
        <v>601</v>
      </c>
      <c r="B519" s="221" t="s">
        <v>440</v>
      </c>
      <c r="C519" s="244">
        <v>10</v>
      </c>
      <c r="D519" s="244">
        <v>2732.0881464292288</v>
      </c>
      <c r="E519" s="244">
        <v>0</v>
      </c>
      <c r="F519" s="244">
        <v>8.1096944444444432</v>
      </c>
      <c r="G519" s="244">
        <v>0</v>
      </c>
      <c r="H519" s="244">
        <v>0</v>
      </c>
      <c r="I519" s="244" t="s">
        <v>441</v>
      </c>
      <c r="J519" s="244">
        <v>0.28600001335144043</v>
      </c>
      <c r="K519" s="244">
        <v>0.31700000166893005</v>
      </c>
      <c r="L519" s="244">
        <v>2979.2705525577476</v>
      </c>
      <c r="M519" s="244">
        <v>0.37696325778961182</v>
      </c>
      <c r="N519" s="244">
        <v>1.18915855884552</v>
      </c>
      <c r="O519" s="244">
        <v>0</v>
      </c>
      <c r="P519" s="244">
        <v>0</v>
      </c>
      <c r="Q519" s="244">
        <v>0</v>
      </c>
      <c r="R519" s="244">
        <v>0.80633538961410522</v>
      </c>
      <c r="S519" s="244">
        <v>4.4560842514038086</v>
      </c>
      <c r="T519" s="244">
        <v>0</v>
      </c>
      <c r="U519" s="244">
        <v>8.9822397232055664</v>
      </c>
      <c r="V519" s="244" t="s">
        <v>226</v>
      </c>
      <c r="W519" s="244" t="s">
        <v>226</v>
      </c>
      <c r="X519" s="244" t="s">
        <v>226</v>
      </c>
      <c r="Y519" s="244" t="s">
        <v>226</v>
      </c>
      <c r="Z519" s="244">
        <v>0</v>
      </c>
      <c r="AA519" s="244">
        <v>0</v>
      </c>
      <c r="AB519" s="244">
        <v>0</v>
      </c>
      <c r="AC519" s="244">
        <v>0</v>
      </c>
      <c r="AD519" s="244">
        <v>0</v>
      </c>
      <c r="AE519" s="244">
        <v>0</v>
      </c>
      <c r="AF519" s="244">
        <v>0</v>
      </c>
      <c r="AG519" s="244">
        <v>0</v>
      </c>
      <c r="AH519" s="244">
        <v>0.80633538961410522</v>
      </c>
      <c r="AI519" s="244">
        <v>4.4560842514038086</v>
      </c>
      <c r="AJ519" s="244">
        <v>0</v>
      </c>
      <c r="AK519" s="244">
        <v>8.9822397232055664</v>
      </c>
      <c r="AL519" s="244">
        <v>14.24465936422348</v>
      </c>
      <c r="AM519" s="244">
        <v>2099.839368469618</v>
      </c>
      <c r="AN519" s="244">
        <v>0</v>
      </c>
      <c r="AO519" s="244">
        <v>369.63568115234375</v>
      </c>
      <c r="AP519" s="244">
        <v>1596.5174560546875</v>
      </c>
      <c r="AQ519" s="244">
        <v>4065.992431640625</v>
      </c>
      <c r="AR519" s="244">
        <v>0.80633538961410522</v>
      </c>
      <c r="AS519" s="228">
        <v>5042.5574246747938</v>
      </c>
      <c r="AT519" s="244">
        <v>2099.839368469618</v>
      </c>
      <c r="AU519" s="244">
        <v>340.84967041015625</v>
      </c>
      <c r="AV519" s="244">
        <v>403.72064208984375</v>
      </c>
      <c r="AW519" s="244">
        <v>1596.5174560546875</v>
      </c>
      <c r="AX519" s="244">
        <v>4440.92724609375</v>
      </c>
      <c r="AY519" s="244">
        <v>4.4560842514038086</v>
      </c>
      <c r="AZ519" s="228">
        <v>996.59855749479425</v>
      </c>
      <c r="BA519" s="244">
        <v>2099.839368469618</v>
      </c>
      <c r="BB519" s="244">
        <v>340.84967041015625</v>
      </c>
      <c r="BC519" s="244">
        <v>403.72064208984375</v>
      </c>
      <c r="BD519" s="244">
        <v>1596.5174560546875</v>
      </c>
      <c r="BE519" s="244">
        <v>4440.92724609375</v>
      </c>
      <c r="BF519" s="244">
        <v>5.2624197006225586</v>
      </c>
      <c r="BG519" s="244">
        <v>-62.912265777587891</v>
      </c>
      <c r="BH519" s="228">
        <v>843.89452760656195</v>
      </c>
      <c r="BI519" s="244">
        <v>2.171754278242588E-2</v>
      </c>
      <c r="BJ519" s="244">
        <v>0.12001854926347733</v>
      </c>
      <c r="BK519" s="244">
        <v>0</v>
      </c>
      <c r="BL519" s="244">
        <v>0.24192434549331665</v>
      </c>
      <c r="BM519" s="244">
        <v>0.38366043567657471</v>
      </c>
      <c r="BN519" s="244">
        <v>2099.839368469618</v>
      </c>
      <c r="BO519" s="244">
        <v>0</v>
      </c>
      <c r="BP519" s="244">
        <v>340.84967041015625</v>
      </c>
      <c r="BQ519" s="244">
        <v>0</v>
      </c>
      <c r="BR519" s="244">
        <v>0</v>
      </c>
      <c r="BS519" s="244">
        <v>0</v>
      </c>
      <c r="BT519" s="244">
        <v>1596.5174560546875</v>
      </c>
      <c r="BU519" s="244">
        <v>0</v>
      </c>
      <c r="BV519" s="244">
        <v>3919.634033203125</v>
      </c>
      <c r="BW519" s="244">
        <v>403.72064208984375</v>
      </c>
      <c r="BX519" s="244">
        <v>14.244659423828125</v>
      </c>
      <c r="BY519" s="244"/>
      <c r="BZ519" s="244">
        <v>0</v>
      </c>
      <c r="CA519" s="244">
        <v>0</v>
      </c>
      <c r="CB519" s="244">
        <v>8360.5615234375</v>
      </c>
      <c r="CC519" s="244">
        <v>14.244659423828125</v>
      </c>
      <c r="CD519" s="228">
        <v>586.92601356562341</v>
      </c>
      <c r="CE519" s="244">
        <v>-168.24034118652344</v>
      </c>
      <c r="CF519" s="244">
        <v>22.482426409655329</v>
      </c>
      <c r="CG519" s="244">
        <v>0</v>
      </c>
      <c r="CH519" s="244">
        <v>22.482426409655329</v>
      </c>
      <c r="CI519" s="244">
        <v>1.1024128655873049</v>
      </c>
      <c r="CJ519" s="244">
        <v>0</v>
      </c>
      <c r="CK519" s="244">
        <v>1.1024128655873049</v>
      </c>
      <c r="CL519" s="244"/>
      <c r="CM519" s="244">
        <v>0</v>
      </c>
      <c r="CN519" s="244" t="s">
        <v>442</v>
      </c>
      <c r="CO519" s="244">
        <v>0</v>
      </c>
      <c r="CP519" s="244">
        <v>0</v>
      </c>
      <c r="CQ519" s="244">
        <v>0</v>
      </c>
      <c r="CR519" s="244">
        <v>0</v>
      </c>
      <c r="CS519" s="244">
        <v>0</v>
      </c>
      <c r="CT519" s="244">
        <v>0</v>
      </c>
      <c r="CU519" s="244">
        <v>0</v>
      </c>
      <c r="CV519" s="244">
        <v>9999</v>
      </c>
      <c r="CW519" s="228">
        <v>9999</v>
      </c>
    </row>
    <row r="520" spans="1:101">
      <c r="A520" s="221" t="s">
        <v>602</v>
      </c>
      <c r="B520" s="221" t="s">
        <v>440</v>
      </c>
      <c r="C520" s="244">
        <v>10</v>
      </c>
      <c r="D520" s="244">
        <v>0</v>
      </c>
      <c r="E520" s="244">
        <v>121.84056352676431</v>
      </c>
      <c r="F520" s="244">
        <v>8.1096944444444432</v>
      </c>
      <c r="G520" s="244">
        <v>0</v>
      </c>
      <c r="H520" s="244">
        <v>0</v>
      </c>
      <c r="I520" s="244" t="s">
        <v>441</v>
      </c>
      <c r="J520" s="244">
        <v>0</v>
      </c>
      <c r="K520" s="244">
        <v>0</v>
      </c>
      <c r="L520" s="244">
        <v>0</v>
      </c>
      <c r="M520" s="244">
        <v>0</v>
      </c>
      <c r="N520" s="244">
        <v>0</v>
      </c>
      <c r="O520" s="244">
        <v>123.05896916203196</v>
      </c>
      <c r="P520" s="244">
        <v>0.3734360933303833</v>
      </c>
      <c r="Q520" s="244">
        <v>1.1780318021774292</v>
      </c>
      <c r="R520" s="244">
        <v>0.80633538961410522</v>
      </c>
      <c r="S520" s="244">
        <v>4.4560842514038086</v>
      </c>
      <c r="T520" s="244">
        <v>0</v>
      </c>
      <c r="U520" s="244">
        <v>8.9822397232055664</v>
      </c>
      <c r="V520" s="244" t="s">
        <v>226</v>
      </c>
      <c r="W520" s="244" t="s">
        <v>226</v>
      </c>
      <c r="X520" s="244" t="s">
        <v>226</v>
      </c>
      <c r="Y520" s="244" t="s">
        <v>226</v>
      </c>
      <c r="Z520" s="244">
        <v>0</v>
      </c>
      <c r="AA520" s="244">
        <v>0</v>
      </c>
      <c r="AB520" s="244">
        <v>0</v>
      </c>
      <c r="AC520" s="244">
        <v>0</v>
      </c>
      <c r="AD520" s="244">
        <v>0</v>
      </c>
      <c r="AE520" s="244">
        <v>0</v>
      </c>
      <c r="AF520" s="244">
        <v>0</v>
      </c>
      <c r="AG520" s="244">
        <v>0</v>
      </c>
      <c r="AH520" s="244">
        <v>0.80633538961410522</v>
      </c>
      <c r="AI520" s="244">
        <v>4.4560842514038086</v>
      </c>
      <c r="AJ520" s="244">
        <v>0</v>
      </c>
      <c r="AK520" s="244">
        <v>8.9822397232055664</v>
      </c>
      <c r="AL520" s="244">
        <v>14.24465936422348</v>
      </c>
      <c r="AM520" s="244">
        <v>0</v>
      </c>
      <c r="AN520" s="244">
        <v>0</v>
      </c>
      <c r="AO520" s="244">
        <v>0</v>
      </c>
      <c r="AP520" s="244">
        <v>0</v>
      </c>
      <c r="AQ520" s="244">
        <v>0</v>
      </c>
      <c r="AR520" s="244">
        <v>0.80633538961410522</v>
      </c>
      <c r="AS520" s="255">
        <v>0</v>
      </c>
      <c r="AT520" s="244">
        <v>0</v>
      </c>
      <c r="AU520" s="244">
        <v>0</v>
      </c>
      <c r="AV520" s="244">
        <v>0</v>
      </c>
      <c r="AW520" s="244">
        <v>0</v>
      </c>
      <c r="AX520" s="244">
        <v>0</v>
      </c>
      <c r="AY520" s="244">
        <v>4.4560842514038086</v>
      </c>
      <c r="AZ520" s="255">
        <v>0</v>
      </c>
      <c r="BA520" s="244">
        <v>0</v>
      </c>
      <c r="BB520" s="244">
        <v>0</v>
      </c>
      <c r="BC520" s="244">
        <v>0</v>
      </c>
      <c r="BD520" s="244">
        <v>0</v>
      </c>
      <c r="BE520" s="244">
        <v>0</v>
      </c>
      <c r="BF520" s="244">
        <v>5.2624197006225586</v>
      </c>
      <c r="BG520" s="244">
        <v>9999</v>
      </c>
      <c r="BH520" s="255">
        <v>0</v>
      </c>
      <c r="BI520" s="244">
        <v>9999</v>
      </c>
      <c r="BJ520" s="244">
        <v>9999</v>
      </c>
      <c r="BK520" s="244">
        <v>9999</v>
      </c>
      <c r="BL520" s="244">
        <v>9999</v>
      </c>
      <c r="BM520" s="244">
        <v>9999</v>
      </c>
      <c r="BN520" s="244">
        <v>0</v>
      </c>
      <c r="BO520" s="244">
        <v>1017.1894601771871</v>
      </c>
      <c r="BP520" s="244">
        <v>0</v>
      </c>
      <c r="BQ520" s="244">
        <v>0</v>
      </c>
      <c r="BR520" s="244">
        <v>0</v>
      </c>
      <c r="BS520" s="244">
        <v>0</v>
      </c>
      <c r="BT520" s="244">
        <v>0</v>
      </c>
      <c r="BU520" s="244">
        <v>0</v>
      </c>
      <c r="BV520" s="244">
        <v>3919.634033203125</v>
      </c>
      <c r="BW520" s="244">
        <v>0</v>
      </c>
      <c r="BX520" s="244">
        <v>14.244659423828125</v>
      </c>
      <c r="BY520" s="244"/>
      <c r="BZ520" s="244">
        <v>0</v>
      </c>
      <c r="CA520" s="244">
        <v>0</v>
      </c>
      <c r="CB520" s="244">
        <v>4936.82373046875</v>
      </c>
      <c r="CC520" s="244">
        <v>14.244659423828125</v>
      </c>
      <c r="CD520" s="228">
        <v>346.57364184657951</v>
      </c>
      <c r="CE520" s="244">
        <v>9999</v>
      </c>
      <c r="CF520" s="244">
        <v>0</v>
      </c>
      <c r="CG520" s="244">
        <v>11.51831951356621</v>
      </c>
      <c r="CH520" s="244">
        <v>11.51831951356621</v>
      </c>
      <c r="CI520" s="244">
        <v>0</v>
      </c>
      <c r="CJ520" s="244">
        <v>0.71989496959788657</v>
      </c>
      <c r="CK520" s="244">
        <v>0.71989496959788657</v>
      </c>
      <c r="CL520" s="244"/>
      <c r="CM520" s="244">
        <v>121.84056352676431</v>
      </c>
      <c r="CN520" s="244" t="s">
        <v>442</v>
      </c>
      <c r="CO520" s="244">
        <v>0.28600001335144043</v>
      </c>
      <c r="CP520" s="244">
        <v>0.31700000166893005</v>
      </c>
      <c r="CQ520" s="244">
        <v>1017.1894601771871</v>
      </c>
      <c r="CR520" s="244">
        <v>0</v>
      </c>
      <c r="CS520" s="244">
        <v>0</v>
      </c>
      <c r="CT520" s="244">
        <v>1017.189453125</v>
      </c>
      <c r="CU520" s="244">
        <v>0</v>
      </c>
      <c r="CV520" s="244">
        <v>0</v>
      </c>
      <c r="CW520" s="228">
        <v>9999</v>
      </c>
    </row>
    <row r="521" spans="1:101">
      <c r="A521" s="221" t="s">
        <v>603</v>
      </c>
      <c r="B521" s="221" t="s">
        <v>440</v>
      </c>
      <c r="C521" s="244">
        <v>10</v>
      </c>
      <c r="D521" s="244">
        <v>865.16124636925576</v>
      </c>
      <c r="E521" s="244">
        <v>83.257718409955615</v>
      </c>
      <c r="F521" s="244">
        <v>8.1096944444444432</v>
      </c>
      <c r="G521" s="244">
        <v>0</v>
      </c>
      <c r="H521" s="244">
        <v>0</v>
      </c>
      <c r="I521" s="244" t="s">
        <v>441</v>
      </c>
      <c r="J521" s="244">
        <v>0.28600001335144043</v>
      </c>
      <c r="K521" s="244">
        <v>0.31700000166893005</v>
      </c>
      <c r="L521" s="244">
        <v>943.43567497662036</v>
      </c>
      <c r="M521" s="244">
        <v>0.11937170475721359</v>
      </c>
      <c r="N521" s="244">
        <v>0.37656688690185547</v>
      </c>
      <c r="O521" s="244">
        <v>84.090295594055121</v>
      </c>
      <c r="P521" s="244">
        <v>0.25518131256103516</v>
      </c>
      <c r="Q521" s="244">
        <v>0.80498838424682617</v>
      </c>
      <c r="R521" s="244">
        <v>0.80633538961410522</v>
      </c>
      <c r="S521" s="244">
        <v>4.4560842514038086</v>
      </c>
      <c r="T521" s="244">
        <v>0</v>
      </c>
      <c r="U521" s="244">
        <v>8.9822397232055664</v>
      </c>
      <c r="V521" s="244" t="s">
        <v>226</v>
      </c>
      <c r="W521" s="244" t="s">
        <v>226</v>
      </c>
      <c r="X521" s="244" t="s">
        <v>226</v>
      </c>
      <c r="Y521" s="244" t="s">
        <v>226</v>
      </c>
      <c r="Z521" s="244">
        <v>0</v>
      </c>
      <c r="AA521" s="244">
        <v>0</v>
      </c>
      <c r="AB521" s="244">
        <v>0</v>
      </c>
      <c r="AC521" s="244">
        <v>0</v>
      </c>
      <c r="AD521" s="244">
        <v>0</v>
      </c>
      <c r="AE521" s="244">
        <v>0</v>
      </c>
      <c r="AF521" s="244">
        <v>0</v>
      </c>
      <c r="AG521" s="244">
        <v>0</v>
      </c>
      <c r="AH521" s="244">
        <v>0.80633538961410522</v>
      </c>
      <c r="AI521" s="244">
        <v>4.4560842514038086</v>
      </c>
      <c r="AJ521" s="244">
        <v>0</v>
      </c>
      <c r="AK521" s="244">
        <v>8.9822397232055664</v>
      </c>
      <c r="AL521" s="244">
        <v>14.24465936422348</v>
      </c>
      <c r="AM521" s="244">
        <v>664.94913334871251</v>
      </c>
      <c r="AN521" s="244">
        <v>0</v>
      </c>
      <c r="AO521" s="244">
        <v>117.05130004882812</v>
      </c>
      <c r="AP521" s="244">
        <v>505.5638427734375</v>
      </c>
      <c r="AQ521" s="244">
        <v>1287.5643310546875</v>
      </c>
      <c r="AR521" s="244">
        <v>0.80633538961410522</v>
      </c>
      <c r="AS521" s="228">
        <v>1596.8098297002427</v>
      </c>
      <c r="AT521" s="244">
        <v>664.94913334871251</v>
      </c>
      <c r="AU521" s="244">
        <v>107.93572998046875</v>
      </c>
      <c r="AV521" s="244">
        <v>127.84487152099609</v>
      </c>
      <c r="AW521" s="244">
        <v>505.5638427734375</v>
      </c>
      <c r="AX521" s="244">
        <v>1406.2935791015625</v>
      </c>
      <c r="AY521" s="244">
        <v>4.4560842514038086</v>
      </c>
      <c r="AZ521" s="228">
        <v>315.58953966828335</v>
      </c>
      <c r="BA521" s="244">
        <v>664.94913334871251</v>
      </c>
      <c r="BB521" s="244">
        <v>107.93572998046875</v>
      </c>
      <c r="BC521" s="244">
        <v>127.84487152099609</v>
      </c>
      <c r="BD521" s="244">
        <v>505.5638427734375</v>
      </c>
      <c r="BE521" s="244">
        <v>1406.2935791015625</v>
      </c>
      <c r="BF521" s="244">
        <v>5.2624197006225586</v>
      </c>
      <c r="BG521" s="244">
        <v>-62.606414794921875</v>
      </c>
      <c r="BH521" s="228">
        <v>267.23326407918211</v>
      </c>
      <c r="BI521" s="244">
        <v>6.8581715226173401E-2</v>
      </c>
      <c r="BJ521" s="244">
        <v>0.37900596857070923</v>
      </c>
      <c r="BK521" s="244">
        <v>0</v>
      </c>
      <c r="BL521" s="244">
        <v>0.76397162675857544</v>
      </c>
      <c r="BM521" s="244">
        <v>1.2115592956542969</v>
      </c>
      <c r="BN521" s="244">
        <v>664.94913334871251</v>
      </c>
      <c r="BO521" s="244">
        <v>695.07946445441155</v>
      </c>
      <c r="BP521" s="244">
        <v>107.93572998046875</v>
      </c>
      <c r="BQ521" s="244">
        <v>0</v>
      </c>
      <c r="BR521" s="244">
        <v>0</v>
      </c>
      <c r="BS521" s="244">
        <v>0</v>
      </c>
      <c r="BT521" s="244">
        <v>505.5638427734375</v>
      </c>
      <c r="BU521" s="244">
        <v>0</v>
      </c>
      <c r="BV521" s="244">
        <v>3919.634033203125</v>
      </c>
      <c r="BW521" s="244">
        <v>127.84487152099609</v>
      </c>
      <c r="BX521" s="244">
        <v>14.244659423828125</v>
      </c>
      <c r="BY521" s="244"/>
      <c r="BZ521" s="244">
        <v>0</v>
      </c>
      <c r="CA521" s="244">
        <v>0</v>
      </c>
      <c r="CB521" s="244">
        <v>6021.0068359375</v>
      </c>
      <c r="CC521" s="244">
        <v>14.244659423828125</v>
      </c>
      <c r="CD521" s="228">
        <v>422.6852251173766</v>
      </c>
      <c r="CE521" s="244">
        <v>-454.34036254882812</v>
      </c>
      <c r="CF521" s="244">
        <v>7.1194350297241868</v>
      </c>
      <c r="CG521" s="244">
        <v>7.8708516676035485</v>
      </c>
      <c r="CH521" s="244">
        <v>14.990286697327736</v>
      </c>
      <c r="CI521" s="244">
        <v>0.34909740743597995</v>
      </c>
      <c r="CJ521" s="244">
        <v>0.49192822922522239</v>
      </c>
      <c r="CK521" s="244">
        <v>0.84102563666120234</v>
      </c>
      <c r="CL521" s="244"/>
      <c r="CM521" s="244">
        <v>83.257718409955615</v>
      </c>
      <c r="CN521" s="244" t="s">
        <v>442</v>
      </c>
      <c r="CO521" s="244">
        <v>0.28600001335144043</v>
      </c>
      <c r="CP521" s="244">
        <v>0.31700000166893005</v>
      </c>
      <c r="CQ521" s="244">
        <v>695.07946445441155</v>
      </c>
      <c r="CR521" s="244">
        <v>0</v>
      </c>
      <c r="CS521" s="244">
        <v>0</v>
      </c>
      <c r="CT521" s="244">
        <v>695.0794677734375</v>
      </c>
      <c r="CU521" s="244">
        <v>0</v>
      </c>
      <c r="CV521" s="244">
        <v>0</v>
      </c>
      <c r="CW521" s="228">
        <v>9999</v>
      </c>
    </row>
    <row r="522" spans="1:101">
      <c r="A522" s="221" t="s">
        <v>439</v>
      </c>
      <c r="B522" s="221" t="s">
        <v>604</v>
      </c>
      <c r="C522" s="244">
        <v>10</v>
      </c>
      <c r="D522" s="244">
        <v>5.9399149959648012</v>
      </c>
      <c r="E522" s="244">
        <v>0</v>
      </c>
      <c r="F522" s="244">
        <v>0</v>
      </c>
      <c r="G522" s="244">
        <v>0</v>
      </c>
      <c r="H522" s="244">
        <v>0</v>
      </c>
      <c r="I522" s="244" t="s">
        <v>605</v>
      </c>
      <c r="J522" s="244">
        <v>1</v>
      </c>
      <c r="K522" s="244">
        <v>0.63999998569488525</v>
      </c>
      <c r="L522" s="244">
        <v>6.4784443968327166</v>
      </c>
      <c r="M522" s="244">
        <v>4.7331102541647851E-4</v>
      </c>
      <c r="N522" s="244">
        <v>7.3954847175627947E-4</v>
      </c>
      <c r="O522" s="244">
        <v>0</v>
      </c>
      <c r="P522" s="244">
        <v>0</v>
      </c>
      <c r="Q522" s="244">
        <v>0</v>
      </c>
      <c r="R522" s="244">
        <v>0</v>
      </c>
      <c r="S522" s="244">
        <v>0</v>
      </c>
      <c r="T522" s="244">
        <v>0</v>
      </c>
      <c r="U522" s="244">
        <v>0</v>
      </c>
      <c r="V522" s="244" t="s">
        <v>226</v>
      </c>
      <c r="W522" s="244" t="s">
        <v>226</v>
      </c>
      <c r="X522" s="244" t="s">
        <v>226</v>
      </c>
      <c r="Y522" s="244" t="s">
        <v>226</v>
      </c>
      <c r="Z522" s="244">
        <v>0</v>
      </c>
      <c r="AA522" s="244">
        <v>0</v>
      </c>
      <c r="AB522" s="244">
        <v>0</v>
      </c>
      <c r="AC522" s="244">
        <v>0</v>
      </c>
      <c r="AD522" s="244">
        <v>0</v>
      </c>
      <c r="AE522" s="244">
        <v>0</v>
      </c>
      <c r="AF522" s="244">
        <v>0</v>
      </c>
      <c r="AG522" s="244">
        <v>0</v>
      </c>
      <c r="AH522" s="244">
        <v>0</v>
      </c>
      <c r="AI522" s="244">
        <v>0</v>
      </c>
      <c r="AJ522" s="244">
        <v>0</v>
      </c>
      <c r="AK522" s="244">
        <v>0</v>
      </c>
      <c r="AL522" s="244">
        <v>0</v>
      </c>
      <c r="AM522" s="244">
        <v>4.4886322738166582</v>
      </c>
      <c r="AN522" s="244">
        <v>0</v>
      </c>
      <c r="AO522" s="244">
        <v>0.79602706432342529</v>
      </c>
      <c r="AP522" s="244">
        <v>3.4716382026672363</v>
      </c>
      <c r="AQ522" s="244">
        <v>8.7562971115112305</v>
      </c>
      <c r="AR522" s="244">
        <v>0</v>
      </c>
      <c r="AS522" s="228">
        <v>9999</v>
      </c>
      <c r="AT522" s="244">
        <v>4.4886322738166582</v>
      </c>
      <c r="AU522" s="244">
        <v>0.21197745203971863</v>
      </c>
      <c r="AV522" s="244">
        <v>0.81722480058670044</v>
      </c>
      <c r="AW522" s="244">
        <v>3.4716382026672363</v>
      </c>
      <c r="AX522" s="244">
        <v>8.9894723892211914</v>
      </c>
      <c r="AY522" s="244">
        <v>0</v>
      </c>
      <c r="AZ522" s="228">
        <v>9999</v>
      </c>
      <c r="BA522" s="244">
        <v>4.4886322738166582</v>
      </c>
      <c r="BB522" s="244">
        <v>0.21197745203971863</v>
      </c>
      <c r="BC522" s="244">
        <v>0.81722480058670044</v>
      </c>
      <c r="BD522" s="244">
        <v>3.4716382026672363</v>
      </c>
      <c r="BE522" s="244">
        <v>8.9894723892211914</v>
      </c>
      <c r="BF522" s="244">
        <v>0</v>
      </c>
      <c r="BG522" s="244">
        <v>-55.747806549072266</v>
      </c>
      <c r="BH522" s="228">
        <v>9999</v>
      </c>
      <c r="BI522" s="244">
        <v>0</v>
      </c>
      <c r="BJ522" s="244">
        <v>0</v>
      </c>
      <c r="BK522" s="244">
        <v>0</v>
      </c>
      <c r="BL522" s="244">
        <v>0</v>
      </c>
      <c r="BM522" s="244">
        <v>0</v>
      </c>
      <c r="BN522" s="244">
        <v>4.4886322738166582</v>
      </c>
      <c r="BO522" s="244">
        <v>0</v>
      </c>
      <c r="BP522" s="244">
        <v>0.21197745203971863</v>
      </c>
      <c r="BQ522" s="244">
        <v>0</v>
      </c>
      <c r="BR522" s="244">
        <v>0</v>
      </c>
      <c r="BS522" s="244">
        <v>0</v>
      </c>
      <c r="BT522" s="244">
        <v>3.4716382026672363</v>
      </c>
      <c r="BU522" s="244">
        <v>0</v>
      </c>
      <c r="BV522" s="244">
        <v>0</v>
      </c>
      <c r="BW522" s="244">
        <v>0.81722480058670044</v>
      </c>
      <c r="BX522" s="244">
        <v>0</v>
      </c>
      <c r="BY522" s="244"/>
      <c r="BZ522" s="244">
        <v>0</v>
      </c>
      <c r="CA522" s="244">
        <v>0</v>
      </c>
      <c r="CB522" s="244">
        <v>8.9894723892211914</v>
      </c>
      <c r="CC522" s="244">
        <v>0</v>
      </c>
      <c r="CD522" s="228">
        <v>9999</v>
      </c>
      <c r="CE522" s="244">
        <v>-55.747806549072266</v>
      </c>
      <c r="CF522" s="244">
        <v>4.9127652259810549E-2</v>
      </c>
      <c r="CG522" s="244">
        <v>0</v>
      </c>
      <c r="CH522" s="244">
        <v>4.9127652259810549E-2</v>
      </c>
      <c r="CI522" s="244">
        <v>2.4115027007223606E-3</v>
      </c>
      <c r="CJ522" s="244">
        <v>0</v>
      </c>
      <c r="CK522" s="244">
        <v>2.4115027007223606E-3</v>
      </c>
      <c r="CL522" s="244"/>
      <c r="CM522" s="244">
        <v>0</v>
      </c>
      <c r="CN522" s="244" t="s">
        <v>605</v>
      </c>
      <c r="CO522" s="244">
        <v>0</v>
      </c>
      <c r="CP522" s="244">
        <v>0</v>
      </c>
      <c r="CQ522" s="244">
        <v>0</v>
      </c>
      <c r="CR522" s="244">
        <v>0</v>
      </c>
      <c r="CS522" s="244">
        <v>0</v>
      </c>
      <c r="CT522" s="244">
        <v>0</v>
      </c>
      <c r="CU522" s="244">
        <v>0</v>
      </c>
      <c r="CV522" s="244">
        <v>9999</v>
      </c>
      <c r="CW522" s="228">
        <v>9999</v>
      </c>
    </row>
    <row r="523" spans="1:101">
      <c r="A523" s="221" t="s">
        <v>443</v>
      </c>
      <c r="B523" s="221" t="s">
        <v>604</v>
      </c>
      <c r="C523" s="244">
        <v>10</v>
      </c>
      <c r="D523" s="244">
        <v>5.9399149959648012</v>
      </c>
      <c r="E523" s="244">
        <v>0</v>
      </c>
      <c r="F523" s="244">
        <v>0</v>
      </c>
      <c r="G523" s="244">
        <v>0</v>
      </c>
      <c r="H523" s="244">
        <v>0</v>
      </c>
      <c r="I523" s="244" t="s">
        <v>605</v>
      </c>
      <c r="J523" s="244">
        <v>1</v>
      </c>
      <c r="K523" s="244">
        <v>0.63999998569488525</v>
      </c>
      <c r="L523" s="244">
        <v>6.4784443968327166</v>
      </c>
      <c r="M523" s="244">
        <v>4.7331102541647851E-4</v>
      </c>
      <c r="N523" s="244">
        <v>7.3954847175627947E-4</v>
      </c>
      <c r="O523" s="244">
        <v>0</v>
      </c>
      <c r="P523" s="244">
        <v>0</v>
      </c>
      <c r="Q523" s="244">
        <v>0</v>
      </c>
      <c r="R523" s="244">
        <v>0</v>
      </c>
      <c r="S523" s="244">
        <v>0</v>
      </c>
      <c r="T523" s="244">
        <v>0</v>
      </c>
      <c r="U523" s="244">
        <v>0</v>
      </c>
      <c r="V523" s="244" t="s">
        <v>226</v>
      </c>
      <c r="W523" s="244" t="s">
        <v>226</v>
      </c>
      <c r="X523" s="244" t="s">
        <v>226</v>
      </c>
      <c r="Y523" s="244" t="s">
        <v>226</v>
      </c>
      <c r="Z523" s="244">
        <v>0</v>
      </c>
      <c r="AA523" s="244">
        <v>0</v>
      </c>
      <c r="AB523" s="244">
        <v>0</v>
      </c>
      <c r="AC523" s="244">
        <v>0</v>
      </c>
      <c r="AD523" s="244">
        <v>0</v>
      </c>
      <c r="AE523" s="244">
        <v>0</v>
      </c>
      <c r="AF523" s="244">
        <v>0</v>
      </c>
      <c r="AG523" s="244">
        <v>0</v>
      </c>
      <c r="AH523" s="244">
        <v>0</v>
      </c>
      <c r="AI523" s="244">
        <v>0</v>
      </c>
      <c r="AJ523" s="244">
        <v>0</v>
      </c>
      <c r="AK523" s="244">
        <v>0</v>
      </c>
      <c r="AL523" s="244">
        <v>0</v>
      </c>
      <c r="AM523" s="244">
        <v>4.4886322738166582</v>
      </c>
      <c r="AN523" s="244">
        <v>0</v>
      </c>
      <c r="AO523" s="244">
        <v>0.79602706432342529</v>
      </c>
      <c r="AP523" s="244">
        <v>3.4716382026672363</v>
      </c>
      <c r="AQ523" s="244">
        <v>8.7562971115112305</v>
      </c>
      <c r="AR523" s="244">
        <v>0</v>
      </c>
      <c r="AS523" s="228">
        <v>9999</v>
      </c>
      <c r="AT523" s="244">
        <v>4.4886322738166582</v>
      </c>
      <c r="AU523" s="244">
        <v>0.21197745203971863</v>
      </c>
      <c r="AV523" s="244">
        <v>0.81722480058670044</v>
      </c>
      <c r="AW523" s="244">
        <v>3.4716382026672363</v>
      </c>
      <c r="AX523" s="244">
        <v>8.9894723892211914</v>
      </c>
      <c r="AY523" s="244">
        <v>0</v>
      </c>
      <c r="AZ523" s="228">
        <v>9999</v>
      </c>
      <c r="BA523" s="244">
        <v>4.4886322738166582</v>
      </c>
      <c r="BB523" s="244">
        <v>0.21197745203971863</v>
      </c>
      <c r="BC523" s="244">
        <v>0.81722480058670044</v>
      </c>
      <c r="BD523" s="244">
        <v>3.4716382026672363</v>
      </c>
      <c r="BE523" s="244">
        <v>8.9894723892211914</v>
      </c>
      <c r="BF523" s="244">
        <v>0</v>
      </c>
      <c r="BG523" s="244">
        <v>-55.747806549072266</v>
      </c>
      <c r="BH523" s="228">
        <v>9999</v>
      </c>
      <c r="BI523" s="244">
        <v>0</v>
      </c>
      <c r="BJ523" s="244">
        <v>0</v>
      </c>
      <c r="BK523" s="244">
        <v>0</v>
      </c>
      <c r="BL523" s="244">
        <v>0</v>
      </c>
      <c r="BM523" s="244">
        <v>0</v>
      </c>
      <c r="BN523" s="244">
        <v>4.4886322738166582</v>
      </c>
      <c r="BO523" s="244">
        <v>0</v>
      </c>
      <c r="BP523" s="244">
        <v>0.21197745203971863</v>
      </c>
      <c r="BQ523" s="244">
        <v>0</v>
      </c>
      <c r="BR523" s="244">
        <v>0</v>
      </c>
      <c r="BS523" s="244">
        <v>0</v>
      </c>
      <c r="BT523" s="244">
        <v>3.4716382026672363</v>
      </c>
      <c r="BU523" s="244">
        <v>0</v>
      </c>
      <c r="BV523" s="244">
        <v>0</v>
      </c>
      <c r="BW523" s="244">
        <v>0.81722480058670044</v>
      </c>
      <c r="BX523" s="244">
        <v>0</v>
      </c>
      <c r="BY523" s="244"/>
      <c r="BZ523" s="244">
        <v>0</v>
      </c>
      <c r="CA523" s="244">
        <v>0</v>
      </c>
      <c r="CB523" s="244">
        <v>8.9894723892211914</v>
      </c>
      <c r="CC523" s="244">
        <v>0</v>
      </c>
      <c r="CD523" s="228">
        <v>9999</v>
      </c>
      <c r="CE523" s="244">
        <v>-55.747806549072266</v>
      </c>
      <c r="CF523" s="244">
        <v>4.9127652259810549E-2</v>
      </c>
      <c r="CG523" s="244">
        <v>0</v>
      </c>
      <c r="CH523" s="244">
        <v>4.9127652259810549E-2</v>
      </c>
      <c r="CI523" s="244">
        <v>2.4115027007223606E-3</v>
      </c>
      <c r="CJ523" s="244">
        <v>0</v>
      </c>
      <c r="CK523" s="244">
        <v>2.4115027007223606E-3</v>
      </c>
      <c r="CL523" s="244"/>
      <c r="CM523" s="244">
        <v>0</v>
      </c>
      <c r="CN523" s="244" t="s">
        <v>605</v>
      </c>
      <c r="CO523" s="244">
        <v>0</v>
      </c>
      <c r="CP523" s="244">
        <v>0</v>
      </c>
      <c r="CQ523" s="244">
        <v>0</v>
      </c>
      <c r="CR523" s="244">
        <v>0</v>
      </c>
      <c r="CS523" s="244">
        <v>0</v>
      </c>
      <c r="CT523" s="244">
        <v>0</v>
      </c>
      <c r="CU523" s="244">
        <v>0</v>
      </c>
      <c r="CV523" s="244">
        <v>9999</v>
      </c>
      <c r="CW523" s="228">
        <v>9999</v>
      </c>
    </row>
    <row r="524" spans="1:101">
      <c r="A524" s="221" t="s">
        <v>444</v>
      </c>
      <c r="B524" s="221" t="s">
        <v>604</v>
      </c>
      <c r="C524" s="244">
        <v>10</v>
      </c>
      <c r="D524" s="244">
        <v>5.9399149959648012</v>
      </c>
      <c r="E524" s="244">
        <v>0</v>
      </c>
      <c r="F524" s="244">
        <v>0</v>
      </c>
      <c r="G524" s="244">
        <v>0</v>
      </c>
      <c r="H524" s="244">
        <v>0</v>
      </c>
      <c r="I524" s="244" t="s">
        <v>605</v>
      </c>
      <c r="J524" s="244">
        <v>1</v>
      </c>
      <c r="K524" s="244">
        <v>0.63999998569488525</v>
      </c>
      <c r="L524" s="244">
        <v>6.4784443968327166</v>
      </c>
      <c r="M524" s="244">
        <v>4.7331102541647851E-4</v>
      </c>
      <c r="N524" s="244">
        <v>7.3954847175627947E-4</v>
      </c>
      <c r="O524" s="244">
        <v>0</v>
      </c>
      <c r="P524" s="244">
        <v>0</v>
      </c>
      <c r="Q524" s="244">
        <v>0</v>
      </c>
      <c r="R524" s="244">
        <v>0</v>
      </c>
      <c r="S524" s="244">
        <v>0</v>
      </c>
      <c r="T524" s="244">
        <v>0</v>
      </c>
      <c r="U524" s="244">
        <v>0</v>
      </c>
      <c r="V524" s="244" t="s">
        <v>226</v>
      </c>
      <c r="W524" s="244" t="s">
        <v>226</v>
      </c>
      <c r="X524" s="244" t="s">
        <v>226</v>
      </c>
      <c r="Y524" s="244" t="s">
        <v>226</v>
      </c>
      <c r="Z524" s="244">
        <v>0</v>
      </c>
      <c r="AA524" s="244">
        <v>0</v>
      </c>
      <c r="AB524" s="244">
        <v>0</v>
      </c>
      <c r="AC524" s="244">
        <v>0</v>
      </c>
      <c r="AD524" s="244">
        <v>0</v>
      </c>
      <c r="AE524" s="244">
        <v>0</v>
      </c>
      <c r="AF524" s="244">
        <v>0</v>
      </c>
      <c r="AG524" s="244">
        <v>0</v>
      </c>
      <c r="AH524" s="244">
        <v>0</v>
      </c>
      <c r="AI524" s="244">
        <v>0</v>
      </c>
      <c r="AJ524" s="244">
        <v>0</v>
      </c>
      <c r="AK524" s="244">
        <v>0</v>
      </c>
      <c r="AL524" s="244">
        <v>0</v>
      </c>
      <c r="AM524" s="244">
        <v>4.4886322738166582</v>
      </c>
      <c r="AN524" s="244">
        <v>0</v>
      </c>
      <c r="AO524" s="244">
        <v>0.79602706432342529</v>
      </c>
      <c r="AP524" s="244">
        <v>3.4716382026672363</v>
      </c>
      <c r="AQ524" s="244">
        <v>8.7562971115112305</v>
      </c>
      <c r="AR524" s="244">
        <v>0</v>
      </c>
      <c r="AS524" s="228">
        <v>9999</v>
      </c>
      <c r="AT524" s="244">
        <v>4.4886322738166582</v>
      </c>
      <c r="AU524" s="244">
        <v>0.21197745203971863</v>
      </c>
      <c r="AV524" s="244">
        <v>0.81722480058670044</v>
      </c>
      <c r="AW524" s="244">
        <v>3.4716382026672363</v>
      </c>
      <c r="AX524" s="244">
        <v>8.9894723892211914</v>
      </c>
      <c r="AY524" s="244">
        <v>0</v>
      </c>
      <c r="AZ524" s="228">
        <v>9999</v>
      </c>
      <c r="BA524" s="244">
        <v>4.4886322738166582</v>
      </c>
      <c r="BB524" s="244">
        <v>0.21197745203971863</v>
      </c>
      <c r="BC524" s="244">
        <v>0.81722480058670044</v>
      </c>
      <c r="BD524" s="244">
        <v>3.4716382026672363</v>
      </c>
      <c r="BE524" s="244">
        <v>8.9894723892211914</v>
      </c>
      <c r="BF524" s="244">
        <v>0</v>
      </c>
      <c r="BG524" s="244">
        <v>-55.747806549072266</v>
      </c>
      <c r="BH524" s="228">
        <v>9999</v>
      </c>
      <c r="BI524" s="244">
        <v>0</v>
      </c>
      <c r="BJ524" s="244">
        <v>0</v>
      </c>
      <c r="BK524" s="244">
        <v>0</v>
      </c>
      <c r="BL524" s="244">
        <v>0</v>
      </c>
      <c r="BM524" s="244">
        <v>0</v>
      </c>
      <c r="BN524" s="244">
        <v>4.4886322738166582</v>
      </c>
      <c r="BO524" s="244">
        <v>0</v>
      </c>
      <c r="BP524" s="244">
        <v>0.21197745203971863</v>
      </c>
      <c r="BQ524" s="244">
        <v>0</v>
      </c>
      <c r="BR524" s="244">
        <v>0</v>
      </c>
      <c r="BS524" s="244">
        <v>0</v>
      </c>
      <c r="BT524" s="244">
        <v>3.4716382026672363</v>
      </c>
      <c r="BU524" s="244">
        <v>0</v>
      </c>
      <c r="BV524" s="244">
        <v>0</v>
      </c>
      <c r="BW524" s="244">
        <v>0.81722480058670044</v>
      </c>
      <c r="BX524" s="244">
        <v>0</v>
      </c>
      <c r="BY524" s="244"/>
      <c r="BZ524" s="244">
        <v>0</v>
      </c>
      <c r="CA524" s="244">
        <v>0</v>
      </c>
      <c r="CB524" s="244">
        <v>8.9894723892211914</v>
      </c>
      <c r="CC524" s="244">
        <v>0</v>
      </c>
      <c r="CD524" s="228">
        <v>9999</v>
      </c>
      <c r="CE524" s="244">
        <v>-55.747806549072266</v>
      </c>
      <c r="CF524" s="244">
        <v>4.9127652259810549E-2</v>
      </c>
      <c r="CG524" s="244">
        <v>0</v>
      </c>
      <c r="CH524" s="244">
        <v>4.9127652259810549E-2</v>
      </c>
      <c r="CI524" s="244">
        <v>2.4115027007223606E-3</v>
      </c>
      <c r="CJ524" s="244">
        <v>0</v>
      </c>
      <c r="CK524" s="244">
        <v>2.4115027007223606E-3</v>
      </c>
      <c r="CL524" s="244"/>
      <c r="CM524" s="244">
        <v>0</v>
      </c>
      <c r="CN524" s="244" t="s">
        <v>605</v>
      </c>
      <c r="CO524" s="244">
        <v>0</v>
      </c>
      <c r="CP524" s="244">
        <v>0</v>
      </c>
      <c r="CQ524" s="244">
        <v>0</v>
      </c>
      <c r="CR524" s="244">
        <v>0</v>
      </c>
      <c r="CS524" s="244">
        <v>0</v>
      </c>
      <c r="CT524" s="244">
        <v>0</v>
      </c>
      <c r="CU524" s="244">
        <v>0</v>
      </c>
      <c r="CV524" s="244">
        <v>9999</v>
      </c>
      <c r="CW524" s="228">
        <v>9999</v>
      </c>
    </row>
    <row r="525" spans="1:101">
      <c r="A525" s="221" t="s">
        <v>445</v>
      </c>
      <c r="B525" s="221" t="s">
        <v>604</v>
      </c>
      <c r="C525" s="244">
        <v>10</v>
      </c>
      <c r="D525" s="244">
        <v>6.2647540973066285</v>
      </c>
      <c r="E525" s="244">
        <v>0</v>
      </c>
      <c r="F525" s="244">
        <v>0</v>
      </c>
      <c r="G525" s="244">
        <v>0</v>
      </c>
      <c r="H525" s="244">
        <v>0</v>
      </c>
      <c r="I525" s="244" t="s">
        <v>605</v>
      </c>
      <c r="J525" s="244">
        <v>1</v>
      </c>
      <c r="K525" s="244">
        <v>0.63999998569488525</v>
      </c>
      <c r="L525" s="244">
        <v>6.8327343247845054</v>
      </c>
      <c r="M525" s="244">
        <v>4.9919518642127514E-4</v>
      </c>
      <c r="N525" s="244">
        <v>7.7999249333515763E-4</v>
      </c>
      <c r="O525" s="244">
        <v>0</v>
      </c>
      <c r="P525" s="244">
        <v>0</v>
      </c>
      <c r="Q525" s="244">
        <v>0</v>
      </c>
      <c r="R525" s="244">
        <v>0</v>
      </c>
      <c r="S525" s="244">
        <v>0</v>
      </c>
      <c r="T525" s="244">
        <v>0</v>
      </c>
      <c r="U525" s="244">
        <v>0</v>
      </c>
      <c r="V525" s="244" t="s">
        <v>226</v>
      </c>
      <c r="W525" s="244" t="s">
        <v>226</v>
      </c>
      <c r="X525" s="244" t="s">
        <v>226</v>
      </c>
      <c r="Y525" s="244" t="s">
        <v>226</v>
      </c>
      <c r="Z525" s="244">
        <v>0</v>
      </c>
      <c r="AA525" s="244">
        <v>0</v>
      </c>
      <c r="AB525" s="244">
        <v>0</v>
      </c>
      <c r="AC525" s="244">
        <v>0</v>
      </c>
      <c r="AD525" s="244">
        <v>0</v>
      </c>
      <c r="AE525" s="244">
        <v>0</v>
      </c>
      <c r="AF525" s="244">
        <v>0</v>
      </c>
      <c r="AG525" s="244">
        <v>0</v>
      </c>
      <c r="AH525" s="244">
        <v>0</v>
      </c>
      <c r="AI525" s="244">
        <v>0</v>
      </c>
      <c r="AJ525" s="244">
        <v>0</v>
      </c>
      <c r="AK525" s="244">
        <v>0</v>
      </c>
      <c r="AL525" s="244">
        <v>0</v>
      </c>
      <c r="AM525" s="244">
        <v>4.7341043512909859</v>
      </c>
      <c r="AN525" s="244">
        <v>0</v>
      </c>
      <c r="AO525" s="244">
        <v>0.83955979347229004</v>
      </c>
      <c r="AP525" s="244">
        <v>3.6614935398101807</v>
      </c>
      <c r="AQ525" s="244">
        <v>9.2351579666137695</v>
      </c>
      <c r="AR525" s="244">
        <v>0</v>
      </c>
      <c r="AS525" s="228">
        <v>9999</v>
      </c>
      <c r="AT525" s="244">
        <v>4.7341043512909859</v>
      </c>
      <c r="AU525" s="244">
        <v>0.22357000410556793</v>
      </c>
      <c r="AV525" s="244">
        <v>0.86191678047180176</v>
      </c>
      <c r="AW525" s="244">
        <v>3.6614935398101807</v>
      </c>
      <c r="AX525" s="244">
        <v>9.4810848236083984</v>
      </c>
      <c r="AY525" s="244">
        <v>0</v>
      </c>
      <c r="AZ525" s="228">
        <v>9999</v>
      </c>
      <c r="BA525" s="244">
        <v>4.7341043512909859</v>
      </c>
      <c r="BB525" s="244">
        <v>0.22357000410556793</v>
      </c>
      <c r="BC525" s="244">
        <v>0.86191678047180176</v>
      </c>
      <c r="BD525" s="244">
        <v>3.6614935398101807</v>
      </c>
      <c r="BE525" s="244">
        <v>9.4810848236083984</v>
      </c>
      <c r="BF525" s="244">
        <v>0</v>
      </c>
      <c r="BG525" s="244">
        <v>-55.747810363769531</v>
      </c>
      <c r="BH525" s="228">
        <v>9999</v>
      </c>
      <c r="BI525" s="244">
        <v>0</v>
      </c>
      <c r="BJ525" s="244">
        <v>0</v>
      </c>
      <c r="BK525" s="244">
        <v>0</v>
      </c>
      <c r="BL525" s="244">
        <v>0</v>
      </c>
      <c r="BM525" s="244">
        <v>0</v>
      </c>
      <c r="BN525" s="244">
        <v>4.7341043512909859</v>
      </c>
      <c r="BO525" s="244">
        <v>0</v>
      </c>
      <c r="BP525" s="244">
        <v>0.22357000410556793</v>
      </c>
      <c r="BQ525" s="244">
        <v>0</v>
      </c>
      <c r="BR525" s="244">
        <v>0</v>
      </c>
      <c r="BS525" s="244">
        <v>0</v>
      </c>
      <c r="BT525" s="244">
        <v>3.6614935398101807</v>
      </c>
      <c r="BU525" s="244">
        <v>0</v>
      </c>
      <c r="BV525" s="244">
        <v>0</v>
      </c>
      <c r="BW525" s="244">
        <v>0.86191678047180176</v>
      </c>
      <c r="BX525" s="244">
        <v>0</v>
      </c>
      <c r="BY525" s="244"/>
      <c r="BZ525" s="244">
        <v>0</v>
      </c>
      <c r="CA525" s="244">
        <v>0</v>
      </c>
      <c r="CB525" s="244">
        <v>9.4810848236083984</v>
      </c>
      <c r="CC525" s="244">
        <v>0</v>
      </c>
      <c r="CD525" s="228">
        <v>9999</v>
      </c>
      <c r="CE525" s="244">
        <v>-55.747810363769531</v>
      </c>
      <c r="CF525" s="244">
        <v>5.1814320742769149E-2</v>
      </c>
      <c r="CG525" s="244">
        <v>0</v>
      </c>
      <c r="CH525" s="244">
        <v>5.1814320742769149E-2</v>
      </c>
      <c r="CI525" s="244">
        <v>2.5433817546681144E-3</v>
      </c>
      <c r="CJ525" s="244">
        <v>0</v>
      </c>
      <c r="CK525" s="244">
        <v>2.5433817546681144E-3</v>
      </c>
      <c r="CL525" s="244"/>
      <c r="CM525" s="244">
        <v>0</v>
      </c>
      <c r="CN525" s="244" t="s">
        <v>605</v>
      </c>
      <c r="CO525" s="244">
        <v>0</v>
      </c>
      <c r="CP525" s="244">
        <v>0</v>
      </c>
      <c r="CQ525" s="244">
        <v>0</v>
      </c>
      <c r="CR525" s="244">
        <v>0</v>
      </c>
      <c r="CS525" s="244">
        <v>0</v>
      </c>
      <c r="CT525" s="244">
        <v>0</v>
      </c>
      <c r="CU525" s="244">
        <v>0</v>
      </c>
      <c r="CV525" s="244">
        <v>9999</v>
      </c>
      <c r="CW525" s="228">
        <v>9999</v>
      </c>
    </row>
    <row r="526" spans="1:101">
      <c r="A526" s="221" t="s">
        <v>446</v>
      </c>
      <c r="B526" s="221" t="s">
        <v>604</v>
      </c>
      <c r="C526" s="244">
        <v>10</v>
      </c>
      <c r="D526" s="244">
        <v>6.2647540973066285</v>
      </c>
      <c r="E526" s="244">
        <v>0</v>
      </c>
      <c r="F526" s="244">
        <v>0</v>
      </c>
      <c r="G526" s="244">
        <v>0</v>
      </c>
      <c r="H526" s="244">
        <v>0</v>
      </c>
      <c r="I526" s="244" t="s">
        <v>605</v>
      </c>
      <c r="J526" s="244">
        <v>1</v>
      </c>
      <c r="K526" s="244">
        <v>0.63999998569488525</v>
      </c>
      <c r="L526" s="244">
        <v>6.8327343247845054</v>
      </c>
      <c r="M526" s="244">
        <v>4.9919518642127514E-4</v>
      </c>
      <c r="N526" s="244">
        <v>7.7999249333515763E-4</v>
      </c>
      <c r="O526" s="244">
        <v>0</v>
      </c>
      <c r="P526" s="244">
        <v>0</v>
      </c>
      <c r="Q526" s="244">
        <v>0</v>
      </c>
      <c r="R526" s="244">
        <v>0</v>
      </c>
      <c r="S526" s="244">
        <v>0</v>
      </c>
      <c r="T526" s="244">
        <v>0</v>
      </c>
      <c r="U526" s="244">
        <v>0</v>
      </c>
      <c r="V526" s="244" t="s">
        <v>226</v>
      </c>
      <c r="W526" s="244" t="s">
        <v>226</v>
      </c>
      <c r="X526" s="244" t="s">
        <v>226</v>
      </c>
      <c r="Y526" s="244" t="s">
        <v>226</v>
      </c>
      <c r="Z526" s="244">
        <v>0</v>
      </c>
      <c r="AA526" s="244">
        <v>0</v>
      </c>
      <c r="AB526" s="244">
        <v>0</v>
      </c>
      <c r="AC526" s="244">
        <v>0</v>
      </c>
      <c r="AD526" s="244">
        <v>0</v>
      </c>
      <c r="AE526" s="244">
        <v>0</v>
      </c>
      <c r="AF526" s="244">
        <v>0</v>
      </c>
      <c r="AG526" s="244">
        <v>0</v>
      </c>
      <c r="AH526" s="244">
        <v>0</v>
      </c>
      <c r="AI526" s="244">
        <v>0</v>
      </c>
      <c r="AJ526" s="244">
        <v>0</v>
      </c>
      <c r="AK526" s="244">
        <v>0</v>
      </c>
      <c r="AL526" s="244">
        <v>0</v>
      </c>
      <c r="AM526" s="244">
        <v>4.7341043512909859</v>
      </c>
      <c r="AN526" s="244">
        <v>0</v>
      </c>
      <c r="AO526" s="244">
        <v>0.83955979347229004</v>
      </c>
      <c r="AP526" s="244">
        <v>3.6614935398101807</v>
      </c>
      <c r="AQ526" s="244">
        <v>9.2351579666137695</v>
      </c>
      <c r="AR526" s="244">
        <v>0</v>
      </c>
      <c r="AS526" s="228">
        <v>9999</v>
      </c>
      <c r="AT526" s="244">
        <v>4.7341043512909859</v>
      </c>
      <c r="AU526" s="244">
        <v>0.22357000410556793</v>
      </c>
      <c r="AV526" s="244">
        <v>0.86191678047180176</v>
      </c>
      <c r="AW526" s="244">
        <v>3.6614935398101807</v>
      </c>
      <c r="AX526" s="244">
        <v>9.4810848236083984</v>
      </c>
      <c r="AY526" s="244">
        <v>0</v>
      </c>
      <c r="AZ526" s="228">
        <v>9999</v>
      </c>
      <c r="BA526" s="244">
        <v>4.7341043512909859</v>
      </c>
      <c r="BB526" s="244">
        <v>0.22357000410556793</v>
      </c>
      <c r="BC526" s="244">
        <v>0.86191678047180176</v>
      </c>
      <c r="BD526" s="244">
        <v>3.6614935398101807</v>
      </c>
      <c r="BE526" s="244">
        <v>9.4810848236083984</v>
      </c>
      <c r="BF526" s="244">
        <v>0</v>
      </c>
      <c r="BG526" s="244">
        <v>-55.747810363769531</v>
      </c>
      <c r="BH526" s="228">
        <v>9999</v>
      </c>
      <c r="BI526" s="244">
        <v>0</v>
      </c>
      <c r="BJ526" s="244">
        <v>0</v>
      </c>
      <c r="BK526" s="244">
        <v>0</v>
      </c>
      <c r="BL526" s="244">
        <v>0</v>
      </c>
      <c r="BM526" s="244">
        <v>0</v>
      </c>
      <c r="BN526" s="244">
        <v>4.7341043512909859</v>
      </c>
      <c r="BO526" s="244">
        <v>0</v>
      </c>
      <c r="BP526" s="244">
        <v>0.22357000410556793</v>
      </c>
      <c r="BQ526" s="244">
        <v>0</v>
      </c>
      <c r="BR526" s="244">
        <v>0</v>
      </c>
      <c r="BS526" s="244">
        <v>0</v>
      </c>
      <c r="BT526" s="244">
        <v>3.6614935398101807</v>
      </c>
      <c r="BU526" s="244">
        <v>0</v>
      </c>
      <c r="BV526" s="244">
        <v>0</v>
      </c>
      <c r="BW526" s="244">
        <v>0.86191678047180176</v>
      </c>
      <c r="BX526" s="244">
        <v>0</v>
      </c>
      <c r="BY526" s="244"/>
      <c r="BZ526" s="244">
        <v>0</v>
      </c>
      <c r="CA526" s="244">
        <v>0</v>
      </c>
      <c r="CB526" s="244">
        <v>9.4810848236083984</v>
      </c>
      <c r="CC526" s="244">
        <v>0</v>
      </c>
      <c r="CD526" s="228">
        <v>9999</v>
      </c>
      <c r="CE526" s="244">
        <v>-55.747810363769531</v>
      </c>
      <c r="CF526" s="244">
        <v>5.1814320742769149E-2</v>
      </c>
      <c r="CG526" s="244">
        <v>0</v>
      </c>
      <c r="CH526" s="244">
        <v>5.1814320742769149E-2</v>
      </c>
      <c r="CI526" s="244">
        <v>2.5433817546681144E-3</v>
      </c>
      <c r="CJ526" s="244">
        <v>0</v>
      </c>
      <c r="CK526" s="244">
        <v>2.5433817546681144E-3</v>
      </c>
      <c r="CL526" s="244"/>
      <c r="CM526" s="244">
        <v>0</v>
      </c>
      <c r="CN526" s="244" t="s">
        <v>605</v>
      </c>
      <c r="CO526" s="244">
        <v>0</v>
      </c>
      <c r="CP526" s="244">
        <v>0</v>
      </c>
      <c r="CQ526" s="244">
        <v>0</v>
      </c>
      <c r="CR526" s="244">
        <v>0</v>
      </c>
      <c r="CS526" s="244">
        <v>0</v>
      </c>
      <c r="CT526" s="244">
        <v>0</v>
      </c>
      <c r="CU526" s="244">
        <v>0</v>
      </c>
      <c r="CV526" s="244">
        <v>9999</v>
      </c>
      <c r="CW526" s="228">
        <v>9999</v>
      </c>
    </row>
    <row r="527" spans="1:101">
      <c r="A527" s="221" t="s">
        <v>447</v>
      </c>
      <c r="B527" s="221" t="s">
        <v>604</v>
      </c>
      <c r="C527" s="244">
        <v>10</v>
      </c>
      <c r="D527" s="244">
        <v>6.2647540973066285</v>
      </c>
      <c r="E527" s="244">
        <v>0</v>
      </c>
      <c r="F527" s="244">
        <v>0</v>
      </c>
      <c r="G527" s="244">
        <v>0</v>
      </c>
      <c r="H527" s="244">
        <v>0</v>
      </c>
      <c r="I527" s="244" t="s">
        <v>605</v>
      </c>
      <c r="J527" s="244">
        <v>1</v>
      </c>
      <c r="K527" s="244">
        <v>0.63999998569488525</v>
      </c>
      <c r="L527" s="244">
        <v>6.8327343247845054</v>
      </c>
      <c r="M527" s="244">
        <v>4.9919518642127514E-4</v>
      </c>
      <c r="N527" s="244">
        <v>7.7999249333515763E-4</v>
      </c>
      <c r="O527" s="244">
        <v>0</v>
      </c>
      <c r="P527" s="244">
        <v>0</v>
      </c>
      <c r="Q527" s="244">
        <v>0</v>
      </c>
      <c r="R527" s="244">
        <v>0</v>
      </c>
      <c r="S527" s="244">
        <v>0</v>
      </c>
      <c r="T527" s="244">
        <v>0</v>
      </c>
      <c r="U527" s="244">
        <v>0</v>
      </c>
      <c r="V527" s="244" t="s">
        <v>226</v>
      </c>
      <c r="W527" s="244" t="s">
        <v>226</v>
      </c>
      <c r="X527" s="244" t="s">
        <v>226</v>
      </c>
      <c r="Y527" s="244" t="s">
        <v>226</v>
      </c>
      <c r="Z527" s="244">
        <v>0</v>
      </c>
      <c r="AA527" s="244">
        <v>0</v>
      </c>
      <c r="AB527" s="244">
        <v>0</v>
      </c>
      <c r="AC527" s="244">
        <v>0</v>
      </c>
      <c r="AD527" s="244">
        <v>0</v>
      </c>
      <c r="AE527" s="244">
        <v>0</v>
      </c>
      <c r="AF527" s="244">
        <v>0</v>
      </c>
      <c r="AG527" s="244">
        <v>0</v>
      </c>
      <c r="AH527" s="244">
        <v>0</v>
      </c>
      <c r="AI527" s="244">
        <v>0</v>
      </c>
      <c r="AJ527" s="244">
        <v>0</v>
      </c>
      <c r="AK527" s="244">
        <v>0</v>
      </c>
      <c r="AL527" s="244">
        <v>0</v>
      </c>
      <c r="AM527" s="244">
        <v>4.7341043512909859</v>
      </c>
      <c r="AN527" s="244">
        <v>0</v>
      </c>
      <c r="AO527" s="244">
        <v>0.83955979347229004</v>
      </c>
      <c r="AP527" s="244">
        <v>3.6614935398101807</v>
      </c>
      <c r="AQ527" s="244">
        <v>9.2351579666137695</v>
      </c>
      <c r="AR527" s="244">
        <v>0</v>
      </c>
      <c r="AS527" s="228">
        <v>9999</v>
      </c>
      <c r="AT527" s="244">
        <v>4.7341043512909859</v>
      </c>
      <c r="AU527" s="244">
        <v>0.22357000410556793</v>
      </c>
      <c r="AV527" s="244">
        <v>0.86191678047180176</v>
      </c>
      <c r="AW527" s="244">
        <v>3.6614935398101807</v>
      </c>
      <c r="AX527" s="244">
        <v>9.4810848236083984</v>
      </c>
      <c r="AY527" s="244">
        <v>0</v>
      </c>
      <c r="AZ527" s="228">
        <v>9999</v>
      </c>
      <c r="BA527" s="244">
        <v>4.7341043512909859</v>
      </c>
      <c r="BB527" s="244">
        <v>0.22357000410556793</v>
      </c>
      <c r="BC527" s="244">
        <v>0.86191678047180176</v>
      </c>
      <c r="BD527" s="244">
        <v>3.6614935398101807</v>
      </c>
      <c r="BE527" s="244">
        <v>9.4810848236083984</v>
      </c>
      <c r="BF527" s="244">
        <v>0</v>
      </c>
      <c r="BG527" s="244">
        <v>-55.747810363769531</v>
      </c>
      <c r="BH527" s="228">
        <v>9999</v>
      </c>
      <c r="BI527" s="244">
        <v>0</v>
      </c>
      <c r="BJ527" s="244">
        <v>0</v>
      </c>
      <c r="BK527" s="244">
        <v>0</v>
      </c>
      <c r="BL527" s="244">
        <v>0</v>
      </c>
      <c r="BM527" s="244">
        <v>0</v>
      </c>
      <c r="BN527" s="244">
        <v>4.7341043512909859</v>
      </c>
      <c r="BO527" s="244">
        <v>0</v>
      </c>
      <c r="BP527" s="244">
        <v>0.22357000410556793</v>
      </c>
      <c r="BQ527" s="244">
        <v>0</v>
      </c>
      <c r="BR527" s="244">
        <v>0</v>
      </c>
      <c r="BS527" s="244">
        <v>0</v>
      </c>
      <c r="BT527" s="244">
        <v>3.6614935398101807</v>
      </c>
      <c r="BU527" s="244">
        <v>0</v>
      </c>
      <c r="BV527" s="244">
        <v>0</v>
      </c>
      <c r="BW527" s="244">
        <v>0.86191678047180176</v>
      </c>
      <c r="BX527" s="244">
        <v>0</v>
      </c>
      <c r="BY527" s="244"/>
      <c r="BZ527" s="244">
        <v>0</v>
      </c>
      <c r="CA527" s="244">
        <v>0</v>
      </c>
      <c r="CB527" s="244">
        <v>9.4810848236083984</v>
      </c>
      <c r="CC527" s="244">
        <v>0</v>
      </c>
      <c r="CD527" s="228">
        <v>9999</v>
      </c>
      <c r="CE527" s="244">
        <v>-55.747810363769531</v>
      </c>
      <c r="CF527" s="244">
        <v>5.1814320742769149E-2</v>
      </c>
      <c r="CG527" s="244">
        <v>0</v>
      </c>
      <c r="CH527" s="244">
        <v>5.1814320742769149E-2</v>
      </c>
      <c r="CI527" s="244">
        <v>2.5433817546681144E-3</v>
      </c>
      <c r="CJ527" s="244">
        <v>0</v>
      </c>
      <c r="CK527" s="244">
        <v>2.5433817546681144E-3</v>
      </c>
      <c r="CL527" s="244"/>
      <c r="CM527" s="244">
        <v>0</v>
      </c>
      <c r="CN527" s="244" t="s">
        <v>605</v>
      </c>
      <c r="CO527" s="244">
        <v>0</v>
      </c>
      <c r="CP527" s="244">
        <v>0</v>
      </c>
      <c r="CQ527" s="244">
        <v>0</v>
      </c>
      <c r="CR527" s="244">
        <v>0</v>
      </c>
      <c r="CS527" s="244">
        <v>0</v>
      </c>
      <c r="CT527" s="244">
        <v>0</v>
      </c>
      <c r="CU527" s="244">
        <v>0</v>
      </c>
      <c r="CV527" s="244">
        <v>9999</v>
      </c>
      <c r="CW527" s="228">
        <v>9999</v>
      </c>
    </row>
    <row r="528" spans="1:101">
      <c r="A528" s="221" t="s">
        <v>448</v>
      </c>
      <c r="B528" s="221" t="s">
        <v>604</v>
      </c>
      <c r="C528" s="244">
        <v>10</v>
      </c>
      <c r="D528" s="244">
        <v>9.0954948375711027</v>
      </c>
      <c r="E528" s="244">
        <v>0</v>
      </c>
      <c r="F528" s="244">
        <v>0</v>
      </c>
      <c r="G528" s="244">
        <v>0</v>
      </c>
      <c r="H528" s="244">
        <v>0</v>
      </c>
      <c r="I528" s="244" t="s">
        <v>605</v>
      </c>
      <c r="J528" s="244">
        <v>1</v>
      </c>
      <c r="K528" s="244">
        <v>0.63999998569488525</v>
      </c>
      <c r="L528" s="244">
        <v>9.9201179826500923</v>
      </c>
      <c r="M528" s="244">
        <v>7.2475743945688009E-4</v>
      </c>
      <c r="N528" s="244">
        <v>1.1324335355311632E-3</v>
      </c>
      <c r="O528" s="244">
        <v>0</v>
      </c>
      <c r="P528" s="244">
        <v>0</v>
      </c>
      <c r="Q528" s="244">
        <v>0</v>
      </c>
      <c r="R528" s="244">
        <v>0</v>
      </c>
      <c r="S528" s="244">
        <v>0</v>
      </c>
      <c r="T528" s="244">
        <v>0</v>
      </c>
      <c r="U528" s="244">
        <v>0</v>
      </c>
      <c r="V528" s="244" t="s">
        <v>226</v>
      </c>
      <c r="W528" s="244" t="s">
        <v>226</v>
      </c>
      <c r="X528" s="244" t="s">
        <v>226</v>
      </c>
      <c r="Y528" s="244" t="s">
        <v>226</v>
      </c>
      <c r="Z528" s="244">
        <v>0</v>
      </c>
      <c r="AA528" s="244">
        <v>0</v>
      </c>
      <c r="AB528" s="244">
        <v>0</v>
      </c>
      <c r="AC528" s="244">
        <v>0</v>
      </c>
      <c r="AD528" s="244">
        <v>0</v>
      </c>
      <c r="AE528" s="244">
        <v>0</v>
      </c>
      <c r="AF528" s="244">
        <v>0</v>
      </c>
      <c r="AG528" s="244">
        <v>0</v>
      </c>
      <c r="AH528" s="244">
        <v>0</v>
      </c>
      <c r="AI528" s="244">
        <v>0</v>
      </c>
      <c r="AJ528" s="244">
        <v>0</v>
      </c>
      <c r="AK528" s="244">
        <v>0</v>
      </c>
      <c r="AL528" s="244">
        <v>0</v>
      </c>
      <c r="AM528" s="244">
        <v>6.8732181692817331</v>
      </c>
      <c r="AN528" s="244">
        <v>0</v>
      </c>
      <c r="AO528" s="244">
        <v>1.2189164161682129</v>
      </c>
      <c r="AP528" s="244">
        <v>5.3159456253051758</v>
      </c>
      <c r="AQ528" s="244">
        <v>13.408080101013184</v>
      </c>
      <c r="AR528" s="244">
        <v>0</v>
      </c>
      <c r="AS528" s="228">
        <v>9999</v>
      </c>
      <c r="AT528" s="244">
        <v>6.8732181692817331</v>
      </c>
      <c r="AU528" s="244">
        <v>0.32459047436714172</v>
      </c>
      <c r="AV528" s="244">
        <v>1.2513754367828369</v>
      </c>
      <c r="AW528" s="244">
        <v>5.3159456253051758</v>
      </c>
      <c r="AX528" s="244">
        <v>13.765130043029785</v>
      </c>
      <c r="AY528" s="244">
        <v>0</v>
      </c>
      <c r="AZ528" s="228">
        <v>9999</v>
      </c>
      <c r="BA528" s="244">
        <v>6.8732181692817331</v>
      </c>
      <c r="BB528" s="244">
        <v>0.32459047436714172</v>
      </c>
      <c r="BC528" s="244">
        <v>1.2513754367828369</v>
      </c>
      <c r="BD528" s="244">
        <v>5.3159456253051758</v>
      </c>
      <c r="BE528" s="244">
        <v>13.765130043029785</v>
      </c>
      <c r="BF528" s="244">
        <v>0</v>
      </c>
      <c r="BG528" s="244">
        <v>-55.747802734375</v>
      </c>
      <c r="BH528" s="228">
        <v>9999</v>
      </c>
      <c r="BI528" s="244">
        <v>0</v>
      </c>
      <c r="BJ528" s="244">
        <v>0</v>
      </c>
      <c r="BK528" s="244">
        <v>0</v>
      </c>
      <c r="BL528" s="244">
        <v>0</v>
      </c>
      <c r="BM528" s="244">
        <v>0</v>
      </c>
      <c r="BN528" s="244">
        <v>6.8732181692817331</v>
      </c>
      <c r="BO528" s="244">
        <v>0</v>
      </c>
      <c r="BP528" s="244">
        <v>0.32459047436714172</v>
      </c>
      <c r="BQ528" s="244">
        <v>0</v>
      </c>
      <c r="BR528" s="244">
        <v>0</v>
      </c>
      <c r="BS528" s="244">
        <v>0</v>
      </c>
      <c r="BT528" s="244">
        <v>5.3159456253051758</v>
      </c>
      <c r="BU528" s="244">
        <v>0</v>
      </c>
      <c r="BV528" s="244">
        <v>0</v>
      </c>
      <c r="BW528" s="244">
        <v>1.2513754367828369</v>
      </c>
      <c r="BX528" s="244">
        <v>0</v>
      </c>
      <c r="BY528" s="244"/>
      <c r="BZ528" s="244">
        <v>0</v>
      </c>
      <c r="CA528" s="244">
        <v>0</v>
      </c>
      <c r="CB528" s="244">
        <v>13.765130043029785</v>
      </c>
      <c r="CC528" s="244">
        <v>0</v>
      </c>
      <c r="CD528" s="228">
        <v>9999</v>
      </c>
      <c r="CE528" s="244">
        <v>-55.747802734375</v>
      </c>
      <c r="CF528" s="244">
        <v>7.5226717522834816E-2</v>
      </c>
      <c r="CG528" s="244">
        <v>0</v>
      </c>
      <c r="CH528" s="244">
        <v>7.5226717522834816E-2</v>
      </c>
      <c r="CI528" s="244">
        <v>3.6926135104811157E-3</v>
      </c>
      <c r="CJ528" s="244">
        <v>0</v>
      </c>
      <c r="CK528" s="244">
        <v>3.6926135104811157E-3</v>
      </c>
      <c r="CL528" s="244"/>
      <c r="CM528" s="244">
        <v>0</v>
      </c>
      <c r="CN528" s="244" t="s">
        <v>605</v>
      </c>
      <c r="CO528" s="244">
        <v>0</v>
      </c>
      <c r="CP528" s="244">
        <v>0</v>
      </c>
      <c r="CQ528" s="244">
        <v>0</v>
      </c>
      <c r="CR528" s="244">
        <v>0</v>
      </c>
      <c r="CS528" s="244">
        <v>0</v>
      </c>
      <c r="CT528" s="244">
        <v>0</v>
      </c>
      <c r="CU528" s="244">
        <v>0</v>
      </c>
      <c r="CV528" s="244">
        <v>9999</v>
      </c>
      <c r="CW528" s="228">
        <v>9999</v>
      </c>
    </row>
    <row r="529" spans="1:101">
      <c r="A529" s="221" t="s">
        <v>449</v>
      </c>
      <c r="B529" s="221" t="s">
        <v>604</v>
      </c>
      <c r="C529" s="244">
        <v>10</v>
      </c>
      <c r="D529" s="244">
        <v>9.0954948375711027</v>
      </c>
      <c r="E529" s="244">
        <v>0</v>
      </c>
      <c r="F529" s="244">
        <v>0</v>
      </c>
      <c r="G529" s="244">
        <v>0</v>
      </c>
      <c r="H529" s="244">
        <v>0</v>
      </c>
      <c r="I529" s="244" t="s">
        <v>605</v>
      </c>
      <c r="J529" s="244">
        <v>1</v>
      </c>
      <c r="K529" s="244">
        <v>0.63999998569488525</v>
      </c>
      <c r="L529" s="244">
        <v>9.9201179826500923</v>
      </c>
      <c r="M529" s="244">
        <v>7.2475743945688009E-4</v>
      </c>
      <c r="N529" s="244">
        <v>1.1324335355311632E-3</v>
      </c>
      <c r="O529" s="244">
        <v>0</v>
      </c>
      <c r="P529" s="244">
        <v>0</v>
      </c>
      <c r="Q529" s="244">
        <v>0</v>
      </c>
      <c r="R529" s="244">
        <v>0</v>
      </c>
      <c r="S529" s="244">
        <v>0</v>
      </c>
      <c r="T529" s="244">
        <v>0</v>
      </c>
      <c r="U529" s="244">
        <v>0</v>
      </c>
      <c r="V529" s="244" t="s">
        <v>226</v>
      </c>
      <c r="W529" s="244" t="s">
        <v>226</v>
      </c>
      <c r="X529" s="244" t="s">
        <v>226</v>
      </c>
      <c r="Y529" s="244" t="s">
        <v>226</v>
      </c>
      <c r="Z529" s="244">
        <v>0</v>
      </c>
      <c r="AA529" s="244">
        <v>0</v>
      </c>
      <c r="AB529" s="244">
        <v>0</v>
      </c>
      <c r="AC529" s="244">
        <v>0</v>
      </c>
      <c r="AD529" s="244">
        <v>0</v>
      </c>
      <c r="AE529" s="244">
        <v>0</v>
      </c>
      <c r="AF529" s="244">
        <v>0</v>
      </c>
      <c r="AG529" s="244">
        <v>0</v>
      </c>
      <c r="AH529" s="244">
        <v>0</v>
      </c>
      <c r="AI529" s="244">
        <v>0</v>
      </c>
      <c r="AJ529" s="244">
        <v>0</v>
      </c>
      <c r="AK529" s="244">
        <v>0</v>
      </c>
      <c r="AL529" s="244">
        <v>0</v>
      </c>
      <c r="AM529" s="244">
        <v>6.8732181692817331</v>
      </c>
      <c r="AN529" s="244">
        <v>0</v>
      </c>
      <c r="AO529" s="244">
        <v>1.2189164161682129</v>
      </c>
      <c r="AP529" s="244">
        <v>5.3159456253051758</v>
      </c>
      <c r="AQ529" s="244">
        <v>13.408080101013184</v>
      </c>
      <c r="AR529" s="244">
        <v>0</v>
      </c>
      <c r="AS529" s="228">
        <v>9999</v>
      </c>
      <c r="AT529" s="244">
        <v>6.8732181692817331</v>
      </c>
      <c r="AU529" s="244">
        <v>0.32459047436714172</v>
      </c>
      <c r="AV529" s="244">
        <v>1.2513754367828369</v>
      </c>
      <c r="AW529" s="244">
        <v>5.3159456253051758</v>
      </c>
      <c r="AX529" s="244">
        <v>13.765130043029785</v>
      </c>
      <c r="AY529" s="244">
        <v>0</v>
      </c>
      <c r="AZ529" s="228">
        <v>9999</v>
      </c>
      <c r="BA529" s="244">
        <v>6.8732181692817331</v>
      </c>
      <c r="BB529" s="244">
        <v>0.32459047436714172</v>
      </c>
      <c r="BC529" s="244">
        <v>1.2513754367828369</v>
      </c>
      <c r="BD529" s="244">
        <v>5.3159456253051758</v>
      </c>
      <c r="BE529" s="244">
        <v>13.765130043029785</v>
      </c>
      <c r="BF529" s="244">
        <v>0</v>
      </c>
      <c r="BG529" s="244">
        <v>-55.747802734375</v>
      </c>
      <c r="BH529" s="228">
        <v>9999</v>
      </c>
      <c r="BI529" s="244">
        <v>0</v>
      </c>
      <c r="BJ529" s="244">
        <v>0</v>
      </c>
      <c r="BK529" s="244">
        <v>0</v>
      </c>
      <c r="BL529" s="244">
        <v>0</v>
      </c>
      <c r="BM529" s="244">
        <v>0</v>
      </c>
      <c r="BN529" s="244">
        <v>6.8732181692817331</v>
      </c>
      <c r="BO529" s="244">
        <v>0</v>
      </c>
      <c r="BP529" s="244">
        <v>0.32459047436714172</v>
      </c>
      <c r="BQ529" s="244">
        <v>0</v>
      </c>
      <c r="BR529" s="244">
        <v>0</v>
      </c>
      <c r="BS529" s="244">
        <v>0</v>
      </c>
      <c r="BT529" s="244">
        <v>5.3159456253051758</v>
      </c>
      <c r="BU529" s="244">
        <v>0</v>
      </c>
      <c r="BV529" s="244">
        <v>0</v>
      </c>
      <c r="BW529" s="244">
        <v>1.2513754367828369</v>
      </c>
      <c r="BX529" s="244">
        <v>0</v>
      </c>
      <c r="BY529" s="244"/>
      <c r="BZ529" s="244">
        <v>0</v>
      </c>
      <c r="CA529" s="244">
        <v>0</v>
      </c>
      <c r="CB529" s="244">
        <v>13.765130043029785</v>
      </c>
      <c r="CC529" s="244">
        <v>0</v>
      </c>
      <c r="CD529" s="228">
        <v>9999</v>
      </c>
      <c r="CE529" s="244">
        <v>-55.747802734375</v>
      </c>
      <c r="CF529" s="244">
        <v>7.5226717522834816E-2</v>
      </c>
      <c r="CG529" s="244">
        <v>0</v>
      </c>
      <c r="CH529" s="244">
        <v>7.5226717522834816E-2</v>
      </c>
      <c r="CI529" s="244">
        <v>3.6926135104811157E-3</v>
      </c>
      <c r="CJ529" s="244">
        <v>0</v>
      </c>
      <c r="CK529" s="244">
        <v>3.6926135104811157E-3</v>
      </c>
      <c r="CL529" s="244"/>
      <c r="CM529" s="244">
        <v>0</v>
      </c>
      <c r="CN529" s="244" t="s">
        <v>605</v>
      </c>
      <c r="CO529" s="244">
        <v>0</v>
      </c>
      <c r="CP529" s="244">
        <v>0</v>
      </c>
      <c r="CQ529" s="244">
        <v>0</v>
      </c>
      <c r="CR529" s="244">
        <v>0</v>
      </c>
      <c r="CS529" s="244">
        <v>0</v>
      </c>
      <c r="CT529" s="244">
        <v>0</v>
      </c>
      <c r="CU529" s="244">
        <v>0</v>
      </c>
      <c r="CV529" s="244">
        <v>9999</v>
      </c>
      <c r="CW529" s="228">
        <v>9999</v>
      </c>
    </row>
    <row r="530" spans="1:101">
      <c r="A530" s="221" t="s">
        <v>450</v>
      </c>
      <c r="B530" s="221" t="s">
        <v>604</v>
      </c>
      <c r="C530" s="244">
        <v>10</v>
      </c>
      <c r="D530" s="244">
        <v>9.0954948375711027</v>
      </c>
      <c r="E530" s="244">
        <v>0</v>
      </c>
      <c r="F530" s="244">
        <v>0</v>
      </c>
      <c r="G530" s="244">
        <v>0</v>
      </c>
      <c r="H530" s="244">
        <v>0</v>
      </c>
      <c r="I530" s="244" t="s">
        <v>605</v>
      </c>
      <c r="J530" s="244">
        <v>1</v>
      </c>
      <c r="K530" s="244">
        <v>0.63999998569488525</v>
      </c>
      <c r="L530" s="244">
        <v>9.9201179826500923</v>
      </c>
      <c r="M530" s="244">
        <v>7.2475743945688009E-4</v>
      </c>
      <c r="N530" s="244">
        <v>1.1324335355311632E-3</v>
      </c>
      <c r="O530" s="244">
        <v>0</v>
      </c>
      <c r="P530" s="244">
        <v>0</v>
      </c>
      <c r="Q530" s="244">
        <v>0</v>
      </c>
      <c r="R530" s="244">
        <v>0</v>
      </c>
      <c r="S530" s="244">
        <v>0</v>
      </c>
      <c r="T530" s="244">
        <v>0</v>
      </c>
      <c r="U530" s="244">
        <v>0</v>
      </c>
      <c r="V530" s="244" t="s">
        <v>226</v>
      </c>
      <c r="W530" s="244" t="s">
        <v>226</v>
      </c>
      <c r="X530" s="244" t="s">
        <v>226</v>
      </c>
      <c r="Y530" s="244" t="s">
        <v>226</v>
      </c>
      <c r="Z530" s="244">
        <v>0</v>
      </c>
      <c r="AA530" s="244">
        <v>0</v>
      </c>
      <c r="AB530" s="244">
        <v>0</v>
      </c>
      <c r="AC530" s="244">
        <v>0</v>
      </c>
      <c r="AD530" s="244">
        <v>0</v>
      </c>
      <c r="AE530" s="244">
        <v>0</v>
      </c>
      <c r="AF530" s="244">
        <v>0</v>
      </c>
      <c r="AG530" s="244">
        <v>0</v>
      </c>
      <c r="AH530" s="244">
        <v>0</v>
      </c>
      <c r="AI530" s="244">
        <v>0</v>
      </c>
      <c r="AJ530" s="244">
        <v>0</v>
      </c>
      <c r="AK530" s="244">
        <v>0</v>
      </c>
      <c r="AL530" s="244">
        <v>0</v>
      </c>
      <c r="AM530" s="244">
        <v>6.8732181692817331</v>
      </c>
      <c r="AN530" s="244">
        <v>0</v>
      </c>
      <c r="AO530" s="244">
        <v>1.2189164161682129</v>
      </c>
      <c r="AP530" s="244">
        <v>5.3159456253051758</v>
      </c>
      <c r="AQ530" s="244">
        <v>13.408080101013184</v>
      </c>
      <c r="AR530" s="244">
        <v>0</v>
      </c>
      <c r="AS530" s="228">
        <v>9999</v>
      </c>
      <c r="AT530" s="244">
        <v>6.8732181692817331</v>
      </c>
      <c r="AU530" s="244">
        <v>0.32459047436714172</v>
      </c>
      <c r="AV530" s="244">
        <v>1.2513754367828369</v>
      </c>
      <c r="AW530" s="244">
        <v>5.3159456253051758</v>
      </c>
      <c r="AX530" s="244">
        <v>13.765130043029785</v>
      </c>
      <c r="AY530" s="244">
        <v>0</v>
      </c>
      <c r="AZ530" s="228">
        <v>9999</v>
      </c>
      <c r="BA530" s="244">
        <v>6.8732181692817331</v>
      </c>
      <c r="BB530" s="244">
        <v>0.32459047436714172</v>
      </c>
      <c r="BC530" s="244">
        <v>1.2513754367828369</v>
      </c>
      <c r="BD530" s="244">
        <v>5.3159456253051758</v>
      </c>
      <c r="BE530" s="244">
        <v>13.765130043029785</v>
      </c>
      <c r="BF530" s="244">
        <v>0</v>
      </c>
      <c r="BG530" s="244">
        <v>-55.747802734375</v>
      </c>
      <c r="BH530" s="228">
        <v>9999</v>
      </c>
      <c r="BI530" s="244">
        <v>0</v>
      </c>
      <c r="BJ530" s="244">
        <v>0</v>
      </c>
      <c r="BK530" s="244">
        <v>0</v>
      </c>
      <c r="BL530" s="244">
        <v>0</v>
      </c>
      <c r="BM530" s="244">
        <v>0</v>
      </c>
      <c r="BN530" s="244">
        <v>6.8732181692817331</v>
      </c>
      <c r="BO530" s="244">
        <v>0</v>
      </c>
      <c r="BP530" s="244">
        <v>0.32459047436714172</v>
      </c>
      <c r="BQ530" s="244">
        <v>0</v>
      </c>
      <c r="BR530" s="244">
        <v>0</v>
      </c>
      <c r="BS530" s="244">
        <v>0</v>
      </c>
      <c r="BT530" s="244">
        <v>5.3159456253051758</v>
      </c>
      <c r="BU530" s="244">
        <v>0</v>
      </c>
      <c r="BV530" s="244">
        <v>0</v>
      </c>
      <c r="BW530" s="244">
        <v>1.2513754367828369</v>
      </c>
      <c r="BX530" s="244">
        <v>0</v>
      </c>
      <c r="BY530" s="244"/>
      <c r="BZ530" s="244">
        <v>0</v>
      </c>
      <c r="CA530" s="244">
        <v>0</v>
      </c>
      <c r="CB530" s="244">
        <v>13.765130043029785</v>
      </c>
      <c r="CC530" s="244">
        <v>0</v>
      </c>
      <c r="CD530" s="228">
        <v>9999</v>
      </c>
      <c r="CE530" s="244">
        <v>-55.747802734375</v>
      </c>
      <c r="CF530" s="244">
        <v>7.5226717522834816E-2</v>
      </c>
      <c r="CG530" s="244">
        <v>0</v>
      </c>
      <c r="CH530" s="244">
        <v>7.5226717522834816E-2</v>
      </c>
      <c r="CI530" s="244">
        <v>3.6926135104811157E-3</v>
      </c>
      <c r="CJ530" s="244">
        <v>0</v>
      </c>
      <c r="CK530" s="244">
        <v>3.6926135104811157E-3</v>
      </c>
      <c r="CL530" s="244"/>
      <c r="CM530" s="244">
        <v>0</v>
      </c>
      <c r="CN530" s="244" t="s">
        <v>605</v>
      </c>
      <c r="CO530" s="244">
        <v>0</v>
      </c>
      <c r="CP530" s="244">
        <v>0</v>
      </c>
      <c r="CQ530" s="244">
        <v>0</v>
      </c>
      <c r="CR530" s="244">
        <v>0</v>
      </c>
      <c r="CS530" s="244">
        <v>0</v>
      </c>
      <c r="CT530" s="244">
        <v>0</v>
      </c>
      <c r="CU530" s="244">
        <v>0</v>
      </c>
      <c r="CV530" s="244">
        <v>9999</v>
      </c>
      <c r="CW530" s="228">
        <v>9999</v>
      </c>
    </row>
    <row r="531" spans="1:101">
      <c r="A531" s="221" t="s">
        <v>451</v>
      </c>
      <c r="B531" s="221" t="s">
        <v>604</v>
      </c>
      <c r="C531" s="244">
        <v>10</v>
      </c>
      <c r="D531" s="244">
        <v>6.682404370460401</v>
      </c>
      <c r="E531" s="244">
        <v>0</v>
      </c>
      <c r="F531" s="244">
        <v>0</v>
      </c>
      <c r="G531" s="244">
        <v>0</v>
      </c>
      <c r="H531" s="244">
        <v>0</v>
      </c>
      <c r="I531" s="244" t="s">
        <v>605</v>
      </c>
      <c r="J531" s="244">
        <v>1</v>
      </c>
      <c r="K531" s="244">
        <v>0.63999998569488525</v>
      </c>
      <c r="L531" s="244">
        <v>7.288249946436804</v>
      </c>
      <c r="M531" s="244">
        <v>5.3247489267960191E-4</v>
      </c>
      <c r="N531" s="244">
        <v>8.3199201617389917E-4</v>
      </c>
      <c r="O531" s="244">
        <v>0</v>
      </c>
      <c r="P531" s="244">
        <v>0</v>
      </c>
      <c r="Q531" s="244">
        <v>0</v>
      </c>
      <c r="R531" s="244">
        <v>0</v>
      </c>
      <c r="S531" s="244">
        <v>0</v>
      </c>
      <c r="T531" s="244">
        <v>0</v>
      </c>
      <c r="U531" s="244">
        <v>0</v>
      </c>
      <c r="V531" s="244" t="s">
        <v>226</v>
      </c>
      <c r="W531" s="244" t="s">
        <v>226</v>
      </c>
      <c r="X531" s="244" t="s">
        <v>226</v>
      </c>
      <c r="Y531" s="244" t="s">
        <v>226</v>
      </c>
      <c r="Z531" s="244">
        <v>0</v>
      </c>
      <c r="AA531" s="244">
        <v>0</v>
      </c>
      <c r="AB531" s="244">
        <v>0</v>
      </c>
      <c r="AC531" s="244">
        <v>0</v>
      </c>
      <c r="AD531" s="244">
        <v>0</v>
      </c>
      <c r="AE531" s="244">
        <v>0</v>
      </c>
      <c r="AF531" s="244">
        <v>0</v>
      </c>
      <c r="AG531" s="244">
        <v>0</v>
      </c>
      <c r="AH531" s="244">
        <v>0</v>
      </c>
      <c r="AI531" s="244">
        <v>0</v>
      </c>
      <c r="AJ531" s="244">
        <v>0</v>
      </c>
      <c r="AK531" s="244">
        <v>0</v>
      </c>
      <c r="AL531" s="244">
        <v>0</v>
      </c>
      <c r="AM531" s="244">
        <v>5.0497113080437401</v>
      </c>
      <c r="AN531" s="244">
        <v>0</v>
      </c>
      <c r="AO531" s="244">
        <v>0.89553040266036987</v>
      </c>
      <c r="AP531" s="244">
        <v>3.905592679977417</v>
      </c>
      <c r="AQ531" s="244">
        <v>9.850834846496582</v>
      </c>
      <c r="AR531" s="244">
        <v>0</v>
      </c>
      <c r="AS531" s="228">
        <v>9999</v>
      </c>
      <c r="AT531" s="244">
        <v>5.0497113080437401</v>
      </c>
      <c r="AU531" s="244">
        <v>0.23847463726997375</v>
      </c>
      <c r="AV531" s="244">
        <v>0.91937786340713501</v>
      </c>
      <c r="AW531" s="244">
        <v>3.905592679977417</v>
      </c>
      <c r="AX531" s="244">
        <v>10.113156318664551</v>
      </c>
      <c r="AY531" s="244">
        <v>0</v>
      </c>
      <c r="AZ531" s="228">
        <v>9999</v>
      </c>
      <c r="BA531" s="244">
        <v>5.0497113080437401</v>
      </c>
      <c r="BB531" s="244">
        <v>0.23847463726997375</v>
      </c>
      <c r="BC531" s="244">
        <v>0.91937786340713501</v>
      </c>
      <c r="BD531" s="244">
        <v>3.905592679977417</v>
      </c>
      <c r="BE531" s="244">
        <v>10.113156318664551</v>
      </c>
      <c r="BF531" s="244">
        <v>0</v>
      </c>
      <c r="BG531" s="244">
        <v>-55.747802734375</v>
      </c>
      <c r="BH531" s="228">
        <v>9999</v>
      </c>
      <c r="BI531" s="244">
        <v>0</v>
      </c>
      <c r="BJ531" s="244">
        <v>0</v>
      </c>
      <c r="BK531" s="244">
        <v>0</v>
      </c>
      <c r="BL531" s="244">
        <v>0</v>
      </c>
      <c r="BM531" s="244">
        <v>0</v>
      </c>
      <c r="BN531" s="244">
        <v>5.0497113080437401</v>
      </c>
      <c r="BO531" s="244">
        <v>0</v>
      </c>
      <c r="BP531" s="244">
        <v>0.23847463726997375</v>
      </c>
      <c r="BQ531" s="244">
        <v>0</v>
      </c>
      <c r="BR531" s="244">
        <v>0</v>
      </c>
      <c r="BS531" s="244">
        <v>0</v>
      </c>
      <c r="BT531" s="244">
        <v>3.905592679977417</v>
      </c>
      <c r="BU531" s="244">
        <v>0</v>
      </c>
      <c r="BV531" s="244">
        <v>0</v>
      </c>
      <c r="BW531" s="244">
        <v>0.91937786340713501</v>
      </c>
      <c r="BX531" s="244">
        <v>0</v>
      </c>
      <c r="BY531" s="244"/>
      <c r="BZ531" s="244">
        <v>0</v>
      </c>
      <c r="CA531" s="244">
        <v>0</v>
      </c>
      <c r="CB531" s="244">
        <v>10.113156318664551</v>
      </c>
      <c r="CC531" s="244">
        <v>0</v>
      </c>
      <c r="CD531" s="228">
        <v>9999</v>
      </c>
      <c r="CE531" s="244">
        <v>-55.747802734375</v>
      </c>
      <c r="CF531" s="244">
        <v>5.5268608792286955E-2</v>
      </c>
      <c r="CG531" s="244">
        <v>0</v>
      </c>
      <c r="CH531" s="244">
        <v>5.5268608792286955E-2</v>
      </c>
      <c r="CI531" s="244">
        <v>2.7129405383126575E-3</v>
      </c>
      <c r="CJ531" s="244">
        <v>0</v>
      </c>
      <c r="CK531" s="244">
        <v>2.7129405383126575E-3</v>
      </c>
      <c r="CL531" s="244"/>
      <c r="CM531" s="244">
        <v>0</v>
      </c>
      <c r="CN531" s="244" t="s">
        <v>605</v>
      </c>
      <c r="CO531" s="244">
        <v>0</v>
      </c>
      <c r="CP531" s="244">
        <v>0</v>
      </c>
      <c r="CQ531" s="244">
        <v>0</v>
      </c>
      <c r="CR531" s="244">
        <v>0</v>
      </c>
      <c r="CS531" s="244">
        <v>0</v>
      </c>
      <c r="CT531" s="244">
        <v>0</v>
      </c>
      <c r="CU531" s="244">
        <v>0</v>
      </c>
      <c r="CV531" s="244">
        <v>9999</v>
      </c>
      <c r="CW531" s="228">
        <v>9999</v>
      </c>
    </row>
    <row r="532" spans="1:101">
      <c r="A532" s="221" t="s">
        <v>452</v>
      </c>
      <c r="B532" s="221" t="s">
        <v>604</v>
      </c>
      <c r="C532" s="244">
        <v>10</v>
      </c>
      <c r="D532" s="244">
        <v>6.682404370460401</v>
      </c>
      <c r="E532" s="244">
        <v>0</v>
      </c>
      <c r="F532" s="244">
        <v>0</v>
      </c>
      <c r="G532" s="244">
        <v>0</v>
      </c>
      <c r="H532" s="244">
        <v>0</v>
      </c>
      <c r="I532" s="244" t="s">
        <v>605</v>
      </c>
      <c r="J532" s="244">
        <v>1</v>
      </c>
      <c r="K532" s="244">
        <v>0.63999998569488525</v>
      </c>
      <c r="L532" s="244">
        <v>7.288249946436804</v>
      </c>
      <c r="M532" s="244">
        <v>5.3247489267960191E-4</v>
      </c>
      <c r="N532" s="244">
        <v>8.3199201617389917E-4</v>
      </c>
      <c r="O532" s="244">
        <v>0</v>
      </c>
      <c r="P532" s="244">
        <v>0</v>
      </c>
      <c r="Q532" s="244">
        <v>0</v>
      </c>
      <c r="R532" s="244">
        <v>0</v>
      </c>
      <c r="S532" s="244">
        <v>0</v>
      </c>
      <c r="T532" s="244">
        <v>0</v>
      </c>
      <c r="U532" s="244">
        <v>0</v>
      </c>
      <c r="V532" s="244" t="s">
        <v>226</v>
      </c>
      <c r="W532" s="244" t="s">
        <v>226</v>
      </c>
      <c r="X532" s="244" t="s">
        <v>226</v>
      </c>
      <c r="Y532" s="244" t="s">
        <v>226</v>
      </c>
      <c r="Z532" s="244">
        <v>0</v>
      </c>
      <c r="AA532" s="244">
        <v>0</v>
      </c>
      <c r="AB532" s="244">
        <v>0</v>
      </c>
      <c r="AC532" s="244">
        <v>0</v>
      </c>
      <c r="AD532" s="244">
        <v>0</v>
      </c>
      <c r="AE532" s="244">
        <v>0</v>
      </c>
      <c r="AF532" s="244">
        <v>0</v>
      </c>
      <c r="AG532" s="244">
        <v>0</v>
      </c>
      <c r="AH532" s="244">
        <v>0</v>
      </c>
      <c r="AI532" s="244">
        <v>0</v>
      </c>
      <c r="AJ532" s="244">
        <v>0</v>
      </c>
      <c r="AK532" s="244">
        <v>0</v>
      </c>
      <c r="AL532" s="244">
        <v>0</v>
      </c>
      <c r="AM532" s="244">
        <v>5.0497113080437401</v>
      </c>
      <c r="AN532" s="244">
        <v>0</v>
      </c>
      <c r="AO532" s="244">
        <v>0.89553040266036987</v>
      </c>
      <c r="AP532" s="244">
        <v>3.905592679977417</v>
      </c>
      <c r="AQ532" s="244">
        <v>9.850834846496582</v>
      </c>
      <c r="AR532" s="244">
        <v>0</v>
      </c>
      <c r="AS532" s="228">
        <v>9999</v>
      </c>
      <c r="AT532" s="244">
        <v>5.0497113080437401</v>
      </c>
      <c r="AU532" s="244">
        <v>0.23847463726997375</v>
      </c>
      <c r="AV532" s="244">
        <v>0.91937786340713501</v>
      </c>
      <c r="AW532" s="244">
        <v>3.905592679977417</v>
      </c>
      <c r="AX532" s="244">
        <v>10.113156318664551</v>
      </c>
      <c r="AY532" s="244">
        <v>0</v>
      </c>
      <c r="AZ532" s="228">
        <v>9999</v>
      </c>
      <c r="BA532" s="244">
        <v>5.0497113080437401</v>
      </c>
      <c r="BB532" s="244">
        <v>0.23847463726997375</v>
      </c>
      <c r="BC532" s="244">
        <v>0.91937786340713501</v>
      </c>
      <c r="BD532" s="244">
        <v>3.905592679977417</v>
      </c>
      <c r="BE532" s="244">
        <v>10.113156318664551</v>
      </c>
      <c r="BF532" s="244">
        <v>0</v>
      </c>
      <c r="BG532" s="244">
        <v>-55.747802734375</v>
      </c>
      <c r="BH532" s="228">
        <v>9999</v>
      </c>
      <c r="BI532" s="244">
        <v>0</v>
      </c>
      <c r="BJ532" s="244">
        <v>0</v>
      </c>
      <c r="BK532" s="244">
        <v>0</v>
      </c>
      <c r="BL532" s="244">
        <v>0</v>
      </c>
      <c r="BM532" s="244">
        <v>0</v>
      </c>
      <c r="BN532" s="244">
        <v>5.0497113080437401</v>
      </c>
      <c r="BO532" s="244">
        <v>0</v>
      </c>
      <c r="BP532" s="244">
        <v>0.23847463726997375</v>
      </c>
      <c r="BQ532" s="244">
        <v>0</v>
      </c>
      <c r="BR532" s="244">
        <v>0</v>
      </c>
      <c r="BS532" s="244">
        <v>0</v>
      </c>
      <c r="BT532" s="244">
        <v>3.905592679977417</v>
      </c>
      <c r="BU532" s="244">
        <v>0</v>
      </c>
      <c r="BV532" s="244">
        <v>0</v>
      </c>
      <c r="BW532" s="244">
        <v>0.91937786340713501</v>
      </c>
      <c r="BX532" s="244">
        <v>0</v>
      </c>
      <c r="BY532" s="244"/>
      <c r="BZ532" s="244">
        <v>0</v>
      </c>
      <c r="CA532" s="244">
        <v>0</v>
      </c>
      <c r="CB532" s="244">
        <v>10.113156318664551</v>
      </c>
      <c r="CC532" s="244">
        <v>0</v>
      </c>
      <c r="CD532" s="228">
        <v>9999</v>
      </c>
      <c r="CE532" s="244">
        <v>-55.747802734375</v>
      </c>
      <c r="CF532" s="244">
        <v>5.5268608792286955E-2</v>
      </c>
      <c r="CG532" s="244">
        <v>0</v>
      </c>
      <c r="CH532" s="244">
        <v>5.5268608792286955E-2</v>
      </c>
      <c r="CI532" s="244">
        <v>2.7129405383126575E-3</v>
      </c>
      <c r="CJ532" s="244">
        <v>0</v>
      </c>
      <c r="CK532" s="244">
        <v>2.7129405383126575E-3</v>
      </c>
      <c r="CL532" s="244"/>
      <c r="CM532" s="244">
        <v>0</v>
      </c>
      <c r="CN532" s="244" t="s">
        <v>605</v>
      </c>
      <c r="CO532" s="244">
        <v>0</v>
      </c>
      <c r="CP532" s="244">
        <v>0</v>
      </c>
      <c r="CQ532" s="244">
        <v>0</v>
      </c>
      <c r="CR532" s="244">
        <v>0</v>
      </c>
      <c r="CS532" s="244">
        <v>0</v>
      </c>
      <c r="CT532" s="244">
        <v>0</v>
      </c>
      <c r="CU532" s="244">
        <v>0</v>
      </c>
      <c r="CV532" s="244">
        <v>9999</v>
      </c>
      <c r="CW532" s="228">
        <v>9999</v>
      </c>
    </row>
    <row r="533" spans="1:101">
      <c r="A533" s="221" t="s">
        <v>453</v>
      </c>
      <c r="B533" s="221" t="s">
        <v>604</v>
      </c>
      <c r="C533" s="244">
        <v>10</v>
      </c>
      <c r="D533" s="244">
        <v>6.682404370460401</v>
      </c>
      <c r="E533" s="244">
        <v>0</v>
      </c>
      <c r="F533" s="244">
        <v>0</v>
      </c>
      <c r="G533" s="244">
        <v>0</v>
      </c>
      <c r="H533" s="244">
        <v>0</v>
      </c>
      <c r="I533" s="244" t="s">
        <v>605</v>
      </c>
      <c r="J533" s="244">
        <v>1</v>
      </c>
      <c r="K533" s="244">
        <v>0.63999998569488525</v>
      </c>
      <c r="L533" s="244">
        <v>7.288249946436804</v>
      </c>
      <c r="M533" s="244">
        <v>5.3247489267960191E-4</v>
      </c>
      <c r="N533" s="244">
        <v>8.3199201617389917E-4</v>
      </c>
      <c r="O533" s="244">
        <v>0</v>
      </c>
      <c r="P533" s="244">
        <v>0</v>
      </c>
      <c r="Q533" s="244">
        <v>0</v>
      </c>
      <c r="R533" s="244">
        <v>0</v>
      </c>
      <c r="S533" s="244">
        <v>0</v>
      </c>
      <c r="T533" s="244">
        <v>0</v>
      </c>
      <c r="U533" s="244">
        <v>0</v>
      </c>
      <c r="V533" s="244" t="s">
        <v>226</v>
      </c>
      <c r="W533" s="244" t="s">
        <v>226</v>
      </c>
      <c r="X533" s="244" t="s">
        <v>226</v>
      </c>
      <c r="Y533" s="244" t="s">
        <v>226</v>
      </c>
      <c r="Z533" s="244">
        <v>0</v>
      </c>
      <c r="AA533" s="244">
        <v>0</v>
      </c>
      <c r="AB533" s="244">
        <v>0</v>
      </c>
      <c r="AC533" s="244">
        <v>0</v>
      </c>
      <c r="AD533" s="244">
        <v>0</v>
      </c>
      <c r="AE533" s="244">
        <v>0</v>
      </c>
      <c r="AF533" s="244">
        <v>0</v>
      </c>
      <c r="AG533" s="244">
        <v>0</v>
      </c>
      <c r="AH533" s="244">
        <v>0</v>
      </c>
      <c r="AI533" s="244">
        <v>0</v>
      </c>
      <c r="AJ533" s="244">
        <v>0</v>
      </c>
      <c r="AK533" s="244">
        <v>0</v>
      </c>
      <c r="AL533" s="244">
        <v>0</v>
      </c>
      <c r="AM533" s="244">
        <v>5.0497113080437401</v>
      </c>
      <c r="AN533" s="244">
        <v>0</v>
      </c>
      <c r="AO533" s="244">
        <v>0.89553040266036987</v>
      </c>
      <c r="AP533" s="244">
        <v>3.905592679977417</v>
      </c>
      <c r="AQ533" s="244">
        <v>9.850834846496582</v>
      </c>
      <c r="AR533" s="244">
        <v>0</v>
      </c>
      <c r="AS533" s="228">
        <v>9999</v>
      </c>
      <c r="AT533" s="244">
        <v>5.0497113080437401</v>
      </c>
      <c r="AU533" s="244">
        <v>0.23847463726997375</v>
      </c>
      <c r="AV533" s="244">
        <v>0.91937786340713501</v>
      </c>
      <c r="AW533" s="244">
        <v>3.905592679977417</v>
      </c>
      <c r="AX533" s="244">
        <v>10.113156318664551</v>
      </c>
      <c r="AY533" s="244">
        <v>0</v>
      </c>
      <c r="AZ533" s="228">
        <v>9999</v>
      </c>
      <c r="BA533" s="244">
        <v>5.0497113080437401</v>
      </c>
      <c r="BB533" s="244">
        <v>0.23847463726997375</v>
      </c>
      <c r="BC533" s="244">
        <v>0.91937786340713501</v>
      </c>
      <c r="BD533" s="244">
        <v>3.905592679977417</v>
      </c>
      <c r="BE533" s="244">
        <v>10.113156318664551</v>
      </c>
      <c r="BF533" s="244">
        <v>0</v>
      </c>
      <c r="BG533" s="244">
        <v>-55.747802734375</v>
      </c>
      <c r="BH533" s="228">
        <v>9999</v>
      </c>
      <c r="BI533" s="244">
        <v>0</v>
      </c>
      <c r="BJ533" s="244">
        <v>0</v>
      </c>
      <c r="BK533" s="244">
        <v>0</v>
      </c>
      <c r="BL533" s="244">
        <v>0</v>
      </c>
      <c r="BM533" s="244">
        <v>0</v>
      </c>
      <c r="BN533" s="244">
        <v>5.0497113080437401</v>
      </c>
      <c r="BO533" s="244">
        <v>0</v>
      </c>
      <c r="BP533" s="244">
        <v>0.23847463726997375</v>
      </c>
      <c r="BQ533" s="244">
        <v>0</v>
      </c>
      <c r="BR533" s="244">
        <v>0</v>
      </c>
      <c r="BS533" s="244">
        <v>0</v>
      </c>
      <c r="BT533" s="244">
        <v>3.905592679977417</v>
      </c>
      <c r="BU533" s="244">
        <v>0</v>
      </c>
      <c r="BV533" s="244">
        <v>0</v>
      </c>
      <c r="BW533" s="244">
        <v>0.91937786340713501</v>
      </c>
      <c r="BX533" s="244">
        <v>0</v>
      </c>
      <c r="BY533" s="244"/>
      <c r="BZ533" s="244">
        <v>0</v>
      </c>
      <c r="CA533" s="244">
        <v>0</v>
      </c>
      <c r="CB533" s="244">
        <v>10.113156318664551</v>
      </c>
      <c r="CC533" s="244">
        <v>0</v>
      </c>
      <c r="CD533" s="228">
        <v>9999</v>
      </c>
      <c r="CE533" s="244">
        <v>-55.747802734375</v>
      </c>
      <c r="CF533" s="244">
        <v>5.5268608792286955E-2</v>
      </c>
      <c r="CG533" s="244">
        <v>0</v>
      </c>
      <c r="CH533" s="244">
        <v>5.5268608792286955E-2</v>
      </c>
      <c r="CI533" s="244">
        <v>2.7129405383126575E-3</v>
      </c>
      <c r="CJ533" s="244">
        <v>0</v>
      </c>
      <c r="CK533" s="244">
        <v>2.7129405383126575E-3</v>
      </c>
      <c r="CL533" s="244"/>
      <c r="CM533" s="244">
        <v>0</v>
      </c>
      <c r="CN533" s="244" t="s">
        <v>605</v>
      </c>
      <c r="CO533" s="244">
        <v>0</v>
      </c>
      <c r="CP533" s="244">
        <v>0</v>
      </c>
      <c r="CQ533" s="244">
        <v>0</v>
      </c>
      <c r="CR533" s="244">
        <v>0</v>
      </c>
      <c r="CS533" s="244">
        <v>0</v>
      </c>
      <c r="CT533" s="244">
        <v>0</v>
      </c>
      <c r="CU533" s="244">
        <v>0</v>
      </c>
      <c r="CV533" s="244">
        <v>9999</v>
      </c>
      <c r="CW533" s="228">
        <v>9999</v>
      </c>
    </row>
    <row r="534" spans="1:101">
      <c r="A534" s="221" t="s">
        <v>454</v>
      </c>
      <c r="B534" s="221" t="s">
        <v>604</v>
      </c>
      <c r="C534" s="244">
        <v>10</v>
      </c>
      <c r="D534" s="244">
        <v>7.5177049167679542</v>
      </c>
      <c r="E534" s="244">
        <v>0</v>
      </c>
      <c r="F534" s="244">
        <v>0</v>
      </c>
      <c r="G534" s="244">
        <v>0</v>
      </c>
      <c r="H534" s="244">
        <v>0</v>
      </c>
      <c r="I534" s="244" t="s">
        <v>605</v>
      </c>
      <c r="J534" s="244">
        <v>1</v>
      </c>
      <c r="K534" s="244">
        <v>0.63999998569488525</v>
      </c>
      <c r="L534" s="244">
        <v>8.1992811897414093</v>
      </c>
      <c r="M534" s="244">
        <v>5.9903424698859453E-4</v>
      </c>
      <c r="N534" s="244">
        <v>9.3599100364372134E-4</v>
      </c>
      <c r="O534" s="244">
        <v>0</v>
      </c>
      <c r="P534" s="244">
        <v>0</v>
      </c>
      <c r="Q534" s="244">
        <v>0</v>
      </c>
      <c r="R534" s="244">
        <v>0</v>
      </c>
      <c r="S534" s="244">
        <v>0</v>
      </c>
      <c r="T534" s="244">
        <v>0</v>
      </c>
      <c r="U534" s="244">
        <v>0</v>
      </c>
      <c r="V534" s="244" t="s">
        <v>226</v>
      </c>
      <c r="W534" s="244" t="s">
        <v>226</v>
      </c>
      <c r="X534" s="244" t="s">
        <v>226</v>
      </c>
      <c r="Y534" s="244" t="s">
        <v>226</v>
      </c>
      <c r="Z534" s="244">
        <v>0</v>
      </c>
      <c r="AA534" s="244">
        <v>0</v>
      </c>
      <c r="AB534" s="244">
        <v>0</v>
      </c>
      <c r="AC534" s="244">
        <v>0</v>
      </c>
      <c r="AD534" s="244">
        <v>0</v>
      </c>
      <c r="AE534" s="244">
        <v>0</v>
      </c>
      <c r="AF534" s="244">
        <v>0</v>
      </c>
      <c r="AG534" s="244">
        <v>0</v>
      </c>
      <c r="AH534" s="244">
        <v>0</v>
      </c>
      <c r="AI534" s="244">
        <v>0</v>
      </c>
      <c r="AJ534" s="244">
        <v>0</v>
      </c>
      <c r="AK534" s="244">
        <v>0</v>
      </c>
      <c r="AL534" s="244">
        <v>0</v>
      </c>
      <c r="AM534" s="244">
        <v>5.6809252215492121</v>
      </c>
      <c r="AN534" s="244">
        <v>0</v>
      </c>
      <c r="AO534" s="244">
        <v>1.0074716806411743</v>
      </c>
      <c r="AP534" s="244">
        <v>4.393791675567627</v>
      </c>
      <c r="AQ534" s="244">
        <v>11.082188606262207</v>
      </c>
      <c r="AR534" s="244">
        <v>0</v>
      </c>
      <c r="AS534" s="228">
        <v>9999</v>
      </c>
      <c r="AT534" s="244">
        <v>5.6809252215492121</v>
      </c>
      <c r="AU534" s="244">
        <v>0.26828399300575256</v>
      </c>
      <c r="AV534" s="244">
        <v>1.0343000888824463</v>
      </c>
      <c r="AW534" s="244">
        <v>4.393791675567627</v>
      </c>
      <c r="AX534" s="244">
        <v>11.377301216125488</v>
      </c>
      <c r="AY534" s="244">
        <v>0</v>
      </c>
      <c r="AZ534" s="228">
        <v>9999</v>
      </c>
      <c r="BA534" s="244">
        <v>5.6809252215492121</v>
      </c>
      <c r="BB534" s="244">
        <v>0.26828399300575256</v>
      </c>
      <c r="BC534" s="244">
        <v>1.0343000888824463</v>
      </c>
      <c r="BD534" s="244">
        <v>4.393791675567627</v>
      </c>
      <c r="BE534" s="244">
        <v>11.377301216125488</v>
      </c>
      <c r="BF534" s="244">
        <v>0</v>
      </c>
      <c r="BG534" s="244">
        <v>-55.747802734375</v>
      </c>
      <c r="BH534" s="228">
        <v>9999</v>
      </c>
      <c r="BI534" s="244">
        <v>0</v>
      </c>
      <c r="BJ534" s="244">
        <v>0</v>
      </c>
      <c r="BK534" s="244">
        <v>0</v>
      </c>
      <c r="BL534" s="244">
        <v>0</v>
      </c>
      <c r="BM534" s="244">
        <v>0</v>
      </c>
      <c r="BN534" s="244">
        <v>5.6809252215492121</v>
      </c>
      <c r="BO534" s="244">
        <v>0</v>
      </c>
      <c r="BP534" s="244">
        <v>0.26828399300575256</v>
      </c>
      <c r="BQ534" s="244">
        <v>0</v>
      </c>
      <c r="BR534" s="244">
        <v>0</v>
      </c>
      <c r="BS534" s="244">
        <v>0</v>
      </c>
      <c r="BT534" s="244">
        <v>4.393791675567627</v>
      </c>
      <c r="BU534" s="244">
        <v>0</v>
      </c>
      <c r="BV534" s="244">
        <v>0</v>
      </c>
      <c r="BW534" s="244">
        <v>1.0343000888824463</v>
      </c>
      <c r="BX534" s="244">
        <v>0</v>
      </c>
      <c r="BY534" s="244"/>
      <c r="BZ534" s="244">
        <v>0</v>
      </c>
      <c r="CA534" s="244">
        <v>0</v>
      </c>
      <c r="CB534" s="244">
        <v>11.377301216125488</v>
      </c>
      <c r="CC534" s="244">
        <v>0</v>
      </c>
      <c r="CD534" s="228">
        <v>9999</v>
      </c>
      <c r="CE534" s="244">
        <v>-55.747802734375</v>
      </c>
      <c r="CF534" s="244">
        <v>6.2177184891322838E-2</v>
      </c>
      <c r="CG534" s="244">
        <v>0</v>
      </c>
      <c r="CH534" s="244">
        <v>6.2177184891322838E-2</v>
      </c>
      <c r="CI534" s="244">
        <v>3.0520581056017381E-3</v>
      </c>
      <c r="CJ534" s="244">
        <v>0</v>
      </c>
      <c r="CK534" s="244">
        <v>3.0520581056017381E-3</v>
      </c>
      <c r="CL534" s="244"/>
      <c r="CM534" s="244">
        <v>0</v>
      </c>
      <c r="CN534" s="244" t="s">
        <v>605</v>
      </c>
      <c r="CO534" s="244">
        <v>0</v>
      </c>
      <c r="CP534" s="244">
        <v>0</v>
      </c>
      <c r="CQ534" s="244">
        <v>0</v>
      </c>
      <c r="CR534" s="244">
        <v>0</v>
      </c>
      <c r="CS534" s="244">
        <v>0</v>
      </c>
      <c r="CT534" s="244">
        <v>0</v>
      </c>
      <c r="CU534" s="244">
        <v>0</v>
      </c>
      <c r="CV534" s="244">
        <v>9999</v>
      </c>
      <c r="CW534" s="228">
        <v>9999</v>
      </c>
    </row>
    <row r="535" spans="1:101">
      <c r="A535" s="221" t="s">
        <v>455</v>
      </c>
      <c r="B535" s="221" t="s">
        <v>604</v>
      </c>
      <c r="C535" s="244">
        <v>10</v>
      </c>
      <c r="D535" s="244">
        <v>7.5177049167679542</v>
      </c>
      <c r="E535" s="244">
        <v>0</v>
      </c>
      <c r="F535" s="244">
        <v>0</v>
      </c>
      <c r="G535" s="244">
        <v>0</v>
      </c>
      <c r="H535" s="244">
        <v>0</v>
      </c>
      <c r="I535" s="244" t="s">
        <v>605</v>
      </c>
      <c r="J535" s="244">
        <v>1</v>
      </c>
      <c r="K535" s="244">
        <v>0.63999998569488525</v>
      </c>
      <c r="L535" s="244">
        <v>8.1992811897414093</v>
      </c>
      <c r="M535" s="244">
        <v>5.9903424698859453E-4</v>
      </c>
      <c r="N535" s="244">
        <v>9.3599100364372134E-4</v>
      </c>
      <c r="O535" s="244">
        <v>0</v>
      </c>
      <c r="P535" s="244">
        <v>0</v>
      </c>
      <c r="Q535" s="244">
        <v>0</v>
      </c>
      <c r="R535" s="244">
        <v>0</v>
      </c>
      <c r="S535" s="244">
        <v>0</v>
      </c>
      <c r="T535" s="244">
        <v>0</v>
      </c>
      <c r="U535" s="244">
        <v>0</v>
      </c>
      <c r="V535" s="244" t="s">
        <v>226</v>
      </c>
      <c r="W535" s="244" t="s">
        <v>226</v>
      </c>
      <c r="X535" s="244" t="s">
        <v>226</v>
      </c>
      <c r="Y535" s="244" t="s">
        <v>226</v>
      </c>
      <c r="Z535" s="244">
        <v>0</v>
      </c>
      <c r="AA535" s="244">
        <v>0</v>
      </c>
      <c r="AB535" s="244">
        <v>0</v>
      </c>
      <c r="AC535" s="244">
        <v>0</v>
      </c>
      <c r="AD535" s="244">
        <v>0</v>
      </c>
      <c r="AE535" s="244">
        <v>0</v>
      </c>
      <c r="AF535" s="244">
        <v>0</v>
      </c>
      <c r="AG535" s="244">
        <v>0</v>
      </c>
      <c r="AH535" s="244">
        <v>0</v>
      </c>
      <c r="AI535" s="244">
        <v>0</v>
      </c>
      <c r="AJ535" s="244">
        <v>0</v>
      </c>
      <c r="AK535" s="244">
        <v>0</v>
      </c>
      <c r="AL535" s="244">
        <v>0</v>
      </c>
      <c r="AM535" s="244">
        <v>5.6809252215492121</v>
      </c>
      <c r="AN535" s="244">
        <v>0</v>
      </c>
      <c r="AO535" s="244">
        <v>1.0074716806411743</v>
      </c>
      <c r="AP535" s="244">
        <v>4.393791675567627</v>
      </c>
      <c r="AQ535" s="244">
        <v>11.082188606262207</v>
      </c>
      <c r="AR535" s="244">
        <v>0</v>
      </c>
      <c r="AS535" s="228">
        <v>9999</v>
      </c>
      <c r="AT535" s="244">
        <v>5.6809252215492121</v>
      </c>
      <c r="AU535" s="244">
        <v>0.26828399300575256</v>
      </c>
      <c r="AV535" s="244">
        <v>1.0343000888824463</v>
      </c>
      <c r="AW535" s="244">
        <v>4.393791675567627</v>
      </c>
      <c r="AX535" s="244">
        <v>11.377301216125488</v>
      </c>
      <c r="AY535" s="244">
        <v>0</v>
      </c>
      <c r="AZ535" s="228">
        <v>9999</v>
      </c>
      <c r="BA535" s="244">
        <v>5.6809252215492121</v>
      </c>
      <c r="BB535" s="244">
        <v>0.26828399300575256</v>
      </c>
      <c r="BC535" s="244">
        <v>1.0343000888824463</v>
      </c>
      <c r="BD535" s="244">
        <v>4.393791675567627</v>
      </c>
      <c r="BE535" s="244">
        <v>11.377301216125488</v>
      </c>
      <c r="BF535" s="244">
        <v>0</v>
      </c>
      <c r="BG535" s="244">
        <v>-55.747802734375</v>
      </c>
      <c r="BH535" s="228">
        <v>9999</v>
      </c>
      <c r="BI535" s="244">
        <v>0</v>
      </c>
      <c r="BJ535" s="244">
        <v>0</v>
      </c>
      <c r="BK535" s="244">
        <v>0</v>
      </c>
      <c r="BL535" s="244">
        <v>0</v>
      </c>
      <c r="BM535" s="244">
        <v>0</v>
      </c>
      <c r="BN535" s="244">
        <v>5.6809252215492121</v>
      </c>
      <c r="BO535" s="244">
        <v>0</v>
      </c>
      <c r="BP535" s="244">
        <v>0.26828399300575256</v>
      </c>
      <c r="BQ535" s="244">
        <v>0</v>
      </c>
      <c r="BR535" s="244">
        <v>0</v>
      </c>
      <c r="BS535" s="244">
        <v>0</v>
      </c>
      <c r="BT535" s="244">
        <v>4.393791675567627</v>
      </c>
      <c r="BU535" s="244">
        <v>0</v>
      </c>
      <c r="BV535" s="244">
        <v>0</v>
      </c>
      <c r="BW535" s="244">
        <v>1.0343000888824463</v>
      </c>
      <c r="BX535" s="244">
        <v>0</v>
      </c>
      <c r="BY535" s="244"/>
      <c r="BZ535" s="244">
        <v>0</v>
      </c>
      <c r="CA535" s="244">
        <v>0</v>
      </c>
      <c r="CB535" s="244">
        <v>11.377301216125488</v>
      </c>
      <c r="CC535" s="244">
        <v>0</v>
      </c>
      <c r="CD535" s="228">
        <v>9999</v>
      </c>
      <c r="CE535" s="244">
        <v>-55.747802734375</v>
      </c>
      <c r="CF535" s="244">
        <v>6.2177184891322838E-2</v>
      </c>
      <c r="CG535" s="244">
        <v>0</v>
      </c>
      <c r="CH535" s="244">
        <v>6.2177184891322838E-2</v>
      </c>
      <c r="CI535" s="244">
        <v>3.0520581056017381E-3</v>
      </c>
      <c r="CJ535" s="244">
        <v>0</v>
      </c>
      <c r="CK535" s="244">
        <v>3.0520581056017381E-3</v>
      </c>
      <c r="CL535" s="244"/>
      <c r="CM535" s="244">
        <v>0</v>
      </c>
      <c r="CN535" s="244" t="s">
        <v>605</v>
      </c>
      <c r="CO535" s="244">
        <v>0</v>
      </c>
      <c r="CP535" s="244">
        <v>0</v>
      </c>
      <c r="CQ535" s="244">
        <v>0</v>
      </c>
      <c r="CR535" s="244">
        <v>0</v>
      </c>
      <c r="CS535" s="244">
        <v>0</v>
      </c>
      <c r="CT535" s="244">
        <v>0</v>
      </c>
      <c r="CU535" s="244">
        <v>0</v>
      </c>
      <c r="CV535" s="244">
        <v>9999</v>
      </c>
      <c r="CW535" s="228">
        <v>9999</v>
      </c>
    </row>
    <row r="536" spans="1:101">
      <c r="A536" s="221" t="s">
        <v>456</v>
      </c>
      <c r="B536" s="221" t="s">
        <v>604</v>
      </c>
      <c r="C536" s="244">
        <v>10</v>
      </c>
      <c r="D536" s="244">
        <v>7.5177049167679542</v>
      </c>
      <c r="E536" s="244">
        <v>0</v>
      </c>
      <c r="F536" s="244">
        <v>0</v>
      </c>
      <c r="G536" s="244">
        <v>0</v>
      </c>
      <c r="H536" s="244">
        <v>0</v>
      </c>
      <c r="I536" s="244" t="s">
        <v>605</v>
      </c>
      <c r="J536" s="244">
        <v>1</v>
      </c>
      <c r="K536" s="244">
        <v>0.63999998569488525</v>
      </c>
      <c r="L536" s="244">
        <v>8.1992811897414093</v>
      </c>
      <c r="M536" s="244">
        <v>5.9903424698859453E-4</v>
      </c>
      <c r="N536" s="244">
        <v>9.3599100364372134E-4</v>
      </c>
      <c r="O536" s="244">
        <v>0</v>
      </c>
      <c r="P536" s="244">
        <v>0</v>
      </c>
      <c r="Q536" s="244">
        <v>0</v>
      </c>
      <c r="R536" s="244">
        <v>0</v>
      </c>
      <c r="S536" s="244">
        <v>0</v>
      </c>
      <c r="T536" s="244">
        <v>0</v>
      </c>
      <c r="U536" s="244">
        <v>0</v>
      </c>
      <c r="V536" s="244" t="s">
        <v>226</v>
      </c>
      <c r="W536" s="244" t="s">
        <v>226</v>
      </c>
      <c r="X536" s="244" t="s">
        <v>226</v>
      </c>
      <c r="Y536" s="244" t="s">
        <v>226</v>
      </c>
      <c r="Z536" s="244">
        <v>0</v>
      </c>
      <c r="AA536" s="244">
        <v>0</v>
      </c>
      <c r="AB536" s="244">
        <v>0</v>
      </c>
      <c r="AC536" s="244">
        <v>0</v>
      </c>
      <c r="AD536" s="244">
        <v>0</v>
      </c>
      <c r="AE536" s="244">
        <v>0</v>
      </c>
      <c r="AF536" s="244">
        <v>0</v>
      </c>
      <c r="AG536" s="244">
        <v>0</v>
      </c>
      <c r="AH536" s="244">
        <v>0</v>
      </c>
      <c r="AI536" s="244">
        <v>0</v>
      </c>
      <c r="AJ536" s="244">
        <v>0</v>
      </c>
      <c r="AK536" s="244">
        <v>0</v>
      </c>
      <c r="AL536" s="244">
        <v>0</v>
      </c>
      <c r="AM536" s="244">
        <v>5.6809252215492121</v>
      </c>
      <c r="AN536" s="244">
        <v>0</v>
      </c>
      <c r="AO536" s="244">
        <v>1.0074716806411743</v>
      </c>
      <c r="AP536" s="244">
        <v>4.393791675567627</v>
      </c>
      <c r="AQ536" s="244">
        <v>11.082188606262207</v>
      </c>
      <c r="AR536" s="244">
        <v>0</v>
      </c>
      <c r="AS536" s="228">
        <v>9999</v>
      </c>
      <c r="AT536" s="244">
        <v>5.6809252215492121</v>
      </c>
      <c r="AU536" s="244">
        <v>0.26828399300575256</v>
      </c>
      <c r="AV536" s="244">
        <v>1.0343000888824463</v>
      </c>
      <c r="AW536" s="244">
        <v>4.393791675567627</v>
      </c>
      <c r="AX536" s="244">
        <v>11.377301216125488</v>
      </c>
      <c r="AY536" s="244">
        <v>0</v>
      </c>
      <c r="AZ536" s="228">
        <v>9999</v>
      </c>
      <c r="BA536" s="244">
        <v>5.6809252215492121</v>
      </c>
      <c r="BB536" s="244">
        <v>0.26828399300575256</v>
      </c>
      <c r="BC536" s="244">
        <v>1.0343000888824463</v>
      </c>
      <c r="BD536" s="244">
        <v>4.393791675567627</v>
      </c>
      <c r="BE536" s="244">
        <v>11.377301216125488</v>
      </c>
      <c r="BF536" s="244">
        <v>0</v>
      </c>
      <c r="BG536" s="244">
        <v>-55.747802734375</v>
      </c>
      <c r="BH536" s="228">
        <v>9999</v>
      </c>
      <c r="BI536" s="244">
        <v>0</v>
      </c>
      <c r="BJ536" s="244">
        <v>0</v>
      </c>
      <c r="BK536" s="244">
        <v>0</v>
      </c>
      <c r="BL536" s="244">
        <v>0</v>
      </c>
      <c r="BM536" s="244">
        <v>0</v>
      </c>
      <c r="BN536" s="244">
        <v>5.6809252215492121</v>
      </c>
      <c r="BO536" s="244">
        <v>0</v>
      </c>
      <c r="BP536" s="244">
        <v>0.26828399300575256</v>
      </c>
      <c r="BQ536" s="244">
        <v>0</v>
      </c>
      <c r="BR536" s="244">
        <v>0</v>
      </c>
      <c r="BS536" s="244">
        <v>0</v>
      </c>
      <c r="BT536" s="244">
        <v>4.393791675567627</v>
      </c>
      <c r="BU536" s="244">
        <v>0</v>
      </c>
      <c r="BV536" s="244">
        <v>0</v>
      </c>
      <c r="BW536" s="244">
        <v>1.0343000888824463</v>
      </c>
      <c r="BX536" s="244">
        <v>0</v>
      </c>
      <c r="BY536" s="244"/>
      <c r="BZ536" s="244">
        <v>0</v>
      </c>
      <c r="CA536" s="244">
        <v>0</v>
      </c>
      <c r="CB536" s="244">
        <v>11.377301216125488</v>
      </c>
      <c r="CC536" s="244">
        <v>0</v>
      </c>
      <c r="CD536" s="228">
        <v>9999</v>
      </c>
      <c r="CE536" s="244">
        <v>-55.747802734375</v>
      </c>
      <c r="CF536" s="244">
        <v>6.2177184891322838E-2</v>
      </c>
      <c r="CG536" s="244">
        <v>0</v>
      </c>
      <c r="CH536" s="244">
        <v>6.2177184891322838E-2</v>
      </c>
      <c r="CI536" s="244">
        <v>3.0520581056017381E-3</v>
      </c>
      <c r="CJ536" s="244">
        <v>0</v>
      </c>
      <c r="CK536" s="244">
        <v>3.0520581056017381E-3</v>
      </c>
      <c r="CL536" s="244"/>
      <c r="CM536" s="244">
        <v>0</v>
      </c>
      <c r="CN536" s="244" t="s">
        <v>605</v>
      </c>
      <c r="CO536" s="244">
        <v>0</v>
      </c>
      <c r="CP536" s="244">
        <v>0</v>
      </c>
      <c r="CQ536" s="244">
        <v>0</v>
      </c>
      <c r="CR536" s="244">
        <v>0</v>
      </c>
      <c r="CS536" s="244">
        <v>0</v>
      </c>
      <c r="CT536" s="244">
        <v>0</v>
      </c>
      <c r="CU536" s="244">
        <v>0</v>
      </c>
      <c r="CV536" s="244">
        <v>9999</v>
      </c>
      <c r="CW536" s="228">
        <v>9999</v>
      </c>
    </row>
    <row r="537" spans="1:101">
      <c r="A537" s="221" t="s">
        <v>457</v>
      </c>
      <c r="B537" s="221" t="s">
        <v>604</v>
      </c>
      <c r="C537" s="244">
        <v>10</v>
      </c>
      <c r="D537" s="244">
        <v>11.694207648305705</v>
      </c>
      <c r="E537" s="244">
        <v>0</v>
      </c>
      <c r="F537" s="244">
        <v>0</v>
      </c>
      <c r="G537" s="244">
        <v>0</v>
      </c>
      <c r="H537" s="244">
        <v>0</v>
      </c>
      <c r="I537" s="244" t="s">
        <v>605</v>
      </c>
      <c r="J537" s="244">
        <v>1</v>
      </c>
      <c r="K537" s="244">
        <v>0.63999998569488525</v>
      </c>
      <c r="L537" s="244">
        <v>12.754437406264415</v>
      </c>
      <c r="M537" s="244">
        <v>9.3183107674121857E-4</v>
      </c>
      <c r="N537" s="244">
        <v>1.455986057408154E-3</v>
      </c>
      <c r="O537" s="244">
        <v>0</v>
      </c>
      <c r="P537" s="244">
        <v>0</v>
      </c>
      <c r="Q537" s="244">
        <v>0</v>
      </c>
      <c r="R537" s="244">
        <v>0</v>
      </c>
      <c r="S537" s="244">
        <v>0</v>
      </c>
      <c r="T537" s="244">
        <v>0</v>
      </c>
      <c r="U537" s="244">
        <v>0</v>
      </c>
      <c r="V537" s="244" t="s">
        <v>226</v>
      </c>
      <c r="W537" s="244" t="s">
        <v>226</v>
      </c>
      <c r="X537" s="244" t="s">
        <v>226</v>
      </c>
      <c r="Y537" s="244" t="s">
        <v>226</v>
      </c>
      <c r="Z537" s="244">
        <v>0</v>
      </c>
      <c r="AA537" s="244">
        <v>0</v>
      </c>
      <c r="AB537" s="244">
        <v>0</v>
      </c>
      <c r="AC537" s="244">
        <v>0</v>
      </c>
      <c r="AD537" s="244">
        <v>0</v>
      </c>
      <c r="AE537" s="244">
        <v>0</v>
      </c>
      <c r="AF537" s="244">
        <v>0</v>
      </c>
      <c r="AG537" s="244">
        <v>0</v>
      </c>
      <c r="AH537" s="244">
        <v>0</v>
      </c>
      <c r="AI537" s="244">
        <v>0</v>
      </c>
      <c r="AJ537" s="244">
        <v>0</v>
      </c>
      <c r="AK537" s="244">
        <v>0</v>
      </c>
      <c r="AL537" s="244">
        <v>0</v>
      </c>
      <c r="AM537" s="244">
        <v>8.8369947890765186</v>
      </c>
      <c r="AN537" s="244">
        <v>0</v>
      </c>
      <c r="AO537" s="244">
        <v>1.5671782493591309</v>
      </c>
      <c r="AP537" s="244">
        <v>6.8347878456115723</v>
      </c>
      <c r="AQ537" s="244">
        <v>17.238960266113281</v>
      </c>
      <c r="AR537" s="244">
        <v>0</v>
      </c>
      <c r="AS537" s="228">
        <v>9999</v>
      </c>
      <c r="AT537" s="244">
        <v>8.8369947890765186</v>
      </c>
      <c r="AU537" s="244">
        <v>0.41733062267303467</v>
      </c>
      <c r="AV537" s="244">
        <v>1.608911395072937</v>
      </c>
      <c r="AW537" s="244">
        <v>6.8347878456115723</v>
      </c>
      <c r="AX537" s="244">
        <v>17.698024749755859</v>
      </c>
      <c r="AY537" s="244">
        <v>0</v>
      </c>
      <c r="AZ537" s="228">
        <v>9999</v>
      </c>
      <c r="BA537" s="244">
        <v>8.8369947890765186</v>
      </c>
      <c r="BB537" s="244">
        <v>0.41733062267303467</v>
      </c>
      <c r="BC537" s="244">
        <v>1.608911395072937</v>
      </c>
      <c r="BD537" s="244">
        <v>6.8347878456115723</v>
      </c>
      <c r="BE537" s="244">
        <v>17.698024749755859</v>
      </c>
      <c r="BF537" s="244">
        <v>0</v>
      </c>
      <c r="BG537" s="244">
        <v>-55.747810363769531</v>
      </c>
      <c r="BH537" s="228">
        <v>9999</v>
      </c>
      <c r="BI537" s="244">
        <v>0</v>
      </c>
      <c r="BJ537" s="244">
        <v>0</v>
      </c>
      <c r="BK537" s="244">
        <v>0</v>
      </c>
      <c r="BL537" s="244">
        <v>0</v>
      </c>
      <c r="BM537" s="244">
        <v>0</v>
      </c>
      <c r="BN537" s="244">
        <v>8.8369947890765186</v>
      </c>
      <c r="BO537" s="244">
        <v>0</v>
      </c>
      <c r="BP537" s="244">
        <v>0.41733062267303467</v>
      </c>
      <c r="BQ537" s="244">
        <v>0</v>
      </c>
      <c r="BR537" s="244">
        <v>0</v>
      </c>
      <c r="BS537" s="244">
        <v>0</v>
      </c>
      <c r="BT537" s="244">
        <v>6.8347878456115723</v>
      </c>
      <c r="BU537" s="244">
        <v>0</v>
      </c>
      <c r="BV537" s="244">
        <v>0</v>
      </c>
      <c r="BW537" s="244">
        <v>1.608911395072937</v>
      </c>
      <c r="BX537" s="244">
        <v>0</v>
      </c>
      <c r="BY537" s="244"/>
      <c r="BZ537" s="244">
        <v>0</v>
      </c>
      <c r="CA537" s="244">
        <v>0</v>
      </c>
      <c r="CB537" s="244">
        <v>17.698024749755859</v>
      </c>
      <c r="CC537" s="244">
        <v>0</v>
      </c>
      <c r="CD537" s="228">
        <v>9999</v>
      </c>
      <c r="CE537" s="244">
        <v>-55.747810363769531</v>
      </c>
      <c r="CF537" s="244">
        <v>9.6720065386502241E-2</v>
      </c>
      <c r="CG537" s="244">
        <v>0</v>
      </c>
      <c r="CH537" s="244">
        <v>9.6720065386502241E-2</v>
      </c>
      <c r="CI537" s="244">
        <v>4.7476459420471512E-3</v>
      </c>
      <c r="CJ537" s="244">
        <v>0</v>
      </c>
      <c r="CK537" s="244">
        <v>4.7476459420471512E-3</v>
      </c>
      <c r="CL537" s="244"/>
      <c r="CM537" s="244">
        <v>0</v>
      </c>
      <c r="CN537" s="244" t="s">
        <v>605</v>
      </c>
      <c r="CO537" s="244">
        <v>0</v>
      </c>
      <c r="CP537" s="244">
        <v>0</v>
      </c>
      <c r="CQ537" s="244">
        <v>0</v>
      </c>
      <c r="CR537" s="244">
        <v>0</v>
      </c>
      <c r="CS537" s="244">
        <v>0</v>
      </c>
      <c r="CT537" s="244">
        <v>0</v>
      </c>
      <c r="CU537" s="244">
        <v>0</v>
      </c>
      <c r="CV537" s="244">
        <v>9999</v>
      </c>
      <c r="CW537" s="228">
        <v>9999</v>
      </c>
    </row>
    <row r="538" spans="1:101">
      <c r="A538" s="221" t="s">
        <v>458</v>
      </c>
      <c r="B538" s="221" t="s">
        <v>604</v>
      </c>
      <c r="C538" s="244">
        <v>10</v>
      </c>
      <c r="D538" s="244">
        <v>11.694207648305705</v>
      </c>
      <c r="E538" s="244">
        <v>0</v>
      </c>
      <c r="F538" s="244">
        <v>0</v>
      </c>
      <c r="G538" s="244">
        <v>0</v>
      </c>
      <c r="H538" s="244">
        <v>0</v>
      </c>
      <c r="I538" s="244" t="s">
        <v>605</v>
      </c>
      <c r="J538" s="244">
        <v>1</v>
      </c>
      <c r="K538" s="244">
        <v>0.63999998569488525</v>
      </c>
      <c r="L538" s="244">
        <v>12.754437406264415</v>
      </c>
      <c r="M538" s="244">
        <v>9.3183107674121857E-4</v>
      </c>
      <c r="N538" s="244">
        <v>1.455986057408154E-3</v>
      </c>
      <c r="O538" s="244">
        <v>0</v>
      </c>
      <c r="P538" s="244">
        <v>0</v>
      </c>
      <c r="Q538" s="244">
        <v>0</v>
      </c>
      <c r="R538" s="244">
        <v>0</v>
      </c>
      <c r="S538" s="244">
        <v>0</v>
      </c>
      <c r="T538" s="244">
        <v>0</v>
      </c>
      <c r="U538" s="244">
        <v>0</v>
      </c>
      <c r="V538" s="244" t="s">
        <v>226</v>
      </c>
      <c r="W538" s="244" t="s">
        <v>226</v>
      </c>
      <c r="X538" s="244" t="s">
        <v>226</v>
      </c>
      <c r="Y538" s="244" t="s">
        <v>226</v>
      </c>
      <c r="Z538" s="244">
        <v>0</v>
      </c>
      <c r="AA538" s="244">
        <v>0</v>
      </c>
      <c r="AB538" s="244">
        <v>0</v>
      </c>
      <c r="AC538" s="244">
        <v>0</v>
      </c>
      <c r="AD538" s="244">
        <v>0</v>
      </c>
      <c r="AE538" s="244">
        <v>0</v>
      </c>
      <c r="AF538" s="244">
        <v>0</v>
      </c>
      <c r="AG538" s="244">
        <v>0</v>
      </c>
      <c r="AH538" s="244">
        <v>0</v>
      </c>
      <c r="AI538" s="244">
        <v>0</v>
      </c>
      <c r="AJ538" s="244">
        <v>0</v>
      </c>
      <c r="AK538" s="244">
        <v>0</v>
      </c>
      <c r="AL538" s="244">
        <v>0</v>
      </c>
      <c r="AM538" s="244">
        <v>8.8369947890765186</v>
      </c>
      <c r="AN538" s="244">
        <v>0</v>
      </c>
      <c r="AO538" s="244">
        <v>1.5671782493591309</v>
      </c>
      <c r="AP538" s="244">
        <v>6.8347878456115723</v>
      </c>
      <c r="AQ538" s="244">
        <v>17.238960266113281</v>
      </c>
      <c r="AR538" s="244">
        <v>0</v>
      </c>
      <c r="AS538" s="228">
        <v>9999</v>
      </c>
      <c r="AT538" s="244">
        <v>8.8369947890765186</v>
      </c>
      <c r="AU538" s="244">
        <v>0.41733062267303467</v>
      </c>
      <c r="AV538" s="244">
        <v>1.608911395072937</v>
      </c>
      <c r="AW538" s="244">
        <v>6.8347878456115723</v>
      </c>
      <c r="AX538" s="244">
        <v>17.698024749755859</v>
      </c>
      <c r="AY538" s="244">
        <v>0</v>
      </c>
      <c r="AZ538" s="228">
        <v>9999</v>
      </c>
      <c r="BA538" s="244">
        <v>8.8369947890765186</v>
      </c>
      <c r="BB538" s="244">
        <v>0.41733062267303467</v>
      </c>
      <c r="BC538" s="244">
        <v>1.608911395072937</v>
      </c>
      <c r="BD538" s="244">
        <v>6.8347878456115723</v>
      </c>
      <c r="BE538" s="244">
        <v>17.698024749755859</v>
      </c>
      <c r="BF538" s="244">
        <v>0</v>
      </c>
      <c r="BG538" s="244">
        <v>-55.747810363769531</v>
      </c>
      <c r="BH538" s="228">
        <v>9999</v>
      </c>
      <c r="BI538" s="244">
        <v>0</v>
      </c>
      <c r="BJ538" s="244">
        <v>0</v>
      </c>
      <c r="BK538" s="244">
        <v>0</v>
      </c>
      <c r="BL538" s="244">
        <v>0</v>
      </c>
      <c r="BM538" s="244">
        <v>0</v>
      </c>
      <c r="BN538" s="244">
        <v>8.8369947890765186</v>
      </c>
      <c r="BO538" s="244">
        <v>0</v>
      </c>
      <c r="BP538" s="244">
        <v>0.41733062267303467</v>
      </c>
      <c r="BQ538" s="244">
        <v>0</v>
      </c>
      <c r="BR538" s="244">
        <v>0</v>
      </c>
      <c r="BS538" s="244">
        <v>0</v>
      </c>
      <c r="BT538" s="244">
        <v>6.8347878456115723</v>
      </c>
      <c r="BU538" s="244">
        <v>0</v>
      </c>
      <c r="BV538" s="244">
        <v>0</v>
      </c>
      <c r="BW538" s="244">
        <v>1.608911395072937</v>
      </c>
      <c r="BX538" s="244">
        <v>0</v>
      </c>
      <c r="BY538" s="244"/>
      <c r="BZ538" s="244">
        <v>0</v>
      </c>
      <c r="CA538" s="244">
        <v>0</v>
      </c>
      <c r="CB538" s="244">
        <v>17.698024749755859</v>
      </c>
      <c r="CC538" s="244">
        <v>0</v>
      </c>
      <c r="CD538" s="228">
        <v>9999</v>
      </c>
      <c r="CE538" s="244">
        <v>-55.747810363769531</v>
      </c>
      <c r="CF538" s="244">
        <v>9.6720065386502241E-2</v>
      </c>
      <c r="CG538" s="244">
        <v>0</v>
      </c>
      <c r="CH538" s="244">
        <v>9.6720065386502241E-2</v>
      </c>
      <c r="CI538" s="244">
        <v>4.7476459420471512E-3</v>
      </c>
      <c r="CJ538" s="244">
        <v>0</v>
      </c>
      <c r="CK538" s="244">
        <v>4.7476459420471512E-3</v>
      </c>
      <c r="CL538" s="244"/>
      <c r="CM538" s="244">
        <v>0</v>
      </c>
      <c r="CN538" s="244" t="s">
        <v>605</v>
      </c>
      <c r="CO538" s="244">
        <v>0</v>
      </c>
      <c r="CP538" s="244">
        <v>0</v>
      </c>
      <c r="CQ538" s="244">
        <v>0</v>
      </c>
      <c r="CR538" s="244">
        <v>0</v>
      </c>
      <c r="CS538" s="244">
        <v>0</v>
      </c>
      <c r="CT538" s="244">
        <v>0</v>
      </c>
      <c r="CU538" s="244">
        <v>0</v>
      </c>
      <c r="CV538" s="244">
        <v>9999</v>
      </c>
      <c r="CW538" s="228">
        <v>9999</v>
      </c>
    </row>
    <row r="539" spans="1:101">
      <c r="A539" s="221" t="s">
        <v>459</v>
      </c>
      <c r="B539" s="221" t="s">
        <v>604</v>
      </c>
      <c r="C539" s="244">
        <v>10</v>
      </c>
      <c r="D539" s="244">
        <v>11.694207648305705</v>
      </c>
      <c r="E539" s="244">
        <v>0</v>
      </c>
      <c r="F539" s="244">
        <v>0</v>
      </c>
      <c r="G539" s="244">
        <v>0</v>
      </c>
      <c r="H539" s="244">
        <v>0</v>
      </c>
      <c r="I539" s="244" t="s">
        <v>605</v>
      </c>
      <c r="J539" s="244">
        <v>1</v>
      </c>
      <c r="K539" s="244">
        <v>0.63999998569488525</v>
      </c>
      <c r="L539" s="244">
        <v>12.754437406264415</v>
      </c>
      <c r="M539" s="244">
        <v>9.3183107674121857E-4</v>
      </c>
      <c r="N539" s="244">
        <v>1.455986057408154E-3</v>
      </c>
      <c r="O539" s="244">
        <v>0</v>
      </c>
      <c r="P539" s="244">
        <v>0</v>
      </c>
      <c r="Q539" s="244">
        <v>0</v>
      </c>
      <c r="R539" s="244">
        <v>0</v>
      </c>
      <c r="S539" s="244">
        <v>0</v>
      </c>
      <c r="T539" s="244">
        <v>0</v>
      </c>
      <c r="U539" s="244">
        <v>0</v>
      </c>
      <c r="V539" s="244" t="s">
        <v>226</v>
      </c>
      <c r="W539" s="244" t="s">
        <v>226</v>
      </c>
      <c r="X539" s="244" t="s">
        <v>226</v>
      </c>
      <c r="Y539" s="244" t="s">
        <v>226</v>
      </c>
      <c r="Z539" s="244">
        <v>0</v>
      </c>
      <c r="AA539" s="244">
        <v>0</v>
      </c>
      <c r="AB539" s="244">
        <v>0</v>
      </c>
      <c r="AC539" s="244">
        <v>0</v>
      </c>
      <c r="AD539" s="244">
        <v>0</v>
      </c>
      <c r="AE539" s="244">
        <v>0</v>
      </c>
      <c r="AF539" s="244">
        <v>0</v>
      </c>
      <c r="AG539" s="244">
        <v>0</v>
      </c>
      <c r="AH539" s="244">
        <v>0</v>
      </c>
      <c r="AI539" s="244">
        <v>0</v>
      </c>
      <c r="AJ539" s="244">
        <v>0</v>
      </c>
      <c r="AK539" s="244">
        <v>0</v>
      </c>
      <c r="AL539" s="244">
        <v>0</v>
      </c>
      <c r="AM539" s="244">
        <v>8.8369947890765186</v>
      </c>
      <c r="AN539" s="244">
        <v>0</v>
      </c>
      <c r="AO539" s="244">
        <v>1.5671782493591309</v>
      </c>
      <c r="AP539" s="244">
        <v>6.8347878456115723</v>
      </c>
      <c r="AQ539" s="244">
        <v>17.238960266113281</v>
      </c>
      <c r="AR539" s="244">
        <v>0</v>
      </c>
      <c r="AS539" s="228">
        <v>9999</v>
      </c>
      <c r="AT539" s="244">
        <v>8.8369947890765186</v>
      </c>
      <c r="AU539" s="244">
        <v>0.41733062267303467</v>
      </c>
      <c r="AV539" s="244">
        <v>1.608911395072937</v>
      </c>
      <c r="AW539" s="244">
        <v>6.8347878456115723</v>
      </c>
      <c r="AX539" s="244">
        <v>17.698024749755859</v>
      </c>
      <c r="AY539" s="244">
        <v>0</v>
      </c>
      <c r="AZ539" s="228">
        <v>9999</v>
      </c>
      <c r="BA539" s="244">
        <v>8.8369947890765186</v>
      </c>
      <c r="BB539" s="244">
        <v>0.41733062267303467</v>
      </c>
      <c r="BC539" s="244">
        <v>1.608911395072937</v>
      </c>
      <c r="BD539" s="244">
        <v>6.8347878456115723</v>
      </c>
      <c r="BE539" s="244">
        <v>17.698024749755859</v>
      </c>
      <c r="BF539" s="244">
        <v>0</v>
      </c>
      <c r="BG539" s="244">
        <v>-55.747810363769531</v>
      </c>
      <c r="BH539" s="228">
        <v>9999</v>
      </c>
      <c r="BI539" s="244">
        <v>0</v>
      </c>
      <c r="BJ539" s="244">
        <v>0</v>
      </c>
      <c r="BK539" s="244">
        <v>0</v>
      </c>
      <c r="BL539" s="244">
        <v>0</v>
      </c>
      <c r="BM539" s="244">
        <v>0</v>
      </c>
      <c r="BN539" s="244">
        <v>8.8369947890765186</v>
      </c>
      <c r="BO539" s="244">
        <v>0</v>
      </c>
      <c r="BP539" s="244">
        <v>0.41733062267303467</v>
      </c>
      <c r="BQ539" s="244">
        <v>0</v>
      </c>
      <c r="BR539" s="244">
        <v>0</v>
      </c>
      <c r="BS539" s="244">
        <v>0</v>
      </c>
      <c r="BT539" s="244">
        <v>6.8347878456115723</v>
      </c>
      <c r="BU539" s="244">
        <v>0</v>
      </c>
      <c r="BV539" s="244">
        <v>0</v>
      </c>
      <c r="BW539" s="244">
        <v>1.608911395072937</v>
      </c>
      <c r="BX539" s="244">
        <v>0</v>
      </c>
      <c r="BY539" s="244"/>
      <c r="BZ539" s="244">
        <v>0</v>
      </c>
      <c r="CA539" s="244">
        <v>0</v>
      </c>
      <c r="CB539" s="244">
        <v>17.698024749755859</v>
      </c>
      <c r="CC539" s="244">
        <v>0</v>
      </c>
      <c r="CD539" s="228">
        <v>9999</v>
      </c>
      <c r="CE539" s="244">
        <v>-55.747810363769531</v>
      </c>
      <c r="CF539" s="244">
        <v>9.6720065386502241E-2</v>
      </c>
      <c r="CG539" s="244">
        <v>0</v>
      </c>
      <c r="CH539" s="244">
        <v>9.6720065386502241E-2</v>
      </c>
      <c r="CI539" s="244">
        <v>4.7476459420471512E-3</v>
      </c>
      <c r="CJ539" s="244">
        <v>0</v>
      </c>
      <c r="CK539" s="244">
        <v>4.7476459420471512E-3</v>
      </c>
      <c r="CL539" s="244"/>
      <c r="CM539" s="244">
        <v>0</v>
      </c>
      <c r="CN539" s="244" t="s">
        <v>605</v>
      </c>
      <c r="CO539" s="244">
        <v>0</v>
      </c>
      <c r="CP539" s="244">
        <v>0</v>
      </c>
      <c r="CQ539" s="244">
        <v>0</v>
      </c>
      <c r="CR539" s="244">
        <v>0</v>
      </c>
      <c r="CS539" s="244">
        <v>0</v>
      </c>
      <c r="CT539" s="244">
        <v>0</v>
      </c>
      <c r="CU539" s="244">
        <v>0</v>
      </c>
      <c r="CV539" s="244">
        <v>9999</v>
      </c>
      <c r="CW539" s="228">
        <v>9999</v>
      </c>
    </row>
    <row r="540" spans="1:101">
      <c r="A540" s="221" t="s">
        <v>460</v>
      </c>
      <c r="B540" s="221" t="s">
        <v>604</v>
      </c>
      <c r="C540" s="244">
        <v>10</v>
      </c>
      <c r="D540" s="244">
        <v>4.4549362469736007</v>
      </c>
      <c r="E540" s="244">
        <v>0</v>
      </c>
      <c r="F540" s="244">
        <v>0</v>
      </c>
      <c r="G540" s="244">
        <v>0</v>
      </c>
      <c r="H540" s="244">
        <v>0</v>
      </c>
      <c r="I540" s="244" t="s">
        <v>605</v>
      </c>
      <c r="J540" s="244">
        <v>1</v>
      </c>
      <c r="K540" s="244">
        <v>0.63999998569488525</v>
      </c>
      <c r="L540" s="244">
        <v>4.8588332976245372</v>
      </c>
      <c r="M540" s="244">
        <v>3.5498323268257082E-4</v>
      </c>
      <c r="N540" s="244">
        <v>5.5466132471337914E-4</v>
      </c>
      <c r="O540" s="244">
        <v>0</v>
      </c>
      <c r="P540" s="244">
        <v>0</v>
      </c>
      <c r="Q540" s="244">
        <v>0</v>
      </c>
      <c r="R540" s="244">
        <v>0</v>
      </c>
      <c r="S540" s="244">
        <v>0</v>
      </c>
      <c r="T540" s="244">
        <v>0</v>
      </c>
      <c r="U540" s="244">
        <v>0</v>
      </c>
      <c r="V540" s="244" t="s">
        <v>226</v>
      </c>
      <c r="W540" s="244" t="s">
        <v>226</v>
      </c>
      <c r="X540" s="244" t="s">
        <v>226</v>
      </c>
      <c r="Y540" s="244" t="s">
        <v>226</v>
      </c>
      <c r="Z540" s="244">
        <v>0</v>
      </c>
      <c r="AA540" s="244">
        <v>0</v>
      </c>
      <c r="AB540" s="244">
        <v>0</v>
      </c>
      <c r="AC540" s="244">
        <v>0</v>
      </c>
      <c r="AD540" s="244">
        <v>0</v>
      </c>
      <c r="AE540" s="244">
        <v>0</v>
      </c>
      <c r="AF540" s="244">
        <v>0</v>
      </c>
      <c r="AG540" s="244">
        <v>0</v>
      </c>
      <c r="AH540" s="244">
        <v>0</v>
      </c>
      <c r="AI540" s="244">
        <v>0</v>
      </c>
      <c r="AJ540" s="244">
        <v>0</v>
      </c>
      <c r="AK540" s="244">
        <v>0</v>
      </c>
      <c r="AL540" s="244">
        <v>0</v>
      </c>
      <c r="AM540" s="244">
        <v>3.3664742053624899</v>
      </c>
      <c r="AN540" s="244">
        <v>0</v>
      </c>
      <c r="AO540" s="244">
        <v>0.59702026844024658</v>
      </c>
      <c r="AP540" s="244">
        <v>2.6037285327911377</v>
      </c>
      <c r="AQ540" s="244">
        <v>6.567223072052002</v>
      </c>
      <c r="AR540" s="244">
        <v>0</v>
      </c>
      <c r="AS540" s="228">
        <v>9999</v>
      </c>
      <c r="AT540" s="244">
        <v>3.3664742053624899</v>
      </c>
      <c r="AU540" s="244">
        <v>0.15898312628269196</v>
      </c>
      <c r="AV540" s="244">
        <v>0.61291861534118652</v>
      </c>
      <c r="AW540" s="244">
        <v>2.6037285327911377</v>
      </c>
      <c r="AX540" s="244">
        <v>6.7421045303344727</v>
      </c>
      <c r="AY540" s="244">
        <v>0</v>
      </c>
      <c r="AZ540" s="228">
        <v>9999</v>
      </c>
      <c r="BA540" s="244">
        <v>3.3664742053624899</v>
      </c>
      <c r="BB540" s="244">
        <v>0.15898312628269196</v>
      </c>
      <c r="BC540" s="244">
        <v>0.61291861534118652</v>
      </c>
      <c r="BD540" s="244">
        <v>2.6037285327911377</v>
      </c>
      <c r="BE540" s="244">
        <v>6.7421045303344727</v>
      </c>
      <c r="BF540" s="244">
        <v>0</v>
      </c>
      <c r="BG540" s="244">
        <v>-55.747806549072266</v>
      </c>
      <c r="BH540" s="228">
        <v>9999</v>
      </c>
      <c r="BI540" s="244">
        <v>0</v>
      </c>
      <c r="BJ540" s="244">
        <v>0</v>
      </c>
      <c r="BK540" s="244">
        <v>0</v>
      </c>
      <c r="BL540" s="244">
        <v>0</v>
      </c>
      <c r="BM540" s="244">
        <v>0</v>
      </c>
      <c r="BN540" s="244">
        <v>3.3664742053624899</v>
      </c>
      <c r="BO540" s="244">
        <v>0</v>
      </c>
      <c r="BP540" s="244">
        <v>0.15898312628269196</v>
      </c>
      <c r="BQ540" s="244">
        <v>0</v>
      </c>
      <c r="BR540" s="244">
        <v>0</v>
      </c>
      <c r="BS540" s="244">
        <v>0</v>
      </c>
      <c r="BT540" s="244">
        <v>2.6037285327911377</v>
      </c>
      <c r="BU540" s="244">
        <v>0</v>
      </c>
      <c r="BV540" s="244">
        <v>0</v>
      </c>
      <c r="BW540" s="244">
        <v>0.61291861534118652</v>
      </c>
      <c r="BX540" s="244">
        <v>0</v>
      </c>
      <c r="BY540" s="244"/>
      <c r="BZ540" s="244">
        <v>0</v>
      </c>
      <c r="CA540" s="244">
        <v>0</v>
      </c>
      <c r="CB540" s="244">
        <v>6.7421045303344727</v>
      </c>
      <c r="CC540" s="244">
        <v>0</v>
      </c>
      <c r="CD540" s="228">
        <v>9999</v>
      </c>
      <c r="CE540" s="244">
        <v>-55.747806549072266</v>
      </c>
      <c r="CF540" s="244">
        <v>3.6845739194857889E-2</v>
      </c>
      <c r="CG540" s="244">
        <v>0</v>
      </c>
      <c r="CH540" s="244">
        <v>3.6845739194857889E-2</v>
      </c>
      <c r="CI540" s="244">
        <v>1.8086270255417711E-3</v>
      </c>
      <c r="CJ540" s="244">
        <v>0</v>
      </c>
      <c r="CK540" s="244">
        <v>1.8086270255417711E-3</v>
      </c>
      <c r="CL540" s="244"/>
      <c r="CM540" s="244">
        <v>0</v>
      </c>
      <c r="CN540" s="244" t="s">
        <v>605</v>
      </c>
      <c r="CO540" s="244">
        <v>0</v>
      </c>
      <c r="CP540" s="244">
        <v>0</v>
      </c>
      <c r="CQ540" s="244">
        <v>0</v>
      </c>
      <c r="CR540" s="244">
        <v>0</v>
      </c>
      <c r="CS540" s="244">
        <v>0</v>
      </c>
      <c r="CT540" s="244">
        <v>0</v>
      </c>
      <c r="CU540" s="244">
        <v>0</v>
      </c>
      <c r="CV540" s="244">
        <v>9999</v>
      </c>
      <c r="CW540" s="228">
        <v>9999</v>
      </c>
    </row>
    <row r="541" spans="1:101">
      <c r="A541" s="221" t="s">
        <v>461</v>
      </c>
      <c r="B541" s="221" t="s">
        <v>604</v>
      </c>
      <c r="C541" s="244">
        <v>10</v>
      </c>
      <c r="D541" s="244">
        <v>4.4549362469736007</v>
      </c>
      <c r="E541" s="244">
        <v>0</v>
      </c>
      <c r="F541" s="244">
        <v>0</v>
      </c>
      <c r="G541" s="244">
        <v>0</v>
      </c>
      <c r="H541" s="244">
        <v>0</v>
      </c>
      <c r="I541" s="244" t="s">
        <v>605</v>
      </c>
      <c r="J541" s="244">
        <v>1</v>
      </c>
      <c r="K541" s="244">
        <v>0.63999998569488525</v>
      </c>
      <c r="L541" s="244">
        <v>4.8588332976245372</v>
      </c>
      <c r="M541" s="244">
        <v>3.5498323268257082E-4</v>
      </c>
      <c r="N541" s="244">
        <v>5.5466132471337914E-4</v>
      </c>
      <c r="O541" s="244">
        <v>0</v>
      </c>
      <c r="P541" s="244">
        <v>0</v>
      </c>
      <c r="Q541" s="244">
        <v>0</v>
      </c>
      <c r="R541" s="244">
        <v>0</v>
      </c>
      <c r="S541" s="244">
        <v>0</v>
      </c>
      <c r="T541" s="244">
        <v>0</v>
      </c>
      <c r="U541" s="244">
        <v>0</v>
      </c>
      <c r="V541" s="244" t="s">
        <v>226</v>
      </c>
      <c r="W541" s="244" t="s">
        <v>226</v>
      </c>
      <c r="X541" s="244" t="s">
        <v>226</v>
      </c>
      <c r="Y541" s="244" t="s">
        <v>226</v>
      </c>
      <c r="Z541" s="244">
        <v>0</v>
      </c>
      <c r="AA541" s="244">
        <v>0</v>
      </c>
      <c r="AB541" s="244">
        <v>0</v>
      </c>
      <c r="AC541" s="244">
        <v>0</v>
      </c>
      <c r="AD541" s="244">
        <v>0</v>
      </c>
      <c r="AE541" s="244">
        <v>0</v>
      </c>
      <c r="AF541" s="244">
        <v>0</v>
      </c>
      <c r="AG541" s="244">
        <v>0</v>
      </c>
      <c r="AH541" s="244">
        <v>0</v>
      </c>
      <c r="AI541" s="244">
        <v>0</v>
      </c>
      <c r="AJ541" s="244">
        <v>0</v>
      </c>
      <c r="AK541" s="244">
        <v>0</v>
      </c>
      <c r="AL541" s="244">
        <v>0</v>
      </c>
      <c r="AM541" s="244">
        <v>3.3664742053624899</v>
      </c>
      <c r="AN541" s="244">
        <v>0</v>
      </c>
      <c r="AO541" s="244">
        <v>0.59702026844024658</v>
      </c>
      <c r="AP541" s="244">
        <v>2.6037285327911377</v>
      </c>
      <c r="AQ541" s="244">
        <v>6.567223072052002</v>
      </c>
      <c r="AR541" s="244">
        <v>0</v>
      </c>
      <c r="AS541" s="228">
        <v>9999</v>
      </c>
      <c r="AT541" s="244">
        <v>3.3664742053624899</v>
      </c>
      <c r="AU541" s="244">
        <v>0.15898312628269196</v>
      </c>
      <c r="AV541" s="244">
        <v>0.61291861534118652</v>
      </c>
      <c r="AW541" s="244">
        <v>2.6037285327911377</v>
      </c>
      <c r="AX541" s="244">
        <v>6.7421045303344727</v>
      </c>
      <c r="AY541" s="244">
        <v>0</v>
      </c>
      <c r="AZ541" s="228">
        <v>9999</v>
      </c>
      <c r="BA541" s="244">
        <v>3.3664742053624899</v>
      </c>
      <c r="BB541" s="244">
        <v>0.15898312628269196</v>
      </c>
      <c r="BC541" s="244">
        <v>0.61291861534118652</v>
      </c>
      <c r="BD541" s="244">
        <v>2.6037285327911377</v>
      </c>
      <c r="BE541" s="244">
        <v>6.7421045303344727</v>
      </c>
      <c r="BF541" s="244">
        <v>0</v>
      </c>
      <c r="BG541" s="244">
        <v>-55.747806549072266</v>
      </c>
      <c r="BH541" s="228">
        <v>9999</v>
      </c>
      <c r="BI541" s="244">
        <v>0</v>
      </c>
      <c r="BJ541" s="244">
        <v>0</v>
      </c>
      <c r="BK541" s="244">
        <v>0</v>
      </c>
      <c r="BL541" s="244">
        <v>0</v>
      </c>
      <c r="BM541" s="244">
        <v>0</v>
      </c>
      <c r="BN541" s="244">
        <v>3.3664742053624899</v>
      </c>
      <c r="BO541" s="244">
        <v>0</v>
      </c>
      <c r="BP541" s="244">
        <v>0.15898312628269196</v>
      </c>
      <c r="BQ541" s="244">
        <v>0</v>
      </c>
      <c r="BR541" s="244">
        <v>0</v>
      </c>
      <c r="BS541" s="244">
        <v>0</v>
      </c>
      <c r="BT541" s="244">
        <v>2.6037285327911377</v>
      </c>
      <c r="BU541" s="244">
        <v>0</v>
      </c>
      <c r="BV541" s="244">
        <v>0</v>
      </c>
      <c r="BW541" s="244">
        <v>0.61291861534118652</v>
      </c>
      <c r="BX541" s="244">
        <v>0</v>
      </c>
      <c r="BY541" s="244"/>
      <c r="BZ541" s="244">
        <v>0</v>
      </c>
      <c r="CA541" s="244">
        <v>0</v>
      </c>
      <c r="CB541" s="244">
        <v>6.7421045303344727</v>
      </c>
      <c r="CC541" s="244">
        <v>0</v>
      </c>
      <c r="CD541" s="228">
        <v>9999</v>
      </c>
      <c r="CE541" s="244">
        <v>-55.747806549072266</v>
      </c>
      <c r="CF541" s="244">
        <v>3.6845739194857889E-2</v>
      </c>
      <c r="CG541" s="244">
        <v>0</v>
      </c>
      <c r="CH541" s="244">
        <v>3.6845739194857889E-2</v>
      </c>
      <c r="CI541" s="244">
        <v>1.8086270255417711E-3</v>
      </c>
      <c r="CJ541" s="244">
        <v>0</v>
      </c>
      <c r="CK541" s="244">
        <v>1.8086270255417711E-3</v>
      </c>
      <c r="CL541" s="244"/>
      <c r="CM541" s="244">
        <v>0</v>
      </c>
      <c r="CN541" s="244" t="s">
        <v>605</v>
      </c>
      <c r="CO541" s="244">
        <v>0</v>
      </c>
      <c r="CP541" s="244">
        <v>0</v>
      </c>
      <c r="CQ541" s="244">
        <v>0</v>
      </c>
      <c r="CR541" s="244">
        <v>0</v>
      </c>
      <c r="CS541" s="244">
        <v>0</v>
      </c>
      <c r="CT541" s="244">
        <v>0</v>
      </c>
      <c r="CU541" s="244">
        <v>0</v>
      </c>
      <c r="CV541" s="244">
        <v>9999</v>
      </c>
      <c r="CW541" s="228">
        <v>9999</v>
      </c>
    </row>
    <row r="542" spans="1:101">
      <c r="A542" s="221" t="s">
        <v>462</v>
      </c>
      <c r="B542" s="221" t="s">
        <v>604</v>
      </c>
      <c r="C542" s="244">
        <v>10</v>
      </c>
      <c r="D542" s="244">
        <v>4.4549362469736007</v>
      </c>
      <c r="E542" s="244">
        <v>0</v>
      </c>
      <c r="F542" s="244">
        <v>0</v>
      </c>
      <c r="G542" s="244">
        <v>0</v>
      </c>
      <c r="H542" s="244">
        <v>0</v>
      </c>
      <c r="I542" s="244" t="s">
        <v>605</v>
      </c>
      <c r="J542" s="244">
        <v>1</v>
      </c>
      <c r="K542" s="244">
        <v>0.63999998569488525</v>
      </c>
      <c r="L542" s="244">
        <v>4.8588332976245372</v>
      </c>
      <c r="M542" s="244">
        <v>3.5498323268257082E-4</v>
      </c>
      <c r="N542" s="244">
        <v>5.5466132471337914E-4</v>
      </c>
      <c r="O542" s="244">
        <v>0</v>
      </c>
      <c r="P542" s="244">
        <v>0</v>
      </c>
      <c r="Q542" s="244">
        <v>0</v>
      </c>
      <c r="R542" s="244">
        <v>0</v>
      </c>
      <c r="S542" s="244">
        <v>0</v>
      </c>
      <c r="T542" s="244">
        <v>0</v>
      </c>
      <c r="U542" s="244">
        <v>0</v>
      </c>
      <c r="V542" s="244" t="s">
        <v>226</v>
      </c>
      <c r="W542" s="244" t="s">
        <v>226</v>
      </c>
      <c r="X542" s="244" t="s">
        <v>226</v>
      </c>
      <c r="Y542" s="244" t="s">
        <v>226</v>
      </c>
      <c r="Z542" s="244">
        <v>0</v>
      </c>
      <c r="AA542" s="244">
        <v>0</v>
      </c>
      <c r="AB542" s="244">
        <v>0</v>
      </c>
      <c r="AC542" s="244">
        <v>0</v>
      </c>
      <c r="AD542" s="244">
        <v>0</v>
      </c>
      <c r="AE542" s="244">
        <v>0</v>
      </c>
      <c r="AF542" s="244">
        <v>0</v>
      </c>
      <c r="AG542" s="244">
        <v>0</v>
      </c>
      <c r="AH542" s="244">
        <v>0</v>
      </c>
      <c r="AI542" s="244">
        <v>0</v>
      </c>
      <c r="AJ542" s="244">
        <v>0</v>
      </c>
      <c r="AK542" s="244">
        <v>0</v>
      </c>
      <c r="AL542" s="244">
        <v>0</v>
      </c>
      <c r="AM542" s="244">
        <v>3.3664742053624899</v>
      </c>
      <c r="AN542" s="244">
        <v>0</v>
      </c>
      <c r="AO542" s="244">
        <v>0.59702026844024658</v>
      </c>
      <c r="AP542" s="244">
        <v>2.6037285327911377</v>
      </c>
      <c r="AQ542" s="244">
        <v>6.567223072052002</v>
      </c>
      <c r="AR542" s="244">
        <v>0</v>
      </c>
      <c r="AS542" s="228">
        <v>9999</v>
      </c>
      <c r="AT542" s="244">
        <v>3.3664742053624899</v>
      </c>
      <c r="AU542" s="244">
        <v>0.15898312628269196</v>
      </c>
      <c r="AV542" s="244">
        <v>0.61291861534118652</v>
      </c>
      <c r="AW542" s="244">
        <v>2.6037285327911377</v>
      </c>
      <c r="AX542" s="244">
        <v>6.7421045303344727</v>
      </c>
      <c r="AY542" s="244">
        <v>0</v>
      </c>
      <c r="AZ542" s="228">
        <v>9999</v>
      </c>
      <c r="BA542" s="244">
        <v>3.3664742053624899</v>
      </c>
      <c r="BB542" s="244">
        <v>0.15898312628269196</v>
      </c>
      <c r="BC542" s="244">
        <v>0.61291861534118652</v>
      </c>
      <c r="BD542" s="244">
        <v>2.6037285327911377</v>
      </c>
      <c r="BE542" s="244">
        <v>6.7421045303344727</v>
      </c>
      <c r="BF542" s="244">
        <v>0</v>
      </c>
      <c r="BG542" s="244">
        <v>-55.747806549072266</v>
      </c>
      <c r="BH542" s="228">
        <v>9999</v>
      </c>
      <c r="BI542" s="244">
        <v>0</v>
      </c>
      <c r="BJ542" s="244">
        <v>0</v>
      </c>
      <c r="BK542" s="244">
        <v>0</v>
      </c>
      <c r="BL542" s="244">
        <v>0</v>
      </c>
      <c r="BM542" s="244">
        <v>0</v>
      </c>
      <c r="BN542" s="244">
        <v>3.3664742053624899</v>
      </c>
      <c r="BO542" s="244">
        <v>0</v>
      </c>
      <c r="BP542" s="244">
        <v>0.15898312628269196</v>
      </c>
      <c r="BQ542" s="244">
        <v>0</v>
      </c>
      <c r="BR542" s="244">
        <v>0</v>
      </c>
      <c r="BS542" s="244">
        <v>0</v>
      </c>
      <c r="BT542" s="244">
        <v>2.6037285327911377</v>
      </c>
      <c r="BU542" s="244">
        <v>0</v>
      </c>
      <c r="BV542" s="244">
        <v>0</v>
      </c>
      <c r="BW542" s="244">
        <v>0.61291861534118652</v>
      </c>
      <c r="BX542" s="244">
        <v>0</v>
      </c>
      <c r="BY542" s="244"/>
      <c r="BZ542" s="244">
        <v>0</v>
      </c>
      <c r="CA542" s="244">
        <v>0</v>
      </c>
      <c r="CB542" s="244">
        <v>6.7421045303344727</v>
      </c>
      <c r="CC542" s="244">
        <v>0</v>
      </c>
      <c r="CD542" s="228">
        <v>9999</v>
      </c>
      <c r="CE542" s="244">
        <v>-55.747806549072266</v>
      </c>
      <c r="CF542" s="244">
        <v>3.6845739194857889E-2</v>
      </c>
      <c r="CG542" s="244">
        <v>0</v>
      </c>
      <c r="CH542" s="244">
        <v>3.6845739194857889E-2</v>
      </c>
      <c r="CI542" s="244">
        <v>1.8086270255417711E-3</v>
      </c>
      <c r="CJ542" s="244">
        <v>0</v>
      </c>
      <c r="CK542" s="244">
        <v>1.8086270255417711E-3</v>
      </c>
      <c r="CL542" s="244"/>
      <c r="CM542" s="244">
        <v>0</v>
      </c>
      <c r="CN542" s="244" t="s">
        <v>605</v>
      </c>
      <c r="CO542" s="244">
        <v>0</v>
      </c>
      <c r="CP542" s="244">
        <v>0</v>
      </c>
      <c r="CQ542" s="244">
        <v>0</v>
      </c>
      <c r="CR542" s="244">
        <v>0</v>
      </c>
      <c r="CS542" s="244">
        <v>0</v>
      </c>
      <c r="CT542" s="244">
        <v>0</v>
      </c>
      <c r="CU542" s="244">
        <v>0</v>
      </c>
      <c r="CV542" s="244">
        <v>9999</v>
      </c>
      <c r="CW542" s="228">
        <v>9999</v>
      </c>
    </row>
    <row r="543" spans="1:101">
      <c r="A543" s="221" t="s">
        <v>463</v>
      </c>
      <c r="B543" s="221" t="s">
        <v>604</v>
      </c>
      <c r="C543" s="244">
        <v>10</v>
      </c>
      <c r="D543" s="244">
        <v>5.0118032778453028</v>
      </c>
      <c r="E543" s="244">
        <v>0</v>
      </c>
      <c r="F543" s="244">
        <v>0</v>
      </c>
      <c r="G543" s="244">
        <v>0</v>
      </c>
      <c r="H543" s="244">
        <v>0</v>
      </c>
      <c r="I543" s="244" t="s">
        <v>605</v>
      </c>
      <c r="J543" s="244">
        <v>1</v>
      </c>
      <c r="K543" s="244">
        <v>0.63999998569488525</v>
      </c>
      <c r="L543" s="244">
        <v>5.4661874598276077</v>
      </c>
      <c r="M543" s="244">
        <v>3.9935612585395575E-4</v>
      </c>
      <c r="N543" s="244">
        <v>6.2399398302659392E-4</v>
      </c>
      <c r="O543" s="244">
        <v>0</v>
      </c>
      <c r="P543" s="244">
        <v>0</v>
      </c>
      <c r="Q543" s="244">
        <v>0</v>
      </c>
      <c r="R543" s="244">
        <v>0</v>
      </c>
      <c r="S543" s="244">
        <v>0</v>
      </c>
      <c r="T543" s="244">
        <v>0</v>
      </c>
      <c r="U543" s="244">
        <v>0</v>
      </c>
      <c r="V543" s="244" t="s">
        <v>226</v>
      </c>
      <c r="W543" s="244" t="s">
        <v>226</v>
      </c>
      <c r="X543" s="244" t="s">
        <v>226</v>
      </c>
      <c r="Y543" s="244" t="s">
        <v>226</v>
      </c>
      <c r="Z543" s="244">
        <v>0</v>
      </c>
      <c r="AA543" s="244">
        <v>0</v>
      </c>
      <c r="AB543" s="244">
        <v>0</v>
      </c>
      <c r="AC543" s="244">
        <v>0</v>
      </c>
      <c r="AD543" s="244">
        <v>0</v>
      </c>
      <c r="AE543" s="244">
        <v>0</v>
      </c>
      <c r="AF543" s="244">
        <v>0</v>
      </c>
      <c r="AG543" s="244">
        <v>0</v>
      </c>
      <c r="AH543" s="244">
        <v>0</v>
      </c>
      <c r="AI543" s="244">
        <v>0</v>
      </c>
      <c r="AJ543" s="244">
        <v>0</v>
      </c>
      <c r="AK543" s="244">
        <v>0</v>
      </c>
      <c r="AL543" s="244">
        <v>0</v>
      </c>
      <c r="AM543" s="244">
        <v>3.787283481032802</v>
      </c>
      <c r="AN543" s="244">
        <v>0</v>
      </c>
      <c r="AO543" s="244">
        <v>0.67164778709411621</v>
      </c>
      <c r="AP543" s="244">
        <v>2.929194450378418</v>
      </c>
      <c r="AQ543" s="244">
        <v>7.3881258964538574</v>
      </c>
      <c r="AR543" s="244">
        <v>0</v>
      </c>
      <c r="AS543" s="228">
        <v>9999</v>
      </c>
      <c r="AT543" s="244">
        <v>3.787283481032802</v>
      </c>
      <c r="AU543" s="244">
        <v>0.1788560152053833</v>
      </c>
      <c r="AV543" s="244">
        <v>0.68953341245651245</v>
      </c>
      <c r="AW543" s="244">
        <v>2.929194450378418</v>
      </c>
      <c r="AX543" s="244">
        <v>7.5848674774169922</v>
      </c>
      <c r="AY543" s="244">
        <v>0</v>
      </c>
      <c r="AZ543" s="228">
        <v>9999</v>
      </c>
      <c r="BA543" s="244">
        <v>3.787283481032802</v>
      </c>
      <c r="BB543" s="244">
        <v>0.1788560152053833</v>
      </c>
      <c r="BC543" s="244">
        <v>0.68953341245651245</v>
      </c>
      <c r="BD543" s="244">
        <v>2.929194450378418</v>
      </c>
      <c r="BE543" s="244">
        <v>7.5848674774169922</v>
      </c>
      <c r="BF543" s="244">
        <v>0</v>
      </c>
      <c r="BG543" s="244">
        <v>-55.747802734375</v>
      </c>
      <c r="BH543" s="228">
        <v>9999</v>
      </c>
      <c r="BI543" s="244">
        <v>0</v>
      </c>
      <c r="BJ543" s="244">
        <v>0</v>
      </c>
      <c r="BK543" s="244">
        <v>0</v>
      </c>
      <c r="BL543" s="244">
        <v>0</v>
      </c>
      <c r="BM543" s="244">
        <v>0</v>
      </c>
      <c r="BN543" s="244">
        <v>3.787283481032802</v>
      </c>
      <c r="BO543" s="244">
        <v>0</v>
      </c>
      <c r="BP543" s="244">
        <v>0.1788560152053833</v>
      </c>
      <c r="BQ543" s="244">
        <v>0</v>
      </c>
      <c r="BR543" s="244">
        <v>0</v>
      </c>
      <c r="BS543" s="244">
        <v>0</v>
      </c>
      <c r="BT543" s="244">
        <v>2.929194450378418</v>
      </c>
      <c r="BU543" s="244">
        <v>0</v>
      </c>
      <c r="BV543" s="244">
        <v>0</v>
      </c>
      <c r="BW543" s="244">
        <v>0.68953341245651245</v>
      </c>
      <c r="BX543" s="244">
        <v>0</v>
      </c>
      <c r="BY543" s="244"/>
      <c r="BZ543" s="244">
        <v>0</v>
      </c>
      <c r="CA543" s="244">
        <v>0</v>
      </c>
      <c r="CB543" s="244">
        <v>7.5848674774169922</v>
      </c>
      <c r="CC543" s="244">
        <v>0</v>
      </c>
      <c r="CD543" s="228">
        <v>9999</v>
      </c>
      <c r="CE543" s="244">
        <v>-55.747802734375</v>
      </c>
      <c r="CF543" s="244">
        <v>4.1451456594215196E-2</v>
      </c>
      <c r="CG543" s="244">
        <v>0</v>
      </c>
      <c r="CH543" s="244">
        <v>4.1451456594215196E-2</v>
      </c>
      <c r="CI543" s="244">
        <v>2.0347054037344941E-3</v>
      </c>
      <c r="CJ543" s="244">
        <v>0</v>
      </c>
      <c r="CK543" s="244">
        <v>2.0347054037344941E-3</v>
      </c>
      <c r="CL543" s="244"/>
      <c r="CM543" s="244">
        <v>0</v>
      </c>
      <c r="CN543" s="244" t="s">
        <v>605</v>
      </c>
      <c r="CO543" s="244">
        <v>0</v>
      </c>
      <c r="CP543" s="244">
        <v>0</v>
      </c>
      <c r="CQ543" s="244">
        <v>0</v>
      </c>
      <c r="CR543" s="244">
        <v>0</v>
      </c>
      <c r="CS543" s="244">
        <v>0</v>
      </c>
      <c r="CT543" s="244">
        <v>0</v>
      </c>
      <c r="CU543" s="244">
        <v>0</v>
      </c>
      <c r="CV543" s="244">
        <v>9999</v>
      </c>
      <c r="CW543" s="228">
        <v>9999</v>
      </c>
    </row>
    <row r="544" spans="1:101">
      <c r="A544" s="221" t="s">
        <v>464</v>
      </c>
      <c r="B544" s="221" t="s">
        <v>604</v>
      </c>
      <c r="C544" s="244">
        <v>10</v>
      </c>
      <c r="D544" s="244">
        <v>5.0118032778453028</v>
      </c>
      <c r="E544" s="244">
        <v>0</v>
      </c>
      <c r="F544" s="244">
        <v>0</v>
      </c>
      <c r="G544" s="244">
        <v>0</v>
      </c>
      <c r="H544" s="244">
        <v>0</v>
      </c>
      <c r="I544" s="244" t="s">
        <v>605</v>
      </c>
      <c r="J544" s="244">
        <v>1</v>
      </c>
      <c r="K544" s="244">
        <v>0.63999998569488525</v>
      </c>
      <c r="L544" s="244">
        <v>5.4661874598276077</v>
      </c>
      <c r="M544" s="244">
        <v>3.9935612585395575E-4</v>
      </c>
      <c r="N544" s="244">
        <v>6.2399398302659392E-4</v>
      </c>
      <c r="O544" s="244">
        <v>0</v>
      </c>
      <c r="P544" s="244">
        <v>0</v>
      </c>
      <c r="Q544" s="244">
        <v>0</v>
      </c>
      <c r="R544" s="244">
        <v>0</v>
      </c>
      <c r="S544" s="244">
        <v>0</v>
      </c>
      <c r="T544" s="244">
        <v>0</v>
      </c>
      <c r="U544" s="244">
        <v>0</v>
      </c>
      <c r="V544" s="244" t="s">
        <v>226</v>
      </c>
      <c r="W544" s="244" t="s">
        <v>226</v>
      </c>
      <c r="X544" s="244" t="s">
        <v>226</v>
      </c>
      <c r="Y544" s="244" t="s">
        <v>226</v>
      </c>
      <c r="Z544" s="244">
        <v>0</v>
      </c>
      <c r="AA544" s="244">
        <v>0</v>
      </c>
      <c r="AB544" s="244">
        <v>0</v>
      </c>
      <c r="AC544" s="244">
        <v>0</v>
      </c>
      <c r="AD544" s="244">
        <v>0</v>
      </c>
      <c r="AE544" s="244">
        <v>0</v>
      </c>
      <c r="AF544" s="244">
        <v>0</v>
      </c>
      <c r="AG544" s="244">
        <v>0</v>
      </c>
      <c r="AH544" s="244">
        <v>0</v>
      </c>
      <c r="AI544" s="244">
        <v>0</v>
      </c>
      <c r="AJ544" s="244">
        <v>0</v>
      </c>
      <c r="AK544" s="244">
        <v>0</v>
      </c>
      <c r="AL544" s="244">
        <v>0</v>
      </c>
      <c r="AM544" s="244">
        <v>3.787283481032802</v>
      </c>
      <c r="AN544" s="244">
        <v>0</v>
      </c>
      <c r="AO544" s="244">
        <v>0.67164778709411621</v>
      </c>
      <c r="AP544" s="244">
        <v>2.929194450378418</v>
      </c>
      <c r="AQ544" s="244">
        <v>7.3881258964538574</v>
      </c>
      <c r="AR544" s="244">
        <v>0</v>
      </c>
      <c r="AS544" s="228">
        <v>9999</v>
      </c>
      <c r="AT544" s="244">
        <v>3.787283481032802</v>
      </c>
      <c r="AU544" s="244">
        <v>0.1788560152053833</v>
      </c>
      <c r="AV544" s="244">
        <v>0.68953341245651245</v>
      </c>
      <c r="AW544" s="244">
        <v>2.929194450378418</v>
      </c>
      <c r="AX544" s="244">
        <v>7.5848674774169922</v>
      </c>
      <c r="AY544" s="244">
        <v>0</v>
      </c>
      <c r="AZ544" s="228">
        <v>9999</v>
      </c>
      <c r="BA544" s="244">
        <v>3.787283481032802</v>
      </c>
      <c r="BB544" s="244">
        <v>0.1788560152053833</v>
      </c>
      <c r="BC544" s="244">
        <v>0.68953341245651245</v>
      </c>
      <c r="BD544" s="244">
        <v>2.929194450378418</v>
      </c>
      <c r="BE544" s="244">
        <v>7.5848674774169922</v>
      </c>
      <c r="BF544" s="244">
        <v>0</v>
      </c>
      <c r="BG544" s="244">
        <v>-55.747802734375</v>
      </c>
      <c r="BH544" s="228">
        <v>9999</v>
      </c>
      <c r="BI544" s="244">
        <v>0</v>
      </c>
      <c r="BJ544" s="244">
        <v>0</v>
      </c>
      <c r="BK544" s="244">
        <v>0</v>
      </c>
      <c r="BL544" s="244">
        <v>0</v>
      </c>
      <c r="BM544" s="244">
        <v>0</v>
      </c>
      <c r="BN544" s="244">
        <v>3.787283481032802</v>
      </c>
      <c r="BO544" s="244">
        <v>0</v>
      </c>
      <c r="BP544" s="244">
        <v>0.1788560152053833</v>
      </c>
      <c r="BQ544" s="244">
        <v>0</v>
      </c>
      <c r="BR544" s="244">
        <v>0</v>
      </c>
      <c r="BS544" s="244">
        <v>0</v>
      </c>
      <c r="BT544" s="244">
        <v>2.929194450378418</v>
      </c>
      <c r="BU544" s="244">
        <v>0</v>
      </c>
      <c r="BV544" s="244">
        <v>0</v>
      </c>
      <c r="BW544" s="244">
        <v>0.68953341245651245</v>
      </c>
      <c r="BX544" s="244">
        <v>0</v>
      </c>
      <c r="BY544" s="244"/>
      <c r="BZ544" s="244">
        <v>0</v>
      </c>
      <c r="CA544" s="244">
        <v>0</v>
      </c>
      <c r="CB544" s="244">
        <v>7.5848674774169922</v>
      </c>
      <c r="CC544" s="244">
        <v>0</v>
      </c>
      <c r="CD544" s="228">
        <v>9999</v>
      </c>
      <c r="CE544" s="244">
        <v>-55.747802734375</v>
      </c>
      <c r="CF544" s="244">
        <v>4.1451456594215196E-2</v>
      </c>
      <c r="CG544" s="244">
        <v>0</v>
      </c>
      <c r="CH544" s="244">
        <v>4.1451456594215196E-2</v>
      </c>
      <c r="CI544" s="244">
        <v>2.0347054037344941E-3</v>
      </c>
      <c r="CJ544" s="244">
        <v>0</v>
      </c>
      <c r="CK544" s="244">
        <v>2.0347054037344941E-3</v>
      </c>
      <c r="CL544" s="244"/>
      <c r="CM544" s="244">
        <v>0</v>
      </c>
      <c r="CN544" s="244" t="s">
        <v>605</v>
      </c>
      <c r="CO544" s="244">
        <v>0</v>
      </c>
      <c r="CP544" s="244">
        <v>0</v>
      </c>
      <c r="CQ544" s="244">
        <v>0</v>
      </c>
      <c r="CR544" s="244">
        <v>0</v>
      </c>
      <c r="CS544" s="244">
        <v>0</v>
      </c>
      <c r="CT544" s="244">
        <v>0</v>
      </c>
      <c r="CU544" s="244">
        <v>0</v>
      </c>
      <c r="CV544" s="244">
        <v>9999</v>
      </c>
      <c r="CW544" s="228">
        <v>9999</v>
      </c>
    </row>
    <row r="545" spans="1:101">
      <c r="A545" s="221" t="s">
        <v>465</v>
      </c>
      <c r="B545" s="221" t="s">
        <v>604</v>
      </c>
      <c r="C545" s="244">
        <v>10</v>
      </c>
      <c r="D545" s="244">
        <v>5.0118032778453028</v>
      </c>
      <c r="E545" s="244">
        <v>0</v>
      </c>
      <c r="F545" s="244">
        <v>0</v>
      </c>
      <c r="G545" s="244">
        <v>0</v>
      </c>
      <c r="H545" s="244">
        <v>0</v>
      </c>
      <c r="I545" s="244" t="s">
        <v>605</v>
      </c>
      <c r="J545" s="244">
        <v>1</v>
      </c>
      <c r="K545" s="244">
        <v>0.63999998569488525</v>
      </c>
      <c r="L545" s="244">
        <v>5.4661874598276077</v>
      </c>
      <c r="M545" s="244">
        <v>3.9935612585395575E-4</v>
      </c>
      <c r="N545" s="244">
        <v>6.2399398302659392E-4</v>
      </c>
      <c r="O545" s="244">
        <v>0</v>
      </c>
      <c r="P545" s="244">
        <v>0</v>
      </c>
      <c r="Q545" s="244">
        <v>0</v>
      </c>
      <c r="R545" s="244">
        <v>0</v>
      </c>
      <c r="S545" s="244">
        <v>0</v>
      </c>
      <c r="T545" s="244">
        <v>0</v>
      </c>
      <c r="U545" s="244">
        <v>0</v>
      </c>
      <c r="V545" s="244" t="s">
        <v>226</v>
      </c>
      <c r="W545" s="244" t="s">
        <v>226</v>
      </c>
      <c r="X545" s="244" t="s">
        <v>226</v>
      </c>
      <c r="Y545" s="244" t="s">
        <v>226</v>
      </c>
      <c r="Z545" s="244">
        <v>0</v>
      </c>
      <c r="AA545" s="244">
        <v>0</v>
      </c>
      <c r="AB545" s="244">
        <v>0</v>
      </c>
      <c r="AC545" s="244">
        <v>0</v>
      </c>
      <c r="AD545" s="244">
        <v>0</v>
      </c>
      <c r="AE545" s="244">
        <v>0</v>
      </c>
      <c r="AF545" s="244">
        <v>0</v>
      </c>
      <c r="AG545" s="244">
        <v>0</v>
      </c>
      <c r="AH545" s="244">
        <v>0</v>
      </c>
      <c r="AI545" s="244">
        <v>0</v>
      </c>
      <c r="AJ545" s="244">
        <v>0</v>
      </c>
      <c r="AK545" s="244">
        <v>0</v>
      </c>
      <c r="AL545" s="244">
        <v>0</v>
      </c>
      <c r="AM545" s="244">
        <v>3.787283481032802</v>
      </c>
      <c r="AN545" s="244">
        <v>0</v>
      </c>
      <c r="AO545" s="244">
        <v>0.67164778709411621</v>
      </c>
      <c r="AP545" s="244">
        <v>2.929194450378418</v>
      </c>
      <c r="AQ545" s="244">
        <v>7.3881258964538574</v>
      </c>
      <c r="AR545" s="244">
        <v>0</v>
      </c>
      <c r="AS545" s="228">
        <v>9999</v>
      </c>
      <c r="AT545" s="244">
        <v>3.787283481032802</v>
      </c>
      <c r="AU545" s="244">
        <v>0.1788560152053833</v>
      </c>
      <c r="AV545" s="244">
        <v>0.68953341245651245</v>
      </c>
      <c r="AW545" s="244">
        <v>2.929194450378418</v>
      </c>
      <c r="AX545" s="244">
        <v>7.5848674774169922</v>
      </c>
      <c r="AY545" s="244">
        <v>0</v>
      </c>
      <c r="AZ545" s="228">
        <v>9999</v>
      </c>
      <c r="BA545" s="244">
        <v>3.787283481032802</v>
      </c>
      <c r="BB545" s="244">
        <v>0.1788560152053833</v>
      </c>
      <c r="BC545" s="244">
        <v>0.68953341245651245</v>
      </c>
      <c r="BD545" s="244">
        <v>2.929194450378418</v>
      </c>
      <c r="BE545" s="244">
        <v>7.5848674774169922</v>
      </c>
      <c r="BF545" s="244">
        <v>0</v>
      </c>
      <c r="BG545" s="244">
        <v>-55.747802734375</v>
      </c>
      <c r="BH545" s="228">
        <v>9999</v>
      </c>
      <c r="BI545" s="244">
        <v>0</v>
      </c>
      <c r="BJ545" s="244">
        <v>0</v>
      </c>
      <c r="BK545" s="244">
        <v>0</v>
      </c>
      <c r="BL545" s="244">
        <v>0</v>
      </c>
      <c r="BM545" s="244">
        <v>0</v>
      </c>
      <c r="BN545" s="244">
        <v>3.787283481032802</v>
      </c>
      <c r="BO545" s="244">
        <v>0</v>
      </c>
      <c r="BP545" s="244">
        <v>0.1788560152053833</v>
      </c>
      <c r="BQ545" s="244">
        <v>0</v>
      </c>
      <c r="BR545" s="244">
        <v>0</v>
      </c>
      <c r="BS545" s="244">
        <v>0</v>
      </c>
      <c r="BT545" s="244">
        <v>2.929194450378418</v>
      </c>
      <c r="BU545" s="244">
        <v>0</v>
      </c>
      <c r="BV545" s="244">
        <v>0</v>
      </c>
      <c r="BW545" s="244">
        <v>0.68953341245651245</v>
      </c>
      <c r="BX545" s="244">
        <v>0</v>
      </c>
      <c r="BY545" s="244"/>
      <c r="BZ545" s="244">
        <v>0</v>
      </c>
      <c r="CA545" s="244">
        <v>0</v>
      </c>
      <c r="CB545" s="244">
        <v>7.5848674774169922</v>
      </c>
      <c r="CC545" s="244">
        <v>0</v>
      </c>
      <c r="CD545" s="228">
        <v>9999</v>
      </c>
      <c r="CE545" s="244">
        <v>-55.747802734375</v>
      </c>
      <c r="CF545" s="244">
        <v>4.1451456594215196E-2</v>
      </c>
      <c r="CG545" s="244">
        <v>0</v>
      </c>
      <c r="CH545" s="244">
        <v>4.1451456594215196E-2</v>
      </c>
      <c r="CI545" s="244">
        <v>2.0347054037344941E-3</v>
      </c>
      <c r="CJ545" s="244">
        <v>0</v>
      </c>
      <c r="CK545" s="244">
        <v>2.0347054037344941E-3</v>
      </c>
      <c r="CL545" s="244"/>
      <c r="CM545" s="244">
        <v>0</v>
      </c>
      <c r="CN545" s="244" t="s">
        <v>605</v>
      </c>
      <c r="CO545" s="244">
        <v>0</v>
      </c>
      <c r="CP545" s="244">
        <v>0</v>
      </c>
      <c r="CQ545" s="244">
        <v>0</v>
      </c>
      <c r="CR545" s="244">
        <v>0</v>
      </c>
      <c r="CS545" s="244">
        <v>0</v>
      </c>
      <c r="CT545" s="244">
        <v>0</v>
      </c>
      <c r="CU545" s="244">
        <v>0</v>
      </c>
      <c r="CV545" s="244">
        <v>9999</v>
      </c>
      <c r="CW545" s="228">
        <v>9999</v>
      </c>
    </row>
    <row r="546" spans="1:101">
      <c r="A546" s="221" t="s">
        <v>466</v>
      </c>
      <c r="B546" s="221" t="s">
        <v>604</v>
      </c>
      <c r="C546" s="244">
        <v>10</v>
      </c>
      <c r="D546" s="244">
        <v>7.7961384322038025</v>
      </c>
      <c r="E546" s="244">
        <v>0</v>
      </c>
      <c r="F546" s="244">
        <v>0</v>
      </c>
      <c r="G546" s="244">
        <v>0</v>
      </c>
      <c r="H546" s="244">
        <v>0</v>
      </c>
      <c r="I546" s="244" t="s">
        <v>605</v>
      </c>
      <c r="J546" s="244">
        <v>1</v>
      </c>
      <c r="K546" s="244">
        <v>0.63999998569488525</v>
      </c>
      <c r="L546" s="244">
        <v>8.5029582708429388</v>
      </c>
      <c r="M546" s="244">
        <v>6.2122067902237177E-4</v>
      </c>
      <c r="N546" s="244">
        <v>9.7065733280032873E-4</v>
      </c>
      <c r="O546" s="244">
        <v>0</v>
      </c>
      <c r="P546" s="244">
        <v>0</v>
      </c>
      <c r="Q546" s="244">
        <v>0</v>
      </c>
      <c r="R546" s="244">
        <v>0</v>
      </c>
      <c r="S546" s="244">
        <v>0</v>
      </c>
      <c r="T546" s="244">
        <v>0</v>
      </c>
      <c r="U546" s="244">
        <v>0</v>
      </c>
      <c r="V546" s="244" t="s">
        <v>226</v>
      </c>
      <c r="W546" s="244" t="s">
        <v>226</v>
      </c>
      <c r="X546" s="244" t="s">
        <v>226</v>
      </c>
      <c r="Y546" s="244" t="s">
        <v>226</v>
      </c>
      <c r="Z546" s="244">
        <v>0</v>
      </c>
      <c r="AA546" s="244">
        <v>0</v>
      </c>
      <c r="AB546" s="244">
        <v>0</v>
      </c>
      <c r="AC546" s="244">
        <v>0</v>
      </c>
      <c r="AD546" s="244">
        <v>0</v>
      </c>
      <c r="AE546" s="244">
        <v>0</v>
      </c>
      <c r="AF546" s="244">
        <v>0</v>
      </c>
      <c r="AG546" s="244">
        <v>0</v>
      </c>
      <c r="AH546" s="244">
        <v>0</v>
      </c>
      <c r="AI546" s="244">
        <v>0</v>
      </c>
      <c r="AJ546" s="244">
        <v>0</v>
      </c>
      <c r="AK546" s="244">
        <v>0</v>
      </c>
      <c r="AL546" s="244">
        <v>0</v>
      </c>
      <c r="AM546" s="244">
        <v>5.8913298593843475</v>
      </c>
      <c r="AN546" s="244">
        <v>0</v>
      </c>
      <c r="AO546" s="244">
        <v>1.0447853803634644</v>
      </c>
      <c r="AP546" s="244">
        <v>4.5565242767333984</v>
      </c>
      <c r="AQ546" s="244">
        <v>11.492639541625977</v>
      </c>
      <c r="AR546" s="244">
        <v>0</v>
      </c>
      <c r="AS546" s="228">
        <v>9999</v>
      </c>
      <c r="AT546" s="244">
        <v>5.8913298593843475</v>
      </c>
      <c r="AU546" s="244">
        <v>0.27822044491767883</v>
      </c>
      <c r="AV546" s="244">
        <v>1.0726075172424316</v>
      </c>
      <c r="AW546" s="244">
        <v>4.5565242767333984</v>
      </c>
      <c r="AX546" s="244">
        <v>11.79868221282959</v>
      </c>
      <c r="AY546" s="244">
        <v>0</v>
      </c>
      <c r="AZ546" s="228">
        <v>9999</v>
      </c>
      <c r="BA546" s="244">
        <v>5.8913298593843475</v>
      </c>
      <c r="BB546" s="244">
        <v>0.27822044491767883</v>
      </c>
      <c r="BC546" s="244">
        <v>1.0726075172424316</v>
      </c>
      <c r="BD546" s="244">
        <v>4.5565242767333984</v>
      </c>
      <c r="BE546" s="244">
        <v>11.79868221282959</v>
      </c>
      <c r="BF546" s="244">
        <v>0</v>
      </c>
      <c r="BG546" s="244">
        <v>-55.747798919677734</v>
      </c>
      <c r="BH546" s="228">
        <v>9999</v>
      </c>
      <c r="BI546" s="244">
        <v>0</v>
      </c>
      <c r="BJ546" s="244">
        <v>0</v>
      </c>
      <c r="BK546" s="244">
        <v>0</v>
      </c>
      <c r="BL546" s="244">
        <v>0</v>
      </c>
      <c r="BM546" s="244">
        <v>0</v>
      </c>
      <c r="BN546" s="244">
        <v>5.8913298593843475</v>
      </c>
      <c r="BO546" s="244">
        <v>0</v>
      </c>
      <c r="BP546" s="244">
        <v>0.27822044491767883</v>
      </c>
      <c r="BQ546" s="244">
        <v>0</v>
      </c>
      <c r="BR546" s="244">
        <v>0</v>
      </c>
      <c r="BS546" s="244">
        <v>0</v>
      </c>
      <c r="BT546" s="244">
        <v>4.5565242767333984</v>
      </c>
      <c r="BU546" s="244">
        <v>0</v>
      </c>
      <c r="BV546" s="244">
        <v>0</v>
      </c>
      <c r="BW546" s="244">
        <v>1.0726075172424316</v>
      </c>
      <c r="BX546" s="244">
        <v>0</v>
      </c>
      <c r="BY546" s="244"/>
      <c r="BZ546" s="244">
        <v>0</v>
      </c>
      <c r="CA546" s="244">
        <v>0</v>
      </c>
      <c r="CB546" s="244">
        <v>11.79868221282959</v>
      </c>
      <c r="CC546" s="244">
        <v>0</v>
      </c>
      <c r="CD546" s="228">
        <v>9999</v>
      </c>
      <c r="CE546" s="244">
        <v>-55.747798919677734</v>
      </c>
      <c r="CF546" s="244">
        <v>6.4480043591001082E-2</v>
      </c>
      <c r="CG546" s="244">
        <v>0</v>
      </c>
      <c r="CH546" s="244">
        <v>6.4480043591001082E-2</v>
      </c>
      <c r="CI546" s="244">
        <v>3.1650972946981001E-3</v>
      </c>
      <c r="CJ546" s="244">
        <v>0</v>
      </c>
      <c r="CK546" s="244">
        <v>3.1650972946981001E-3</v>
      </c>
      <c r="CL546" s="244"/>
      <c r="CM546" s="244">
        <v>0</v>
      </c>
      <c r="CN546" s="244" t="s">
        <v>605</v>
      </c>
      <c r="CO546" s="244">
        <v>0</v>
      </c>
      <c r="CP546" s="244">
        <v>0</v>
      </c>
      <c r="CQ546" s="244">
        <v>0</v>
      </c>
      <c r="CR546" s="244">
        <v>0</v>
      </c>
      <c r="CS546" s="244">
        <v>0</v>
      </c>
      <c r="CT546" s="244">
        <v>0</v>
      </c>
      <c r="CU546" s="244">
        <v>0</v>
      </c>
      <c r="CV546" s="244">
        <v>9999</v>
      </c>
      <c r="CW546" s="228">
        <v>9999</v>
      </c>
    </row>
    <row r="547" spans="1:101">
      <c r="A547" s="221" t="s">
        <v>467</v>
      </c>
      <c r="B547" s="221" t="s">
        <v>604</v>
      </c>
      <c r="C547" s="244">
        <v>10</v>
      </c>
      <c r="D547" s="244">
        <v>7.7961384322038025</v>
      </c>
      <c r="E547" s="244">
        <v>0</v>
      </c>
      <c r="F547" s="244">
        <v>0</v>
      </c>
      <c r="G547" s="244">
        <v>0</v>
      </c>
      <c r="H547" s="244">
        <v>0</v>
      </c>
      <c r="I547" s="244" t="s">
        <v>605</v>
      </c>
      <c r="J547" s="244">
        <v>1</v>
      </c>
      <c r="K547" s="244">
        <v>0.63999998569488525</v>
      </c>
      <c r="L547" s="244">
        <v>8.5029582708429388</v>
      </c>
      <c r="M547" s="244">
        <v>6.2122067902237177E-4</v>
      </c>
      <c r="N547" s="244">
        <v>9.7065733280032873E-4</v>
      </c>
      <c r="O547" s="244">
        <v>0</v>
      </c>
      <c r="P547" s="244">
        <v>0</v>
      </c>
      <c r="Q547" s="244">
        <v>0</v>
      </c>
      <c r="R547" s="244">
        <v>0</v>
      </c>
      <c r="S547" s="244">
        <v>0</v>
      </c>
      <c r="T547" s="244">
        <v>0</v>
      </c>
      <c r="U547" s="244">
        <v>0</v>
      </c>
      <c r="V547" s="244" t="s">
        <v>226</v>
      </c>
      <c r="W547" s="244" t="s">
        <v>226</v>
      </c>
      <c r="X547" s="244" t="s">
        <v>226</v>
      </c>
      <c r="Y547" s="244" t="s">
        <v>226</v>
      </c>
      <c r="Z547" s="244">
        <v>0</v>
      </c>
      <c r="AA547" s="244">
        <v>0</v>
      </c>
      <c r="AB547" s="244">
        <v>0</v>
      </c>
      <c r="AC547" s="244">
        <v>0</v>
      </c>
      <c r="AD547" s="244">
        <v>0</v>
      </c>
      <c r="AE547" s="244">
        <v>0</v>
      </c>
      <c r="AF547" s="244">
        <v>0</v>
      </c>
      <c r="AG547" s="244">
        <v>0</v>
      </c>
      <c r="AH547" s="244">
        <v>0</v>
      </c>
      <c r="AI547" s="244">
        <v>0</v>
      </c>
      <c r="AJ547" s="244">
        <v>0</v>
      </c>
      <c r="AK547" s="244">
        <v>0</v>
      </c>
      <c r="AL547" s="244">
        <v>0</v>
      </c>
      <c r="AM547" s="244">
        <v>5.8913298593843475</v>
      </c>
      <c r="AN547" s="244">
        <v>0</v>
      </c>
      <c r="AO547" s="244">
        <v>1.0447853803634644</v>
      </c>
      <c r="AP547" s="244">
        <v>4.5565242767333984</v>
      </c>
      <c r="AQ547" s="244">
        <v>11.492639541625977</v>
      </c>
      <c r="AR547" s="244">
        <v>0</v>
      </c>
      <c r="AS547" s="228">
        <v>9999</v>
      </c>
      <c r="AT547" s="244">
        <v>5.8913298593843475</v>
      </c>
      <c r="AU547" s="244">
        <v>0.27822044491767883</v>
      </c>
      <c r="AV547" s="244">
        <v>1.0726075172424316</v>
      </c>
      <c r="AW547" s="244">
        <v>4.5565242767333984</v>
      </c>
      <c r="AX547" s="244">
        <v>11.79868221282959</v>
      </c>
      <c r="AY547" s="244">
        <v>0</v>
      </c>
      <c r="AZ547" s="228">
        <v>9999</v>
      </c>
      <c r="BA547" s="244">
        <v>5.8913298593843475</v>
      </c>
      <c r="BB547" s="244">
        <v>0.27822044491767883</v>
      </c>
      <c r="BC547" s="244">
        <v>1.0726075172424316</v>
      </c>
      <c r="BD547" s="244">
        <v>4.5565242767333984</v>
      </c>
      <c r="BE547" s="244">
        <v>11.79868221282959</v>
      </c>
      <c r="BF547" s="244">
        <v>0</v>
      </c>
      <c r="BG547" s="244">
        <v>-55.747798919677734</v>
      </c>
      <c r="BH547" s="228">
        <v>9999</v>
      </c>
      <c r="BI547" s="244">
        <v>0</v>
      </c>
      <c r="BJ547" s="244">
        <v>0</v>
      </c>
      <c r="BK547" s="244">
        <v>0</v>
      </c>
      <c r="BL547" s="244">
        <v>0</v>
      </c>
      <c r="BM547" s="244">
        <v>0</v>
      </c>
      <c r="BN547" s="244">
        <v>5.8913298593843475</v>
      </c>
      <c r="BO547" s="244">
        <v>0</v>
      </c>
      <c r="BP547" s="244">
        <v>0.27822044491767883</v>
      </c>
      <c r="BQ547" s="244">
        <v>0</v>
      </c>
      <c r="BR547" s="244">
        <v>0</v>
      </c>
      <c r="BS547" s="244">
        <v>0</v>
      </c>
      <c r="BT547" s="244">
        <v>4.5565242767333984</v>
      </c>
      <c r="BU547" s="244">
        <v>0</v>
      </c>
      <c r="BV547" s="244">
        <v>0</v>
      </c>
      <c r="BW547" s="244">
        <v>1.0726075172424316</v>
      </c>
      <c r="BX547" s="244">
        <v>0</v>
      </c>
      <c r="BY547" s="244"/>
      <c r="BZ547" s="244">
        <v>0</v>
      </c>
      <c r="CA547" s="244">
        <v>0</v>
      </c>
      <c r="CB547" s="244">
        <v>11.79868221282959</v>
      </c>
      <c r="CC547" s="244">
        <v>0</v>
      </c>
      <c r="CD547" s="228">
        <v>9999</v>
      </c>
      <c r="CE547" s="244">
        <v>-55.747798919677734</v>
      </c>
      <c r="CF547" s="244">
        <v>6.4480043591001082E-2</v>
      </c>
      <c r="CG547" s="244">
        <v>0</v>
      </c>
      <c r="CH547" s="244">
        <v>6.4480043591001082E-2</v>
      </c>
      <c r="CI547" s="244">
        <v>3.1650972946981001E-3</v>
      </c>
      <c r="CJ547" s="244">
        <v>0</v>
      </c>
      <c r="CK547" s="244">
        <v>3.1650972946981001E-3</v>
      </c>
      <c r="CL547" s="244"/>
      <c r="CM547" s="244">
        <v>0</v>
      </c>
      <c r="CN547" s="244" t="s">
        <v>605</v>
      </c>
      <c r="CO547" s="244">
        <v>0</v>
      </c>
      <c r="CP547" s="244">
        <v>0</v>
      </c>
      <c r="CQ547" s="244">
        <v>0</v>
      </c>
      <c r="CR547" s="244">
        <v>0</v>
      </c>
      <c r="CS547" s="244">
        <v>0</v>
      </c>
      <c r="CT547" s="244">
        <v>0</v>
      </c>
      <c r="CU547" s="244">
        <v>0</v>
      </c>
      <c r="CV547" s="244">
        <v>9999</v>
      </c>
      <c r="CW547" s="228">
        <v>9999</v>
      </c>
    </row>
    <row r="548" spans="1:101">
      <c r="A548" s="221" t="s">
        <v>468</v>
      </c>
      <c r="B548" s="221" t="s">
        <v>604</v>
      </c>
      <c r="C548" s="244">
        <v>10</v>
      </c>
      <c r="D548" s="244">
        <v>7.7961384322038025</v>
      </c>
      <c r="E548" s="244">
        <v>0</v>
      </c>
      <c r="F548" s="244">
        <v>0</v>
      </c>
      <c r="G548" s="244">
        <v>0</v>
      </c>
      <c r="H548" s="244">
        <v>0</v>
      </c>
      <c r="I548" s="244" t="s">
        <v>605</v>
      </c>
      <c r="J548" s="244">
        <v>1</v>
      </c>
      <c r="K548" s="244">
        <v>0.63999998569488525</v>
      </c>
      <c r="L548" s="244">
        <v>8.5029582708429388</v>
      </c>
      <c r="M548" s="244">
        <v>6.2122067902237177E-4</v>
      </c>
      <c r="N548" s="244">
        <v>9.7065733280032873E-4</v>
      </c>
      <c r="O548" s="244">
        <v>0</v>
      </c>
      <c r="P548" s="244">
        <v>0</v>
      </c>
      <c r="Q548" s="244">
        <v>0</v>
      </c>
      <c r="R548" s="244">
        <v>0</v>
      </c>
      <c r="S548" s="244">
        <v>0</v>
      </c>
      <c r="T548" s="244">
        <v>0</v>
      </c>
      <c r="U548" s="244">
        <v>0</v>
      </c>
      <c r="V548" s="244" t="s">
        <v>226</v>
      </c>
      <c r="W548" s="244" t="s">
        <v>226</v>
      </c>
      <c r="X548" s="244" t="s">
        <v>226</v>
      </c>
      <c r="Y548" s="244" t="s">
        <v>226</v>
      </c>
      <c r="Z548" s="244">
        <v>0</v>
      </c>
      <c r="AA548" s="244">
        <v>0</v>
      </c>
      <c r="AB548" s="244">
        <v>0</v>
      </c>
      <c r="AC548" s="244">
        <v>0</v>
      </c>
      <c r="AD548" s="244">
        <v>0</v>
      </c>
      <c r="AE548" s="244">
        <v>0</v>
      </c>
      <c r="AF548" s="244">
        <v>0</v>
      </c>
      <c r="AG548" s="244">
        <v>0</v>
      </c>
      <c r="AH548" s="244">
        <v>0</v>
      </c>
      <c r="AI548" s="244">
        <v>0</v>
      </c>
      <c r="AJ548" s="244">
        <v>0</v>
      </c>
      <c r="AK548" s="244">
        <v>0</v>
      </c>
      <c r="AL548" s="244">
        <v>0</v>
      </c>
      <c r="AM548" s="244">
        <v>5.8913298593843475</v>
      </c>
      <c r="AN548" s="244">
        <v>0</v>
      </c>
      <c r="AO548" s="244">
        <v>1.0447853803634644</v>
      </c>
      <c r="AP548" s="244">
        <v>4.5565242767333984</v>
      </c>
      <c r="AQ548" s="244">
        <v>11.492639541625977</v>
      </c>
      <c r="AR548" s="244">
        <v>0</v>
      </c>
      <c r="AS548" s="228">
        <v>9999</v>
      </c>
      <c r="AT548" s="244">
        <v>5.8913298593843475</v>
      </c>
      <c r="AU548" s="244">
        <v>0.27822044491767883</v>
      </c>
      <c r="AV548" s="244">
        <v>1.0726075172424316</v>
      </c>
      <c r="AW548" s="244">
        <v>4.5565242767333984</v>
      </c>
      <c r="AX548" s="244">
        <v>11.79868221282959</v>
      </c>
      <c r="AY548" s="244">
        <v>0</v>
      </c>
      <c r="AZ548" s="228">
        <v>9999</v>
      </c>
      <c r="BA548" s="244">
        <v>5.8913298593843475</v>
      </c>
      <c r="BB548" s="244">
        <v>0.27822044491767883</v>
      </c>
      <c r="BC548" s="244">
        <v>1.0726075172424316</v>
      </c>
      <c r="BD548" s="244">
        <v>4.5565242767333984</v>
      </c>
      <c r="BE548" s="244">
        <v>11.79868221282959</v>
      </c>
      <c r="BF548" s="244">
        <v>0</v>
      </c>
      <c r="BG548" s="244">
        <v>-55.747798919677734</v>
      </c>
      <c r="BH548" s="228">
        <v>9999</v>
      </c>
      <c r="BI548" s="244">
        <v>0</v>
      </c>
      <c r="BJ548" s="244">
        <v>0</v>
      </c>
      <c r="BK548" s="244">
        <v>0</v>
      </c>
      <c r="BL548" s="244">
        <v>0</v>
      </c>
      <c r="BM548" s="244">
        <v>0</v>
      </c>
      <c r="BN548" s="244">
        <v>5.8913298593843475</v>
      </c>
      <c r="BO548" s="244">
        <v>0</v>
      </c>
      <c r="BP548" s="244">
        <v>0.27822044491767883</v>
      </c>
      <c r="BQ548" s="244">
        <v>0</v>
      </c>
      <c r="BR548" s="244">
        <v>0</v>
      </c>
      <c r="BS548" s="244">
        <v>0</v>
      </c>
      <c r="BT548" s="244">
        <v>4.5565242767333984</v>
      </c>
      <c r="BU548" s="244">
        <v>0</v>
      </c>
      <c r="BV548" s="244">
        <v>0</v>
      </c>
      <c r="BW548" s="244">
        <v>1.0726075172424316</v>
      </c>
      <c r="BX548" s="244">
        <v>0</v>
      </c>
      <c r="BY548" s="244"/>
      <c r="BZ548" s="244">
        <v>0</v>
      </c>
      <c r="CA548" s="244">
        <v>0</v>
      </c>
      <c r="CB548" s="244">
        <v>11.79868221282959</v>
      </c>
      <c r="CC548" s="244">
        <v>0</v>
      </c>
      <c r="CD548" s="228">
        <v>9999</v>
      </c>
      <c r="CE548" s="244">
        <v>-55.747798919677734</v>
      </c>
      <c r="CF548" s="244">
        <v>6.4480043591001082E-2</v>
      </c>
      <c r="CG548" s="244">
        <v>0</v>
      </c>
      <c r="CH548" s="244">
        <v>6.4480043591001082E-2</v>
      </c>
      <c r="CI548" s="244">
        <v>3.1650972946981001E-3</v>
      </c>
      <c r="CJ548" s="244">
        <v>0</v>
      </c>
      <c r="CK548" s="244">
        <v>3.1650972946981001E-3</v>
      </c>
      <c r="CL548" s="244"/>
      <c r="CM548" s="244">
        <v>0</v>
      </c>
      <c r="CN548" s="244" t="s">
        <v>605</v>
      </c>
      <c r="CO548" s="244">
        <v>0</v>
      </c>
      <c r="CP548" s="244">
        <v>0</v>
      </c>
      <c r="CQ548" s="244">
        <v>0</v>
      </c>
      <c r="CR548" s="244">
        <v>0</v>
      </c>
      <c r="CS548" s="244">
        <v>0</v>
      </c>
      <c r="CT548" s="244">
        <v>0</v>
      </c>
      <c r="CU548" s="244">
        <v>0</v>
      </c>
      <c r="CV548" s="244">
        <v>9999</v>
      </c>
      <c r="CW548" s="228">
        <v>9999</v>
      </c>
    </row>
    <row r="549" spans="1:101">
      <c r="A549" s="221" t="s">
        <v>469</v>
      </c>
      <c r="B549" s="221" t="s">
        <v>604</v>
      </c>
      <c r="C549" s="244">
        <v>10</v>
      </c>
      <c r="D549" s="244">
        <v>4.2795584085903524</v>
      </c>
      <c r="E549" s="244">
        <v>0</v>
      </c>
      <c r="F549" s="244">
        <v>0</v>
      </c>
      <c r="G549" s="244">
        <v>0</v>
      </c>
      <c r="H549" s="244">
        <v>0</v>
      </c>
      <c r="I549" s="244" t="s">
        <v>605</v>
      </c>
      <c r="J549" s="244">
        <v>1</v>
      </c>
      <c r="K549" s="244">
        <v>0.63999998569488525</v>
      </c>
      <c r="L549" s="244">
        <v>4.6675552111242347</v>
      </c>
      <c r="M549" s="244">
        <v>3.4100859193131328E-4</v>
      </c>
      <c r="N549" s="244">
        <v>5.3282594308257103E-4</v>
      </c>
      <c r="O549" s="244">
        <v>0</v>
      </c>
      <c r="P549" s="244">
        <v>0</v>
      </c>
      <c r="Q549" s="244">
        <v>0</v>
      </c>
      <c r="R549" s="244">
        <v>0</v>
      </c>
      <c r="S549" s="244">
        <v>0</v>
      </c>
      <c r="T549" s="244">
        <v>0</v>
      </c>
      <c r="U549" s="244">
        <v>0</v>
      </c>
      <c r="V549" s="244" t="s">
        <v>226</v>
      </c>
      <c r="W549" s="244" t="s">
        <v>226</v>
      </c>
      <c r="X549" s="244" t="s">
        <v>226</v>
      </c>
      <c r="Y549" s="244" t="s">
        <v>226</v>
      </c>
      <c r="Z549" s="244">
        <v>0</v>
      </c>
      <c r="AA549" s="244">
        <v>0</v>
      </c>
      <c r="AB549" s="244">
        <v>0</v>
      </c>
      <c r="AC549" s="244">
        <v>0</v>
      </c>
      <c r="AD549" s="244">
        <v>0</v>
      </c>
      <c r="AE549" s="244">
        <v>0</v>
      </c>
      <c r="AF549" s="244">
        <v>0</v>
      </c>
      <c r="AG549" s="244">
        <v>0</v>
      </c>
      <c r="AH549" s="244">
        <v>0</v>
      </c>
      <c r="AI549" s="244">
        <v>0</v>
      </c>
      <c r="AJ549" s="244">
        <v>0</v>
      </c>
      <c r="AK549" s="244">
        <v>0</v>
      </c>
      <c r="AL549" s="244">
        <v>0</v>
      </c>
      <c r="AM549" s="244">
        <v>3.2339459408984292</v>
      </c>
      <c r="AN549" s="244">
        <v>0</v>
      </c>
      <c r="AO549" s="244">
        <v>0.5735173225402832</v>
      </c>
      <c r="AP549" s="244">
        <v>2.5012271404266357</v>
      </c>
      <c r="AQ549" s="244">
        <v>6.3086905479431152</v>
      </c>
      <c r="AR549" s="244">
        <v>0</v>
      </c>
      <c r="AS549" s="228">
        <v>9999</v>
      </c>
      <c r="AT549" s="244">
        <v>3.2339459408984292</v>
      </c>
      <c r="AU549" s="244">
        <v>0.15272438526153564</v>
      </c>
      <c r="AV549" s="244">
        <v>0.58878976106643677</v>
      </c>
      <c r="AW549" s="244">
        <v>2.5012271404266357</v>
      </c>
      <c r="AX549" s="244">
        <v>6.4766874313354492</v>
      </c>
      <c r="AY549" s="244">
        <v>0</v>
      </c>
      <c r="AZ549" s="228">
        <v>9999</v>
      </c>
      <c r="BA549" s="244">
        <v>3.2339459408984292</v>
      </c>
      <c r="BB549" s="244">
        <v>0.15272438526153564</v>
      </c>
      <c r="BC549" s="244">
        <v>0.58878976106643677</v>
      </c>
      <c r="BD549" s="244">
        <v>2.5012271404266357</v>
      </c>
      <c r="BE549" s="244">
        <v>6.4766874313354492</v>
      </c>
      <c r="BF549" s="244">
        <v>0</v>
      </c>
      <c r="BG549" s="244">
        <v>-55.747802734375</v>
      </c>
      <c r="BH549" s="228">
        <v>9999</v>
      </c>
      <c r="BI549" s="244">
        <v>0</v>
      </c>
      <c r="BJ549" s="244">
        <v>0</v>
      </c>
      <c r="BK549" s="244">
        <v>0</v>
      </c>
      <c r="BL549" s="244">
        <v>0</v>
      </c>
      <c r="BM549" s="244">
        <v>0</v>
      </c>
      <c r="BN549" s="244">
        <v>3.2339459408984292</v>
      </c>
      <c r="BO549" s="244">
        <v>0</v>
      </c>
      <c r="BP549" s="244">
        <v>0.15272438526153564</v>
      </c>
      <c r="BQ549" s="244">
        <v>0</v>
      </c>
      <c r="BR549" s="244">
        <v>0</v>
      </c>
      <c r="BS549" s="244">
        <v>0</v>
      </c>
      <c r="BT549" s="244">
        <v>2.5012271404266357</v>
      </c>
      <c r="BU549" s="244">
        <v>0</v>
      </c>
      <c r="BV549" s="244">
        <v>0</v>
      </c>
      <c r="BW549" s="244">
        <v>0.58878976106643677</v>
      </c>
      <c r="BX549" s="244">
        <v>0</v>
      </c>
      <c r="BY549" s="244"/>
      <c r="BZ549" s="244">
        <v>0</v>
      </c>
      <c r="CA549" s="244">
        <v>0</v>
      </c>
      <c r="CB549" s="244">
        <v>6.4766874313354492</v>
      </c>
      <c r="CC549" s="244">
        <v>0</v>
      </c>
      <c r="CD549" s="228">
        <v>9999</v>
      </c>
      <c r="CE549" s="244">
        <v>-55.747802734375</v>
      </c>
      <c r="CF549" s="244">
        <v>3.5395229976456333E-2</v>
      </c>
      <c r="CG549" s="244">
        <v>0</v>
      </c>
      <c r="CH549" s="244">
        <v>3.5395229976456333E-2</v>
      </c>
      <c r="CI549" s="244">
        <v>1.7374266579952033E-3</v>
      </c>
      <c r="CJ549" s="244">
        <v>0</v>
      </c>
      <c r="CK549" s="244">
        <v>1.7374266579952033E-3</v>
      </c>
      <c r="CL549" s="244"/>
      <c r="CM549" s="244">
        <v>0</v>
      </c>
      <c r="CN549" s="244" t="s">
        <v>605</v>
      </c>
      <c r="CO549" s="244">
        <v>0</v>
      </c>
      <c r="CP549" s="244">
        <v>0</v>
      </c>
      <c r="CQ549" s="244">
        <v>0</v>
      </c>
      <c r="CR549" s="244">
        <v>0</v>
      </c>
      <c r="CS549" s="244">
        <v>0</v>
      </c>
      <c r="CT549" s="244">
        <v>0</v>
      </c>
      <c r="CU549" s="244">
        <v>0</v>
      </c>
      <c r="CV549" s="244">
        <v>9999</v>
      </c>
      <c r="CW549" s="228">
        <v>9999</v>
      </c>
    </row>
    <row r="550" spans="1:101">
      <c r="A550" s="221" t="s">
        <v>470</v>
      </c>
      <c r="B550" s="221" t="s">
        <v>604</v>
      </c>
      <c r="C550" s="244">
        <v>10</v>
      </c>
      <c r="D550" s="244">
        <v>4.2795584085903524</v>
      </c>
      <c r="E550" s="244">
        <v>0</v>
      </c>
      <c r="F550" s="244">
        <v>0</v>
      </c>
      <c r="G550" s="244">
        <v>0</v>
      </c>
      <c r="H550" s="244">
        <v>0</v>
      </c>
      <c r="I550" s="244" t="s">
        <v>605</v>
      </c>
      <c r="J550" s="244">
        <v>1</v>
      </c>
      <c r="K550" s="244">
        <v>0.63999998569488525</v>
      </c>
      <c r="L550" s="244">
        <v>4.6675552111242347</v>
      </c>
      <c r="M550" s="244">
        <v>3.4100859193131328E-4</v>
      </c>
      <c r="N550" s="244">
        <v>5.3282594308257103E-4</v>
      </c>
      <c r="O550" s="244">
        <v>0</v>
      </c>
      <c r="P550" s="244">
        <v>0</v>
      </c>
      <c r="Q550" s="244">
        <v>0</v>
      </c>
      <c r="R550" s="244">
        <v>0</v>
      </c>
      <c r="S550" s="244">
        <v>0</v>
      </c>
      <c r="T550" s="244">
        <v>0</v>
      </c>
      <c r="U550" s="244">
        <v>0</v>
      </c>
      <c r="V550" s="244" t="s">
        <v>226</v>
      </c>
      <c r="W550" s="244" t="s">
        <v>226</v>
      </c>
      <c r="X550" s="244" t="s">
        <v>226</v>
      </c>
      <c r="Y550" s="244" t="s">
        <v>226</v>
      </c>
      <c r="Z550" s="244">
        <v>0</v>
      </c>
      <c r="AA550" s="244">
        <v>0</v>
      </c>
      <c r="AB550" s="244">
        <v>0</v>
      </c>
      <c r="AC550" s="244">
        <v>0</v>
      </c>
      <c r="AD550" s="244">
        <v>0</v>
      </c>
      <c r="AE550" s="244">
        <v>0</v>
      </c>
      <c r="AF550" s="244">
        <v>0</v>
      </c>
      <c r="AG550" s="244">
        <v>0</v>
      </c>
      <c r="AH550" s="244">
        <v>0</v>
      </c>
      <c r="AI550" s="244">
        <v>0</v>
      </c>
      <c r="AJ550" s="244">
        <v>0</v>
      </c>
      <c r="AK550" s="244">
        <v>0</v>
      </c>
      <c r="AL550" s="244">
        <v>0</v>
      </c>
      <c r="AM550" s="244">
        <v>3.2339459408984292</v>
      </c>
      <c r="AN550" s="244">
        <v>0</v>
      </c>
      <c r="AO550" s="244">
        <v>0.5735173225402832</v>
      </c>
      <c r="AP550" s="244">
        <v>2.5012271404266357</v>
      </c>
      <c r="AQ550" s="244">
        <v>6.3086905479431152</v>
      </c>
      <c r="AR550" s="244">
        <v>0</v>
      </c>
      <c r="AS550" s="228">
        <v>9999</v>
      </c>
      <c r="AT550" s="244">
        <v>3.2339459408984292</v>
      </c>
      <c r="AU550" s="244">
        <v>0.15272438526153564</v>
      </c>
      <c r="AV550" s="244">
        <v>0.58878976106643677</v>
      </c>
      <c r="AW550" s="244">
        <v>2.5012271404266357</v>
      </c>
      <c r="AX550" s="244">
        <v>6.4766874313354492</v>
      </c>
      <c r="AY550" s="244">
        <v>0</v>
      </c>
      <c r="AZ550" s="228">
        <v>9999</v>
      </c>
      <c r="BA550" s="244">
        <v>3.2339459408984292</v>
      </c>
      <c r="BB550" s="244">
        <v>0.15272438526153564</v>
      </c>
      <c r="BC550" s="244">
        <v>0.58878976106643677</v>
      </c>
      <c r="BD550" s="244">
        <v>2.5012271404266357</v>
      </c>
      <c r="BE550" s="244">
        <v>6.4766874313354492</v>
      </c>
      <c r="BF550" s="244">
        <v>0</v>
      </c>
      <c r="BG550" s="244">
        <v>-55.747802734375</v>
      </c>
      <c r="BH550" s="228">
        <v>9999</v>
      </c>
      <c r="BI550" s="244">
        <v>0</v>
      </c>
      <c r="BJ550" s="244">
        <v>0</v>
      </c>
      <c r="BK550" s="244">
        <v>0</v>
      </c>
      <c r="BL550" s="244">
        <v>0</v>
      </c>
      <c r="BM550" s="244">
        <v>0</v>
      </c>
      <c r="BN550" s="244">
        <v>3.2339459408984292</v>
      </c>
      <c r="BO550" s="244">
        <v>0</v>
      </c>
      <c r="BP550" s="244">
        <v>0.15272438526153564</v>
      </c>
      <c r="BQ550" s="244">
        <v>0</v>
      </c>
      <c r="BR550" s="244">
        <v>0</v>
      </c>
      <c r="BS550" s="244">
        <v>0</v>
      </c>
      <c r="BT550" s="244">
        <v>2.5012271404266357</v>
      </c>
      <c r="BU550" s="244">
        <v>0</v>
      </c>
      <c r="BV550" s="244">
        <v>0</v>
      </c>
      <c r="BW550" s="244">
        <v>0.58878976106643677</v>
      </c>
      <c r="BX550" s="244">
        <v>0</v>
      </c>
      <c r="BY550" s="244"/>
      <c r="BZ550" s="244">
        <v>0</v>
      </c>
      <c r="CA550" s="244">
        <v>0</v>
      </c>
      <c r="CB550" s="244">
        <v>6.4766874313354492</v>
      </c>
      <c r="CC550" s="244">
        <v>0</v>
      </c>
      <c r="CD550" s="228">
        <v>9999</v>
      </c>
      <c r="CE550" s="244">
        <v>-55.747802734375</v>
      </c>
      <c r="CF550" s="244">
        <v>3.5395229976456333E-2</v>
      </c>
      <c r="CG550" s="244">
        <v>0</v>
      </c>
      <c r="CH550" s="244">
        <v>3.5395229976456333E-2</v>
      </c>
      <c r="CI550" s="244">
        <v>1.7374266579952033E-3</v>
      </c>
      <c r="CJ550" s="244">
        <v>0</v>
      </c>
      <c r="CK550" s="244">
        <v>1.7374266579952033E-3</v>
      </c>
      <c r="CL550" s="244"/>
      <c r="CM550" s="244">
        <v>0</v>
      </c>
      <c r="CN550" s="244" t="s">
        <v>605</v>
      </c>
      <c r="CO550" s="244">
        <v>0</v>
      </c>
      <c r="CP550" s="244">
        <v>0</v>
      </c>
      <c r="CQ550" s="244">
        <v>0</v>
      </c>
      <c r="CR550" s="244">
        <v>0</v>
      </c>
      <c r="CS550" s="244">
        <v>0</v>
      </c>
      <c r="CT550" s="244">
        <v>0</v>
      </c>
      <c r="CU550" s="244">
        <v>0</v>
      </c>
      <c r="CV550" s="244">
        <v>9999</v>
      </c>
      <c r="CW550" s="228">
        <v>9999</v>
      </c>
    </row>
    <row r="551" spans="1:101">
      <c r="A551" s="221" t="s">
        <v>471</v>
      </c>
      <c r="B551" s="221" t="s">
        <v>604</v>
      </c>
      <c r="C551" s="244">
        <v>10</v>
      </c>
      <c r="D551" s="244">
        <v>4.2795584085903524</v>
      </c>
      <c r="E551" s="244">
        <v>0</v>
      </c>
      <c r="F551" s="244">
        <v>0</v>
      </c>
      <c r="G551" s="244">
        <v>0</v>
      </c>
      <c r="H551" s="244">
        <v>0</v>
      </c>
      <c r="I551" s="244" t="s">
        <v>605</v>
      </c>
      <c r="J551" s="244">
        <v>1</v>
      </c>
      <c r="K551" s="244">
        <v>0.63999998569488525</v>
      </c>
      <c r="L551" s="244">
        <v>4.6675552111242347</v>
      </c>
      <c r="M551" s="244">
        <v>3.4100859193131328E-4</v>
      </c>
      <c r="N551" s="244">
        <v>5.3282594308257103E-4</v>
      </c>
      <c r="O551" s="244">
        <v>0</v>
      </c>
      <c r="P551" s="244">
        <v>0</v>
      </c>
      <c r="Q551" s="244">
        <v>0</v>
      </c>
      <c r="R551" s="244">
        <v>0</v>
      </c>
      <c r="S551" s="244">
        <v>0</v>
      </c>
      <c r="T551" s="244">
        <v>0</v>
      </c>
      <c r="U551" s="244">
        <v>0</v>
      </c>
      <c r="V551" s="244" t="s">
        <v>226</v>
      </c>
      <c r="W551" s="244" t="s">
        <v>226</v>
      </c>
      <c r="X551" s="244" t="s">
        <v>226</v>
      </c>
      <c r="Y551" s="244" t="s">
        <v>226</v>
      </c>
      <c r="Z551" s="244">
        <v>0</v>
      </c>
      <c r="AA551" s="244">
        <v>0</v>
      </c>
      <c r="AB551" s="244">
        <v>0</v>
      </c>
      <c r="AC551" s="244">
        <v>0</v>
      </c>
      <c r="AD551" s="244">
        <v>0</v>
      </c>
      <c r="AE551" s="244">
        <v>0</v>
      </c>
      <c r="AF551" s="244">
        <v>0</v>
      </c>
      <c r="AG551" s="244">
        <v>0</v>
      </c>
      <c r="AH551" s="244">
        <v>0</v>
      </c>
      <c r="AI551" s="244">
        <v>0</v>
      </c>
      <c r="AJ551" s="244">
        <v>0</v>
      </c>
      <c r="AK551" s="244">
        <v>0</v>
      </c>
      <c r="AL551" s="244">
        <v>0</v>
      </c>
      <c r="AM551" s="244">
        <v>3.2339459408984292</v>
      </c>
      <c r="AN551" s="244">
        <v>0</v>
      </c>
      <c r="AO551" s="244">
        <v>0.5735173225402832</v>
      </c>
      <c r="AP551" s="244">
        <v>2.5012271404266357</v>
      </c>
      <c r="AQ551" s="244">
        <v>6.3086905479431152</v>
      </c>
      <c r="AR551" s="244">
        <v>0</v>
      </c>
      <c r="AS551" s="228">
        <v>9999</v>
      </c>
      <c r="AT551" s="244">
        <v>3.2339459408984292</v>
      </c>
      <c r="AU551" s="244">
        <v>0.15272438526153564</v>
      </c>
      <c r="AV551" s="244">
        <v>0.58878976106643677</v>
      </c>
      <c r="AW551" s="244">
        <v>2.5012271404266357</v>
      </c>
      <c r="AX551" s="244">
        <v>6.4766874313354492</v>
      </c>
      <c r="AY551" s="244">
        <v>0</v>
      </c>
      <c r="AZ551" s="228">
        <v>9999</v>
      </c>
      <c r="BA551" s="244">
        <v>3.2339459408984292</v>
      </c>
      <c r="BB551" s="244">
        <v>0.15272438526153564</v>
      </c>
      <c r="BC551" s="244">
        <v>0.58878976106643677</v>
      </c>
      <c r="BD551" s="244">
        <v>2.5012271404266357</v>
      </c>
      <c r="BE551" s="244">
        <v>6.4766874313354492</v>
      </c>
      <c r="BF551" s="244">
        <v>0</v>
      </c>
      <c r="BG551" s="244">
        <v>-55.747802734375</v>
      </c>
      <c r="BH551" s="228">
        <v>9999</v>
      </c>
      <c r="BI551" s="244">
        <v>0</v>
      </c>
      <c r="BJ551" s="244">
        <v>0</v>
      </c>
      <c r="BK551" s="244">
        <v>0</v>
      </c>
      <c r="BL551" s="244">
        <v>0</v>
      </c>
      <c r="BM551" s="244">
        <v>0</v>
      </c>
      <c r="BN551" s="244">
        <v>3.2339459408984292</v>
      </c>
      <c r="BO551" s="244">
        <v>0</v>
      </c>
      <c r="BP551" s="244">
        <v>0.15272438526153564</v>
      </c>
      <c r="BQ551" s="244">
        <v>0</v>
      </c>
      <c r="BR551" s="244">
        <v>0</v>
      </c>
      <c r="BS551" s="244">
        <v>0</v>
      </c>
      <c r="BT551" s="244">
        <v>2.5012271404266357</v>
      </c>
      <c r="BU551" s="244">
        <v>0</v>
      </c>
      <c r="BV551" s="244">
        <v>0</v>
      </c>
      <c r="BW551" s="244">
        <v>0.58878976106643677</v>
      </c>
      <c r="BX551" s="244">
        <v>0</v>
      </c>
      <c r="BY551" s="244"/>
      <c r="BZ551" s="244">
        <v>0</v>
      </c>
      <c r="CA551" s="244">
        <v>0</v>
      </c>
      <c r="CB551" s="244">
        <v>6.4766874313354492</v>
      </c>
      <c r="CC551" s="244">
        <v>0</v>
      </c>
      <c r="CD551" s="228">
        <v>9999</v>
      </c>
      <c r="CE551" s="244">
        <v>-55.747802734375</v>
      </c>
      <c r="CF551" s="244">
        <v>3.5395229976456333E-2</v>
      </c>
      <c r="CG551" s="244">
        <v>0</v>
      </c>
      <c r="CH551" s="244">
        <v>3.5395229976456333E-2</v>
      </c>
      <c r="CI551" s="244">
        <v>1.7374266579952033E-3</v>
      </c>
      <c r="CJ551" s="244">
        <v>0</v>
      </c>
      <c r="CK551" s="244">
        <v>1.7374266579952033E-3</v>
      </c>
      <c r="CL551" s="244"/>
      <c r="CM551" s="244">
        <v>0</v>
      </c>
      <c r="CN551" s="244" t="s">
        <v>605</v>
      </c>
      <c r="CO551" s="244">
        <v>0</v>
      </c>
      <c r="CP551" s="244">
        <v>0</v>
      </c>
      <c r="CQ551" s="244">
        <v>0</v>
      </c>
      <c r="CR551" s="244">
        <v>0</v>
      </c>
      <c r="CS551" s="244">
        <v>0</v>
      </c>
      <c r="CT551" s="244">
        <v>0</v>
      </c>
      <c r="CU551" s="244">
        <v>0</v>
      </c>
      <c r="CV551" s="244">
        <v>9999</v>
      </c>
      <c r="CW551" s="228">
        <v>9999</v>
      </c>
    </row>
    <row r="552" spans="1:101">
      <c r="A552" s="221" t="s">
        <v>472</v>
      </c>
      <c r="B552" s="221" t="s">
        <v>604</v>
      </c>
      <c r="C552" s="244">
        <v>10</v>
      </c>
      <c r="D552" s="244">
        <v>4.5135967590601371</v>
      </c>
      <c r="E552" s="244">
        <v>0</v>
      </c>
      <c r="F552" s="244">
        <v>0</v>
      </c>
      <c r="G552" s="244">
        <v>0</v>
      </c>
      <c r="H552" s="244">
        <v>0</v>
      </c>
      <c r="I552" s="244" t="s">
        <v>605</v>
      </c>
      <c r="J552" s="244">
        <v>1</v>
      </c>
      <c r="K552" s="244">
        <v>0.63999998569488525</v>
      </c>
      <c r="L552" s="244">
        <v>4.922812136732591</v>
      </c>
      <c r="M552" s="244">
        <v>3.5965751158073545E-4</v>
      </c>
      <c r="N552" s="244">
        <v>5.6196487275883555E-4</v>
      </c>
      <c r="O552" s="244">
        <v>0</v>
      </c>
      <c r="P552" s="244">
        <v>0</v>
      </c>
      <c r="Q552" s="244">
        <v>0</v>
      </c>
      <c r="R552" s="244">
        <v>0</v>
      </c>
      <c r="S552" s="244">
        <v>0</v>
      </c>
      <c r="T552" s="244">
        <v>0</v>
      </c>
      <c r="U552" s="244">
        <v>0</v>
      </c>
      <c r="V552" s="244" t="s">
        <v>226</v>
      </c>
      <c r="W552" s="244" t="s">
        <v>226</v>
      </c>
      <c r="X552" s="244" t="s">
        <v>226</v>
      </c>
      <c r="Y552" s="244" t="s">
        <v>226</v>
      </c>
      <c r="Z552" s="244">
        <v>0</v>
      </c>
      <c r="AA552" s="244">
        <v>0</v>
      </c>
      <c r="AB552" s="244">
        <v>0</v>
      </c>
      <c r="AC552" s="244">
        <v>0</v>
      </c>
      <c r="AD552" s="244">
        <v>0</v>
      </c>
      <c r="AE552" s="244">
        <v>0</v>
      </c>
      <c r="AF552" s="244">
        <v>0</v>
      </c>
      <c r="AG552" s="244">
        <v>0</v>
      </c>
      <c r="AH552" s="244">
        <v>0</v>
      </c>
      <c r="AI552" s="244">
        <v>0</v>
      </c>
      <c r="AJ552" s="244">
        <v>0</v>
      </c>
      <c r="AK552" s="244">
        <v>0</v>
      </c>
      <c r="AL552" s="244">
        <v>0</v>
      </c>
      <c r="AM552" s="244">
        <v>3.4108023595413148</v>
      </c>
      <c r="AN552" s="244">
        <v>0</v>
      </c>
      <c r="AO552" s="244">
        <v>0.60488158464431763</v>
      </c>
      <c r="AP552" s="244">
        <v>2.6380131244659424</v>
      </c>
      <c r="AQ552" s="244">
        <v>6.6536970138549805</v>
      </c>
      <c r="AR552" s="244">
        <v>0</v>
      </c>
      <c r="AS552" s="228">
        <v>9999</v>
      </c>
      <c r="AT552" s="244">
        <v>3.4108023595413148</v>
      </c>
      <c r="AU552" s="244">
        <v>0.16107653081417084</v>
      </c>
      <c r="AV552" s="244">
        <v>0.62098920345306396</v>
      </c>
      <c r="AW552" s="244">
        <v>2.6380131244659424</v>
      </c>
      <c r="AX552" s="244">
        <v>6.8308811187744141</v>
      </c>
      <c r="AY552" s="244">
        <v>0</v>
      </c>
      <c r="AZ552" s="228">
        <v>9999</v>
      </c>
      <c r="BA552" s="244">
        <v>3.4108023595413148</v>
      </c>
      <c r="BB552" s="244">
        <v>0.16107653081417084</v>
      </c>
      <c r="BC552" s="244">
        <v>0.62098920345306396</v>
      </c>
      <c r="BD552" s="244">
        <v>2.6380131244659424</v>
      </c>
      <c r="BE552" s="244">
        <v>6.8308811187744141</v>
      </c>
      <c r="BF552" s="244">
        <v>0</v>
      </c>
      <c r="BG552" s="244">
        <v>-55.747802734375</v>
      </c>
      <c r="BH552" s="228">
        <v>9999</v>
      </c>
      <c r="BI552" s="244">
        <v>0</v>
      </c>
      <c r="BJ552" s="244">
        <v>0</v>
      </c>
      <c r="BK552" s="244">
        <v>0</v>
      </c>
      <c r="BL552" s="244">
        <v>0</v>
      </c>
      <c r="BM552" s="244">
        <v>0</v>
      </c>
      <c r="BN552" s="244">
        <v>3.4108023595413148</v>
      </c>
      <c r="BO552" s="244">
        <v>0</v>
      </c>
      <c r="BP552" s="244">
        <v>0.16107653081417084</v>
      </c>
      <c r="BQ552" s="244">
        <v>0</v>
      </c>
      <c r="BR552" s="244">
        <v>0</v>
      </c>
      <c r="BS552" s="244">
        <v>0</v>
      </c>
      <c r="BT552" s="244">
        <v>2.6380131244659424</v>
      </c>
      <c r="BU552" s="244">
        <v>0</v>
      </c>
      <c r="BV552" s="244">
        <v>0</v>
      </c>
      <c r="BW552" s="244">
        <v>0.62098920345306396</v>
      </c>
      <c r="BX552" s="244">
        <v>0</v>
      </c>
      <c r="BY552" s="244"/>
      <c r="BZ552" s="244">
        <v>0</v>
      </c>
      <c r="CA552" s="244">
        <v>0</v>
      </c>
      <c r="CB552" s="244">
        <v>6.8308811187744141</v>
      </c>
      <c r="CC552" s="244">
        <v>0</v>
      </c>
      <c r="CD552" s="228">
        <v>9999</v>
      </c>
      <c r="CE552" s="244">
        <v>-55.747802734375</v>
      </c>
      <c r="CF552" s="244">
        <v>3.7330906615793719E-2</v>
      </c>
      <c r="CG552" s="244">
        <v>0</v>
      </c>
      <c r="CH552" s="244">
        <v>3.7330906615793719E-2</v>
      </c>
      <c r="CI552" s="244">
        <v>1.8324421783543173E-3</v>
      </c>
      <c r="CJ552" s="244">
        <v>0</v>
      </c>
      <c r="CK552" s="244">
        <v>1.8324421783543173E-3</v>
      </c>
      <c r="CL552" s="244"/>
      <c r="CM552" s="244">
        <v>0</v>
      </c>
      <c r="CN552" s="244" t="s">
        <v>605</v>
      </c>
      <c r="CO552" s="244">
        <v>0</v>
      </c>
      <c r="CP552" s="244">
        <v>0</v>
      </c>
      <c r="CQ552" s="244">
        <v>0</v>
      </c>
      <c r="CR552" s="244">
        <v>0</v>
      </c>
      <c r="CS552" s="244">
        <v>0</v>
      </c>
      <c r="CT552" s="244">
        <v>0</v>
      </c>
      <c r="CU552" s="244">
        <v>0</v>
      </c>
      <c r="CV552" s="244">
        <v>9999</v>
      </c>
      <c r="CW552" s="228">
        <v>9999</v>
      </c>
    </row>
    <row r="553" spans="1:101">
      <c r="A553" s="221" t="s">
        <v>473</v>
      </c>
      <c r="B553" s="221" t="s">
        <v>604</v>
      </c>
      <c r="C553" s="244">
        <v>10</v>
      </c>
      <c r="D553" s="244">
        <v>4.5135967590601371</v>
      </c>
      <c r="E553" s="244">
        <v>0</v>
      </c>
      <c r="F553" s="244">
        <v>0</v>
      </c>
      <c r="G553" s="244">
        <v>0</v>
      </c>
      <c r="H553" s="244">
        <v>0</v>
      </c>
      <c r="I553" s="244" t="s">
        <v>605</v>
      </c>
      <c r="J553" s="244">
        <v>1</v>
      </c>
      <c r="K553" s="244">
        <v>0.63999998569488525</v>
      </c>
      <c r="L553" s="244">
        <v>4.922812136732591</v>
      </c>
      <c r="M553" s="244">
        <v>3.5965751158073545E-4</v>
      </c>
      <c r="N553" s="244">
        <v>5.6196487275883555E-4</v>
      </c>
      <c r="O553" s="244">
        <v>0</v>
      </c>
      <c r="P553" s="244">
        <v>0</v>
      </c>
      <c r="Q553" s="244">
        <v>0</v>
      </c>
      <c r="R553" s="244">
        <v>0</v>
      </c>
      <c r="S553" s="244">
        <v>0</v>
      </c>
      <c r="T553" s="244">
        <v>0</v>
      </c>
      <c r="U553" s="244">
        <v>0</v>
      </c>
      <c r="V553" s="244" t="s">
        <v>226</v>
      </c>
      <c r="W553" s="244" t="s">
        <v>226</v>
      </c>
      <c r="X553" s="244" t="s">
        <v>226</v>
      </c>
      <c r="Y553" s="244" t="s">
        <v>226</v>
      </c>
      <c r="Z553" s="244">
        <v>0</v>
      </c>
      <c r="AA553" s="244">
        <v>0</v>
      </c>
      <c r="AB553" s="244">
        <v>0</v>
      </c>
      <c r="AC553" s="244">
        <v>0</v>
      </c>
      <c r="AD553" s="244">
        <v>0</v>
      </c>
      <c r="AE553" s="244">
        <v>0</v>
      </c>
      <c r="AF553" s="244">
        <v>0</v>
      </c>
      <c r="AG553" s="244">
        <v>0</v>
      </c>
      <c r="AH553" s="244">
        <v>0</v>
      </c>
      <c r="AI553" s="244">
        <v>0</v>
      </c>
      <c r="AJ553" s="244">
        <v>0</v>
      </c>
      <c r="AK553" s="244">
        <v>0</v>
      </c>
      <c r="AL553" s="244">
        <v>0</v>
      </c>
      <c r="AM553" s="244">
        <v>3.4108023595413148</v>
      </c>
      <c r="AN553" s="244">
        <v>0</v>
      </c>
      <c r="AO553" s="244">
        <v>0.60488158464431763</v>
      </c>
      <c r="AP553" s="244">
        <v>2.6380131244659424</v>
      </c>
      <c r="AQ553" s="244">
        <v>6.6536970138549805</v>
      </c>
      <c r="AR553" s="244">
        <v>0</v>
      </c>
      <c r="AS553" s="228">
        <v>9999</v>
      </c>
      <c r="AT553" s="244">
        <v>3.4108023595413148</v>
      </c>
      <c r="AU553" s="244">
        <v>0.16107653081417084</v>
      </c>
      <c r="AV553" s="244">
        <v>0.62098920345306396</v>
      </c>
      <c r="AW553" s="244">
        <v>2.6380131244659424</v>
      </c>
      <c r="AX553" s="244">
        <v>6.8308811187744141</v>
      </c>
      <c r="AY553" s="244">
        <v>0</v>
      </c>
      <c r="AZ553" s="228">
        <v>9999</v>
      </c>
      <c r="BA553" s="244">
        <v>3.4108023595413148</v>
      </c>
      <c r="BB553" s="244">
        <v>0.16107653081417084</v>
      </c>
      <c r="BC553" s="244">
        <v>0.62098920345306396</v>
      </c>
      <c r="BD553" s="244">
        <v>2.6380131244659424</v>
      </c>
      <c r="BE553" s="244">
        <v>6.8308811187744141</v>
      </c>
      <c r="BF553" s="244">
        <v>0</v>
      </c>
      <c r="BG553" s="244">
        <v>-55.747802734375</v>
      </c>
      <c r="BH553" s="228">
        <v>9999</v>
      </c>
      <c r="BI553" s="244">
        <v>0</v>
      </c>
      <c r="BJ553" s="244">
        <v>0</v>
      </c>
      <c r="BK553" s="244">
        <v>0</v>
      </c>
      <c r="BL553" s="244">
        <v>0</v>
      </c>
      <c r="BM553" s="244">
        <v>0</v>
      </c>
      <c r="BN553" s="244">
        <v>3.4108023595413148</v>
      </c>
      <c r="BO553" s="244">
        <v>0</v>
      </c>
      <c r="BP553" s="244">
        <v>0.16107653081417084</v>
      </c>
      <c r="BQ553" s="244">
        <v>0</v>
      </c>
      <c r="BR553" s="244">
        <v>0</v>
      </c>
      <c r="BS553" s="244">
        <v>0</v>
      </c>
      <c r="BT553" s="244">
        <v>2.6380131244659424</v>
      </c>
      <c r="BU553" s="244">
        <v>0</v>
      </c>
      <c r="BV553" s="244">
        <v>0</v>
      </c>
      <c r="BW553" s="244">
        <v>0.62098920345306396</v>
      </c>
      <c r="BX553" s="244">
        <v>0</v>
      </c>
      <c r="BY553" s="244"/>
      <c r="BZ553" s="244">
        <v>0</v>
      </c>
      <c r="CA553" s="244">
        <v>0</v>
      </c>
      <c r="CB553" s="244">
        <v>6.8308811187744141</v>
      </c>
      <c r="CC553" s="244">
        <v>0</v>
      </c>
      <c r="CD553" s="228">
        <v>9999</v>
      </c>
      <c r="CE553" s="244">
        <v>-55.747802734375</v>
      </c>
      <c r="CF553" s="244">
        <v>3.7330906615793719E-2</v>
      </c>
      <c r="CG553" s="244">
        <v>0</v>
      </c>
      <c r="CH553" s="244">
        <v>3.7330906615793719E-2</v>
      </c>
      <c r="CI553" s="244">
        <v>1.8324421783543173E-3</v>
      </c>
      <c r="CJ553" s="244">
        <v>0</v>
      </c>
      <c r="CK553" s="244">
        <v>1.8324421783543173E-3</v>
      </c>
      <c r="CL553" s="244"/>
      <c r="CM553" s="244">
        <v>0</v>
      </c>
      <c r="CN553" s="244" t="s">
        <v>605</v>
      </c>
      <c r="CO553" s="244">
        <v>0</v>
      </c>
      <c r="CP553" s="244">
        <v>0</v>
      </c>
      <c r="CQ553" s="244">
        <v>0</v>
      </c>
      <c r="CR553" s="244">
        <v>0</v>
      </c>
      <c r="CS553" s="244">
        <v>0</v>
      </c>
      <c r="CT553" s="244">
        <v>0</v>
      </c>
      <c r="CU553" s="244">
        <v>0</v>
      </c>
      <c r="CV553" s="244">
        <v>9999</v>
      </c>
      <c r="CW553" s="228">
        <v>9999</v>
      </c>
    </row>
    <row r="554" spans="1:101">
      <c r="A554" s="221" t="s">
        <v>474</v>
      </c>
      <c r="B554" s="221" t="s">
        <v>604</v>
      </c>
      <c r="C554" s="244">
        <v>10</v>
      </c>
      <c r="D554" s="244">
        <v>4.5135967590601371</v>
      </c>
      <c r="E554" s="244">
        <v>0</v>
      </c>
      <c r="F554" s="244">
        <v>0</v>
      </c>
      <c r="G554" s="244">
        <v>0</v>
      </c>
      <c r="H554" s="244">
        <v>0</v>
      </c>
      <c r="I554" s="244" t="s">
        <v>605</v>
      </c>
      <c r="J554" s="244">
        <v>1</v>
      </c>
      <c r="K554" s="244">
        <v>0.63999998569488525</v>
      </c>
      <c r="L554" s="244">
        <v>4.922812136732591</v>
      </c>
      <c r="M554" s="244">
        <v>3.5965751158073545E-4</v>
      </c>
      <c r="N554" s="244">
        <v>5.6196487275883555E-4</v>
      </c>
      <c r="O554" s="244">
        <v>0</v>
      </c>
      <c r="P554" s="244">
        <v>0</v>
      </c>
      <c r="Q554" s="244">
        <v>0</v>
      </c>
      <c r="R554" s="244">
        <v>0</v>
      </c>
      <c r="S554" s="244">
        <v>0</v>
      </c>
      <c r="T554" s="244">
        <v>0</v>
      </c>
      <c r="U554" s="244">
        <v>0</v>
      </c>
      <c r="V554" s="244" t="s">
        <v>226</v>
      </c>
      <c r="W554" s="244" t="s">
        <v>226</v>
      </c>
      <c r="X554" s="244" t="s">
        <v>226</v>
      </c>
      <c r="Y554" s="244" t="s">
        <v>226</v>
      </c>
      <c r="Z554" s="244">
        <v>0</v>
      </c>
      <c r="AA554" s="244">
        <v>0</v>
      </c>
      <c r="AB554" s="244">
        <v>0</v>
      </c>
      <c r="AC554" s="244">
        <v>0</v>
      </c>
      <c r="AD554" s="244">
        <v>0</v>
      </c>
      <c r="AE554" s="244">
        <v>0</v>
      </c>
      <c r="AF554" s="244">
        <v>0</v>
      </c>
      <c r="AG554" s="244">
        <v>0</v>
      </c>
      <c r="AH554" s="244">
        <v>0</v>
      </c>
      <c r="AI554" s="244">
        <v>0</v>
      </c>
      <c r="AJ554" s="244">
        <v>0</v>
      </c>
      <c r="AK554" s="244">
        <v>0</v>
      </c>
      <c r="AL554" s="244">
        <v>0</v>
      </c>
      <c r="AM554" s="244">
        <v>3.4108023595413148</v>
      </c>
      <c r="AN554" s="244">
        <v>0</v>
      </c>
      <c r="AO554" s="244">
        <v>0.60488158464431763</v>
      </c>
      <c r="AP554" s="244">
        <v>2.6380131244659424</v>
      </c>
      <c r="AQ554" s="244">
        <v>6.6536970138549805</v>
      </c>
      <c r="AR554" s="244">
        <v>0</v>
      </c>
      <c r="AS554" s="228">
        <v>9999</v>
      </c>
      <c r="AT554" s="244">
        <v>3.4108023595413148</v>
      </c>
      <c r="AU554" s="244">
        <v>0.16107653081417084</v>
      </c>
      <c r="AV554" s="244">
        <v>0.62098920345306396</v>
      </c>
      <c r="AW554" s="244">
        <v>2.6380131244659424</v>
      </c>
      <c r="AX554" s="244">
        <v>6.8308811187744141</v>
      </c>
      <c r="AY554" s="244">
        <v>0</v>
      </c>
      <c r="AZ554" s="228">
        <v>9999</v>
      </c>
      <c r="BA554" s="244">
        <v>3.4108023595413148</v>
      </c>
      <c r="BB554" s="244">
        <v>0.16107653081417084</v>
      </c>
      <c r="BC554" s="244">
        <v>0.62098920345306396</v>
      </c>
      <c r="BD554" s="244">
        <v>2.6380131244659424</v>
      </c>
      <c r="BE554" s="244">
        <v>6.8308811187744141</v>
      </c>
      <c r="BF554" s="244">
        <v>0</v>
      </c>
      <c r="BG554" s="244">
        <v>-55.747802734375</v>
      </c>
      <c r="BH554" s="228">
        <v>9999</v>
      </c>
      <c r="BI554" s="244">
        <v>0</v>
      </c>
      <c r="BJ554" s="244">
        <v>0</v>
      </c>
      <c r="BK554" s="244">
        <v>0</v>
      </c>
      <c r="BL554" s="244">
        <v>0</v>
      </c>
      <c r="BM554" s="244">
        <v>0</v>
      </c>
      <c r="BN554" s="244">
        <v>3.4108023595413148</v>
      </c>
      <c r="BO554" s="244">
        <v>0</v>
      </c>
      <c r="BP554" s="244">
        <v>0.16107653081417084</v>
      </c>
      <c r="BQ554" s="244">
        <v>0</v>
      </c>
      <c r="BR554" s="244">
        <v>0</v>
      </c>
      <c r="BS554" s="244">
        <v>0</v>
      </c>
      <c r="BT554" s="244">
        <v>2.6380131244659424</v>
      </c>
      <c r="BU554" s="244">
        <v>0</v>
      </c>
      <c r="BV554" s="244">
        <v>0</v>
      </c>
      <c r="BW554" s="244">
        <v>0.62098920345306396</v>
      </c>
      <c r="BX554" s="244">
        <v>0</v>
      </c>
      <c r="BY554" s="244"/>
      <c r="BZ554" s="244">
        <v>0</v>
      </c>
      <c r="CA554" s="244">
        <v>0</v>
      </c>
      <c r="CB554" s="244">
        <v>6.8308811187744141</v>
      </c>
      <c r="CC554" s="244">
        <v>0</v>
      </c>
      <c r="CD554" s="228">
        <v>9999</v>
      </c>
      <c r="CE554" s="244">
        <v>-55.747802734375</v>
      </c>
      <c r="CF554" s="244">
        <v>3.7330906615793719E-2</v>
      </c>
      <c r="CG554" s="244">
        <v>0</v>
      </c>
      <c r="CH554" s="244">
        <v>3.7330906615793719E-2</v>
      </c>
      <c r="CI554" s="244">
        <v>1.8324421783543173E-3</v>
      </c>
      <c r="CJ554" s="244">
        <v>0</v>
      </c>
      <c r="CK554" s="244">
        <v>1.8324421783543173E-3</v>
      </c>
      <c r="CL554" s="244"/>
      <c r="CM554" s="244">
        <v>0</v>
      </c>
      <c r="CN554" s="244" t="s">
        <v>605</v>
      </c>
      <c r="CO554" s="244">
        <v>0</v>
      </c>
      <c r="CP554" s="244">
        <v>0</v>
      </c>
      <c r="CQ554" s="244">
        <v>0</v>
      </c>
      <c r="CR554" s="244">
        <v>0</v>
      </c>
      <c r="CS554" s="244">
        <v>0</v>
      </c>
      <c r="CT554" s="244">
        <v>0</v>
      </c>
      <c r="CU554" s="244">
        <v>0</v>
      </c>
      <c r="CV554" s="244">
        <v>9999</v>
      </c>
      <c r="CW554" s="228">
        <v>9999</v>
      </c>
    </row>
    <row r="555" spans="1:101">
      <c r="A555" s="221" t="s">
        <v>475</v>
      </c>
      <c r="B555" s="221" t="s">
        <v>604</v>
      </c>
      <c r="C555" s="244">
        <v>10</v>
      </c>
      <c r="D555" s="244">
        <v>6.5530738131539783</v>
      </c>
      <c r="E555" s="244">
        <v>0</v>
      </c>
      <c r="F555" s="244">
        <v>0</v>
      </c>
      <c r="G555" s="244">
        <v>0</v>
      </c>
      <c r="H555" s="244">
        <v>0</v>
      </c>
      <c r="I555" s="244" t="s">
        <v>605</v>
      </c>
      <c r="J555" s="244">
        <v>1</v>
      </c>
      <c r="K555" s="244">
        <v>0.63999998569488525</v>
      </c>
      <c r="L555" s="244">
        <v>7.1471939170339871</v>
      </c>
      <c r="M555" s="244">
        <v>5.2216940093785524E-4</v>
      </c>
      <c r="N555" s="244">
        <v>8.1588973989710212E-4</v>
      </c>
      <c r="O555" s="244">
        <v>0</v>
      </c>
      <c r="P555" s="244">
        <v>0</v>
      </c>
      <c r="Q555" s="244">
        <v>0</v>
      </c>
      <c r="R555" s="244">
        <v>0</v>
      </c>
      <c r="S555" s="244">
        <v>0</v>
      </c>
      <c r="T555" s="244">
        <v>0</v>
      </c>
      <c r="U555" s="244">
        <v>0</v>
      </c>
      <c r="V555" s="244" t="s">
        <v>226</v>
      </c>
      <c r="W555" s="244" t="s">
        <v>226</v>
      </c>
      <c r="X555" s="244" t="s">
        <v>226</v>
      </c>
      <c r="Y555" s="244" t="s">
        <v>226</v>
      </c>
      <c r="Z555" s="244">
        <v>0</v>
      </c>
      <c r="AA555" s="244">
        <v>0</v>
      </c>
      <c r="AB555" s="244">
        <v>0</v>
      </c>
      <c r="AC555" s="244">
        <v>0</v>
      </c>
      <c r="AD555" s="244">
        <v>0</v>
      </c>
      <c r="AE555" s="244">
        <v>0</v>
      </c>
      <c r="AF555" s="244">
        <v>0</v>
      </c>
      <c r="AG555" s="244">
        <v>0</v>
      </c>
      <c r="AH555" s="244">
        <v>0</v>
      </c>
      <c r="AI555" s="244">
        <v>0</v>
      </c>
      <c r="AJ555" s="244">
        <v>0</v>
      </c>
      <c r="AK555" s="244">
        <v>0</v>
      </c>
      <c r="AL555" s="244">
        <v>0</v>
      </c>
      <c r="AM555" s="244">
        <v>4.9519797220007202</v>
      </c>
      <c r="AN555" s="244">
        <v>0</v>
      </c>
      <c r="AO555" s="244">
        <v>0.87819844484329224</v>
      </c>
      <c r="AP555" s="244">
        <v>3.8300044536590576</v>
      </c>
      <c r="AQ555" s="244">
        <v>9.6601829528808594</v>
      </c>
      <c r="AR555" s="244">
        <v>0</v>
      </c>
      <c r="AS555" s="228">
        <v>9999</v>
      </c>
      <c r="AT555" s="244">
        <v>4.9519797220007202</v>
      </c>
      <c r="AU555" s="244">
        <v>0.23385927081108093</v>
      </c>
      <c r="AV555" s="244">
        <v>0.90158438682556152</v>
      </c>
      <c r="AW555" s="244">
        <v>3.8300044536590576</v>
      </c>
      <c r="AX555" s="244">
        <v>9.9174280166625977</v>
      </c>
      <c r="AY555" s="244">
        <v>0</v>
      </c>
      <c r="AZ555" s="228">
        <v>9999</v>
      </c>
      <c r="BA555" s="244">
        <v>4.9519797220007202</v>
      </c>
      <c r="BB555" s="244">
        <v>0.23385927081108093</v>
      </c>
      <c r="BC555" s="244">
        <v>0.90158438682556152</v>
      </c>
      <c r="BD555" s="244">
        <v>3.8300044536590576</v>
      </c>
      <c r="BE555" s="244">
        <v>9.9174280166625977</v>
      </c>
      <c r="BF555" s="244">
        <v>0</v>
      </c>
      <c r="BG555" s="244">
        <v>-55.747806549072266</v>
      </c>
      <c r="BH555" s="228">
        <v>9999</v>
      </c>
      <c r="BI555" s="244">
        <v>0</v>
      </c>
      <c r="BJ555" s="244">
        <v>0</v>
      </c>
      <c r="BK555" s="244">
        <v>0</v>
      </c>
      <c r="BL555" s="244">
        <v>0</v>
      </c>
      <c r="BM555" s="244">
        <v>0</v>
      </c>
      <c r="BN555" s="244">
        <v>4.9519797220007202</v>
      </c>
      <c r="BO555" s="244">
        <v>0</v>
      </c>
      <c r="BP555" s="244">
        <v>0.23385927081108093</v>
      </c>
      <c r="BQ555" s="244">
        <v>0</v>
      </c>
      <c r="BR555" s="244">
        <v>0</v>
      </c>
      <c r="BS555" s="244">
        <v>0</v>
      </c>
      <c r="BT555" s="244">
        <v>3.8300044536590576</v>
      </c>
      <c r="BU555" s="244">
        <v>0</v>
      </c>
      <c r="BV555" s="244">
        <v>0</v>
      </c>
      <c r="BW555" s="244">
        <v>0.90158438682556152</v>
      </c>
      <c r="BX555" s="244">
        <v>0</v>
      </c>
      <c r="BY555" s="244"/>
      <c r="BZ555" s="244">
        <v>0</v>
      </c>
      <c r="CA555" s="244">
        <v>0</v>
      </c>
      <c r="CB555" s="244">
        <v>9.9174280166625977</v>
      </c>
      <c r="CC555" s="244">
        <v>0</v>
      </c>
      <c r="CD555" s="228">
        <v>9999</v>
      </c>
      <c r="CE555" s="244">
        <v>-55.747806549072266</v>
      </c>
      <c r="CF555" s="244">
        <v>5.4198945901448685E-2</v>
      </c>
      <c r="CG555" s="244">
        <v>0</v>
      </c>
      <c r="CH555" s="244">
        <v>5.4198945901448685E-2</v>
      </c>
      <c r="CI555" s="244">
        <v>2.6604345700551577E-3</v>
      </c>
      <c r="CJ555" s="244">
        <v>0</v>
      </c>
      <c r="CK555" s="244">
        <v>2.6604345700551577E-3</v>
      </c>
      <c r="CL555" s="244"/>
      <c r="CM555" s="244">
        <v>0</v>
      </c>
      <c r="CN555" s="244" t="s">
        <v>605</v>
      </c>
      <c r="CO555" s="244">
        <v>0</v>
      </c>
      <c r="CP555" s="244">
        <v>0</v>
      </c>
      <c r="CQ555" s="244">
        <v>0</v>
      </c>
      <c r="CR555" s="244">
        <v>0</v>
      </c>
      <c r="CS555" s="244">
        <v>0</v>
      </c>
      <c r="CT555" s="244">
        <v>0</v>
      </c>
      <c r="CU555" s="244">
        <v>0</v>
      </c>
      <c r="CV555" s="244">
        <v>9999</v>
      </c>
      <c r="CW555" s="228">
        <v>9999</v>
      </c>
    </row>
    <row r="556" spans="1:101">
      <c r="A556" s="221" t="s">
        <v>476</v>
      </c>
      <c r="B556" s="221" t="s">
        <v>604</v>
      </c>
      <c r="C556" s="244">
        <v>10</v>
      </c>
      <c r="D556" s="244">
        <v>6.5530738131539783</v>
      </c>
      <c r="E556" s="244">
        <v>0</v>
      </c>
      <c r="F556" s="244">
        <v>0</v>
      </c>
      <c r="G556" s="244">
        <v>0</v>
      </c>
      <c r="H556" s="244">
        <v>0</v>
      </c>
      <c r="I556" s="244" t="s">
        <v>605</v>
      </c>
      <c r="J556" s="244">
        <v>1</v>
      </c>
      <c r="K556" s="244">
        <v>0.63999998569488525</v>
      </c>
      <c r="L556" s="244">
        <v>7.1471939170339871</v>
      </c>
      <c r="M556" s="244">
        <v>5.2216940093785524E-4</v>
      </c>
      <c r="N556" s="244">
        <v>8.1588973989710212E-4</v>
      </c>
      <c r="O556" s="244">
        <v>0</v>
      </c>
      <c r="P556" s="244">
        <v>0</v>
      </c>
      <c r="Q556" s="244">
        <v>0</v>
      </c>
      <c r="R556" s="244">
        <v>0</v>
      </c>
      <c r="S556" s="244">
        <v>0</v>
      </c>
      <c r="T556" s="244">
        <v>0</v>
      </c>
      <c r="U556" s="244">
        <v>0</v>
      </c>
      <c r="V556" s="244" t="s">
        <v>226</v>
      </c>
      <c r="W556" s="244" t="s">
        <v>226</v>
      </c>
      <c r="X556" s="244" t="s">
        <v>226</v>
      </c>
      <c r="Y556" s="244" t="s">
        <v>226</v>
      </c>
      <c r="Z556" s="244">
        <v>0</v>
      </c>
      <c r="AA556" s="244">
        <v>0</v>
      </c>
      <c r="AB556" s="244">
        <v>0</v>
      </c>
      <c r="AC556" s="244">
        <v>0</v>
      </c>
      <c r="AD556" s="244">
        <v>0</v>
      </c>
      <c r="AE556" s="244">
        <v>0</v>
      </c>
      <c r="AF556" s="244">
        <v>0</v>
      </c>
      <c r="AG556" s="244">
        <v>0</v>
      </c>
      <c r="AH556" s="244">
        <v>0</v>
      </c>
      <c r="AI556" s="244">
        <v>0</v>
      </c>
      <c r="AJ556" s="244">
        <v>0</v>
      </c>
      <c r="AK556" s="244">
        <v>0</v>
      </c>
      <c r="AL556" s="244">
        <v>0</v>
      </c>
      <c r="AM556" s="244">
        <v>4.9519797220007202</v>
      </c>
      <c r="AN556" s="244">
        <v>0</v>
      </c>
      <c r="AO556" s="244">
        <v>0.87819844484329224</v>
      </c>
      <c r="AP556" s="244">
        <v>3.8300044536590576</v>
      </c>
      <c r="AQ556" s="244">
        <v>9.6601829528808594</v>
      </c>
      <c r="AR556" s="244">
        <v>0</v>
      </c>
      <c r="AS556" s="228">
        <v>9999</v>
      </c>
      <c r="AT556" s="244">
        <v>4.9519797220007202</v>
      </c>
      <c r="AU556" s="244">
        <v>0.23385927081108093</v>
      </c>
      <c r="AV556" s="244">
        <v>0.90158438682556152</v>
      </c>
      <c r="AW556" s="244">
        <v>3.8300044536590576</v>
      </c>
      <c r="AX556" s="244">
        <v>9.9174280166625977</v>
      </c>
      <c r="AY556" s="244">
        <v>0</v>
      </c>
      <c r="AZ556" s="228">
        <v>9999</v>
      </c>
      <c r="BA556" s="244">
        <v>4.9519797220007202</v>
      </c>
      <c r="BB556" s="244">
        <v>0.23385927081108093</v>
      </c>
      <c r="BC556" s="244">
        <v>0.90158438682556152</v>
      </c>
      <c r="BD556" s="244">
        <v>3.8300044536590576</v>
      </c>
      <c r="BE556" s="244">
        <v>9.9174280166625977</v>
      </c>
      <c r="BF556" s="244">
        <v>0</v>
      </c>
      <c r="BG556" s="244">
        <v>-55.747806549072266</v>
      </c>
      <c r="BH556" s="228">
        <v>9999</v>
      </c>
      <c r="BI556" s="244">
        <v>0</v>
      </c>
      <c r="BJ556" s="244">
        <v>0</v>
      </c>
      <c r="BK556" s="244">
        <v>0</v>
      </c>
      <c r="BL556" s="244">
        <v>0</v>
      </c>
      <c r="BM556" s="244">
        <v>0</v>
      </c>
      <c r="BN556" s="244">
        <v>4.9519797220007202</v>
      </c>
      <c r="BO556" s="244">
        <v>0</v>
      </c>
      <c r="BP556" s="244">
        <v>0.23385927081108093</v>
      </c>
      <c r="BQ556" s="244">
        <v>0</v>
      </c>
      <c r="BR556" s="244">
        <v>0</v>
      </c>
      <c r="BS556" s="244">
        <v>0</v>
      </c>
      <c r="BT556" s="244">
        <v>3.8300044536590576</v>
      </c>
      <c r="BU556" s="244">
        <v>0</v>
      </c>
      <c r="BV556" s="244">
        <v>0</v>
      </c>
      <c r="BW556" s="244">
        <v>0.90158438682556152</v>
      </c>
      <c r="BX556" s="244">
        <v>0</v>
      </c>
      <c r="BY556" s="244"/>
      <c r="BZ556" s="244">
        <v>0</v>
      </c>
      <c r="CA556" s="244">
        <v>0</v>
      </c>
      <c r="CB556" s="244">
        <v>9.9174280166625977</v>
      </c>
      <c r="CC556" s="244">
        <v>0</v>
      </c>
      <c r="CD556" s="228">
        <v>9999</v>
      </c>
      <c r="CE556" s="244">
        <v>-55.747806549072266</v>
      </c>
      <c r="CF556" s="244">
        <v>5.4198945901448685E-2</v>
      </c>
      <c r="CG556" s="244">
        <v>0</v>
      </c>
      <c r="CH556" s="244">
        <v>5.4198945901448685E-2</v>
      </c>
      <c r="CI556" s="244">
        <v>2.6604345700551577E-3</v>
      </c>
      <c r="CJ556" s="244">
        <v>0</v>
      </c>
      <c r="CK556" s="244">
        <v>2.6604345700551577E-3</v>
      </c>
      <c r="CL556" s="244"/>
      <c r="CM556" s="244">
        <v>0</v>
      </c>
      <c r="CN556" s="244" t="s">
        <v>605</v>
      </c>
      <c r="CO556" s="244">
        <v>0</v>
      </c>
      <c r="CP556" s="244">
        <v>0</v>
      </c>
      <c r="CQ556" s="244">
        <v>0</v>
      </c>
      <c r="CR556" s="244">
        <v>0</v>
      </c>
      <c r="CS556" s="244">
        <v>0</v>
      </c>
      <c r="CT556" s="244">
        <v>0</v>
      </c>
      <c r="CU556" s="244">
        <v>0</v>
      </c>
      <c r="CV556" s="244">
        <v>9999</v>
      </c>
      <c r="CW556" s="228">
        <v>9999</v>
      </c>
    </row>
    <row r="557" spans="1:101">
      <c r="A557" s="221" t="s">
        <v>477</v>
      </c>
      <c r="B557" s="221" t="s">
        <v>604</v>
      </c>
      <c r="C557" s="244">
        <v>10</v>
      </c>
      <c r="D557" s="244">
        <v>6.5530738131539783</v>
      </c>
      <c r="E557" s="244">
        <v>0</v>
      </c>
      <c r="F557" s="244">
        <v>0</v>
      </c>
      <c r="G557" s="244">
        <v>0</v>
      </c>
      <c r="H557" s="244">
        <v>0</v>
      </c>
      <c r="I557" s="244" t="s">
        <v>605</v>
      </c>
      <c r="J557" s="244">
        <v>1</v>
      </c>
      <c r="K557" s="244">
        <v>0.63999998569488525</v>
      </c>
      <c r="L557" s="244">
        <v>7.1471939170339871</v>
      </c>
      <c r="M557" s="244">
        <v>5.2216940093785524E-4</v>
      </c>
      <c r="N557" s="244">
        <v>8.1588973989710212E-4</v>
      </c>
      <c r="O557" s="244">
        <v>0</v>
      </c>
      <c r="P557" s="244">
        <v>0</v>
      </c>
      <c r="Q557" s="244">
        <v>0</v>
      </c>
      <c r="R557" s="244">
        <v>0</v>
      </c>
      <c r="S557" s="244">
        <v>0</v>
      </c>
      <c r="T557" s="244">
        <v>0</v>
      </c>
      <c r="U557" s="244">
        <v>0</v>
      </c>
      <c r="V557" s="244" t="s">
        <v>226</v>
      </c>
      <c r="W557" s="244" t="s">
        <v>226</v>
      </c>
      <c r="X557" s="244" t="s">
        <v>226</v>
      </c>
      <c r="Y557" s="244" t="s">
        <v>226</v>
      </c>
      <c r="Z557" s="244">
        <v>0</v>
      </c>
      <c r="AA557" s="244">
        <v>0</v>
      </c>
      <c r="AB557" s="244">
        <v>0</v>
      </c>
      <c r="AC557" s="244">
        <v>0</v>
      </c>
      <c r="AD557" s="244">
        <v>0</v>
      </c>
      <c r="AE557" s="244">
        <v>0</v>
      </c>
      <c r="AF557" s="244">
        <v>0</v>
      </c>
      <c r="AG557" s="244">
        <v>0</v>
      </c>
      <c r="AH557" s="244">
        <v>0</v>
      </c>
      <c r="AI557" s="244">
        <v>0</v>
      </c>
      <c r="AJ557" s="244">
        <v>0</v>
      </c>
      <c r="AK557" s="244">
        <v>0</v>
      </c>
      <c r="AL557" s="244">
        <v>0</v>
      </c>
      <c r="AM557" s="244">
        <v>4.9519797220007202</v>
      </c>
      <c r="AN557" s="244">
        <v>0</v>
      </c>
      <c r="AO557" s="244">
        <v>0.87819844484329224</v>
      </c>
      <c r="AP557" s="244">
        <v>3.8300044536590576</v>
      </c>
      <c r="AQ557" s="244">
        <v>9.6601829528808594</v>
      </c>
      <c r="AR557" s="244">
        <v>0</v>
      </c>
      <c r="AS557" s="228">
        <v>9999</v>
      </c>
      <c r="AT557" s="244">
        <v>4.9519797220007202</v>
      </c>
      <c r="AU557" s="244">
        <v>0.23385927081108093</v>
      </c>
      <c r="AV557" s="244">
        <v>0.90158438682556152</v>
      </c>
      <c r="AW557" s="244">
        <v>3.8300044536590576</v>
      </c>
      <c r="AX557" s="244">
        <v>9.9174280166625977</v>
      </c>
      <c r="AY557" s="244">
        <v>0</v>
      </c>
      <c r="AZ557" s="228">
        <v>9999</v>
      </c>
      <c r="BA557" s="244">
        <v>4.9519797220007202</v>
      </c>
      <c r="BB557" s="244">
        <v>0.23385927081108093</v>
      </c>
      <c r="BC557" s="244">
        <v>0.90158438682556152</v>
      </c>
      <c r="BD557" s="244">
        <v>3.8300044536590576</v>
      </c>
      <c r="BE557" s="244">
        <v>9.9174280166625977</v>
      </c>
      <c r="BF557" s="244">
        <v>0</v>
      </c>
      <c r="BG557" s="244">
        <v>-55.747806549072266</v>
      </c>
      <c r="BH557" s="228">
        <v>9999</v>
      </c>
      <c r="BI557" s="244">
        <v>0</v>
      </c>
      <c r="BJ557" s="244">
        <v>0</v>
      </c>
      <c r="BK557" s="244">
        <v>0</v>
      </c>
      <c r="BL557" s="244">
        <v>0</v>
      </c>
      <c r="BM557" s="244">
        <v>0</v>
      </c>
      <c r="BN557" s="244">
        <v>4.9519797220007202</v>
      </c>
      <c r="BO557" s="244">
        <v>0</v>
      </c>
      <c r="BP557" s="244">
        <v>0.23385927081108093</v>
      </c>
      <c r="BQ557" s="244">
        <v>0</v>
      </c>
      <c r="BR557" s="244">
        <v>0</v>
      </c>
      <c r="BS557" s="244">
        <v>0</v>
      </c>
      <c r="BT557" s="244">
        <v>3.8300044536590576</v>
      </c>
      <c r="BU557" s="244">
        <v>0</v>
      </c>
      <c r="BV557" s="244">
        <v>0</v>
      </c>
      <c r="BW557" s="244">
        <v>0.90158438682556152</v>
      </c>
      <c r="BX557" s="244">
        <v>0</v>
      </c>
      <c r="BY557" s="244"/>
      <c r="BZ557" s="244">
        <v>0</v>
      </c>
      <c r="CA557" s="244">
        <v>0</v>
      </c>
      <c r="CB557" s="244">
        <v>9.9174280166625977</v>
      </c>
      <c r="CC557" s="244">
        <v>0</v>
      </c>
      <c r="CD557" s="228">
        <v>9999</v>
      </c>
      <c r="CE557" s="244">
        <v>-55.747806549072266</v>
      </c>
      <c r="CF557" s="244">
        <v>5.4198945901448685E-2</v>
      </c>
      <c r="CG557" s="244">
        <v>0</v>
      </c>
      <c r="CH557" s="244">
        <v>5.4198945901448685E-2</v>
      </c>
      <c r="CI557" s="244">
        <v>2.6604345700551577E-3</v>
      </c>
      <c r="CJ557" s="244">
        <v>0</v>
      </c>
      <c r="CK557" s="244">
        <v>2.6604345700551577E-3</v>
      </c>
      <c r="CL557" s="244"/>
      <c r="CM557" s="244">
        <v>0</v>
      </c>
      <c r="CN557" s="244" t="s">
        <v>605</v>
      </c>
      <c r="CO557" s="244">
        <v>0</v>
      </c>
      <c r="CP557" s="244">
        <v>0</v>
      </c>
      <c r="CQ557" s="244">
        <v>0</v>
      </c>
      <c r="CR557" s="244">
        <v>0</v>
      </c>
      <c r="CS557" s="244">
        <v>0</v>
      </c>
      <c r="CT557" s="244">
        <v>0</v>
      </c>
      <c r="CU557" s="244">
        <v>0</v>
      </c>
      <c r="CV557" s="244">
        <v>9999</v>
      </c>
      <c r="CW557" s="228">
        <v>9999</v>
      </c>
    </row>
    <row r="558" spans="1:101">
      <c r="A558" s="221" t="s">
        <v>478</v>
      </c>
      <c r="B558" s="221" t="s">
        <v>604</v>
      </c>
      <c r="C558" s="244">
        <v>10</v>
      </c>
      <c r="D558" s="244">
        <v>4.8145032096641458</v>
      </c>
      <c r="E558" s="244">
        <v>0</v>
      </c>
      <c r="F558" s="244">
        <v>0</v>
      </c>
      <c r="G558" s="244">
        <v>0</v>
      </c>
      <c r="H558" s="244">
        <v>0</v>
      </c>
      <c r="I558" s="244" t="s">
        <v>605</v>
      </c>
      <c r="J558" s="244">
        <v>1</v>
      </c>
      <c r="K558" s="244">
        <v>0.63999998569488525</v>
      </c>
      <c r="L558" s="244">
        <v>5.2509996125147618</v>
      </c>
      <c r="M558" s="244">
        <v>3.8363467319868505E-4</v>
      </c>
      <c r="N558" s="244">
        <v>5.9942918596789241E-4</v>
      </c>
      <c r="O558" s="244">
        <v>0</v>
      </c>
      <c r="P558" s="244">
        <v>0</v>
      </c>
      <c r="Q558" s="244">
        <v>0</v>
      </c>
      <c r="R558" s="244">
        <v>0</v>
      </c>
      <c r="S558" s="244">
        <v>0</v>
      </c>
      <c r="T558" s="244">
        <v>0</v>
      </c>
      <c r="U558" s="244">
        <v>0</v>
      </c>
      <c r="V558" s="244" t="s">
        <v>226</v>
      </c>
      <c r="W558" s="244" t="s">
        <v>226</v>
      </c>
      <c r="X558" s="244" t="s">
        <v>226</v>
      </c>
      <c r="Y558" s="244" t="s">
        <v>226</v>
      </c>
      <c r="Z558" s="244">
        <v>0</v>
      </c>
      <c r="AA558" s="244">
        <v>0</v>
      </c>
      <c r="AB558" s="244">
        <v>0</v>
      </c>
      <c r="AC558" s="244">
        <v>0</v>
      </c>
      <c r="AD558" s="244">
        <v>0</v>
      </c>
      <c r="AE558" s="244">
        <v>0</v>
      </c>
      <c r="AF558" s="244">
        <v>0</v>
      </c>
      <c r="AG558" s="244">
        <v>0</v>
      </c>
      <c r="AH558" s="244">
        <v>0</v>
      </c>
      <c r="AI558" s="244">
        <v>0</v>
      </c>
      <c r="AJ558" s="244">
        <v>0</v>
      </c>
      <c r="AK558" s="244">
        <v>0</v>
      </c>
      <c r="AL558" s="244">
        <v>0</v>
      </c>
      <c r="AM558" s="244">
        <v>3.6381891835107365</v>
      </c>
      <c r="AN558" s="244">
        <v>0</v>
      </c>
      <c r="AO558" s="244">
        <v>0.64520704746246338</v>
      </c>
      <c r="AP558" s="244">
        <v>2.8138809204101562</v>
      </c>
      <c r="AQ558" s="244">
        <v>7.0972771644592285</v>
      </c>
      <c r="AR558" s="244">
        <v>0</v>
      </c>
      <c r="AS558" s="228">
        <v>9999</v>
      </c>
      <c r="AT558" s="244">
        <v>3.6381891835107365</v>
      </c>
      <c r="AU558" s="244">
        <v>0.17181496322154999</v>
      </c>
      <c r="AV558" s="244">
        <v>0.66238850355148315</v>
      </c>
      <c r="AW558" s="244">
        <v>2.8138809204101562</v>
      </c>
      <c r="AX558" s="244">
        <v>7.2862734794616699</v>
      </c>
      <c r="AY558" s="244">
        <v>0</v>
      </c>
      <c r="AZ558" s="228">
        <v>9999</v>
      </c>
      <c r="BA558" s="244">
        <v>3.6381891835107365</v>
      </c>
      <c r="BB558" s="244">
        <v>0.17181496322154999</v>
      </c>
      <c r="BC558" s="244">
        <v>0.66238850355148315</v>
      </c>
      <c r="BD558" s="244">
        <v>2.8138809204101562</v>
      </c>
      <c r="BE558" s="244">
        <v>7.2862734794616699</v>
      </c>
      <c r="BF558" s="244">
        <v>0</v>
      </c>
      <c r="BG558" s="244">
        <v>-55.747810363769531</v>
      </c>
      <c r="BH558" s="228">
        <v>9999</v>
      </c>
      <c r="BI558" s="244">
        <v>0</v>
      </c>
      <c r="BJ558" s="244">
        <v>0</v>
      </c>
      <c r="BK558" s="244">
        <v>0</v>
      </c>
      <c r="BL558" s="244">
        <v>0</v>
      </c>
      <c r="BM558" s="244">
        <v>0</v>
      </c>
      <c r="BN558" s="244">
        <v>3.6381891835107365</v>
      </c>
      <c r="BO558" s="244">
        <v>0</v>
      </c>
      <c r="BP558" s="244">
        <v>0.17181496322154999</v>
      </c>
      <c r="BQ558" s="244">
        <v>0</v>
      </c>
      <c r="BR558" s="244">
        <v>0</v>
      </c>
      <c r="BS558" s="244">
        <v>0</v>
      </c>
      <c r="BT558" s="244">
        <v>2.8138809204101562</v>
      </c>
      <c r="BU558" s="244">
        <v>0</v>
      </c>
      <c r="BV558" s="244">
        <v>0</v>
      </c>
      <c r="BW558" s="244">
        <v>0.66238850355148315</v>
      </c>
      <c r="BX558" s="244">
        <v>0</v>
      </c>
      <c r="BY558" s="244"/>
      <c r="BZ558" s="244">
        <v>0</v>
      </c>
      <c r="CA558" s="244">
        <v>0</v>
      </c>
      <c r="CB558" s="244">
        <v>7.2862734794616699</v>
      </c>
      <c r="CC558" s="244">
        <v>0</v>
      </c>
      <c r="CD558" s="228">
        <v>9999</v>
      </c>
      <c r="CE558" s="244">
        <v>-55.747810363769531</v>
      </c>
      <c r="CF558" s="244">
        <v>3.9819633723513256E-2</v>
      </c>
      <c r="CG558" s="244">
        <v>0</v>
      </c>
      <c r="CH558" s="244">
        <v>3.9819633723513256E-2</v>
      </c>
      <c r="CI558" s="244">
        <v>1.9546049902446037E-3</v>
      </c>
      <c r="CJ558" s="244">
        <v>0</v>
      </c>
      <c r="CK558" s="244">
        <v>1.9546049902446037E-3</v>
      </c>
      <c r="CL558" s="244"/>
      <c r="CM558" s="244">
        <v>0</v>
      </c>
      <c r="CN558" s="244" t="s">
        <v>605</v>
      </c>
      <c r="CO558" s="244">
        <v>0</v>
      </c>
      <c r="CP558" s="244">
        <v>0</v>
      </c>
      <c r="CQ558" s="244">
        <v>0</v>
      </c>
      <c r="CR558" s="244">
        <v>0</v>
      </c>
      <c r="CS558" s="244">
        <v>0</v>
      </c>
      <c r="CT558" s="244">
        <v>0</v>
      </c>
      <c r="CU558" s="244">
        <v>0</v>
      </c>
      <c r="CV558" s="244">
        <v>9999</v>
      </c>
      <c r="CW558" s="228">
        <v>9999</v>
      </c>
    </row>
    <row r="559" spans="1:101">
      <c r="A559" s="221" t="s">
        <v>479</v>
      </c>
      <c r="B559" s="221" t="s">
        <v>604</v>
      </c>
      <c r="C559" s="244">
        <v>10</v>
      </c>
      <c r="D559" s="244">
        <v>4.8145032096641458</v>
      </c>
      <c r="E559" s="244">
        <v>0</v>
      </c>
      <c r="F559" s="244">
        <v>0</v>
      </c>
      <c r="G559" s="244">
        <v>0</v>
      </c>
      <c r="H559" s="244">
        <v>0</v>
      </c>
      <c r="I559" s="244" t="s">
        <v>605</v>
      </c>
      <c r="J559" s="244">
        <v>1</v>
      </c>
      <c r="K559" s="244">
        <v>0.63999998569488525</v>
      </c>
      <c r="L559" s="244">
        <v>5.2509996125147618</v>
      </c>
      <c r="M559" s="244">
        <v>3.8363467319868505E-4</v>
      </c>
      <c r="N559" s="244">
        <v>5.9942918596789241E-4</v>
      </c>
      <c r="O559" s="244">
        <v>0</v>
      </c>
      <c r="P559" s="244">
        <v>0</v>
      </c>
      <c r="Q559" s="244">
        <v>0</v>
      </c>
      <c r="R559" s="244">
        <v>0</v>
      </c>
      <c r="S559" s="244">
        <v>0</v>
      </c>
      <c r="T559" s="244">
        <v>0</v>
      </c>
      <c r="U559" s="244">
        <v>0</v>
      </c>
      <c r="V559" s="244" t="s">
        <v>226</v>
      </c>
      <c r="W559" s="244" t="s">
        <v>226</v>
      </c>
      <c r="X559" s="244" t="s">
        <v>226</v>
      </c>
      <c r="Y559" s="244" t="s">
        <v>226</v>
      </c>
      <c r="Z559" s="244">
        <v>0</v>
      </c>
      <c r="AA559" s="244">
        <v>0</v>
      </c>
      <c r="AB559" s="244">
        <v>0</v>
      </c>
      <c r="AC559" s="244">
        <v>0</v>
      </c>
      <c r="AD559" s="244">
        <v>0</v>
      </c>
      <c r="AE559" s="244">
        <v>0</v>
      </c>
      <c r="AF559" s="244">
        <v>0</v>
      </c>
      <c r="AG559" s="244">
        <v>0</v>
      </c>
      <c r="AH559" s="244">
        <v>0</v>
      </c>
      <c r="AI559" s="244">
        <v>0</v>
      </c>
      <c r="AJ559" s="244">
        <v>0</v>
      </c>
      <c r="AK559" s="244">
        <v>0</v>
      </c>
      <c r="AL559" s="244">
        <v>0</v>
      </c>
      <c r="AM559" s="244">
        <v>3.6381891835107365</v>
      </c>
      <c r="AN559" s="244">
        <v>0</v>
      </c>
      <c r="AO559" s="244">
        <v>0.64520704746246338</v>
      </c>
      <c r="AP559" s="244">
        <v>2.8138809204101562</v>
      </c>
      <c r="AQ559" s="244">
        <v>7.0972771644592285</v>
      </c>
      <c r="AR559" s="244">
        <v>0</v>
      </c>
      <c r="AS559" s="228">
        <v>9999</v>
      </c>
      <c r="AT559" s="244">
        <v>3.6381891835107365</v>
      </c>
      <c r="AU559" s="244">
        <v>0.17181496322154999</v>
      </c>
      <c r="AV559" s="244">
        <v>0.66238850355148315</v>
      </c>
      <c r="AW559" s="244">
        <v>2.8138809204101562</v>
      </c>
      <c r="AX559" s="244">
        <v>7.2862734794616699</v>
      </c>
      <c r="AY559" s="244">
        <v>0</v>
      </c>
      <c r="AZ559" s="228">
        <v>9999</v>
      </c>
      <c r="BA559" s="244">
        <v>3.6381891835107365</v>
      </c>
      <c r="BB559" s="244">
        <v>0.17181496322154999</v>
      </c>
      <c r="BC559" s="244">
        <v>0.66238850355148315</v>
      </c>
      <c r="BD559" s="244">
        <v>2.8138809204101562</v>
      </c>
      <c r="BE559" s="244">
        <v>7.2862734794616699</v>
      </c>
      <c r="BF559" s="244">
        <v>0</v>
      </c>
      <c r="BG559" s="244">
        <v>-55.747810363769531</v>
      </c>
      <c r="BH559" s="228">
        <v>9999</v>
      </c>
      <c r="BI559" s="244">
        <v>0</v>
      </c>
      <c r="BJ559" s="244">
        <v>0</v>
      </c>
      <c r="BK559" s="244">
        <v>0</v>
      </c>
      <c r="BL559" s="244">
        <v>0</v>
      </c>
      <c r="BM559" s="244">
        <v>0</v>
      </c>
      <c r="BN559" s="244">
        <v>3.6381891835107365</v>
      </c>
      <c r="BO559" s="244">
        <v>0</v>
      </c>
      <c r="BP559" s="244">
        <v>0.17181496322154999</v>
      </c>
      <c r="BQ559" s="244">
        <v>0</v>
      </c>
      <c r="BR559" s="244">
        <v>0</v>
      </c>
      <c r="BS559" s="244">
        <v>0</v>
      </c>
      <c r="BT559" s="244">
        <v>2.8138809204101562</v>
      </c>
      <c r="BU559" s="244">
        <v>0</v>
      </c>
      <c r="BV559" s="244">
        <v>0</v>
      </c>
      <c r="BW559" s="244">
        <v>0.66238850355148315</v>
      </c>
      <c r="BX559" s="244">
        <v>0</v>
      </c>
      <c r="BY559" s="244"/>
      <c r="BZ559" s="244">
        <v>0</v>
      </c>
      <c r="CA559" s="244">
        <v>0</v>
      </c>
      <c r="CB559" s="244">
        <v>7.2862734794616699</v>
      </c>
      <c r="CC559" s="244">
        <v>0</v>
      </c>
      <c r="CD559" s="228">
        <v>9999</v>
      </c>
      <c r="CE559" s="244">
        <v>-55.747810363769531</v>
      </c>
      <c r="CF559" s="244">
        <v>3.9819633723513256E-2</v>
      </c>
      <c r="CG559" s="244">
        <v>0</v>
      </c>
      <c r="CH559" s="244">
        <v>3.9819633723513256E-2</v>
      </c>
      <c r="CI559" s="244">
        <v>1.9546049902446037E-3</v>
      </c>
      <c r="CJ559" s="244">
        <v>0</v>
      </c>
      <c r="CK559" s="244">
        <v>1.9546049902446037E-3</v>
      </c>
      <c r="CL559" s="244"/>
      <c r="CM559" s="244">
        <v>0</v>
      </c>
      <c r="CN559" s="244" t="s">
        <v>605</v>
      </c>
      <c r="CO559" s="244">
        <v>0</v>
      </c>
      <c r="CP559" s="244">
        <v>0</v>
      </c>
      <c r="CQ559" s="244">
        <v>0</v>
      </c>
      <c r="CR559" s="244">
        <v>0</v>
      </c>
      <c r="CS559" s="244">
        <v>0</v>
      </c>
      <c r="CT559" s="244">
        <v>0</v>
      </c>
      <c r="CU559" s="244">
        <v>0</v>
      </c>
      <c r="CV559" s="244">
        <v>9999</v>
      </c>
      <c r="CW559" s="228">
        <v>9999</v>
      </c>
    </row>
    <row r="560" spans="1:101">
      <c r="A560" s="221" t="s">
        <v>480</v>
      </c>
      <c r="B560" s="221" t="s">
        <v>604</v>
      </c>
      <c r="C560" s="244">
        <v>10</v>
      </c>
      <c r="D560" s="244">
        <v>4.8145032096641458</v>
      </c>
      <c r="E560" s="244">
        <v>0</v>
      </c>
      <c r="F560" s="244">
        <v>0</v>
      </c>
      <c r="G560" s="244">
        <v>0</v>
      </c>
      <c r="H560" s="244">
        <v>0</v>
      </c>
      <c r="I560" s="244" t="s">
        <v>605</v>
      </c>
      <c r="J560" s="244">
        <v>1</v>
      </c>
      <c r="K560" s="244">
        <v>0.63999998569488525</v>
      </c>
      <c r="L560" s="244">
        <v>5.2509996125147618</v>
      </c>
      <c r="M560" s="244">
        <v>3.8363467319868505E-4</v>
      </c>
      <c r="N560" s="244">
        <v>5.9942918596789241E-4</v>
      </c>
      <c r="O560" s="244">
        <v>0</v>
      </c>
      <c r="P560" s="244">
        <v>0</v>
      </c>
      <c r="Q560" s="244">
        <v>0</v>
      </c>
      <c r="R560" s="244">
        <v>0</v>
      </c>
      <c r="S560" s="244">
        <v>0</v>
      </c>
      <c r="T560" s="244">
        <v>0</v>
      </c>
      <c r="U560" s="244">
        <v>0</v>
      </c>
      <c r="V560" s="244" t="s">
        <v>226</v>
      </c>
      <c r="W560" s="244" t="s">
        <v>226</v>
      </c>
      <c r="X560" s="244" t="s">
        <v>226</v>
      </c>
      <c r="Y560" s="244" t="s">
        <v>226</v>
      </c>
      <c r="Z560" s="244">
        <v>0</v>
      </c>
      <c r="AA560" s="244">
        <v>0</v>
      </c>
      <c r="AB560" s="244">
        <v>0</v>
      </c>
      <c r="AC560" s="244">
        <v>0</v>
      </c>
      <c r="AD560" s="244">
        <v>0</v>
      </c>
      <c r="AE560" s="244">
        <v>0</v>
      </c>
      <c r="AF560" s="244">
        <v>0</v>
      </c>
      <c r="AG560" s="244">
        <v>0</v>
      </c>
      <c r="AH560" s="244">
        <v>0</v>
      </c>
      <c r="AI560" s="244">
        <v>0</v>
      </c>
      <c r="AJ560" s="244">
        <v>0</v>
      </c>
      <c r="AK560" s="244">
        <v>0</v>
      </c>
      <c r="AL560" s="244">
        <v>0</v>
      </c>
      <c r="AM560" s="244">
        <v>3.6381891835107365</v>
      </c>
      <c r="AN560" s="244">
        <v>0</v>
      </c>
      <c r="AO560" s="244">
        <v>0.64520704746246338</v>
      </c>
      <c r="AP560" s="244">
        <v>2.8138809204101562</v>
      </c>
      <c r="AQ560" s="244">
        <v>7.0972771644592285</v>
      </c>
      <c r="AR560" s="244">
        <v>0</v>
      </c>
      <c r="AS560" s="228">
        <v>9999</v>
      </c>
      <c r="AT560" s="244">
        <v>3.6381891835107365</v>
      </c>
      <c r="AU560" s="244">
        <v>0.17181496322154999</v>
      </c>
      <c r="AV560" s="244">
        <v>0.66238850355148315</v>
      </c>
      <c r="AW560" s="244">
        <v>2.8138809204101562</v>
      </c>
      <c r="AX560" s="244">
        <v>7.2862734794616699</v>
      </c>
      <c r="AY560" s="244">
        <v>0</v>
      </c>
      <c r="AZ560" s="228">
        <v>9999</v>
      </c>
      <c r="BA560" s="244">
        <v>3.6381891835107365</v>
      </c>
      <c r="BB560" s="244">
        <v>0.17181496322154999</v>
      </c>
      <c r="BC560" s="244">
        <v>0.66238850355148315</v>
      </c>
      <c r="BD560" s="244">
        <v>2.8138809204101562</v>
      </c>
      <c r="BE560" s="244">
        <v>7.2862734794616699</v>
      </c>
      <c r="BF560" s="244">
        <v>0</v>
      </c>
      <c r="BG560" s="244">
        <v>-55.747810363769531</v>
      </c>
      <c r="BH560" s="228">
        <v>9999</v>
      </c>
      <c r="BI560" s="244">
        <v>0</v>
      </c>
      <c r="BJ560" s="244">
        <v>0</v>
      </c>
      <c r="BK560" s="244">
        <v>0</v>
      </c>
      <c r="BL560" s="244">
        <v>0</v>
      </c>
      <c r="BM560" s="244">
        <v>0</v>
      </c>
      <c r="BN560" s="244">
        <v>3.6381891835107365</v>
      </c>
      <c r="BO560" s="244">
        <v>0</v>
      </c>
      <c r="BP560" s="244">
        <v>0.17181496322154999</v>
      </c>
      <c r="BQ560" s="244">
        <v>0</v>
      </c>
      <c r="BR560" s="244">
        <v>0</v>
      </c>
      <c r="BS560" s="244">
        <v>0</v>
      </c>
      <c r="BT560" s="244">
        <v>2.8138809204101562</v>
      </c>
      <c r="BU560" s="244">
        <v>0</v>
      </c>
      <c r="BV560" s="244">
        <v>0</v>
      </c>
      <c r="BW560" s="244">
        <v>0.66238850355148315</v>
      </c>
      <c r="BX560" s="244">
        <v>0</v>
      </c>
      <c r="BY560" s="244"/>
      <c r="BZ560" s="244">
        <v>0</v>
      </c>
      <c r="CA560" s="244">
        <v>0</v>
      </c>
      <c r="CB560" s="244">
        <v>7.2862734794616699</v>
      </c>
      <c r="CC560" s="244">
        <v>0</v>
      </c>
      <c r="CD560" s="228">
        <v>9999</v>
      </c>
      <c r="CE560" s="244">
        <v>-55.747810363769531</v>
      </c>
      <c r="CF560" s="244">
        <v>3.9819633723513256E-2</v>
      </c>
      <c r="CG560" s="244">
        <v>0</v>
      </c>
      <c r="CH560" s="244">
        <v>3.9819633723513256E-2</v>
      </c>
      <c r="CI560" s="244">
        <v>1.9546049902446037E-3</v>
      </c>
      <c r="CJ560" s="244">
        <v>0</v>
      </c>
      <c r="CK560" s="244">
        <v>1.9546049902446037E-3</v>
      </c>
      <c r="CL560" s="244"/>
      <c r="CM560" s="244">
        <v>0</v>
      </c>
      <c r="CN560" s="244" t="s">
        <v>605</v>
      </c>
      <c r="CO560" s="244">
        <v>0</v>
      </c>
      <c r="CP560" s="244">
        <v>0</v>
      </c>
      <c r="CQ560" s="244">
        <v>0</v>
      </c>
      <c r="CR560" s="244">
        <v>0</v>
      </c>
      <c r="CS560" s="244">
        <v>0</v>
      </c>
      <c r="CT560" s="244">
        <v>0</v>
      </c>
      <c r="CU560" s="244">
        <v>0</v>
      </c>
      <c r="CV560" s="244">
        <v>9999</v>
      </c>
      <c r="CW560" s="228">
        <v>9999</v>
      </c>
    </row>
    <row r="561" spans="1:101">
      <c r="A561" s="221" t="s">
        <v>481</v>
      </c>
      <c r="B561" s="221" t="s">
        <v>604</v>
      </c>
      <c r="C561" s="244">
        <v>10</v>
      </c>
      <c r="D561" s="244">
        <v>5.416316110872164</v>
      </c>
      <c r="E561" s="244">
        <v>0</v>
      </c>
      <c r="F561" s="244">
        <v>0</v>
      </c>
      <c r="G561" s="244">
        <v>0</v>
      </c>
      <c r="H561" s="244">
        <v>0</v>
      </c>
      <c r="I561" s="244" t="s">
        <v>605</v>
      </c>
      <c r="J561" s="244">
        <v>1</v>
      </c>
      <c r="K561" s="244">
        <v>0.63999998569488525</v>
      </c>
      <c r="L561" s="244">
        <v>5.9073745640791104</v>
      </c>
      <c r="M561" s="244">
        <v>4.3158899643458426E-4</v>
      </c>
      <c r="N561" s="244">
        <v>6.7435781238600612E-4</v>
      </c>
      <c r="O561" s="244">
        <v>0</v>
      </c>
      <c r="P561" s="244">
        <v>0</v>
      </c>
      <c r="Q561" s="244">
        <v>0</v>
      </c>
      <c r="R561" s="244">
        <v>0</v>
      </c>
      <c r="S561" s="244">
        <v>0</v>
      </c>
      <c r="T561" s="244">
        <v>0</v>
      </c>
      <c r="U561" s="244">
        <v>0</v>
      </c>
      <c r="V561" s="244" t="s">
        <v>226</v>
      </c>
      <c r="W561" s="244" t="s">
        <v>226</v>
      </c>
      <c r="X561" s="244" t="s">
        <v>226</v>
      </c>
      <c r="Y561" s="244" t="s">
        <v>226</v>
      </c>
      <c r="Z561" s="244">
        <v>0</v>
      </c>
      <c r="AA561" s="244">
        <v>0</v>
      </c>
      <c r="AB561" s="244">
        <v>0</v>
      </c>
      <c r="AC561" s="244">
        <v>0</v>
      </c>
      <c r="AD561" s="244">
        <v>0</v>
      </c>
      <c r="AE561" s="244">
        <v>0</v>
      </c>
      <c r="AF561" s="244">
        <v>0</v>
      </c>
      <c r="AG561" s="244">
        <v>0</v>
      </c>
      <c r="AH561" s="244">
        <v>0</v>
      </c>
      <c r="AI561" s="244">
        <v>0</v>
      </c>
      <c r="AJ561" s="244">
        <v>0</v>
      </c>
      <c r="AK561" s="244">
        <v>0</v>
      </c>
      <c r="AL561" s="244">
        <v>0</v>
      </c>
      <c r="AM561" s="244">
        <v>4.092962831449575</v>
      </c>
      <c r="AN561" s="244">
        <v>0</v>
      </c>
      <c r="AO561" s="244">
        <v>0.72585791349411011</v>
      </c>
      <c r="AP561" s="244">
        <v>3.1656160354614258</v>
      </c>
      <c r="AQ561" s="244">
        <v>7.9844369888305664</v>
      </c>
      <c r="AR561" s="244">
        <v>0</v>
      </c>
      <c r="AS561" s="228">
        <v>9999</v>
      </c>
      <c r="AT561" s="244">
        <v>4.092962831449575</v>
      </c>
      <c r="AU561" s="244">
        <v>0.19329182803630829</v>
      </c>
      <c r="AV561" s="244">
        <v>0.74518710374832153</v>
      </c>
      <c r="AW561" s="244">
        <v>3.1656160354614258</v>
      </c>
      <c r="AX561" s="244">
        <v>8.1970577239990234</v>
      </c>
      <c r="AY561" s="244">
        <v>0</v>
      </c>
      <c r="AZ561" s="228">
        <v>9999</v>
      </c>
      <c r="BA561" s="244">
        <v>4.092962831449575</v>
      </c>
      <c r="BB561" s="244">
        <v>0.19329182803630829</v>
      </c>
      <c r="BC561" s="244">
        <v>0.74518710374832153</v>
      </c>
      <c r="BD561" s="244">
        <v>3.1656160354614258</v>
      </c>
      <c r="BE561" s="244">
        <v>8.1970577239990234</v>
      </c>
      <c r="BF561" s="244">
        <v>0</v>
      </c>
      <c r="BG561" s="244">
        <v>-55.747810363769531</v>
      </c>
      <c r="BH561" s="228">
        <v>9999</v>
      </c>
      <c r="BI561" s="244">
        <v>0</v>
      </c>
      <c r="BJ561" s="244">
        <v>0</v>
      </c>
      <c r="BK561" s="244">
        <v>0</v>
      </c>
      <c r="BL561" s="244">
        <v>0</v>
      </c>
      <c r="BM561" s="244">
        <v>0</v>
      </c>
      <c r="BN561" s="244">
        <v>4.092962831449575</v>
      </c>
      <c r="BO561" s="244">
        <v>0</v>
      </c>
      <c r="BP561" s="244">
        <v>0.19329182803630829</v>
      </c>
      <c r="BQ561" s="244">
        <v>0</v>
      </c>
      <c r="BR561" s="244">
        <v>0</v>
      </c>
      <c r="BS561" s="244">
        <v>0</v>
      </c>
      <c r="BT561" s="244">
        <v>3.1656160354614258</v>
      </c>
      <c r="BU561" s="244">
        <v>0</v>
      </c>
      <c r="BV561" s="244">
        <v>0</v>
      </c>
      <c r="BW561" s="244">
        <v>0.74518710374832153</v>
      </c>
      <c r="BX561" s="244">
        <v>0</v>
      </c>
      <c r="BY561" s="244"/>
      <c r="BZ561" s="244">
        <v>0</v>
      </c>
      <c r="CA561" s="244">
        <v>0</v>
      </c>
      <c r="CB561" s="244">
        <v>8.1970577239990234</v>
      </c>
      <c r="CC561" s="244">
        <v>0</v>
      </c>
      <c r="CD561" s="228">
        <v>9999</v>
      </c>
      <c r="CE561" s="244">
        <v>-55.747810363769531</v>
      </c>
      <c r="CF561" s="244">
        <v>4.4797087938952283E-2</v>
      </c>
      <c r="CG561" s="244">
        <v>0</v>
      </c>
      <c r="CH561" s="244">
        <v>4.4797087938952283E-2</v>
      </c>
      <c r="CI561" s="244">
        <v>2.1989306140251805E-3</v>
      </c>
      <c r="CJ561" s="244">
        <v>0</v>
      </c>
      <c r="CK561" s="244">
        <v>2.1989306140251805E-3</v>
      </c>
      <c r="CL561" s="244"/>
      <c r="CM561" s="244">
        <v>0</v>
      </c>
      <c r="CN561" s="244" t="s">
        <v>605</v>
      </c>
      <c r="CO561" s="244">
        <v>0</v>
      </c>
      <c r="CP561" s="244">
        <v>0</v>
      </c>
      <c r="CQ561" s="244">
        <v>0</v>
      </c>
      <c r="CR561" s="244">
        <v>0</v>
      </c>
      <c r="CS561" s="244">
        <v>0</v>
      </c>
      <c r="CT561" s="244">
        <v>0</v>
      </c>
      <c r="CU561" s="244">
        <v>0</v>
      </c>
      <c r="CV561" s="244">
        <v>9999</v>
      </c>
      <c r="CW561" s="228">
        <v>9999</v>
      </c>
    </row>
    <row r="562" spans="1:101">
      <c r="A562" s="221" t="s">
        <v>482</v>
      </c>
      <c r="B562" s="221" t="s">
        <v>604</v>
      </c>
      <c r="C562" s="244">
        <v>10</v>
      </c>
      <c r="D562" s="244">
        <v>5.416316110872164</v>
      </c>
      <c r="E562" s="244">
        <v>0</v>
      </c>
      <c r="F562" s="244">
        <v>0</v>
      </c>
      <c r="G562" s="244">
        <v>0</v>
      </c>
      <c r="H562" s="244">
        <v>0</v>
      </c>
      <c r="I562" s="244" t="s">
        <v>605</v>
      </c>
      <c r="J562" s="244">
        <v>1</v>
      </c>
      <c r="K562" s="244">
        <v>0.63999998569488525</v>
      </c>
      <c r="L562" s="244">
        <v>5.9073745640791104</v>
      </c>
      <c r="M562" s="244">
        <v>4.3158899643458426E-4</v>
      </c>
      <c r="N562" s="244">
        <v>6.7435781238600612E-4</v>
      </c>
      <c r="O562" s="244">
        <v>0</v>
      </c>
      <c r="P562" s="244">
        <v>0</v>
      </c>
      <c r="Q562" s="244">
        <v>0</v>
      </c>
      <c r="R562" s="244">
        <v>0</v>
      </c>
      <c r="S562" s="244">
        <v>0</v>
      </c>
      <c r="T562" s="244">
        <v>0</v>
      </c>
      <c r="U562" s="244">
        <v>0</v>
      </c>
      <c r="V562" s="244" t="s">
        <v>226</v>
      </c>
      <c r="W562" s="244" t="s">
        <v>226</v>
      </c>
      <c r="X562" s="244" t="s">
        <v>226</v>
      </c>
      <c r="Y562" s="244" t="s">
        <v>226</v>
      </c>
      <c r="Z562" s="244">
        <v>0</v>
      </c>
      <c r="AA562" s="244">
        <v>0</v>
      </c>
      <c r="AB562" s="244">
        <v>0</v>
      </c>
      <c r="AC562" s="244">
        <v>0</v>
      </c>
      <c r="AD562" s="244">
        <v>0</v>
      </c>
      <c r="AE562" s="244">
        <v>0</v>
      </c>
      <c r="AF562" s="244">
        <v>0</v>
      </c>
      <c r="AG562" s="244">
        <v>0</v>
      </c>
      <c r="AH562" s="244">
        <v>0</v>
      </c>
      <c r="AI562" s="244">
        <v>0</v>
      </c>
      <c r="AJ562" s="244">
        <v>0</v>
      </c>
      <c r="AK562" s="244">
        <v>0</v>
      </c>
      <c r="AL562" s="244">
        <v>0</v>
      </c>
      <c r="AM562" s="244">
        <v>4.092962831449575</v>
      </c>
      <c r="AN562" s="244">
        <v>0</v>
      </c>
      <c r="AO562" s="244">
        <v>0.72585791349411011</v>
      </c>
      <c r="AP562" s="244">
        <v>3.1656160354614258</v>
      </c>
      <c r="AQ562" s="244">
        <v>7.9844369888305664</v>
      </c>
      <c r="AR562" s="244">
        <v>0</v>
      </c>
      <c r="AS562" s="228">
        <v>9999</v>
      </c>
      <c r="AT562" s="244">
        <v>4.092962831449575</v>
      </c>
      <c r="AU562" s="244">
        <v>0.19329182803630829</v>
      </c>
      <c r="AV562" s="244">
        <v>0.74518710374832153</v>
      </c>
      <c r="AW562" s="244">
        <v>3.1656160354614258</v>
      </c>
      <c r="AX562" s="244">
        <v>8.1970577239990234</v>
      </c>
      <c r="AY562" s="244">
        <v>0</v>
      </c>
      <c r="AZ562" s="228">
        <v>9999</v>
      </c>
      <c r="BA562" s="244">
        <v>4.092962831449575</v>
      </c>
      <c r="BB562" s="244">
        <v>0.19329182803630829</v>
      </c>
      <c r="BC562" s="244">
        <v>0.74518710374832153</v>
      </c>
      <c r="BD562" s="244">
        <v>3.1656160354614258</v>
      </c>
      <c r="BE562" s="244">
        <v>8.1970577239990234</v>
      </c>
      <c r="BF562" s="244">
        <v>0</v>
      </c>
      <c r="BG562" s="244">
        <v>-55.747810363769531</v>
      </c>
      <c r="BH562" s="228">
        <v>9999</v>
      </c>
      <c r="BI562" s="244">
        <v>0</v>
      </c>
      <c r="BJ562" s="244">
        <v>0</v>
      </c>
      <c r="BK562" s="244">
        <v>0</v>
      </c>
      <c r="BL562" s="244">
        <v>0</v>
      </c>
      <c r="BM562" s="244">
        <v>0</v>
      </c>
      <c r="BN562" s="244">
        <v>4.092962831449575</v>
      </c>
      <c r="BO562" s="244">
        <v>0</v>
      </c>
      <c r="BP562" s="244">
        <v>0.19329182803630829</v>
      </c>
      <c r="BQ562" s="244">
        <v>0</v>
      </c>
      <c r="BR562" s="244">
        <v>0</v>
      </c>
      <c r="BS562" s="244">
        <v>0</v>
      </c>
      <c r="BT562" s="244">
        <v>3.1656160354614258</v>
      </c>
      <c r="BU562" s="244">
        <v>0</v>
      </c>
      <c r="BV562" s="244">
        <v>0</v>
      </c>
      <c r="BW562" s="244">
        <v>0.74518710374832153</v>
      </c>
      <c r="BX562" s="244">
        <v>0</v>
      </c>
      <c r="BY562" s="244"/>
      <c r="BZ562" s="244">
        <v>0</v>
      </c>
      <c r="CA562" s="244">
        <v>0</v>
      </c>
      <c r="CB562" s="244">
        <v>8.1970577239990234</v>
      </c>
      <c r="CC562" s="244">
        <v>0</v>
      </c>
      <c r="CD562" s="228">
        <v>9999</v>
      </c>
      <c r="CE562" s="244">
        <v>-55.747810363769531</v>
      </c>
      <c r="CF562" s="244">
        <v>4.4797087938952283E-2</v>
      </c>
      <c r="CG562" s="244">
        <v>0</v>
      </c>
      <c r="CH562" s="244">
        <v>4.4797087938952283E-2</v>
      </c>
      <c r="CI562" s="244">
        <v>2.1989306140251805E-3</v>
      </c>
      <c r="CJ562" s="244">
        <v>0</v>
      </c>
      <c r="CK562" s="244">
        <v>2.1989306140251805E-3</v>
      </c>
      <c r="CL562" s="244"/>
      <c r="CM562" s="244">
        <v>0</v>
      </c>
      <c r="CN562" s="244" t="s">
        <v>605</v>
      </c>
      <c r="CO562" s="244">
        <v>0</v>
      </c>
      <c r="CP562" s="244">
        <v>0</v>
      </c>
      <c r="CQ562" s="244">
        <v>0</v>
      </c>
      <c r="CR562" s="244">
        <v>0</v>
      </c>
      <c r="CS562" s="244">
        <v>0</v>
      </c>
      <c r="CT562" s="244">
        <v>0</v>
      </c>
      <c r="CU562" s="244">
        <v>0</v>
      </c>
      <c r="CV562" s="244">
        <v>9999</v>
      </c>
      <c r="CW562" s="228">
        <v>9999</v>
      </c>
    </row>
    <row r="563" spans="1:101">
      <c r="A563" s="221" t="s">
        <v>483</v>
      </c>
      <c r="B563" s="221" t="s">
        <v>604</v>
      </c>
      <c r="C563" s="244">
        <v>10</v>
      </c>
      <c r="D563" s="244">
        <v>5.416316110872164</v>
      </c>
      <c r="E563" s="244">
        <v>0</v>
      </c>
      <c r="F563" s="244">
        <v>0</v>
      </c>
      <c r="G563" s="244">
        <v>0</v>
      </c>
      <c r="H563" s="244">
        <v>0</v>
      </c>
      <c r="I563" s="244" t="s">
        <v>605</v>
      </c>
      <c r="J563" s="244">
        <v>1</v>
      </c>
      <c r="K563" s="244">
        <v>0.63999998569488525</v>
      </c>
      <c r="L563" s="244">
        <v>5.9073745640791104</v>
      </c>
      <c r="M563" s="244">
        <v>4.3158899643458426E-4</v>
      </c>
      <c r="N563" s="244">
        <v>6.7435781238600612E-4</v>
      </c>
      <c r="O563" s="244">
        <v>0</v>
      </c>
      <c r="P563" s="244">
        <v>0</v>
      </c>
      <c r="Q563" s="244">
        <v>0</v>
      </c>
      <c r="R563" s="244">
        <v>0</v>
      </c>
      <c r="S563" s="244">
        <v>0</v>
      </c>
      <c r="T563" s="244">
        <v>0</v>
      </c>
      <c r="U563" s="244">
        <v>0</v>
      </c>
      <c r="V563" s="244" t="s">
        <v>226</v>
      </c>
      <c r="W563" s="244" t="s">
        <v>226</v>
      </c>
      <c r="X563" s="244" t="s">
        <v>226</v>
      </c>
      <c r="Y563" s="244" t="s">
        <v>226</v>
      </c>
      <c r="Z563" s="244">
        <v>0</v>
      </c>
      <c r="AA563" s="244">
        <v>0</v>
      </c>
      <c r="AB563" s="244">
        <v>0</v>
      </c>
      <c r="AC563" s="244">
        <v>0</v>
      </c>
      <c r="AD563" s="244">
        <v>0</v>
      </c>
      <c r="AE563" s="244">
        <v>0</v>
      </c>
      <c r="AF563" s="244">
        <v>0</v>
      </c>
      <c r="AG563" s="244">
        <v>0</v>
      </c>
      <c r="AH563" s="244">
        <v>0</v>
      </c>
      <c r="AI563" s="244">
        <v>0</v>
      </c>
      <c r="AJ563" s="244">
        <v>0</v>
      </c>
      <c r="AK563" s="244">
        <v>0</v>
      </c>
      <c r="AL563" s="244">
        <v>0</v>
      </c>
      <c r="AM563" s="244">
        <v>4.092962831449575</v>
      </c>
      <c r="AN563" s="244">
        <v>0</v>
      </c>
      <c r="AO563" s="244">
        <v>0.72585791349411011</v>
      </c>
      <c r="AP563" s="244">
        <v>3.1656160354614258</v>
      </c>
      <c r="AQ563" s="244">
        <v>7.9844369888305664</v>
      </c>
      <c r="AR563" s="244">
        <v>0</v>
      </c>
      <c r="AS563" s="228">
        <v>9999</v>
      </c>
      <c r="AT563" s="244">
        <v>4.092962831449575</v>
      </c>
      <c r="AU563" s="244">
        <v>0.19329182803630829</v>
      </c>
      <c r="AV563" s="244">
        <v>0.74518710374832153</v>
      </c>
      <c r="AW563" s="244">
        <v>3.1656160354614258</v>
      </c>
      <c r="AX563" s="244">
        <v>8.1970577239990234</v>
      </c>
      <c r="AY563" s="244">
        <v>0</v>
      </c>
      <c r="AZ563" s="228">
        <v>9999</v>
      </c>
      <c r="BA563" s="244">
        <v>4.092962831449575</v>
      </c>
      <c r="BB563" s="244">
        <v>0.19329182803630829</v>
      </c>
      <c r="BC563" s="244">
        <v>0.74518710374832153</v>
      </c>
      <c r="BD563" s="244">
        <v>3.1656160354614258</v>
      </c>
      <c r="BE563" s="244">
        <v>8.1970577239990234</v>
      </c>
      <c r="BF563" s="244">
        <v>0</v>
      </c>
      <c r="BG563" s="244">
        <v>-55.747810363769531</v>
      </c>
      <c r="BH563" s="228">
        <v>9999</v>
      </c>
      <c r="BI563" s="244">
        <v>0</v>
      </c>
      <c r="BJ563" s="244">
        <v>0</v>
      </c>
      <c r="BK563" s="244">
        <v>0</v>
      </c>
      <c r="BL563" s="244">
        <v>0</v>
      </c>
      <c r="BM563" s="244">
        <v>0</v>
      </c>
      <c r="BN563" s="244">
        <v>4.092962831449575</v>
      </c>
      <c r="BO563" s="244">
        <v>0</v>
      </c>
      <c r="BP563" s="244">
        <v>0.19329182803630829</v>
      </c>
      <c r="BQ563" s="244">
        <v>0</v>
      </c>
      <c r="BR563" s="244">
        <v>0</v>
      </c>
      <c r="BS563" s="244">
        <v>0</v>
      </c>
      <c r="BT563" s="244">
        <v>3.1656160354614258</v>
      </c>
      <c r="BU563" s="244">
        <v>0</v>
      </c>
      <c r="BV563" s="244">
        <v>0</v>
      </c>
      <c r="BW563" s="244">
        <v>0.74518710374832153</v>
      </c>
      <c r="BX563" s="244">
        <v>0</v>
      </c>
      <c r="BY563" s="244"/>
      <c r="BZ563" s="244">
        <v>0</v>
      </c>
      <c r="CA563" s="244">
        <v>0</v>
      </c>
      <c r="CB563" s="244">
        <v>8.1970577239990234</v>
      </c>
      <c r="CC563" s="244">
        <v>0</v>
      </c>
      <c r="CD563" s="228">
        <v>9999</v>
      </c>
      <c r="CE563" s="244">
        <v>-55.747810363769531</v>
      </c>
      <c r="CF563" s="244">
        <v>4.4797087938952283E-2</v>
      </c>
      <c r="CG563" s="244">
        <v>0</v>
      </c>
      <c r="CH563" s="244">
        <v>4.4797087938952283E-2</v>
      </c>
      <c r="CI563" s="244">
        <v>2.1989306140251805E-3</v>
      </c>
      <c r="CJ563" s="244">
        <v>0</v>
      </c>
      <c r="CK563" s="244">
        <v>2.1989306140251805E-3</v>
      </c>
      <c r="CL563" s="244"/>
      <c r="CM563" s="244">
        <v>0</v>
      </c>
      <c r="CN563" s="244" t="s">
        <v>605</v>
      </c>
      <c r="CO563" s="244">
        <v>0</v>
      </c>
      <c r="CP563" s="244">
        <v>0</v>
      </c>
      <c r="CQ563" s="244">
        <v>0</v>
      </c>
      <c r="CR563" s="244">
        <v>0</v>
      </c>
      <c r="CS563" s="244">
        <v>0</v>
      </c>
      <c r="CT563" s="244">
        <v>0</v>
      </c>
      <c r="CU563" s="244">
        <v>0</v>
      </c>
      <c r="CV563" s="244">
        <v>9999</v>
      </c>
      <c r="CW563" s="228">
        <v>9999</v>
      </c>
    </row>
    <row r="564" spans="1:101">
      <c r="A564" s="221" t="s">
        <v>484</v>
      </c>
      <c r="B564" s="221" t="s">
        <v>604</v>
      </c>
      <c r="C564" s="244">
        <v>10</v>
      </c>
      <c r="D564" s="244">
        <v>8.4253806169122587</v>
      </c>
      <c r="E564" s="244">
        <v>0</v>
      </c>
      <c r="F564" s="244">
        <v>0</v>
      </c>
      <c r="G564" s="244">
        <v>0</v>
      </c>
      <c r="H564" s="244">
        <v>0</v>
      </c>
      <c r="I564" s="244" t="s">
        <v>605</v>
      </c>
      <c r="J564" s="244">
        <v>1</v>
      </c>
      <c r="K564" s="244">
        <v>0.63999998569488525</v>
      </c>
      <c r="L564" s="244">
        <v>9.1892493219008422</v>
      </c>
      <c r="M564" s="244">
        <v>6.7136069992557168E-4</v>
      </c>
      <c r="N564" s="244">
        <v>1.0490011190995574E-3</v>
      </c>
      <c r="O564" s="244">
        <v>0</v>
      </c>
      <c r="P564" s="244">
        <v>0</v>
      </c>
      <c r="Q564" s="244">
        <v>0</v>
      </c>
      <c r="R564" s="244">
        <v>0</v>
      </c>
      <c r="S564" s="244">
        <v>0</v>
      </c>
      <c r="T564" s="244">
        <v>0</v>
      </c>
      <c r="U564" s="244">
        <v>0</v>
      </c>
      <c r="V564" s="244" t="s">
        <v>226</v>
      </c>
      <c r="W564" s="244" t="s">
        <v>226</v>
      </c>
      <c r="X564" s="244" t="s">
        <v>226</v>
      </c>
      <c r="Y564" s="244" t="s">
        <v>226</v>
      </c>
      <c r="Z564" s="244">
        <v>0</v>
      </c>
      <c r="AA564" s="244">
        <v>0</v>
      </c>
      <c r="AB564" s="244">
        <v>0</v>
      </c>
      <c r="AC564" s="244">
        <v>0</v>
      </c>
      <c r="AD564" s="244">
        <v>0</v>
      </c>
      <c r="AE564" s="244">
        <v>0</v>
      </c>
      <c r="AF564" s="244">
        <v>0</v>
      </c>
      <c r="AG564" s="244">
        <v>0</v>
      </c>
      <c r="AH564" s="244">
        <v>0</v>
      </c>
      <c r="AI564" s="244">
        <v>0</v>
      </c>
      <c r="AJ564" s="244">
        <v>0</v>
      </c>
      <c r="AK564" s="244">
        <v>0</v>
      </c>
      <c r="AL564" s="244">
        <v>0</v>
      </c>
      <c r="AM564" s="244">
        <v>6.3668310711437908</v>
      </c>
      <c r="AN564" s="244">
        <v>0</v>
      </c>
      <c r="AO564" s="244">
        <v>1.1291123628616333</v>
      </c>
      <c r="AP564" s="244">
        <v>4.9242920875549316</v>
      </c>
      <c r="AQ564" s="244">
        <v>12.420235633850098</v>
      </c>
      <c r="AR564" s="244">
        <v>0</v>
      </c>
      <c r="AS564" s="228">
        <v>9999</v>
      </c>
      <c r="AT564" s="244">
        <v>6.3668310711437908</v>
      </c>
      <c r="AU564" s="244">
        <v>0.30067619681358337</v>
      </c>
      <c r="AV564" s="244">
        <v>1.1591799259185791</v>
      </c>
      <c r="AW564" s="244">
        <v>4.9242920875549316</v>
      </c>
      <c r="AX564" s="244">
        <v>12.750979423522949</v>
      </c>
      <c r="AY564" s="244">
        <v>0</v>
      </c>
      <c r="AZ564" s="228">
        <v>9999</v>
      </c>
      <c r="BA564" s="244">
        <v>6.3668310711437908</v>
      </c>
      <c r="BB564" s="244">
        <v>0.30067619681358337</v>
      </c>
      <c r="BC564" s="244">
        <v>1.1591799259185791</v>
      </c>
      <c r="BD564" s="244">
        <v>4.9242920875549316</v>
      </c>
      <c r="BE564" s="244">
        <v>12.750979423522949</v>
      </c>
      <c r="BF564" s="244">
        <v>0</v>
      </c>
      <c r="BG564" s="244">
        <v>-55.747814178466797</v>
      </c>
      <c r="BH564" s="228">
        <v>9999</v>
      </c>
      <c r="BI564" s="244">
        <v>0</v>
      </c>
      <c r="BJ564" s="244">
        <v>0</v>
      </c>
      <c r="BK564" s="244">
        <v>0</v>
      </c>
      <c r="BL564" s="244">
        <v>0</v>
      </c>
      <c r="BM564" s="244">
        <v>0</v>
      </c>
      <c r="BN564" s="244">
        <v>6.3668310711437908</v>
      </c>
      <c r="BO564" s="244">
        <v>0</v>
      </c>
      <c r="BP564" s="244">
        <v>0.30067619681358337</v>
      </c>
      <c r="BQ564" s="244">
        <v>0</v>
      </c>
      <c r="BR564" s="244">
        <v>0</v>
      </c>
      <c r="BS564" s="244">
        <v>0</v>
      </c>
      <c r="BT564" s="244">
        <v>4.9242920875549316</v>
      </c>
      <c r="BU564" s="244">
        <v>0</v>
      </c>
      <c r="BV564" s="244">
        <v>0</v>
      </c>
      <c r="BW564" s="244">
        <v>1.1591799259185791</v>
      </c>
      <c r="BX564" s="244">
        <v>0</v>
      </c>
      <c r="BY564" s="244"/>
      <c r="BZ564" s="244">
        <v>0</v>
      </c>
      <c r="CA564" s="244">
        <v>0</v>
      </c>
      <c r="CB564" s="244">
        <v>12.750979423522949</v>
      </c>
      <c r="CC564" s="244">
        <v>0</v>
      </c>
      <c r="CD564" s="228">
        <v>9999</v>
      </c>
      <c r="CE564" s="244">
        <v>-55.747814178466797</v>
      </c>
      <c r="CF564" s="244">
        <v>6.9684359016148098E-2</v>
      </c>
      <c r="CG564" s="244">
        <v>0</v>
      </c>
      <c r="CH564" s="244">
        <v>6.9684359016148098E-2</v>
      </c>
      <c r="CI564" s="244">
        <v>3.4205587329280604E-3</v>
      </c>
      <c r="CJ564" s="244">
        <v>0</v>
      </c>
      <c r="CK564" s="244">
        <v>3.4205587329280604E-3</v>
      </c>
      <c r="CL564" s="244"/>
      <c r="CM564" s="244">
        <v>0</v>
      </c>
      <c r="CN564" s="244" t="s">
        <v>605</v>
      </c>
      <c r="CO564" s="244">
        <v>0</v>
      </c>
      <c r="CP564" s="244">
        <v>0</v>
      </c>
      <c r="CQ564" s="244">
        <v>0</v>
      </c>
      <c r="CR564" s="244">
        <v>0</v>
      </c>
      <c r="CS564" s="244">
        <v>0</v>
      </c>
      <c r="CT564" s="244">
        <v>0</v>
      </c>
      <c r="CU564" s="244">
        <v>0</v>
      </c>
      <c r="CV564" s="244">
        <v>9999</v>
      </c>
      <c r="CW564" s="228">
        <v>9999</v>
      </c>
    </row>
    <row r="565" spans="1:101">
      <c r="A565" s="221" t="s">
        <v>485</v>
      </c>
      <c r="B565" s="221" t="s">
        <v>604</v>
      </c>
      <c r="C565" s="244">
        <v>10</v>
      </c>
      <c r="D565" s="244">
        <v>8.4253806169122587</v>
      </c>
      <c r="E565" s="244">
        <v>0</v>
      </c>
      <c r="F565" s="244">
        <v>0</v>
      </c>
      <c r="G565" s="244">
        <v>0</v>
      </c>
      <c r="H565" s="244">
        <v>0</v>
      </c>
      <c r="I565" s="244" t="s">
        <v>605</v>
      </c>
      <c r="J565" s="244">
        <v>1</v>
      </c>
      <c r="K565" s="244">
        <v>0.63999998569488525</v>
      </c>
      <c r="L565" s="244">
        <v>9.1892493219008422</v>
      </c>
      <c r="M565" s="244">
        <v>6.7136069992557168E-4</v>
      </c>
      <c r="N565" s="244">
        <v>1.0490011190995574E-3</v>
      </c>
      <c r="O565" s="244">
        <v>0</v>
      </c>
      <c r="P565" s="244">
        <v>0</v>
      </c>
      <c r="Q565" s="244">
        <v>0</v>
      </c>
      <c r="R565" s="244">
        <v>0</v>
      </c>
      <c r="S565" s="244">
        <v>0</v>
      </c>
      <c r="T565" s="244">
        <v>0</v>
      </c>
      <c r="U565" s="244">
        <v>0</v>
      </c>
      <c r="V565" s="244" t="s">
        <v>226</v>
      </c>
      <c r="W565" s="244" t="s">
        <v>226</v>
      </c>
      <c r="X565" s="244" t="s">
        <v>226</v>
      </c>
      <c r="Y565" s="244" t="s">
        <v>226</v>
      </c>
      <c r="Z565" s="244">
        <v>0</v>
      </c>
      <c r="AA565" s="244">
        <v>0</v>
      </c>
      <c r="AB565" s="244">
        <v>0</v>
      </c>
      <c r="AC565" s="244">
        <v>0</v>
      </c>
      <c r="AD565" s="244">
        <v>0</v>
      </c>
      <c r="AE565" s="244">
        <v>0</v>
      </c>
      <c r="AF565" s="244">
        <v>0</v>
      </c>
      <c r="AG565" s="244">
        <v>0</v>
      </c>
      <c r="AH565" s="244">
        <v>0</v>
      </c>
      <c r="AI565" s="244">
        <v>0</v>
      </c>
      <c r="AJ565" s="244">
        <v>0</v>
      </c>
      <c r="AK565" s="244">
        <v>0</v>
      </c>
      <c r="AL565" s="244">
        <v>0</v>
      </c>
      <c r="AM565" s="244">
        <v>6.3668310711437908</v>
      </c>
      <c r="AN565" s="244">
        <v>0</v>
      </c>
      <c r="AO565" s="244">
        <v>1.1291123628616333</v>
      </c>
      <c r="AP565" s="244">
        <v>4.9242920875549316</v>
      </c>
      <c r="AQ565" s="244">
        <v>12.420235633850098</v>
      </c>
      <c r="AR565" s="244">
        <v>0</v>
      </c>
      <c r="AS565" s="228">
        <v>9999</v>
      </c>
      <c r="AT565" s="244">
        <v>6.3668310711437908</v>
      </c>
      <c r="AU565" s="244">
        <v>0.30067619681358337</v>
      </c>
      <c r="AV565" s="244">
        <v>1.1591799259185791</v>
      </c>
      <c r="AW565" s="244">
        <v>4.9242920875549316</v>
      </c>
      <c r="AX565" s="244">
        <v>12.750979423522949</v>
      </c>
      <c r="AY565" s="244">
        <v>0</v>
      </c>
      <c r="AZ565" s="228">
        <v>9999</v>
      </c>
      <c r="BA565" s="244">
        <v>6.3668310711437908</v>
      </c>
      <c r="BB565" s="244">
        <v>0.30067619681358337</v>
      </c>
      <c r="BC565" s="244">
        <v>1.1591799259185791</v>
      </c>
      <c r="BD565" s="244">
        <v>4.9242920875549316</v>
      </c>
      <c r="BE565" s="244">
        <v>12.750979423522949</v>
      </c>
      <c r="BF565" s="244">
        <v>0</v>
      </c>
      <c r="BG565" s="244">
        <v>-55.747814178466797</v>
      </c>
      <c r="BH565" s="228">
        <v>9999</v>
      </c>
      <c r="BI565" s="244">
        <v>0</v>
      </c>
      <c r="BJ565" s="244">
        <v>0</v>
      </c>
      <c r="BK565" s="244">
        <v>0</v>
      </c>
      <c r="BL565" s="244">
        <v>0</v>
      </c>
      <c r="BM565" s="244">
        <v>0</v>
      </c>
      <c r="BN565" s="244">
        <v>6.3668310711437908</v>
      </c>
      <c r="BO565" s="244">
        <v>0</v>
      </c>
      <c r="BP565" s="244">
        <v>0.30067619681358337</v>
      </c>
      <c r="BQ565" s="244">
        <v>0</v>
      </c>
      <c r="BR565" s="244">
        <v>0</v>
      </c>
      <c r="BS565" s="244">
        <v>0</v>
      </c>
      <c r="BT565" s="244">
        <v>4.9242920875549316</v>
      </c>
      <c r="BU565" s="244">
        <v>0</v>
      </c>
      <c r="BV565" s="244">
        <v>0</v>
      </c>
      <c r="BW565" s="244">
        <v>1.1591799259185791</v>
      </c>
      <c r="BX565" s="244">
        <v>0</v>
      </c>
      <c r="BY565" s="244"/>
      <c r="BZ565" s="244">
        <v>0</v>
      </c>
      <c r="CA565" s="244">
        <v>0</v>
      </c>
      <c r="CB565" s="244">
        <v>12.750979423522949</v>
      </c>
      <c r="CC565" s="244">
        <v>0</v>
      </c>
      <c r="CD565" s="228">
        <v>9999</v>
      </c>
      <c r="CE565" s="244">
        <v>-55.747814178466797</v>
      </c>
      <c r="CF565" s="244">
        <v>6.9684359016148098E-2</v>
      </c>
      <c r="CG565" s="244">
        <v>0</v>
      </c>
      <c r="CH565" s="244">
        <v>6.9684359016148098E-2</v>
      </c>
      <c r="CI565" s="244">
        <v>3.4205587329280604E-3</v>
      </c>
      <c r="CJ565" s="244">
        <v>0</v>
      </c>
      <c r="CK565" s="244">
        <v>3.4205587329280604E-3</v>
      </c>
      <c r="CL565" s="244"/>
      <c r="CM565" s="244">
        <v>0</v>
      </c>
      <c r="CN565" s="244" t="s">
        <v>605</v>
      </c>
      <c r="CO565" s="244">
        <v>0</v>
      </c>
      <c r="CP565" s="244">
        <v>0</v>
      </c>
      <c r="CQ565" s="244">
        <v>0</v>
      </c>
      <c r="CR565" s="244">
        <v>0</v>
      </c>
      <c r="CS565" s="244">
        <v>0</v>
      </c>
      <c r="CT565" s="244">
        <v>0</v>
      </c>
      <c r="CU565" s="244">
        <v>0</v>
      </c>
      <c r="CV565" s="244">
        <v>9999</v>
      </c>
      <c r="CW565" s="228">
        <v>9999</v>
      </c>
    </row>
    <row r="566" spans="1:101">
      <c r="A566" s="221" t="s">
        <v>486</v>
      </c>
      <c r="B566" s="221" t="s">
        <v>604</v>
      </c>
      <c r="C566" s="244">
        <v>10</v>
      </c>
      <c r="D566" s="244">
        <v>8.4253806169122587</v>
      </c>
      <c r="E566" s="244">
        <v>0</v>
      </c>
      <c r="F566" s="244">
        <v>0</v>
      </c>
      <c r="G566" s="244">
        <v>0</v>
      </c>
      <c r="H566" s="244">
        <v>0</v>
      </c>
      <c r="I566" s="244" t="s">
        <v>605</v>
      </c>
      <c r="J566" s="244">
        <v>1</v>
      </c>
      <c r="K566" s="244">
        <v>0.63999998569488525</v>
      </c>
      <c r="L566" s="244">
        <v>9.1892493219008422</v>
      </c>
      <c r="M566" s="244">
        <v>6.7136069992557168E-4</v>
      </c>
      <c r="N566" s="244">
        <v>1.0490011190995574E-3</v>
      </c>
      <c r="O566" s="244">
        <v>0</v>
      </c>
      <c r="P566" s="244">
        <v>0</v>
      </c>
      <c r="Q566" s="244">
        <v>0</v>
      </c>
      <c r="R566" s="244">
        <v>0</v>
      </c>
      <c r="S566" s="244">
        <v>0</v>
      </c>
      <c r="T566" s="244">
        <v>0</v>
      </c>
      <c r="U566" s="244">
        <v>0</v>
      </c>
      <c r="V566" s="244" t="s">
        <v>226</v>
      </c>
      <c r="W566" s="244" t="s">
        <v>226</v>
      </c>
      <c r="X566" s="244" t="s">
        <v>226</v>
      </c>
      <c r="Y566" s="244" t="s">
        <v>226</v>
      </c>
      <c r="Z566" s="244">
        <v>0</v>
      </c>
      <c r="AA566" s="244">
        <v>0</v>
      </c>
      <c r="AB566" s="244">
        <v>0</v>
      </c>
      <c r="AC566" s="244">
        <v>0</v>
      </c>
      <c r="AD566" s="244">
        <v>0</v>
      </c>
      <c r="AE566" s="244">
        <v>0</v>
      </c>
      <c r="AF566" s="244">
        <v>0</v>
      </c>
      <c r="AG566" s="244">
        <v>0</v>
      </c>
      <c r="AH566" s="244">
        <v>0</v>
      </c>
      <c r="AI566" s="244">
        <v>0</v>
      </c>
      <c r="AJ566" s="244">
        <v>0</v>
      </c>
      <c r="AK566" s="244">
        <v>0</v>
      </c>
      <c r="AL566" s="244">
        <v>0</v>
      </c>
      <c r="AM566" s="244">
        <v>6.3668310711437908</v>
      </c>
      <c r="AN566" s="244">
        <v>0</v>
      </c>
      <c r="AO566" s="244">
        <v>1.1291123628616333</v>
      </c>
      <c r="AP566" s="244">
        <v>4.9242920875549316</v>
      </c>
      <c r="AQ566" s="244">
        <v>12.420235633850098</v>
      </c>
      <c r="AR566" s="244">
        <v>0</v>
      </c>
      <c r="AS566" s="228">
        <v>9999</v>
      </c>
      <c r="AT566" s="244">
        <v>6.3668310711437908</v>
      </c>
      <c r="AU566" s="244">
        <v>0.30067619681358337</v>
      </c>
      <c r="AV566" s="244">
        <v>1.1591799259185791</v>
      </c>
      <c r="AW566" s="244">
        <v>4.9242920875549316</v>
      </c>
      <c r="AX566" s="244">
        <v>12.750979423522949</v>
      </c>
      <c r="AY566" s="244">
        <v>0</v>
      </c>
      <c r="AZ566" s="228">
        <v>9999</v>
      </c>
      <c r="BA566" s="244">
        <v>6.3668310711437908</v>
      </c>
      <c r="BB566" s="244">
        <v>0.30067619681358337</v>
      </c>
      <c r="BC566" s="244">
        <v>1.1591799259185791</v>
      </c>
      <c r="BD566" s="244">
        <v>4.9242920875549316</v>
      </c>
      <c r="BE566" s="244">
        <v>12.750979423522949</v>
      </c>
      <c r="BF566" s="244">
        <v>0</v>
      </c>
      <c r="BG566" s="244">
        <v>-55.747814178466797</v>
      </c>
      <c r="BH566" s="228">
        <v>9999</v>
      </c>
      <c r="BI566" s="244">
        <v>0</v>
      </c>
      <c r="BJ566" s="244">
        <v>0</v>
      </c>
      <c r="BK566" s="244">
        <v>0</v>
      </c>
      <c r="BL566" s="244">
        <v>0</v>
      </c>
      <c r="BM566" s="244">
        <v>0</v>
      </c>
      <c r="BN566" s="244">
        <v>6.3668310711437908</v>
      </c>
      <c r="BO566" s="244">
        <v>0</v>
      </c>
      <c r="BP566" s="244">
        <v>0.30067619681358337</v>
      </c>
      <c r="BQ566" s="244">
        <v>0</v>
      </c>
      <c r="BR566" s="244">
        <v>0</v>
      </c>
      <c r="BS566" s="244">
        <v>0</v>
      </c>
      <c r="BT566" s="244">
        <v>4.9242920875549316</v>
      </c>
      <c r="BU566" s="244">
        <v>0</v>
      </c>
      <c r="BV566" s="244">
        <v>0</v>
      </c>
      <c r="BW566" s="244">
        <v>1.1591799259185791</v>
      </c>
      <c r="BX566" s="244">
        <v>0</v>
      </c>
      <c r="BY566" s="244"/>
      <c r="BZ566" s="244">
        <v>0</v>
      </c>
      <c r="CA566" s="244">
        <v>0</v>
      </c>
      <c r="CB566" s="244">
        <v>12.750979423522949</v>
      </c>
      <c r="CC566" s="244">
        <v>0</v>
      </c>
      <c r="CD566" s="228">
        <v>9999</v>
      </c>
      <c r="CE566" s="244">
        <v>-55.747814178466797</v>
      </c>
      <c r="CF566" s="244">
        <v>6.9684359016148098E-2</v>
      </c>
      <c r="CG566" s="244">
        <v>0</v>
      </c>
      <c r="CH566" s="244">
        <v>6.9684359016148098E-2</v>
      </c>
      <c r="CI566" s="244">
        <v>3.4205587329280604E-3</v>
      </c>
      <c r="CJ566" s="244">
        <v>0</v>
      </c>
      <c r="CK566" s="244">
        <v>3.4205587329280604E-3</v>
      </c>
      <c r="CL566" s="244"/>
      <c r="CM566" s="244">
        <v>0</v>
      </c>
      <c r="CN566" s="244" t="s">
        <v>605</v>
      </c>
      <c r="CO566" s="244">
        <v>0</v>
      </c>
      <c r="CP566" s="244">
        <v>0</v>
      </c>
      <c r="CQ566" s="244">
        <v>0</v>
      </c>
      <c r="CR566" s="244">
        <v>0</v>
      </c>
      <c r="CS566" s="244">
        <v>0</v>
      </c>
      <c r="CT566" s="244">
        <v>0</v>
      </c>
      <c r="CU566" s="244">
        <v>0</v>
      </c>
      <c r="CV566" s="244">
        <v>9999</v>
      </c>
      <c r="CW566" s="228">
        <v>9999</v>
      </c>
    </row>
    <row r="567" spans="1:101">
      <c r="A567" s="221" t="s">
        <v>487</v>
      </c>
      <c r="B567" s="221" t="s">
        <v>604</v>
      </c>
      <c r="C567" s="244">
        <v>10</v>
      </c>
      <c r="D567" s="244">
        <v>3.2096688064427639</v>
      </c>
      <c r="E567" s="244">
        <v>0</v>
      </c>
      <c r="F567" s="244">
        <v>0</v>
      </c>
      <c r="G567" s="244">
        <v>0</v>
      </c>
      <c r="H567" s="244">
        <v>0</v>
      </c>
      <c r="I567" s="244" t="s">
        <v>605</v>
      </c>
      <c r="J567" s="244">
        <v>1</v>
      </c>
      <c r="K567" s="244">
        <v>0.63999998569488525</v>
      </c>
      <c r="L567" s="244">
        <v>3.5006664083431769</v>
      </c>
      <c r="M567" s="244">
        <v>2.5575645850040019E-4</v>
      </c>
      <c r="N567" s="244">
        <v>3.9961945731192827E-4</v>
      </c>
      <c r="O567" s="244">
        <v>0</v>
      </c>
      <c r="P567" s="244">
        <v>0</v>
      </c>
      <c r="Q567" s="244">
        <v>0</v>
      </c>
      <c r="R567" s="244">
        <v>0</v>
      </c>
      <c r="S567" s="244">
        <v>0</v>
      </c>
      <c r="T567" s="244">
        <v>0</v>
      </c>
      <c r="U567" s="244">
        <v>0</v>
      </c>
      <c r="V567" s="244" t="s">
        <v>226</v>
      </c>
      <c r="W567" s="244" t="s">
        <v>226</v>
      </c>
      <c r="X567" s="244" t="s">
        <v>226</v>
      </c>
      <c r="Y567" s="244" t="s">
        <v>226</v>
      </c>
      <c r="Z567" s="244">
        <v>0</v>
      </c>
      <c r="AA567" s="244">
        <v>0</v>
      </c>
      <c r="AB567" s="244">
        <v>0</v>
      </c>
      <c r="AC567" s="244">
        <v>0</v>
      </c>
      <c r="AD567" s="244">
        <v>0</v>
      </c>
      <c r="AE567" s="244">
        <v>0</v>
      </c>
      <c r="AF567" s="244">
        <v>0</v>
      </c>
      <c r="AG567" s="244">
        <v>0</v>
      </c>
      <c r="AH567" s="244">
        <v>0</v>
      </c>
      <c r="AI567" s="244">
        <v>0</v>
      </c>
      <c r="AJ567" s="244">
        <v>0</v>
      </c>
      <c r="AK567" s="244">
        <v>0</v>
      </c>
      <c r="AL567" s="244">
        <v>0</v>
      </c>
      <c r="AM567" s="244">
        <v>2.425459455673824</v>
      </c>
      <c r="AN567" s="244">
        <v>0</v>
      </c>
      <c r="AO567" s="244">
        <v>0.43013802170753479</v>
      </c>
      <c r="AP567" s="244">
        <v>1.8759206533432007</v>
      </c>
      <c r="AQ567" s="244">
        <v>4.7315182685852051</v>
      </c>
      <c r="AR567" s="244">
        <v>0</v>
      </c>
      <c r="AS567" s="228">
        <v>9999</v>
      </c>
      <c r="AT567" s="244">
        <v>2.425459455673824</v>
      </c>
      <c r="AU567" s="244">
        <v>0.11454331129789352</v>
      </c>
      <c r="AV567" s="244">
        <v>0.44159233570098877</v>
      </c>
      <c r="AW567" s="244">
        <v>1.8759206533432007</v>
      </c>
      <c r="AX567" s="244">
        <v>4.857515811920166</v>
      </c>
      <c r="AY567" s="244">
        <v>0</v>
      </c>
      <c r="AZ567" s="228">
        <v>9999</v>
      </c>
      <c r="BA567" s="244">
        <v>2.425459455673824</v>
      </c>
      <c r="BB567" s="244">
        <v>0.11454331129789352</v>
      </c>
      <c r="BC567" s="244">
        <v>0.44159233570098877</v>
      </c>
      <c r="BD567" s="244">
        <v>1.8759206533432007</v>
      </c>
      <c r="BE567" s="244">
        <v>4.857515811920166</v>
      </c>
      <c r="BF567" s="244">
        <v>0</v>
      </c>
      <c r="BG567" s="244">
        <v>-55.747810363769531</v>
      </c>
      <c r="BH567" s="228">
        <v>9999</v>
      </c>
      <c r="BI567" s="244">
        <v>0</v>
      </c>
      <c r="BJ567" s="244">
        <v>0</v>
      </c>
      <c r="BK567" s="244">
        <v>0</v>
      </c>
      <c r="BL567" s="244">
        <v>0</v>
      </c>
      <c r="BM567" s="244">
        <v>0</v>
      </c>
      <c r="BN567" s="244">
        <v>2.425459455673824</v>
      </c>
      <c r="BO567" s="244">
        <v>0</v>
      </c>
      <c r="BP567" s="244">
        <v>0.11454331129789352</v>
      </c>
      <c r="BQ567" s="244">
        <v>0</v>
      </c>
      <c r="BR567" s="244">
        <v>0</v>
      </c>
      <c r="BS567" s="244">
        <v>0</v>
      </c>
      <c r="BT567" s="244">
        <v>1.8759206533432007</v>
      </c>
      <c r="BU567" s="244">
        <v>0</v>
      </c>
      <c r="BV567" s="244">
        <v>0</v>
      </c>
      <c r="BW567" s="244">
        <v>0.44159233570098877</v>
      </c>
      <c r="BX567" s="244">
        <v>0</v>
      </c>
      <c r="BY567" s="244"/>
      <c r="BZ567" s="244">
        <v>0</v>
      </c>
      <c r="CA567" s="244">
        <v>0</v>
      </c>
      <c r="CB567" s="244">
        <v>4.857515811920166</v>
      </c>
      <c r="CC567" s="244">
        <v>0</v>
      </c>
      <c r="CD567" s="228">
        <v>9999</v>
      </c>
      <c r="CE567" s="244">
        <v>-55.747810363769531</v>
      </c>
      <c r="CF567" s="244">
        <v>2.6546422482342086E-2</v>
      </c>
      <c r="CG567" s="244">
        <v>0</v>
      </c>
      <c r="CH567" s="244">
        <v>2.6546422482342086E-2</v>
      </c>
      <c r="CI567" s="244">
        <v>1.3030699934964043E-3</v>
      </c>
      <c r="CJ567" s="244">
        <v>0</v>
      </c>
      <c r="CK567" s="244">
        <v>1.3030699934964043E-3</v>
      </c>
      <c r="CL567" s="244"/>
      <c r="CM567" s="244">
        <v>0</v>
      </c>
      <c r="CN567" s="244" t="s">
        <v>605</v>
      </c>
      <c r="CO567" s="244">
        <v>0</v>
      </c>
      <c r="CP567" s="244">
        <v>0</v>
      </c>
      <c r="CQ567" s="244">
        <v>0</v>
      </c>
      <c r="CR567" s="244">
        <v>0</v>
      </c>
      <c r="CS567" s="244">
        <v>0</v>
      </c>
      <c r="CT567" s="244">
        <v>0</v>
      </c>
      <c r="CU567" s="244">
        <v>0</v>
      </c>
      <c r="CV567" s="244">
        <v>9999</v>
      </c>
      <c r="CW567" s="228">
        <v>9999</v>
      </c>
    </row>
    <row r="568" spans="1:101">
      <c r="A568" s="221" t="s">
        <v>488</v>
      </c>
      <c r="B568" s="221" t="s">
        <v>604</v>
      </c>
      <c r="C568" s="244">
        <v>10</v>
      </c>
      <c r="D568" s="244">
        <v>3.2096688064427639</v>
      </c>
      <c r="E568" s="244">
        <v>0</v>
      </c>
      <c r="F568" s="244">
        <v>0</v>
      </c>
      <c r="G568" s="244">
        <v>0</v>
      </c>
      <c r="H568" s="244">
        <v>0</v>
      </c>
      <c r="I568" s="244" t="s">
        <v>605</v>
      </c>
      <c r="J568" s="244">
        <v>1</v>
      </c>
      <c r="K568" s="244">
        <v>0.63999998569488525</v>
      </c>
      <c r="L568" s="244">
        <v>3.5006664083431769</v>
      </c>
      <c r="M568" s="244">
        <v>2.5575645850040019E-4</v>
      </c>
      <c r="N568" s="244">
        <v>3.9961945731192827E-4</v>
      </c>
      <c r="O568" s="244">
        <v>0</v>
      </c>
      <c r="P568" s="244">
        <v>0</v>
      </c>
      <c r="Q568" s="244">
        <v>0</v>
      </c>
      <c r="R568" s="244">
        <v>0</v>
      </c>
      <c r="S568" s="244">
        <v>0</v>
      </c>
      <c r="T568" s="244">
        <v>0</v>
      </c>
      <c r="U568" s="244">
        <v>0</v>
      </c>
      <c r="V568" s="244" t="s">
        <v>226</v>
      </c>
      <c r="W568" s="244" t="s">
        <v>226</v>
      </c>
      <c r="X568" s="244" t="s">
        <v>226</v>
      </c>
      <c r="Y568" s="244" t="s">
        <v>226</v>
      </c>
      <c r="Z568" s="244">
        <v>0</v>
      </c>
      <c r="AA568" s="244">
        <v>0</v>
      </c>
      <c r="AB568" s="244">
        <v>0</v>
      </c>
      <c r="AC568" s="244">
        <v>0</v>
      </c>
      <c r="AD568" s="244">
        <v>0</v>
      </c>
      <c r="AE568" s="244">
        <v>0</v>
      </c>
      <c r="AF568" s="244">
        <v>0</v>
      </c>
      <c r="AG568" s="244">
        <v>0</v>
      </c>
      <c r="AH568" s="244">
        <v>0</v>
      </c>
      <c r="AI568" s="244">
        <v>0</v>
      </c>
      <c r="AJ568" s="244">
        <v>0</v>
      </c>
      <c r="AK568" s="244">
        <v>0</v>
      </c>
      <c r="AL568" s="244">
        <v>0</v>
      </c>
      <c r="AM568" s="244">
        <v>2.425459455673824</v>
      </c>
      <c r="AN568" s="244">
        <v>0</v>
      </c>
      <c r="AO568" s="244">
        <v>0.43013802170753479</v>
      </c>
      <c r="AP568" s="244">
        <v>1.8759206533432007</v>
      </c>
      <c r="AQ568" s="244">
        <v>4.7315182685852051</v>
      </c>
      <c r="AR568" s="244">
        <v>0</v>
      </c>
      <c r="AS568" s="228">
        <v>9999</v>
      </c>
      <c r="AT568" s="244">
        <v>2.425459455673824</v>
      </c>
      <c r="AU568" s="244">
        <v>0.11454331129789352</v>
      </c>
      <c r="AV568" s="244">
        <v>0.44159233570098877</v>
      </c>
      <c r="AW568" s="244">
        <v>1.8759206533432007</v>
      </c>
      <c r="AX568" s="244">
        <v>4.857515811920166</v>
      </c>
      <c r="AY568" s="244">
        <v>0</v>
      </c>
      <c r="AZ568" s="228">
        <v>9999</v>
      </c>
      <c r="BA568" s="244">
        <v>2.425459455673824</v>
      </c>
      <c r="BB568" s="244">
        <v>0.11454331129789352</v>
      </c>
      <c r="BC568" s="244">
        <v>0.44159233570098877</v>
      </c>
      <c r="BD568" s="244">
        <v>1.8759206533432007</v>
      </c>
      <c r="BE568" s="244">
        <v>4.857515811920166</v>
      </c>
      <c r="BF568" s="244">
        <v>0</v>
      </c>
      <c r="BG568" s="244">
        <v>-55.747810363769531</v>
      </c>
      <c r="BH568" s="228">
        <v>9999</v>
      </c>
      <c r="BI568" s="244">
        <v>0</v>
      </c>
      <c r="BJ568" s="244">
        <v>0</v>
      </c>
      <c r="BK568" s="244">
        <v>0</v>
      </c>
      <c r="BL568" s="244">
        <v>0</v>
      </c>
      <c r="BM568" s="244">
        <v>0</v>
      </c>
      <c r="BN568" s="244">
        <v>2.425459455673824</v>
      </c>
      <c r="BO568" s="244">
        <v>0</v>
      </c>
      <c r="BP568" s="244">
        <v>0.11454331129789352</v>
      </c>
      <c r="BQ568" s="244">
        <v>0</v>
      </c>
      <c r="BR568" s="244">
        <v>0</v>
      </c>
      <c r="BS568" s="244">
        <v>0</v>
      </c>
      <c r="BT568" s="244">
        <v>1.8759206533432007</v>
      </c>
      <c r="BU568" s="244">
        <v>0</v>
      </c>
      <c r="BV568" s="244">
        <v>0</v>
      </c>
      <c r="BW568" s="244">
        <v>0.44159233570098877</v>
      </c>
      <c r="BX568" s="244">
        <v>0</v>
      </c>
      <c r="BY568" s="244"/>
      <c r="BZ568" s="244">
        <v>0</v>
      </c>
      <c r="CA568" s="244">
        <v>0</v>
      </c>
      <c r="CB568" s="244">
        <v>4.857515811920166</v>
      </c>
      <c r="CC568" s="244">
        <v>0</v>
      </c>
      <c r="CD568" s="228">
        <v>9999</v>
      </c>
      <c r="CE568" s="244">
        <v>-55.747810363769531</v>
      </c>
      <c r="CF568" s="244">
        <v>2.6546422482342086E-2</v>
      </c>
      <c r="CG568" s="244">
        <v>0</v>
      </c>
      <c r="CH568" s="244">
        <v>2.6546422482342086E-2</v>
      </c>
      <c r="CI568" s="244">
        <v>1.3030699934964043E-3</v>
      </c>
      <c r="CJ568" s="244">
        <v>0</v>
      </c>
      <c r="CK568" s="244">
        <v>1.3030699934964043E-3</v>
      </c>
      <c r="CL568" s="244"/>
      <c r="CM568" s="244">
        <v>0</v>
      </c>
      <c r="CN568" s="244" t="s">
        <v>605</v>
      </c>
      <c r="CO568" s="244">
        <v>0</v>
      </c>
      <c r="CP568" s="244">
        <v>0</v>
      </c>
      <c r="CQ568" s="244">
        <v>0</v>
      </c>
      <c r="CR568" s="244">
        <v>0</v>
      </c>
      <c r="CS568" s="244">
        <v>0</v>
      </c>
      <c r="CT568" s="244">
        <v>0</v>
      </c>
      <c r="CU568" s="244">
        <v>0</v>
      </c>
      <c r="CV568" s="244">
        <v>9999</v>
      </c>
      <c r="CW568" s="228">
        <v>9999</v>
      </c>
    </row>
    <row r="569" spans="1:101">
      <c r="A569" s="221" t="s">
        <v>489</v>
      </c>
      <c r="B569" s="221" t="s">
        <v>604</v>
      </c>
      <c r="C569" s="244">
        <v>10</v>
      </c>
      <c r="D569" s="244">
        <v>3.2096688064427639</v>
      </c>
      <c r="E569" s="244">
        <v>0</v>
      </c>
      <c r="F569" s="244">
        <v>0</v>
      </c>
      <c r="G569" s="244">
        <v>0</v>
      </c>
      <c r="H569" s="244">
        <v>0</v>
      </c>
      <c r="I569" s="244" t="s">
        <v>605</v>
      </c>
      <c r="J569" s="244">
        <v>1</v>
      </c>
      <c r="K569" s="244">
        <v>0.63999998569488525</v>
      </c>
      <c r="L569" s="244">
        <v>3.5006664083431769</v>
      </c>
      <c r="M569" s="244">
        <v>2.5575645850040019E-4</v>
      </c>
      <c r="N569" s="244">
        <v>3.9961945731192827E-4</v>
      </c>
      <c r="O569" s="244">
        <v>0</v>
      </c>
      <c r="P569" s="244">
        <v>0</v>
      </c>
      <c r="Q569" s="244">
        <v>0</v>
      </c>
      <c r="R569" s="244">
        <v>0</v>
      </c>
      <c r="S569" s="244">
        <v>0</v>
      </c>
      <c r="T569" s="244">
        <v>0</v>
      </c>
      <c r="U569" s="244">
        <v>0</v>
      </c>
      <c r="V569" s="244" t="s">
        <v>226</v>
      </c>
      <c r="W569" s="244" t="s">
        <v>226</v>
      </c>
      <c r="X569" s="244" t="s">
        <v>226</v>
      </c>
      <c r="Y569" s="244" t="s">
        <v>226</v>
      </c>
      <c r="Z569" s="244">
        <v>0</v>
      </c>
      <c r="AA569" s="244">
        <v>0</v>
      </c>
      <c r="AB569" s="244">
        <v>0</v>
      </c>
      <c r="AC569" s="244">
        <v>0</v>
      </c>
      <c r="AD569" s="244">
        <v>0</v>
      </c>
      <c r="AE569" s="244">
        <v>0</v>
      </c>
      <c r="AF569" s="244">
        <v>0</v>
      </c>
      <c r="AG569" s="244">
        <v>0</v>
      </c>
      <c r="AH569" s="244">
        <v>0</v>
      </c>
      <c r="AI569" s="244">
        <v>0</v>
      </c>
      <c r="AJ569" s="244">
        <v>0</v>
      </c>
      <c r="AK569" s="244">
        <v>0</v>
      </c>
      <c r="AL569" s="244">
        <v>0</v>
      </c>
      <c r="AM569" s="244">
        <v>2.425459455673824</v>
      </c>
      <c r="AN569" s="244">
        <v>0</v>
      </c>
      <c r="AO569" s="244">
        <v>0.43013802170753479</v>
      </c>
      <c r="AP569" s="244">
        <v>1.8759206533432007</v>
      </c>
      <c r="AQ569" s="244">
        <v>4.7315182685852051</v>
      </c>
      <c r="AR569" s="244">
        <v>0</v>
      </c>
      <c r="AS569" s="228">
        <v>9999</v>
      </c>
      <c r="AT569" s="244">
        <v>2.425459455673824</v>
      </c>
      <c r="AU569" s="244">
        <v>0.11454331129789352</v>
      </c>
      <c r="AV569" s="244">
        <v>0.44159233570098877</v>
      </c>
      <c r="AW569" s="244">
        <v>1.8759206533432007</v>
      </c>
      <c r="AX569" s="244">
        <v>4.857515811920166</v>
      </c>
      <c r="AY569" s="244">
        <v>0</v>
      </c>
      <c r="AZ569" s="228">
        <v>9999</v>
      </c>
      <c r="BA569" s="244">
        <v>2.425459455673824</v>
      </c>
      <c r="BB569" s="244">
        <v>0.11454331129789352</v>
      </c>
      <c r="BC569" s="244">
        <v>0.44159233570098877</v>
      </c>
      <c r="BD569" s="244">
        <v>1.8759206533432007</v>
      </c>
      <c r="BE569" s="244">
        <v>4.857515811920166</v>
      </c>
      <c r="BF569" s="244">
        <v>0</v>
      </c>
      <c r="BG569" s="244">
        <v>-55.747810363769531</v>
      </c>
      <c r="BH569" s="228">
        <v>9999</v>
      </c>
      <c r="BI569" s="244">
        <v>0</v>
      </c>
      <c r="BJ569" s="244">
        <v>0</v>
      </c>
      <c r="BK569" s="244">
        <v>0</v>
      </c>
      <c r="BL569" s="244">
        <v>0</v>
      </c>
      <c r="BM569" s="244">
        <v>0</v>
      </c>
      <c r="BN569" s="244">
        <v>2.425459455673824</v>
      </c>
      <c r="BO569" s="244">
        <v>0</v>
      </c>
      <c r="BP569" s="244">
        <v>0.11454331129789352</v>
      </c>
      <c r="BQ569" s="244">
        <v>0</v>
      </c>
      <c r="BR569" s="244">
        <v>0</v>
      </c>
      <c r="BS569" s="244">
        <v>0</v>
      </c>
      <c r="BT569" s="244">
        <v>1.8759206533432007</v>
      </c>
      <c r="BU569" s="244">
        <v>0</v>
      </c>
      <c r="BV569" s="244">
        <v>0</v>
      </c>
      <c r="BW569" s="244">
        <v>0.44159233570098877</v>
      </c>
      <c r="BX569" s="244">
        <v>0</v>
      </c>
      <c r="BY569" s="244"/>
      <c r="BZ569" s="244">
        <v>0</v>
      </c>
      <c r="CA569" s="244">
        <v>0</v>
      </c>
      <c r="CB569" s="244">
        <v>4.857515811920166</v>
      </c>
      <c r="CC569" s="244">
        <v>0</v>
      </c>
      <c r="CD569" s="228">
        <v>9999</v>
      </c>
      <c r="CE569" s="244">
        <v>-55.747810363769531</v>
      </c>
      <c r="CF569" s="244">
        <v>2.6546422482342086E-2</v>
      </c>
      <c r="CG569" s="244">
        <v>0</v>
      </c>
      <c r="CH569" s="244">
        <v>2.6546422482342086E-2</v>
      </c>
      <c r="CI569" s="244">
        <v>1.3030699934964043E-3</v>
      </c>
      <c r="CJ569" s="244">
        <v>0</v>
      </c>
      <c r="CK569" s="244">
        <v>1.3030699934964043E-3</v>
      </c>
      <c r="CL569" s="244"/>
      <c r="CM569" s="244">
        <v>0</v>
      </c>
      <c r="CN569" s="244" t="s">
        <v>605</v>
      </c>
      <c r="CO569" s="244">
        <v>0</v>
      </c>
      <c r="CP569" s="244">
        <v>0</v>
      </c>
      <c r="CQ569" s="244">
        <v>0</v>
      </c>
      <c r="CR569" s="244">
        <v>0</v>
      </c>
      <c r="CS569" s="244">
        <v>0</v>
      </c>
      <c r="CT569" s="244">
        <v>0</v>
      </c>
      <c r="CU569" s="244">
        <v>0</v>
      </c>
      <c r="CV569" s="244">
        <v>9999</v>
      </c>
      <c r="CW569" s="228">
        <v>9999</v>
      </c>
    </row>
    <row r="570" spans="1:101">
      <c r="A570" s="221" t="s">
        <v>490</v>
      </c>
      <c r="B570" s="221" t="s">
        <v>604</v>
      </c>
      <c r="C570" s="244">
        <v>10</v>
      </c>
      <c r="D570" s="244">
        <v>3.6108774072481093</v>
      </c>
      <c r="E570" s="244">
        <v>0</v>
      </c>
      <c r="F570" s="244">
        <v>0</v>
      </c>
      <c r="G570" s="244">
        <v>0</v>
      </c>
      <c r="H570" s="244">
        <v>0</v>
      </c>
      <c r="I570" s="244" t="s">
        <v>605</v>
      </c>
      <c r="J570" s="244">
        <v>1</v>
      </c>
      <c r="K570" s="244">
        <v>0.63999998569488525</v>
      </c>
      <c r="L570" s="244">
        <v>3.9382497093860729</v>
      </c>
      <c r="M570" s="244">
        <v>2.8772599762305617E-4</v>
      </c>
      <c r="N570" s="244">
        <v>4.4957187492400408E-4</v>
      </c>
      <c r="O570" s="244">
        <v>0</v>
      </c>
      <c r="P570" s="244">
        <v>0</v>
      </c>
      <c r="Q570" s="244">
        <v>0</v>
      </c>
      <c r="R570" s="244">
        <v>0</v>
      </c>
      <c r="S570" s="244">
        <v>0</v>
      </c>
      <c r="T570" s="244">
        <v>0</v>
      </c>
      <c r="U570" s="244">
        <v>0</v>
      </c>
      <c r="V570" s="244" t="s">
        <v>226</v>
      </c>
      <c r="W570" s="244" t="s">
        <v>226</v>
      </c>
      <c r="X570" s="244" t="s">
        <v>226</v>
      </c>
      <c r="Y570" s="244" t="s">
        <v>226</v>
      </c>
      <c r="Z570" s="244">
        <v>0</v>
      </c>
      <c r="AA570" s="244">
        <v>0</v>
      </c>
      <c r="AB570" s="244">
        <v>0</v>
      </c>
      <c r="AC570" s="244">
        <v>0</v>
      </c>
      <c r="AD570" s="244">
        <v>0</v>
      </c>
      <c r="AE570" s="244">
        <v>0</v>
      </c>
      <c r="AF570" s="244">
        <v>0</v>
      </c>
      <c r="AG570" s="244">
        <v>0</v>
      </c>
      <c r="AH570" s="244">
        <v>0</v>
      </c>
      <c r="AI570" s="244">
        <v>0</v>
      </c>
      <c r="AJ570" s="244">
        <v>0</v>
      </c>
      <c r="AK570" s="244">
        <v>0</v>
      </c>
      <c r="AL570" s="244">
        <v>0</v>
      </c>
      <c r="AM570" s="244">
        <v>2.7286418876330449</v>
      </c>
      <c r="AN570" s="244">
        <v>0</v>
      </c>
      <c r="AO570" s="244">
        <v>0.48390525579452515</v>
      </c>
      <c r="AP570" s="244">
        <v>2.1104104518890381</v>
      </c>
      <c r="AQ570" s="244">
        <v>5.3229575157165527</v>
      </c>
      <c r="AR570" s="244">
        <v>0</v>
      </c>
      <c r="AS570" s="228">
        <v>9999</v>
      </c>
      <c r="AT570" s="244">
        <v>2.7286418876330449</v>
      </c>
      <c r="AU570" s="244">
        <v>0.12886121869087219</v>
      </c>
      <c r="AV570" s="244">
        <v>0.49679136276245117</v>
      </c>
      <c r="AW570" s="244">
        <v>2.1104104518890381</v>
      </c>
      <c r="AX570" s="244">
        <v>5.4647049903869629</v>
      </c>
      <c r="AY570" s="244">
        <v>0</v>
      </c>
      <c r="AZ570" s="228">
        <v>9999</v>
      </c>
      <c r="BA570" s="244">
        <v>2.7286418876330449</v>
      </c>
      <c r="BB570" s="244">
        <v>0.12886121869087219</v>
      </c>
      <c r="BC570" s="244">
        <v>0.49679136276245117</v>
      </c>
      <c r="BD570" s="244">
        <v>2.1104104518890381</v>
      </c>
      <c r="BE570" s="244">
        <v>5.4647049903869629</v>
      </c>
      <c r="BF570" s="244">
        <v>0</v>
      </c>
      <c r="BG570" s="244">
        <v>-55.747802734375</v>
      </c>
      <c r="BH570" s="228">
        <v>9999</v>
      </c>
      <c r="BI570" s="244">
        <v>0</v>
      </c>
      <c r="BJ570" s="244">
        <v>0</v>
      </c>
      <c r="BK570" s="244">
        <v>0</v>
      </c>
      <c r="BL570" s="244">
        <v>0</v>
      </c>
      <c r="BM570" s="244">
        <v>0</v>
      </c>
      <c r="BN570" s="244">
        <v>2.7286418876330449</v>
      </c>
      <c r="BO570" s="244">
        <v>0</v>
      </c>
      <c r="BP570" s="244">
        <v>0.12886121869087219</v>
      </c>
      <c r="BQ570" s="244">
        <v>0</v>
      </c>
      <c r="BR570" s="244">
        <v>0</v>
      </c>
      <c r="BS570" s="244">
        <v>0</v>
      </c>
      <c r="BT570" s="244">
        <v>2.1104104518890381</v>
      </c>
      <c r="BU570" s="244">
        <v>0</v>
      </c>
      <c r="BV570" s="244">
        <v>0</v>
      </c>
      <c r="BW570" s="244">
        <v>0.49679136276245117</v>
      </c>
      <c r="BX570" s="244">
        <v>0</v>
      </c>
      <c r="BY570" s="244"/>
      <c r="BZ570" s="244">
        <v>0</v>
      </c>
      <c r="CA570" s="244">
        <v>0</v>
      </c>
      <c r="CB570" s="244">
        <v>5.4647049903869629</v>
      </c>
      <c r="CC570" s="244">
        <v>0</v>
      </c>
      <c r="CD570" s="228">
        <v>9999</v>
      </c>
      <c r="CE570" s="244">
        <v>-55.747802734375</v>
      </c>
      <c r="CF570" s="244">
        <v>2.986472529263497E-2</v>
      </c>
      <c r="CG570" s="244">
        <v>0</v>
      </c>
      <c r="CH570" s="244">
        <v>2.986472529263497E-2</v>
      </c>
      <c r="CI570" s="244">
        <v>1.4659537426834526E-3</v>
      </c>
      <c r="CJ570" s="244">
        <v>0</v>
      </c>
      <c r="CK570" s="244">
        <v>1.4659537426834526E-3</v>
      </c>
      <c r="CL570" s="244"/>
      <c r="CM570" s="244">
        <v>0</v>
      </c>
      <c r="CN570" s="244" t="s">
        <v>605</v>
      </c>
      <c r="CO570" s="244">
        <v>0</v>
      </c>
      <c r="CP570" s="244">
        <v>0</v>
      </c>
      <c r="CQ570" s="244">
        <v>0</v>
      </c>
      <c r="CR570" s="244">
        <v>0</v>
      </c>
      <c r="CS570" s="244">
        <v>0</v>
      </c>
      <c r="CT570" s="244">
        <v>0</v>
      </c>
      <c r="CU570" s="244">
        <v>0</v>
      </c>
      <c r="CV570" s="244">
        <v>9999</v>
      </c>
      <c r="CW570" s="228">
        <v>9999</v>
      </c>
    </row>
    <row r="571" spans="1:101">
      <c r="A571" s="221" t="s">
        <v>491</v>
      </c>
      <c r="B571" s="221" t="s">
        <v>604</v>
      </c>
      <c r="C571" s="244">
        <v>10</v>
      </c>
      <c r="D571" s="244">
        <v>3.6108774072481093</v>
      </c>
      <c r="E571" s="244">
        <v>0</v>
      </c>
      <c r="F571" s="244">
        <v>0</v>
      </c>
      <c r="G571" s="244">
        <v>0</v>
      </c>
      <c r="H571" s="244">
        <v>0</v>
      </c>
      <c r="I571" s="244" t="s">
        <v>605</v>
      </c>
      <c r="J571" s="244">
        <v>1</v>
      </c>
      <c r="K571" s="244">
        <v>0.63999998569488525</v>
      </c>
      <c r="L571" s="244">
        <v>3.9382497093860729</v>
      </c>
      <c r="M571" s="244">
        <v>2.8772599762305617E-4</v>
      </c>
      <c r="N571" s="244">
        <v>4.4957187492400408E-4</v>
      </c>
      <c r="O571" s="244">
        <v>0</v>
      </c>
      <c r="P571" s="244">
        <v>0</v>
      </c>
      <c r="Q571" s="244">
        <v>0</v>
      </c>
      <c r="R571" s="244">
        <v>0</v>
      </c>
      <c r="S571" s="244">
        <v>0</v>
      </c>
      <c r="T571" s="244">
        <v>0</v>
      </c>
      <c r="U571" s="244">
        <v>0</v>
      </c>
      <c r="V571" s="244" t="s">
        <v>226</v>
      </c>
      <c r="W571" s="244" t="s">
        <v>226</v>
      </c>
      <c r="X571" s="244" t="s">
        <v>226</v>
      </c>
      <c r="Y571" s="244" t="s">
        <v>226</v>
      </c>
      <c r="Z571" s="244">
        <v>0</v>
      </c>
      <c r="AA571" s="244">
        <v>0</v>
      </c>
      <c r="AB571" s="244">
        <v>0</v>
      </c>
      <c r="AC571" s="244">
        <v>0</v>
      </c>
      <c r="AD571" s="244">
        <v>0</v>
      </c>
      <c r="AE571" s="244">
        <v>0</v>
      </c>
      <c r="AF571" s="244">
        <v>0</v>
      </c>
      <c r="AG571" s="244">
        <v>0</v>
      </c>
      <c r="AH571" s="244">
        <v>0</v>
      </c>
      <c r="AI571" s="244">
        <v>0</v>
      </c>
      <c r="AJ571" s="244">
        <v>0</v>
      </c>
      <c r="AK571" s="244">
        <v>0</v>
      </c>
      <c r="AL571" s="244">
        <v>0</v>
      </c>
      <c r="AM571" s="244">
        <v>2.7286418876330449</v>
      </c>
      <c r="AN571" s="244">
        <v>0</v>
      </c>
      <c r="AO571" s="244">
        <v>0.48390525579452515</v>
      </c>
      <c r="AP571" s="244">
        <v>2.1104104518890381</v>
      </c>
      <c r="AQ571" s="244">
        <v>5.3229575157165527</v>
      </c>
      <c r="AR571" s="244">
        <v>0</v>
      </c>
      <c r="AS571" s="228">
        <v>9999</v>
      </c>
      <c r="AT571" s="244">
        <v>2.7286418876330449</v>
      </c>
      <c r="AU571" s="244">
        <v>0.12886121869087219</v>
      </c>
      <c r="AV571" s="244">
        <v>0.49679136276245117</v>
      </c>
      <c r="AW571" s="244">
        <v>2.1104104518890381</v>
      </c>
      <c r="AX571" s="244">
        <v>5.4647049903869629</v>
      </c>
      <c r="AY571" s="244">
        <v>0</v>
      </c>
      <c r="AZ571" s="228">
        <v>9999</v>
      </c>
      <c r="BA571" s="244">
        <v>2.7286418876330449</v>
      </c>
      <c r="BB571" s="244">
        <v>0.12886121869087219</v>
      </c>
      <c r="BC571" s="244">
        <v>0.49679136276245117</v>
      </c>
      <c r="BD571" s="244">
        <v>2.1104104518890381</v>
      </c>
      <c r="BE571" s="244">
        <v>5.4647049903869629</v>
      </c>
      <c r="BF571" s="244">
        <v>0</v>
      </c>
      <c r="BG571" s="244">
        <v>-55.747802734375</v>
      </c>
      <c r="BH571" s="228">
        <v>9999</v>
      </c>
      <c r="BI571" s="244">
        <v>0</v>
      </c>
      <c r="BJ571" s="244">
        <v>0</v>
      </c>
      <c r="BK571" s="244">
        <v>0</v>
      </c>
      <c r="BL571" s="244">
        <v>0</v>
      </c>
      <c r="BM571" s="244">
        <v>0</v>
      </c>
      <c r="BN571" s="244">
        <v>2.7286418876330449</v>
      </c>
      <c r="BO571" s="244">
        <v>0</v>
      </c>
      <c r="BP571" s="244">
        <v>0.12886121869087219</v>
      </c>
      <c r="BQ571" s="244">
        <v>0</v>
      </c>
      <c r="BR571" s="244">
        <v>0</v>
      </c>
      <c r="BS571" s="244">
        <v>0</v>
      </c>
      <c r="BT571" s="244">
        <v>2.1104104518890381</v>
      </c>
      <c r="BU571" s="244">
        <v>0</v>
      </c>
      <c r="BV571" s="244">
        <v>0</v>
      </c>
      <c r="BW571" s="244">
        <v>0.49679136276245117</v>
      </c>
      <c r="BX571" s="244">
        <v>0</v>
      </c>
      <c r="BY571" s="244"/>
      <c r="BZ571" s="244">
        <v>0</v>
      </c>
      <c r="CA571" s="244">
        <v>0</v>
      </c>
      <c r="CB571" s="244">
        <v>5.4647049903869629</v>
      </c>
      <c r="CC571" s="244">
        <v>0</v>
      </c>
      <c r="CD571" s="228">
        <v>9999</v>
      </c>
      <c r="CE571" s="244">
        <v>-55.747802734375</v>
      </c>
      <c r="CF571" s="244">
        <v>2.986472529263497E-2</v>
      </c>
      <c r="CG571" s="244">
        <v>0</v>
      </c>
      <c r="CH571" s="244">
        <v>2.986472529263497E-2</v>
      </c>
      <c r="CI571" s="244">
        <v>1.4659537426834526E-3</v>
      </c>
      <c r="CJ571" s="244">
        <v>0</v>
      </c>
      <c r="CK571" s="244">
        <v>1.4659537426834526E-3</v>
      </c>
      <c r="CL571" s="244"/>
      <c r="CM571" s="244">
        <v>0</v>
      </c>
      <c r="CN571" s="244" t="s">
        <v>605</v>
      </c>
      <c r="CO571" s="244">
        <v>0</v>
      </c>
      <c r="CP571" s="244">
        <v>0</v>
      </c>
      <c r="CQ571" s="244">
        <v>0</v>
      </c>
      <c r="CR571" s="244">
        <v>0</v>
      </c>
      <c r="CS571" s="244">
        <v>0</v>
      </c>
      <c r="CT571" s="244">
        <v>0</v>
      </c>
      <c r="CU571" s="244">
        <v>0</v>
      </c>
      <c r="CV571" s="244">
        <v>9999</v>
      </c>
      <c r="CW571" s="228">
        <v>9999</v>
      </c>
    </row>
    <row r="572" spans="1:101">
      <c r="A572" s="221" t="s">
        <v>492</v>
      </c>
      <c r="B572" s="221" t="s">
        <v>604</v>
      </c>
      <c r="C572" s="244">
        <v>10</v>
      </c>
      <c r="D572" s="244">
        <v>3.6108774072481093</v>
      </c>
      <c r="E572" s="244">
        <v>0</v>
      </c>
      <c r="F572" s="244">
        <v>0</v>
      </c>
      <c r="G572" s="244">
        <v>0</v>
      </c>
      <c r="H572" s="244">
        <v>0</v>
      </c>
      <c r="I572" s="244" t="s">
        <v>605</v>
      </c>
      <c r="J572" s="244">
        <v>1</v>
      </c>
      <c r="K572" s="244">
        <v>0.63999998569488525</v>
      </c>
      <c r="L572" s="244">
        <v>3.9382497093860729</v>
      </c>
      <c r="M572" s="244">
        <v>2.8772599762305617E-4</v>
      </c>
      <c r="N572" s="244">
        <v>4.4957187492400408E-4</v>
      </c>
      <c r="O572" s="244">
        <v>0</v>
      </c>
      <c r="P572" s="244">
        <v>0</v>
      </c>
      <c r="Q572" s="244">
        <v>0</v>
      </c>
      <c r="R572" s="244">
        <v>0</v>
      </c>
      <c r="S572" s="244">
        <v>0</v>
      </c>
      <c r="T572" s="244">
        <v>0</v>
      </c>
      <c r="U572" s="244">
        <v>0</v>
      </c>
      <c r="V572" s="244" t="s">
        <v>226</v>
      </c>
      <c r="W572" s="244" t="s">
        <v>226</v>
      </c>
      <c r="X572" s="244" t="s">
        <v>226</v>
      </c>
      <c r="Y572" s="244" t="s">
        <v>226</v>
      </c>
      <c r="Z572" s="244">
        <v>0</v>
      </c>
      <c r="AA572" s="244">
        <v>0</v>
      </c>
      <c r="AB572" s="244">
        <v>0</v>
      </c>
      <c r="AC572" s="244">
        <v>0</v>
      </c>
      <c r="AD572" s="244">
        <v>0</v>
      </c>
      <c r="AE572" s="244">
        <v>0</v>
      </c>
      <c r="AF572" s="244">
        <v>0</v>
      </c>
      <c r="AG572" s="244">
        <v>0</v>
      </c>
      <c r="AH572" s="244">
        <v>0</v>
      </c>
      <c r="AI572" s="244">
        <v>0</v>
      </c>
      <c r="AJ572" s="244">
        <v>0</v>
      </c>
      <c r="AK572" s="244">
        <v>0</v>
      </c>
      <c r="AL572" s="244">
        <v>0</v>
      </c>
      <c r="AM572" s="244">
        <v>2.7286418876330449</v>
      </c>
      <c r="AN572" s="244">
        <v>0</v>
      </c>
      <c r="AO572" s="244">
        <v>0.48390525579452515</v>
      </c>
      <c r="AP572" s="244">
        <v>2.1104104518890381</v>
      </c>
      <c r="AQ572" s="244">
        <v>5.3229575157165527</v>
      </c>
      <c r="AR572" s="244">
        <v>0</v>
      </c>
      <c r="AS572" s="228">
        <v>9999</v>
      </c>
      <c r="AT572" s="244">
        <v>2.7286418876330449</v>
      </c>
      <c r="AU572" s="244">
        <v>0.12886121869087219</v>
      </c>
      <c r="AV572" s="244">
        <v>0.49679136276245117</v>
      </c>
      <c r="AW572" s="244">
        <v>2.1104104518890381</v>
      </c>
      <c r="AX572" s="244">
        <v>5.4647049903869629</v>
      </c>
      <c r="AY572" s="244">
        <v>0</v>
      </c>
      <c r="AZ572" s="228">
        <v>9999</v>
      </c>
      <c r="BA572" s="244">
        <v>2.7286418876330449</v>
      </c>
      <c r="BB572" s="244">
        <v>0.12886121869087219</v>
      </c>
      <c r="BC572" s="244">
        <v>0.49679136276245117</v>
      </c>
      <c r="BD572" s="244">
        <v>2.1104104518890381</v>
      </c>
      <c r="BE572" s="244">
        <v>5.4647049903869629</v>
      </c>
      <c r="BF572" s="244">
        <v>0</v>
      </c>
      <c r="BG572" s="244">
        <v>-55.747802734375</v>
      </c>
      <c r="BH572" s="228">
        <v>9999</v>
      </c>
      <c r="BI572" s="244">
        <v>0</v>
      </c>
      <c r="BJ572" s="244">
        <v>0</v>
      </c>
      <c r="BK572" s="244">
        <v>0</v>
      </c>
      <c r="BL572" s="244">
        <v>0</v>
      </c>
      <c r="BM572" s="244">
        <v>0</v>
      </c>
      <c r="BN572" s="244">
        <v>2.7286418876330449</v>
      </c>
      <c r="BO572" s="244">
        <v>0</v>
      </c>
      <c r="BP572" s="244">
        <v>0.12886121869087219</v>
      </c>
      <c r="BQ572" s="244">
        <v>0</v>
      </c>
      <c r="BR572" s="244">
        <v>0</v>
      </c>
      <c r="BS572" s="244">
        <v>0</v>
      </c>
      <c r="BT572" s="244">
        <v>2.1104104518890381</v>
      </c>
      <c r="BU572" s="244">
        <v>0</v>
      </c>
      <c r="BV572" s="244">
        <v>0</v>
      </c>
      <c r="BW572" s="244">
        <v>0.49679136276245117</v>
      </c>
      <c r="BX572" s="244">
        <v>0</v>
      </c>
      <c r="BY572" s="244"/>
      <c r="BZ572" s="244">
        <v>0</v>
      </c>
      <c r="CA572" s="244">
        <v>0</v>
      </c>
      <c r="CB572" s="244">
        <v>5.4647049903869629</v>
      </c>
      <c r="CC572" s="244">
        <v>0</v>
      </c>
      <c r="CD572" s="228">
        <v>9999</v>
      </c>
      <c r="CE572" s="244">
        <v>-55.747802734375</v>
      </c>
      <c r="CF572" s="244">
        <v>2.986472529263497E-2</v>
      </c>
      <c r="CG572" s="244">
        <v>0</v>
      </c>
      <c r="CH572" s="244">
        <v>2.986472529263497E-2</v>
      </c>
      <c r="CI572" s="244">
        <v>1.4659537426834526E-3</v>
      </c>
      <c r="CJ572" s="244">
        <v>0</v>
      </c>
      <c r="CK572" s="244">
        <v>1.4659537426834526E-3</v>
      </c>
      <c r="CL572" s="244"/>
      <c r="CM572" s="244">
        <v>0</v>
      </c>
      <c r="CN572" s="244" t="s">
        <v>605</v>
      </c>
      <c r="CO572" s="244">
        <v>0</v>
      </c>
      <c r="CP572" s="244">
        <v>0</v>
      </c>
      <c r="CQ572" s="244">
        <v>0</v>
      </c>
      <c r="CR572" s="244">
        <v>0</v>
      </c>
      <c r="CS572" s="244">
        <v>0</v>
      </c>
      <c r="CT572" s="244">
        <v>0</v>
      </c>
      <c r="CU572" s="244">
        <v>0</v>
      </c>
      <c r="CV572" s="244">
        <v>9999</v>
      </c>
      <c r="CW572" s="228">
        <v>9999</v>
      </c>
    </row>
    <row r="573" spans="1:101">
      <c r="A573" s="221" t="s">
        <v>493</v>
      </c>
      <c r="B573" s="221" t="s">
        <v>604</v>
      </c>
      <c r="C573" s="244">
        <v>10</v>
      </c>
      <c r="D573" s="244">
        <v>5.6169204112748385</v>
      </c>
      <c r="E573" s="244">
        <v>0</v>
      </c>
      <c r="F573" s="244">
        <v>0</v>
      </c>
      <c r="G573" s="244">
        <v>0</v>
      </c>
      <c r="H573" s="244">
        <v>0</v>
      </c>
      <c r="I573" s="244" t="s">
        <v>605</v>
      </c>
      <c r="J573" s="244">
        <v>1</v>
      </c>
      <c r="K573" s="244">
        <v>0.63999998569488525</v>
      </c>
      <c r="L573" s="244">
        <v>6.1261662146005573</v>
      </c>
      <c r="M573" s="244">
        <v>4.4757375144399703E-4</v>
      </c>
      <c r="N573" s="244">
        <v>6.9933402119204402E-4</v>
      </c>
      <c r="O573" s="244">
        <v>0</v>
      </c>
      <c r="P573" s="244">
        <v>0</v>
      </c>
      <c r="Q573" s="244">
        <v>0</v>
      </c>
      <c r="R573" s="244">
        <v>0</v>
      </c>
      <c r="S573" s="244">
        <v>0</v>
      </c>
      <c r="T573" s="244">
        <v>0</v>
      </c>
      <c r="U573" s="244">
        <v>0</v>
      </c>
      <c r="V573" s="244" t="s">
        <v>226</v>
      </c>
      <c r="W573" s="244" t="s">
        <v>226</v>
      </c>
      <c r="X573" s="244" t="s">
        <v>226</v>
      </c>
      <c r="Y573" s="244" t="s">
        <v>226</v>
      </c>
      <c r="Z573" s="244">
        <v>0</v>
      </c>
      <c r="AA573" s="244">
        <v>0</v>
      </c>
      <c r="AB573" s="244">
        <v>0</v>
      </c>
      <c r="AC573" s="244">
        <v>0</v>
      </c>
      <c r="AD573" s="244">
        <v>0</v>
      </c>
      <c r="AE573" s="244">
        <v>0</v>
      </c>
      <c r="AF573" s="244">
        <v>0</v>
      </c>
      <c r="AG573" s="244">
        <v>0</v>
      </c>
      <c r="AH573" s="244">
        <v>0</v>
      </c>
      <c r="AI573" s="244">
        <v>0</v>
      </c>
      <c r="AJ573" s="244">
        <v>0</v>
      </c>
      <c r="AK573" s="244">
        <v>0</v>
      </c>
      <c r="AL573" s="244">
        <v>0</v>
      </c>
      <c r="AM573" s="244">
        <v>4.2445540474291867</v>
      </c>
      <c r="AN573" s="244">
        <v>0</v>
      </c>
      <c r="AO573" s="244">
        <v>0.75274151563644409</v>
      </c>
      <c r="AP573" s="244">
        <v>3.2828609943389893</v>
      </c>
      <c r="AQ573" s="244">
        <v>8.280156135559082</v>
      </c>
      <c r="AR573" s="244">
        <v>0</v>
      </c>
      <c r="AS573" s="228">
        <v>9999</v>
      </c>
      <c r="AT573" s="244">
        <v>4.2445540474291867</v>
      </c>
      <c r="AU573" s="244">
        <v>0.20045076310634613</v>
      </c>
      <c r="AV573" s="244">
        <v>0.77278661727905273</v>
      </c>
      <c r="AW573" s="244">
        <v>3.2828609943389893</v>
      </c>
      <c r="AX573" s="244">
        <v>8.5006523132324219</v>
      </c>
      <c r="AY573" s="244">
        <v>0</v>
      </c>
      <c r="AZ573" s="228">
        <v>9999</v>
      </c>
      <c r="BA573" s="244">
        <v>4.2445540474291867</v>
      </c>
      <c r="BB573" s="244">
        <v>0.20045076310634613</v>
      </c>
      <c r="BC573" s="244">
        <v>0.77278661727905273</v>
      </c>
      <c r="BD573" s="244">
        <v>3.2828609943389893</v>
      </c>
      <c r="BE573" s="244">
        <v>8.5006523132324219</v>
      </c>
      <c r="BF573" s="244">
        <v>0</v>
      </c>
      <c r="BG573" s="244">
        <v>-55.747806549072266</v>
      </c>
      <c r="BH573" s="228">
        <v>9999</v>
      </c>
      <c r="BI573" s="244">
        <v>0</v>
      </c>
      <c r="BJ573" s="244">
        <v>0</v>
      </c>
      <c r="BK573" s="244">
        <v>0</v>
      </c>
      <c r="BL573" s="244">
        <v>0</v>
      </c>
      <c r="BM573" s="244">
        <v>0</v>
      </c>
      <c r="BN573" s="244">
        <v>4.2445540474291867</v>
      </c>
      <c r="BO573" s="244">
        <v>0</v>
      </c>
      <c r="BP573" s="244">
        <v>0.20045076310634613</v>
      </c>
      <c r="BQ573" s="244">
        <v>0</v>
      </c>
      <c r="BR573" s="244">
        <v>0</v>
      </c>
      <c r="BS573" s="244">
        <v>0</v>
      </c>
      <c r="BT573" s="244">
        <v>3.2828609943389893</v>
      </c>
      <c r="BU573" s="244">
        <v>0</v>
      </c>
      <c r="BV573" s="244">
        <v>0</v>
      </c>
      <c r="BW573" s="244">
        <v>0.77278661727905273</v>
      </c>
      <c r="BX573" s="244">
        <v>0</v>
      </c>
      <c r="BY573" s="244"/>
      <c r="BZ573" s="244">
        <v>0</v>
      </c>
      <c r="CA573" s="244">
        <v>0</v>
      </c>
      <c r="CB573" s="244">
        <v>8.5006523132324219</v>
      </c>
      <c r="CC573" s="244">
        <v>0</v>
      </c>
      <c r="CD573" s="228">
        <v>9999</v>
      </c>
      <c r="CE573" s="244">
        <v>-55.747806549072266</v>
      </c>
      <c r="CF573" s="244">
        <v>4.645623934409876E-2</v>
      </c>
      <c r="CG573" s="244">
        <v>0</v>
      </c>
      <c r="CH573" s="244">
        <v>4.645623934409876E-2</v>
      </c>
      <c r="CI573" s="244">
        <v>2.2803724886187042E-3</v>
      </c>
      <c r="CJ573" s="244">
        <v>0</v>
      </c>
      <c r="CK573" s="244">
        <v>2.2803724886187042E-3</v>
      </c>
      <c r="CL573" s="244"/>
      <c r="CM573" s="244">
        <v>0</v>
      </c>
      <c r="CN573" s="244" t="s">
        <v>605</v>
      </c>
      <c r="CO573" s="244">
        <v>0</v>
      </c>
      <c r="CP573" s="244">
        <v>0</v>
      </c>
      <c r="CQ573" s="244">
        <v>0</v>
      </c>
      <c r="CR573" s="244">
        <v>0</v>
      </c>
      <c r="CS573" s="244">
        <v>0</v>
      </c>
      <c r="CT573" s="244">
        <v>0</v>
      </c>
      <c r="CU573" s="244">
        <v>0</v>
      </c>
      <c r="CV573" s="244">
        <v>9999</v>
      </c>
      <c r="CW573" s="228">
        <v>9999</v>
      </c>
    </row>
    <row r="574" spans="1:101">
      <c r="A574" s="221" t="s">
        <v>494</v>
      </c>
      <c r="B574" s="221" t="s">
        <v>604</v>
      </c>
      <c r="C574" s="244">
        <v>10</v>
      </c>
      <c r="D574" s="244">
        <v>5.6169204112748385</v>
      </c>
      <c r="E574" s="244">
        <v>0</v>
      </c>
      <c r="F574" s="244">
        <v>0</v>
      </c>
      <c r="G574" s="244">
        <v>0</v>
      </c>
      <c r="H574" s="244">
        <v>0</v>
      </c>
      <c r="I574" s="244" t="s">
        <v>605</v>
      </c>
      <c r="J574" s="244">
        <v>1</v>
      </c>
      <c r="K574" s="244">
        <v>0.63999998569488525</v>
      </c>
      <c r="L574" s="244">
        <v>6.1261662146005573</v>
      </c>
      <c r="M574" s="244">
        <v>4.4757375144399703E-4</v>
      </c>
      <c r="N574" s="244">
        <v>6.9933402119204402E-4</v>
      </c>
      <c r="O574" s="244">
        <v>0</v>
      </c>
      <c r="P574" s="244">
        <v>0</v>
      </c>
      <c r="Q574" s="244">
        <v>0</v>
      </c>
      <c r="R574" s="244">
        <v>0</v>
      </c>
      <c r="S574" s="244">
        <v>0</v>
      </c>
      <c r="T574" s="244">
        <v>0</v>
      </c>
      <c r="U574" s="244">
        <v>0</v>
      </c>
      <c r="V574" s="244" t="s">
        <v>226</v>
      </c>
      <c r="W574" s="244" t="s">
        <v>226</v>
      </c>
      <c r="X574" s="244" t="s">
        <v>226</v>
      </c>
      <c r="Y574" s="244" t="s">
        <v>226</v>
      </c>
      <c r="Z574" s="244">
        <v>0</v>
      </c>
      <c r="AA574" s="244">
        <v>0</v>
      </c>
      <c r="AB574" s="244">
        <v>0</v>
      </c>
      <c r="AC574" s="244">
        <v>0</v>
      </c>
      <c r="AD574" s="244">
        <v>0</v>
      </c>
      <c r="AE574" s="244">
        <v>0</v>
      </c>
      <c r="AF574" s="244">
        <v>0</v>
      </c>
      <c r="AG574" s="244">
        <v>0</v>
      </c>
      <c r="AH574" s="244">
        <v>0</v>
      </c>
      <c r="AI574" s="244">
        <v>0</v>
      </c>
      <c r="AJ574" s="244">
        <v>0</v>
      </c>
      <c r="AK574" s="244">
        <v>0</v>
      </c>
      <c r="AL574" s="244">
        <v>0</v>
      </c>
      <c r="AM574" s="244">
        <v>4.2445540474291867</v>
      </c>
      <c r="AN574" s="244">
        <v>0</v>
      </c>
      <c r="AO574" s="244">
        <v>0.75274151563644409</v>
      </c>
      <c r="AP574" s="244">
        <v>3.2828609943389893</v>
      </c>
      <c r="AQ574" s="244">
        <v>8.280156135559082</v>
      </c>
      <c r="AR574" s="244">
        <v>0</v>
      </c>
      <c r="AS574" s="228">
        <v>9999</v>
      </c>
      <c r="AT574" s="244">
        <v>4.2445540474291867</v>
      </c>
      <c r="AU574" s="244">
        <v>0.20045076310634613</v>
      </c>
      <c r="AV574" s="244">
        <v>0.77278661727905273</v>
      </c>
      <c r="AW574" s="244">
        <v>3.2828609943389893</v>
      </c>
      <c r="AX574" s="244">
        <v>8.5006523132324219</v>
      </c>
      <c r="AY574" s="244">
        <v>0</v>
      </c>
      <c r="AZ574" s="228">
        <v>9999</v>
      </c>
      <c r="BA574" s="244">
        <v>4.2445540474291867</v>
      </c>
      <c r="BB574" s="244">
        <v>0.20045076310634613</v>
      </c>
      <c r="BC574" s="244">
        <v>0.77278661727905273</v>
      </c>
      <c r="BD574" s="244">
        <v>3.2828609943389893</v>
      </c>
      <c r="BE574" s="244">
        <v>8.5006523132324219</v>
      </c>
      <c r="BF574" s="244">
        <v>0</v>
      </c>
      <c r="BG574" s="244">
        <v>-55.747806549072266</v>
      </c>
      <c r="BH574" s="228">
        <v>9999</v>
      </c>
      <c r="BI574" s="244">
        <v>0</v>
      </c>
      <c r="BJ574" s="244">
        <v>0</v>
      </c>
      <c r="BK574" s="244">
        <v>0</v>
      </c>
      <c r="BL574" s="244">
        <v>0</v>
      </c>
      <c r="BM574" s="244">
        <v>0</v>
      </c>
      <c r="BN574" s="244">
        <v>4.2445540474291867</v>
      </c>
      <c r="BO574" s="244">
        <v>0</v>
      </c>
      <c r="BP574" s="244">
        <v>0.20045076310634613</v>
      </c>
      <c r="BQ574" s="244">
        <v>0</v>
      </c>
      <c r="BR574" s="244">
        <v>0</v>
      </c>
      <c r="BS574" s="244">
        <v>0</v>
      </c>
      <c r="BT574" s="244">
        <v>3.2828609943389893</v>
      </c>
      <c r="BU574" s="244">
        <v>0</v>
      </c>
      <c r="BV574" s="244">
        <v>0</v>
      </c>
      <c r="BW574" s="244">
        <v>0.77278661727905273</v>
      </c>
      <c r="BX574" s="244">
        <v>0</v>
      </c>
      <c r="BY574" s="244"/>
      <c r="BZ574" s="244">
        <v>0</v>
      </c>
      <c r="CA574" s="244">
        <v>0</v>
      </c>
      <c r="CB574" s="244">
        <v>8.5006523132324219</v>
      </c>
      <c r="CC574" s="244">
        <v>0</v>
      </c>
      <c r="CD574" s="228">
        <v>9999</v>
      </c>
      <c r="CE574" s="244">
        <v>-55.747806549072266</v>
      </c>
      <c r="CF574" s="244">
        <v>4.645623934409876E-2</v>
      </c>
      <c r="CG574" s="244">
        <v>0</v>
      </c>
      <c r="CH574" s="244">
        <v>4.645623934409876E-2</v>
      </c>
      <c r="CI574" s="244">
        <v>2.2803724886187042E-3</v>
      </c>
      <c r="CJ574" s="244">
        <v>0</v>
      </c>
      <c r="CK574" s="244">
        <v>2.2803724886187042E-3</v>
      </c>
      <c r="CL574" s="244"/>
      <c r="CM574" s="244">
        <v>0</v>
      </c>
      <c r="CN574" s="244" t="s">
        <v>605</v>
      </c>
      <c r="CO574" s="244">
        <v>0</v>
      </c>
      <c r="CP574" s="244">
        <v>0</v>
      </c>
      <c r="CQ574" s="244">
        <v>0</v>
      </c>
      <c r="CR574" s="244">
        <v>0</v>
      </c>
      <c r="CS574" s="244">
        <v>0</v>
      </c>
      <c r="CT574" s="244">
        <v>0</v>
      </c>
      <c r="CU574" s="244">
        <v>0</v>
      </c>
      <c r="CV574" s="244">
        <v>9999</v>
      </c>
      <c r="CW574" s="228">
        <v>9999</v>
      </c>
    </row>
    <row r="575" spans="1:101">
      <c r="A575" s="221" t="s">
        <v>495</v>
      </c>
      <c r="B575" s="221" t="s">
        <v>604</v>
      </c>
      <c r="C575" s="244">
        <v>10</v>
      </c>
      <c r="D575" s="244">
        <v>5.6169204112748385</v>
      </c>
      <c r="E575" s="244">
        <v>0</v>
      </c>
      <c r="F575" s="244">
        <v>0</v>
      </c>
      <c r="G575" s="244">
        <v>0</v>
      </c>
      <c r="H575" s="244">
        <v>0</v>
      </c>
      <c r="I575" s="244" t="s">
        <v>605</v>
      </c>
      <c r="J575" s="244">
        <v>1</v>
      </c>
      <c r="K575" s="244">
        <v>0.63999998569488525</v>
      </c>
      <c r="L575" s="244">
        <v>6.1261662146005573</v>
      </c>
      <c r="M575" s="244">
        <v>4.4757375144399703E-4</v>
      </c>
      <c r="N575" s="244">
        <v>6.9933402119204402E-4</v>
      </c>
      <c r="O575" s="244">
        <v>0</v>
      </c>
      <c r="P575" s="244">
        <v>0</v>
      </c>
      <c r="Q575" s="244">
        <v>0</v>
      </c>
      <c r="R575" s="244">
        <v>0</v>
      </c>
      <c r="S575" s="244">
        <v>0</v>
      </c>
      <c r="T575" s="244">
        <v>0</v>
      </c>
      <c r="U575" s="244">
        <v>0</v>
      </c>
      <c r="V575" s="244" t="s">
        <v>226</v>
      </c>
      <c r="W575" s="244" t="s">
        <v>226</v>
      </c>
      <c r="X575" s="244" t="s">
        <v>226</v>
      </c>
      <c r="Y575" s="244" t="s">
        <v>226</v>
      </c>
      <c r="Z575" s="244">
        <v>0</v>
      </c>
      <c r="AA575" s="244">
        <v>0</v>
      </c>
      <c r="AB575" s="244">
        <v>0</v>
      </c>
      <c r="AC575" s="244">
        <v>0</v>
      </c>
      <c r="AD575" s="244">
        <v>0</v>
      </c>
      <c r="AE575" s="244">
        <v>0</v>
      </c>
      <c r="AF575" s="244">
        <v>0</v>
      </c>
      <c r="AG575" s="244">
        <v>0</v>
      </c>
      <c r="AH575" s="244">
        <v>0</v>
      </c>
      <c r="AI575" s="244">
        <v>0</v>
      </c>
      <c r="AJ575" s="244">
        <v>0</v>
      </c>
      <c r="AK575" s="244">
        <v>0</v>
      </c>
      <c r="AL575" s="244">
        <v>0</v>
      </c>
      <c r="AM575" s="244">
        <v>4.2445540474291867</v>
      </c>
      <c r="AN575" s="244">
        <v>0</v>
      </c>
      <c r="AO575" s="244">
        <v>0.75274151563644409</v>
      </c>
      <c r="AP575" s="244">
        <v>3.2828609943389893</v>
      </c>
      <c r="AQ575" s="244">
        <v>8.280156135559082</v>
      </c>
      <c r="AR575" s="244">
        <v>0</v>
      </c>
      <c r="AS575" s="228">
        <v>9999</v>
      </c>
      <c r="AT575" s="244">
        <v>4.2445540474291867</v>
      </c>
      <c r="AU575" s="244">
        <v>0.20045076310634613</v>
      </c>
      <c r="AV575" s="244">
        <v>0.77278661727905273</v>
      </c>
      <c r="AW575" s="244">
        <v>3.2828609943389893</v>
      </c>
      <c r="AX575" s="244">
        <v>8.5006523132324219</v>
      </c>
      <c r="AY575" s="244">
        <v>0</v>
      </c>
      <c r="AZ575" s="228">
        <v>9999</v>
      </c>
      <c r="BA575" s="244">
        <v>4.2445540474291867</v>
      </c>
      <c r="BB575" s="244">
        <v>0.20045076310634613</v>
      </c>
      <c r="BC575" s="244">
        <v>0.77278661727905273</v>
      </c>
      <c r="BD575" s="244">
        <v>3.2828609943389893</v>
      </c>
      <c r="BE575" s="244">
        <v>8.5006523132324219</v>
      </c>
      <c r="BF575" s="244">
        <v>0</v>
      </c>
      <c r="BG575" s="244">
        <v>-55.747806549072266</v>
      </c>
      <c r="BH575" s="228">
        <v>9999</v>
      </c>
      <c r="BI575" s="244">
        <v>0</v>
      </c>
      <c r="BJ575" s="244">
        <v>0</v>
      </c>
      <c r="BK575" s="244">
        <v>0</v>
      </c>
      <c r="BL575" s="244">
        <v>0</v>
      </c>
      <c r="BM575" s="244">
        <v>0</v>
      </c>
      <c r="BN575" s="244">
        <v>4.2445540474291867</v>
      </c>
      <c r="BO575" s="244">
        <v>0</v>
      </c>
      <c r="BP575" s="244">
        <v>0.20045076310634613</v>
      </c>
      <c r="BQ575" s="244">
        <v>0</v>
      </c>
      <c r="BR575" s="244">
        <v>0</v>
      </c>
      <c r="BS575" s="244">
        <v>0</v>
      </c>
      <c r="BT575" s="244">
        <v>3.2828609943389893</v>
      </c>
      <c r="BU575" s="244">
        <v>0</v>
      </c>
      <c r="BV575" s="244">
        <v>0</v>
      </c>
      <c r="BW575" s="244">
        <v>0.77278661727905273</v>
      </c>
      <c r="BX575" s="244">
        <v>0</v>
      </c>
      <c r="BY575" s="244"/>
      <c r="BZ575" s="244">
        <v>0</v>
      </c>
      <c r="CA575" s="244">
        <v>0</v>
      </c>
      <c r="CB575" s="244">
        <v>8.5006523132324219</v>
      </c>
      <c r="CC575" s="244">
        <v>0</v>
      </c>
      <c r="CD575" s="228">
        <v>9999</v>
      </c>
      <c r="CE575" s="244">
        <v>-55.747806549072266</v>
      </c>
      <c r="CF575" s="244">
        <v>4.645623934409876E-2</v>
      </c>
      <c r="CG575" s="244">
        <v>0</v>
      </c>
      <c r="CH575" s="244">
        <v>4.645623934409876E-2</v>
      </c>
      <c r="CI575" s="244">
        <v>2.2803724886187042E-3</v>
      </c>
      <c r="CJ575" s="244">
        <v>0</v>
      </c>
      <c r="CK575" s="244">
        <v>2.2803724886187042E-3</v>
      </c>
      <c r="CL575" s="244"/>
      <c r="CM575" s="244">
        <v>0</v>
      </c>
      <c r="CN575" s="244" t="s">
        <v>605</v>
      </c>
      <c r="CO575" s="244">
        <v>0</v>
      </c>
      <c r="CP575" s="244">
        <v>0</v>
      </c>
      <c r="CQ575" s="244">
        <v>0</v>
      </c>
      <c r="CR575" s="244">
        <v>0</v>
      </c>
      <c r="CS575" s="244">
        <v>0</v>
      </c>
      <c r="CT575" s="244">
        <v>0</v>
      </c>
      <c r="CU575" s="244">
        <v>0</v>
      </c>
      <c r="CV575" s="244">
        <v>9999</v>
      </c>
      <c r="CW575" s="228">
        <v>9999</v>
      </c>
    </row>
    <row r="576" spans="1:101">
      <c r="A576" s="221" t="s">
        <v>496</v>
      </c>
      <c r="B576" s="221" t="s">
        <v>604</v>
      </c>
      <c r="C576" s="244">
        <v>10</v>
      </c>
      <c r="D576" s="244">
        <v>3.2062410688000016</v>
      </c>
      <c r="E576" s="244">
        <v>0</v>
      </c>
      <c r="F576" s="244">
        <v>0</v>
      </c>
      <c r="G576" s="244">
        <v>0</v>
      </c>
      <c r="H576" s="244">
        <v>0</v>
      </c>
      <c r="I576" s="244" t="s">
        <v>605</v>
      </c>
      <c r="J576" s="244">
        <v>1</v>
      </c>
      <c r="K576" s="244">
        <v>0.63999998569488525</v>
      </c>
      <c r="L576" s="244">
        <v>3.4969279023644471</v>
      </c>
      <c r="M576" s="244">
        <v>2.5548331905156374E-4</v>
      </c>
      <c r="N576" s="244">
        <v>3.9919267874211073E-4</v>
      </c>
      <c r="O576" s="244">
        <v>0</v>
      </c>
      <c r="P576" s="244">
        <v>0</v>
      </c>
      <c r="Q576" s="244">
        <v>0</v>
      </c>
      <c r="R576" s="244">
        <v>0</v>
      </c>
      <c r="S576" s="244">
        <v>0</v>
      </c>
      <c r="T576" s="244">
        <v>0</v>
      </c>
      <c r="U576" s="244">
        <v>0</v>
      </c>
      <c r="V576" s="244" t="s">
        <v>226</v>
      </c>
      <c r="W576" s="244" t="s">
        <v>226</v>
      </c>
      <c r="X576" s="244" t="s">
        <v>226</v>
      </c>
      <c r="Y576" s="244" t="s">
        <v>226</v>
      </c>
      <c r="Z576" s="244">
        <v>0</v>
      </c>
      <c r="AA576" s="244">
        <v>0</v>
      </c>
      <c r="AB576" s="244">
        <v>0</v>
      </c>
      <c r="AC576" s="244">
        <v>0</v>
      </c>
      <c r="AD576" s="244">
        <v>0</v>
      </c>
      <c r="AE576" s="244">
        <v>0</v>
      </c>
      <c r="AF576" s="244">
        <v>0</v>
      </c>
      <c r="AG576" s="244">
        <v>0</v>
      </c>
      <c r="AH576" s="244">
        <v>0</v>
      </c>
      <c r="AI576" s="244">
        <v>0</v>
      </c>
      <c r="AJ576" s="244">
        <v>0</v>
      </c>
      <c r="AK576" s="244">
        <v>0</v>
      </c>
      <c r="AL576" s="244">
        <v>0</v>
      </c>
      <c r="AM576" s="244">
        <v>2.4228692075271874</v>
      </c>
      <c r="AN576" s="244">
        <v>0</v>
      </c>
      <c r="AO576" s="244">
        <v>0.42967864871025085</v>
      </c>
      <c r="AP576" s="244">
        <v>1.8739171028137207</v>
      </c>
      <c r="AQ576" s="244">
        <v>4.7264647483825684</v>
      </c>
      <c r="AR576" s="244">
        <v>0</v>
      </c>
      <c r="AS576" s="228">
        <v>9999</v>
      </c>
      <c r="AT576" s="244">
        <v>2.4228692075271874</v>
      </c>
      <c r="AU576" s="244">
        <v>0.11442097276449203</v>
      </c>
      <c r="AV576" s="244">
        <v>0.44112074375152588</v>
      </c>
      <c r="AW576" s="244">
        <v>1.8739171028137207</v>
      </c>
      <c r="AX576" s="244">
        <v>4.852327823638916</v>
      </c>
      <c r="AY576" s="244">
        <v>0</v>
      </c>
      <c r="AZ576" s="228">
        <v>9999</v>
      </c>
      <c r="BA576" s="244">
        <v>2.4228692075271874</v>
      </c>
      <c r="BB576" s="244">
        <v>0.11442097276449203</v>
      </c>
      <c r="BC576" s="244">
        <v>0.44112074375152588</v>
      </c>
      <c r="BD576" s="244">
        <v>1.8739171028137207</v>
      </c>
      <c r="BE576" s="244">
        <v>4.852327823638916</v>
      </c>
      <c r="BF576" s="244">
        <v>0</v>
      </c>
      <c r="BG576" s="244">
        <v>-55.747806549072266</v>
      </c>
      <c r="BH576" s="228">
        <v>9999</v>
      </c>
      <c r="BI576" s="244">
        <v>0</v>
      </c>
      <c r="BJ576" s="244">
        <v>0</v>
      </c>
      <c r="BK576" s="244">
        <v>0</v>
      </c>
      <c r="BL576" s="244">
        <v>0</v>
      </c>
      <c r="BM576" s="244">
        <v>0</v>
      </c>
      <c r="BN576" s="244">
        <v>2.4228692075271874</v>
      </c>
      <c r="BO576" s="244">
        <v>0</v>
      </c>
      <c r="BP576" s="244">
        <v>0.11442097276449203</v>
      </c>
      <c r="BQ576" s="244">
        <v>0</v>
      </c>
      <c r="BR576" s="244">
        <v>0</v>
      </c>
      <c r="BS576" s="244">
        <v>0</v>
      </c>
      <c r="BT576" s="244">
        <v>1.8739171028137207</v>
      </c>
      <c r="BU576" s="244">
        <v>0</v>
      </c>
      <c r="BV576" s="244">
        <v>0</v>
      </c>
      <c r="BW576" s="244">
        <v>0.44112074375152588</v>
      </c>
      <c r="BX576" s="244">
        <v>0</v>
      </c>
      <c r="BY576" s="244"/>
      <c r="BZ576" s="244">
        <v>0</v>
      </c>
      <c r="CA576" s="244">
        <v>0</v>
      </c>
      <c r="CB576" s="244">
        <v>4.852327823638916</v>
      </c>
      <c r="CC576" s="244">
        <v>0</v>
      </c>
      <c r="CD576" s="228">
        <v>9999</v>
      </c>
      <c r="CE576" s="244">
        <v>-55.747806549072266</v>
      </c>
      <c r="CF576" s="244">
        <v>2.6518072463349373E-2</v>
      </c>
      <c r="CG576" s="244">
        <v>0</v>
      </c>
      <c r="CH576" s="244">
        <v>2.6518072463349373E-2</v>
      </c>
      <c r="CI576" s="244">
        <v>1.3016783913289481E-3</v>
      </c>
      <c r="CJ576" s="244">
        <v>0</v>
      </c>
      <c r="CK576" s="244">
        <v>1.3016783913289481E-3</v>
      </c>
      <c r="CL576" s="244"/>
      <c r="CM576" s="244">
        <v>0</v>
      </c>
      <c r="CN576" s="244" t="s">
        <v>605</v>
      </c>
      <c r="CO576" s="244">
        <v>0</v>
      </c>
      <c r="CP576" s="244">
        <v>0</v>
      </c>
      <c r="CQ576" s="244">
        <v>0</v>
      </c>
      <c r="CR576" s="244">
        <v>0</v>
      </c>
      <c r="CS576" s="244">
        <v>0</v>
      </c>
      <c r="CT576" s="244">
        <v>0</v>
      </c>
      <c r="CU576" s="244">
        <v>0</v>
      </c>
      <c r="CV576" s="244">
        <v>9999</v>
      </c>
      <c r="CW576" s="228">
        <v>9999</v>
      </c>
    </row>
    <row r="577" spans="1:101">
      <c r="A577" s="221" t="s">
        <v>497</v>
      </c>
      <c r="B577" s="221" t="s">
        <v>604</v>
      </c>
      <c r="C577" s="244">
        <v>10</v>
      </c>
      <c r="D577" s="244">
        <v>3.2062410688000016</v>
      </c>
      <c r="E577" s="244">
        <v>0</v>
      </c>
      <c r="F577" s="244">
        <v>0</v>
      </c>
      <c r="G577" s="244">
        <v>0</v>
      </c>
      <c r="H577" s="244">
        <v>0</v>
      </c>
      <c r="I577" s="244" t="s">
        <v>605</v>
      </c>
      <c r="J577" s="244">
        <v>1</v>
      </c>
      <c r="K577" s="244">
        <v>0.63999998569488525</v>
      </c>
      <c r="L577" s="244">
        <v>3.4969279023644471</v>
      </c>
      <c r="M577" s="244">
        <v>2.5548331905156374E-4</v>
      </c>
      <c r="N577" s="244">
        <v>3.9919267874211073E-4</v>
      </c>
      <c r="O577" s="244">
        <v>0</v>
      </c>
      <c r="P577" s="244">
        <v>0</v>
      </c>
      <c r="Q577" s="244">
        <v>0</v>
      </c>
      <c r="R577" s="244">
        <v>0</v>
      </c>
      <c r="S577" s="244">
        <v>0</v>
      </c>
      <c r="T577" s="244">
        <v>0</v>
      </c>
      <c r="U577" s="244">
        <v>0</v>
      </c>
      <c r="V577" s="244" t="s">
        <v>226</v>
      </c>
      <c r="W577" s="244" t="s">
        <v>226</v>
      </c>
      <c r="X577" s="244" t="s">
        <v>226</v>
      </c>
      <c r="Y577" s="244" t="s">
        <v>226</v>
      </c>
      <c r="Z577" s="244">
        <v>0</v>
      </c>
      <c r="AA577" s="244">
        <v>0</v>
      </c>
      <c r="AB577" s="244">
        <v>0</v>
      </c>
      <c r="AC577" s="244">
        <v>0</v>
      </c>
      <c r="AD577" s="244">
        <v>0</v>
      </c>
      <c r="AE577" s="244">
        <v>0</v>
      </c>
      <c r="AF577" s="244">
        <v>0</v>
      </c>
      <c r="AG577" s="244">
        <v>0</v>
      </c>
      <c r="AH577" s="244">
        <v>0</v>
      </c>
      <c r="AI577" s="244">
        <v>0</v>
      </c>
      <c r="AJ577" s="244">
        <v>0</v>
      </c>
      <c r="AK577" s="244">
        <v>0</v>
      </c>
      <c r="AL577" s="244">
        <v>0</v>
      </c>
      <c r="AM577" s="244">
        <v>2.4228692075271874</v>
      </c>
      <c r="AN577" s="244">
        <v>0</v>
      </c>
      <c r="AO577" s="244">
        <v>0.42967864871025085</v>
      </c>
      <c r="AP577" s="244">
        <v>1.8739171028137207</v>
      </c>
      <c r="AQ577" s="244">
        <v>4.7264647483825684</v>
      </c>
      <c r="AR577" s="244">
        <v>0</v>
      </c>
      <c r="AS577" s="228">
        <v>9999</v>
      </c>
      <c r="AT577" s="244">
        <v>2.4228692075271874</v>
      </c>
      <c r="AU577" s="244">
        <v>0.11442097276449203</v>
      </c>
      <c r="AV577" s="244">
        <v>0.44112074375152588</v>
      </c>
      <c r="AW577" s="244">
        <v>1.8739171028137207</v>
      </c>
      <c r="AX577" s="244">
        <v>4.852327823638916</v>
      </c>
      <c r="AY577" s="244">
        <v>0</v>
      </c>
      <c r="AZ577" s="228">
        <v>9999</v>
      </c>
      <c r="BA577" s="244">
        <v>2.4228692075271874</v>
      </c>
      <c r="BB577" s="244">
        <v>0.11442097276449203</v>
      </c>
      <c r="BC577" s="244">
        <v>0.44112074375152588</v>
      </c>
      <c r="BD577" s="244">
        <v>1.8739171028137207</v>
      </c>
      <c r="BE577" s="244">
        <v>4.852327823638916</v>
      </c>
      <c r="BF577" s="244">
        <v>0</v>
      </c>
      <c r="BG577" s="244">
        <v>-55.747806549072266</v>
      </c>
      <c r="BH577" s="228">
        <v>9999</v>
      </c>
      <c r="BI577" s="244">
        <v>0</v>
      </c>
      <c r="BJ577" s="244">
        <v>0</v>
      </c>
      <c r="BK577" s="244">
        <v>0</v>
      </c>
      <c r="BL577" s="244">
        <v>0</v>
      </c>
      <c r="BM577" s="244">
        <v>0</v>
      </c>
      <c r="BN577" s="244">
        <v>2.4228692075271874</v>
      </c>
      <c r="BO577" s="244">
        <v>0</v>
      </c>
      <c r="BP577" s="244">
        <v>0.11442097276449203</v>
      </c>
      <c r="BQ577" s="244">
        <v>0</v>
      </c>
      <c r="BR577" s="244">
        <v>0</v>
      </c>
      <c r="BS577" s="244">
        <v>0</v>
      </c>
      <c r="BT577" s="244">
        <v>1.8739171028137207</v>
      </c>
      <c r="BU577" s="244">
        <v>0</v>
      </c>
      <c r="BV577" s="244">
        <v>0</v>
      </c>
      <c r="BW577" s="244">
        <v>0.44112074375152588</v>
      </c>
      <c r="BX577" s="244">
        <v>0</v>
      </c>
      <c r="BY577" s="244"/>
      <c r="BZ577" s="244">
        <v>0</v>
      </c>
      <c r="CA577" s="244">
        <v>0</v>
      </c>
      <c r="CB577" s="244">
        <v>4.852327823638916</v>
      </c>
      <c r="CC577" s="244">
        <v>0</v>
      </c>
      <c r="CD577" s="228">
        <v>9999</v>
      </c>
      <c r="CE577" s="244">
        <v>-55.747806549072266</v>
      </c>
      <c r="CF577" s="244">
        <v>2.6518072463349373E-2</v>
      </c>
      <c r="CG577" s="244">
        <v>0</v>
      </c>
      <c r="CH577" s="244">
        <v>2.6518072463349373E-2</v>
      </c>
      <c r="CI577" s="244">
        <v>1.3016783913289481E-3</v>
      </c>
      <c r="CJ577" s="244">
        <v>0</v>
      </c>
      <c r="CK577" s="244">
        <v>1.3016783913289481E-3</v>
      </c>
      <c r="CL577" s="244"/>
      <c r="CM577" s="244">
        <v>0</v>
      </c>
      <c r="CN577" s="244" t="s">
        <v>605</v>
      </c>
      <c r="CO577" s="244">
        <v>0</v>
      </c>
      <c r="CP577" s="244">
        <v>0</v>
      </c>
      <c r="CQ577" s="244">
        <v>0</v>
      </c>
      <c r="CR577" s="244">
        <v>0</v>
      </c>
      <c r="CS577" s="244">
        <v>0</v>
      </c>
      <c r="CT577" s="244">
        <v>0</v>
      </c>
      <c r="CU577" s="244">
        <v>0</v>
      </c>
      <c r="CV577" s="244">
        <v>9999</v>
      </c>
      <c r="CW577" s="228">
        <v>9999</v>
      </c>
    </row>
    <row r="578" spans="1:101">
      <c r="A578" s="221" t="s">
        <v>498</v>
      </c>
      <c r="B578" s="221" t="s">
        <v>604</v>
      </c>
      <c r="C578" s="244">
        <v>10</v>
      </c>
      <c r="D578" s="244">
        <v>3.2062410688000016</v>
      </c>
      <c r="E578" s="244">
        <v>0</v>
      </c>
      <c r="F578" s="244">
        <v>0</v>
      </c>
      <c r="G578" s="244">
        <v>0</v>
      </c>
      <c r="H578" s="244">
        <v>0</v>
      </c>
      <c r="I578" s="244" t="s">
        <v>605</v>
      </c>
      <c r="J578" s="244">
        <v>1</v>
      </c>
      <c r="K578" s="244">
        <v>0.63999998569488525</v>
      </c>
      <c r="L578" s="244">
        <v>3.4969279023644471</v>
      </c>
      <c r="M578" s="244">
        <v>2.5548331905156374E-4</v>
      </c>
      <c r="N578" s="244">
        <v>3.9919267874211073E-4</v>
      </c>
      <c r="O578" s="244">
        <v>0</v>
      </c>
      <c r="P578" s="244">
        <v>0</v>
      </c>
      <c r="Q578" s="244">
        <v>0</v>
      </c>
      <c r="R578" s="244">
        <v>0</v>
      </c>
      <c r="S578" s="244">
        <v>0</v>
      </c>
      <c r="T578" s="244">
        <v>0</v>
      </c>
      <c r="U578" s="244">
        <v>0</v>
      </c>
      <c r="V578" s="244" t="s">
        <v>226</v>
      </c>
      <c r="W578" s="244" t="s">
        <v>226</v>
      </c>
      <c r="X578" s="244" t="s">
        <v>226</v>
      </c>
      <c r="Y578" s="244" t="s">
        <v>226</v>
      </c>
      <c r="Z578" s="244">
        <v>0</v>
      </c>
      <c r="AA578" s="244">
        <v>0</v>
      </c>
      <c r="AB578" s="244">
        <v>0</v>
      </c>
      <c r="AC578" s="244">
        <v>0</v>
      </c>
      <c r="AD578" s="244">
        <v>0</v>
      </c>
      <c r="AE578" s="244">
        <v>0</v>
      </c>
      <c r="AF578" s="244">
        <v>0</v>
      </c>
      <c r="AG578" s="244">
        <v>0</v>
      </c>
      <c r="AH578" s="244">
        <v>0</v>
      </c>
      <c r="AI578" s="244">
        <v>0</v>
      </c>
      <c r="AJ578" s="244">
        <v>0</v>
      </c>
      <c r="AK578" s="244">
        <v>0</v>
      </c>
      <c r="AL578" s="244">
        <v>0</v>
      </c>
      <c r="AM578" s="244">
        <v>2.4228692075271874</v>
      </c>
      <c r="AN578" s="244">
        <v>0</v>
      </c>
      <c r="AO578" s="244">
        <v>0.42967864871025085</v>
      </c>
      <c r="AP578" s="244">
        <v>1.8739171028137207</v>
      </c>
      <c r="AQ578" s="244">
        <v>4.7264647483825684</v>
      </c>
      <c r="AR578" s="244">
        <v>0</v>
      </c>
      <c r="AS578" s="228">
        <v>9999</v>
      </c>
      <c r="AT578" s="244">
        <v>2.4228692075271874</v>
      </c>
      <c r="AU578" s="244">
        <v>0.11442097276449203</v>
      </c>
      <c r="AV578" s="244">
        <v>0.44112074375152588</v>
      </c>
      <c r="AW578" s="244">
        <v>1.8739171028137207</v>
      </c>
      <c r="AX578" s="244">
        <v>4.852327823638916</v>
      </c>
      <c r="AY578" s="244">
        <v>0</v>
      </c>
      <c r="AZ578" s="228">
        <v>9999</v>
      </c>
      <c r="BA578" s="244">
        <v>2.4228692075271874</v>
      </c>
      <c r="BB578" s="244">
        <v>0.11442097276449203</v>
      </c>
      <c r="BC578" s="244">
        <v>0.44112074375152588</v>
      </c>
      <c r="BD578" s="244">
        <v>1.8739171028137207</v>
      </c>
      <c r="BE578" s="244">
        <v>4.852327823638916</v>
      </c>
      <c r="BF578" s="244">
        <v>0</v>
      </c>
      <c r="BG578" s="244">
        <v>-55.747806549072266</v>
      </c>
      <c r="BH578" s="228">
        <v>9999</v>
      </c>
      <c r="BI578" s="244">
        <v>0</v>
      </c>
      <c r="BJ578" s="244">
        <v>0</v>
      </c>
      <c r="BK578" s="244">
        <v>0</v>
      </c>
      <c r="BL578" s="244">
        <v>0</v>
      </c>
      <c r="BM578" s="244">
        <v>0</v>
      </c>
      <c r="BN578" s="244">
        <v>2.4228692075271874</v>
      </c>
      <c r="BO578" s="244">
        <v>0</v>
      </c>
      <c r="BP578" s="244">
        <v>0.11442097276449203</v>
      </c>
      <c r="BQ578" s="244">
        <v>0</v>
      </c>
      <c r="BR578" s="244">
        <v>0</v>
      </c>
      <c r="BS578" s="244">
        <v>0</v>
      </c>
      <c r="BT578" s="244">
        <v>1.8739171028137207</v>
      </c>
      <c r="BU578" s="244">
        <v>0</v>
      </c>
      <c r="BV578" s="244">
        <v>0</v>
      </c>
      <c r="BW578" s="244">
        <v>0.44112074375152588</v>
      </c>
      <c r="BX578" s="244">
        <v>0</v>
      </c>
      <c r="BY578" s="244"/>
      <c r="BZ578" s="244">
        <v>0</v>
      </c>
      <c r="CA578" s="244">
        <v>0</v>
      </c>
      <c r="CB578" s="244">
        <v>4.852327823638916</v>
      </c>
      <c r="CC578" s="244">
        <v>0</v>
      </c>
      <c r="CD578" s="228">
        <v>9999</v>
      </c>
      <c r="CE578" s="244">
        <v>-55.747806549072266</v>
      </c>
      <c r="CF578" s="244">
        <v>2.6518072463349373E-2</v>
      </c>
      <c r="CG578" s="244">
        <v>0</v>
      </c>
      <c r="CH578" s="244">
        <v>2.6518072463349373E-2</v>
      </c>
      <c r="CI578" s="244">
        <v>1.3016783913289481E-3</v>
      </c>
      <c r="CJ578" s="244">
        <v>0</v>
      </c>
      <c r="CK578" s="244">
        <v>1.3016783913289481E-3</v>
      </c>
      <c r="CL578" s="244"/>
      <c r="CM578" s="244">
        <v>0</v>
      </c>
      <c r="CN578" s="244" t="s">
        <v>605</v>
      </c>
      <c r="CO578" s="244">
        <v>0</v>
      </c>
      <c r="CP578" s="244">
        <v>0</v>
      </c>
      <c r="CQ578" s="244">
        <v>0</v>
      </c>
      <c r="CR578" s="244">
        <v>0</v>
      </c>
      <c r="CS578" s="244">
        <v>0</v>
      </c>
      <c r="CT578" s="244">
        <v>0</v>
      </c>
      <c r="CU578" s="244">
        <v>0</v>
      </c>
      <c r="CV578" s="244">
        <v>9999</v>
      </c>
      <c r="CW578" s="228">
        <v>9999</v>
      </c>
    </row>
    <row r="579" spans="1:101">
      <c r="A579" s="221" t="s">
        <v>499</v>
      </c>
      <c r="B579" s="221" t="s">
        <v>604</v>
      </c>
      <c r="C579" s="244">
        <v>10</v>
      </c>
      <c r="D579" s="244">
        <v>3.3815823772500009</v>
      </c>
      <c r="E579" s="244">
        <v>0</v>
      </c>
      <c r="F579" s="244">
        <v>0</v>
      </c>
      <c r="G579" s="244">
        <v>0</v>
      </c>
      <c r="H579" s="244">
        <v>0</v>
      </c>
      <c r="I579" s="244" t="s">
        <v>605</v>
      </c>
      <c r="J579" s="244">
        <v>1</v>
      </c>
      <c r="K579" s="244">
        <v>0.63999998569488525</v>
      </c>
      <c r="L579" s="244">
        <v>3.6881661470250009</v>
      </c>
      <c r="M579" s="244">
        <v>2.6945504941977561E-4</v>
      </c>
      <c r="N579" s="244">
        <v>4.2102352017536759E-4</v>
      </c>
      <c r="O579" s="244">
        <v>0</v>
      </c>
      <c r="P579" s="244">
        <v>0</v>
      </c>
      <c r="Q579" s="244">
        <v>0</v>
      </c>
      <c r="R579" s="244">
        <v>0</v>
      </c>
      <c r="S579" s="244">
        <v>0</v>
      </c>
      <c r="T579" s="244">
        <v>0</v>
      </c>
      <c r="U579" s="244">
        <v>0</v>
      </c>
      <c r="V579" s="244" t="s">
        <v>226</v>
      </c>
      <c r="W579" s="244" t="s">
        <v>226</v>
      </c>
      <c r="X579" s="244" t="s">
        <v>226</v>
      </c>
      <c r="Y579" s="244" t="s">
        <v>226</v>
      </c>
      <c r="Z579" s="244">
        <v>0</v>
      </c>
      <c r="AA579" s="244">
        <v>0</v>
      </c>
      <c r="AB579" s="244">
        <v>0</v>
      </c>
      <c r="AC579" s="244">
        <v>0</v>
      </c>
      <c r="AD579" s="244">
        <v>0</v>
      </c>
      <c r="AE579" s="244">
        <v>0</v>
      </c>
      <c r="AF579" s="244">
        <v>0</v>
      </c>
      <c r="AG579" s="244">
        <v>0</v>
      </c>
      <c r="AH579" s="244">
        <v>0</v>
      </c>
      <c r="AI579" s="244">
        <v>0</v>
      </c>
      <c r="AJ579" s="244">
        <v>0</v>
      </c>
      <c r="AK579" s="244">
        <v>0</v>
      </c>
      <c r="AL579" s="244">
        <v>0</v>
      </c>
      <c r="AM579" s="244">
        <v>2.5553698673138241</v>
      </c>
      <c r="AN579" s="244">
        <v>0</v>
      </c>
      <c r="AO579" s="244">
        <v>0.45317670702934265</v>
      </c>
      <c r="AP579" s="244">
        <v>1.9763971567153931</v>
      </c>
      <c r="AQ579" s="244">
        <v>4.9849438667297363</v>
      </c>
      <c r="AR579" s="244">
        <v>0</v>
      </c>
      <c r="AS579" s="228">
        <v>9999</v>
      </c>
      <c r="AT579" s="244">
        <v>2.5553698673138241</v>
      </c>
      <c r="AU579" s="244">
        <v>0.1206783801317215</v>
      </c>
      <c r="AV579" s="244">
        <v>0.46524456143379211</v>
      </c>
      <c r="AW579" s="244">
        <v>1.9763971567153931</v>
      </c>
      <c r="AX579" s="244">
        <v>5.1176900863647461</v>
      </c>
      <c r="AY579" s="244">
        <v>0</v>
      </c>
      <c r="AZ579" s="228">
        <v>9999</v>
      </c>
      <c r="BA579" s="244">
        <v>2.5553698673138241</v>
      </c>
      <c r="BB579" s="244">
        <v>0.1206783801317215</v>
      </c>
      <c r="BC579" s="244">
        <v>0.46524456143379211</v>
      </c>
      <c r="BD579" s="244">
        <v>1.9763971567153931</v>
      </c>
      <c r="BE579" s="244">
        <v>5.1176900863647461</v>
      </c>
      <c r="BF579" s="244">
        <v>0</v>
      </c>
      <c r="BG579" s="244">
        <v>-55.747810363769531</v>
      </c>
      <c r="BH579" s="228">
        <v>9999</v>
      </c>
      <c r="BI579" s="244">
        <v>0</v>
      </c>
      <c r="BJ579" s="244">
        <v>0</v>
      </c>
      <c r="BK579" s="244">
        <v>0</v>
      </c>
      <c r="BL579" s="244">
        <v>0</v>
      </c>
      <c r="BM579" s="244">
        <v>0</v>
      </c>
      <c r="BN579" s="244">
        <v>2.5553698673138241</v>
      </c>
      <c r="BO579" s="244">
        <v>0</v>
      </c>
      <c r="BP579" s="244">
        <v>0.1206783801317215</v>
      </c>
      <c r="BQ579" s="244">
        <v>0</v>
      </c>
      <c r="BR579" s="244">
        <v>0</v>
      </c>
      <c r="BS579" s="244">
        <v>0</v>
      </c>
      <c r="BT579" s="244">
        <v>1.9763971567153931</v>
      </c>
      <c r="BU579" s="244">
        <v>0</v>
      </c>
      <c r="BV579" s="244">
        <v>0</v>
      </c>
      <c r="BW579" s="244">
        <v>0.46524456143379211</v>
      </c>
      <c r="BX579" s="244">
        <v>0</v>
      </c>
      <c r="BY579" s="244"/>
      <c r="BZ579" s="244">
        <v>0</v>
      </c>
      <c r="CA579" s="244">
        <v>0</v>
      </c>
      <c r="CB579" s="244">
        <v>5.1176900863647461</v>
      </c>
      <c r="CC579" s="244">
        <v>0</v>
      </c>
      <c r="CD579" s="228">
        <v>9999</v>
      </c>
      <c r="CE579" s="244">
        <v>-55.747810363769531</v>
      </c>
      <c r="CF579" s="244">
        <v>2.7968279551188694E-2</v>
      </c>
      <c r="CG579" s="244">
        <v>0</v>
      </c>
      <c r="CH579" s="244">
        <v>2.7968279551188694E-2</v>
      </c>
      <c r="CI579" s="244">
        <v>1.3728639283547492E-3</v>
      </c>
      <c r="CJ579" s="244">
        <v>0</v>
      </c>
      <c r="CK579" s="244">
        <v>1.3728639283547492E-3</v>
      </c>
      <c r="CL579" s="244"/>
      <c r="CM579" s="244">
        <v>0</v>
      </c>
      <c r="CN579" s="244" t="s">
        <v>605</v>
      </c>
      <c r="CO579" s="244">
        <v>0</v>
      </c>
      <c r="CP579" s="244">
        <v>0</v>
      </c>
      <c r="CQ579" s="244">
        <v>0</v>
      </c>
      <c r="CR579" s="244">
        <v>0</v>
      </c>
      <c r="CS579" s="244">
        <v>0</v>
      </c>
      <c r="CT579" s="244">
        <v>0</v>
      </c>
      <c r="CU579" s="244">
        <v>0</v>
      </c>
      <c r="CV579" s="244">
        <v>9999</v>
      </c>
      <c r="CW579" s="228">
        <v>9999</v>
      </c>
    </row>
    <row r="580" spans="1:101">
      <c r="A580" s="221" t="s">
        <v>500</v>
      </c>
      <c r="B580" s="221" t="s">
        <v>604</v>
      </c>
      <c r="C580" s="244">
        <v>10</v>
      </c>
      <c r="D580" s="244">
        <v>3.3815823772500009</v>
      </c>
      <c r="E580" s="244">
        <v>0</v>
      </c>
      <c r="F580" s="244">
        <v>0</v>
      </c>
      <c r="G580" s="244">
        <v>0</v>
      </c>
      <c r="H580" s="244">
        <v>0</v>
      </c>
      <c r="I580" s="244" t="s">
        <v>605</v>
      </c>
      <c r="J580" s="244">
        <v>1</v>
      </c>
      <c r="K580" s="244">
        <v>0.63999998569488525</v>
      </c>
      <c r="L580" s="244">
        <v>3.6881661470250009</v>
      </c>
      <c r="M580" s="244">
        <v>2.6945504941977561E-4</v>
      </c>
      <c r="N580" s="244">
        <v>4.2102352017536759E-4</v>
      </c>
      <c r="O580" s="244">
        <v>0</v>
      </c>
      <c r="P580" s="244">
        <v>0</v>
      </c>
      <c r="Q580" s="244">
        <v>0</v>
      </c>
      <c r="R580" s="244">
        <v>0</v>
      </c>
      <c r="S580" s="244">
        <v>0</v>
      </c>
      <c r="T580" s="244">
        <v>0</v>
      </c>
      <c r="U580" s="244">
        <v>0</v>
      </c>
      <c r="V580" s="244" t="s">
        <v>226</v>
      </c>
      <c r="W580" s="244" t="s">
        <v>226</v>
      </c>
      <c r="X580" s="244" t="s">
        <v>226</v>
      </c>
      <c r="Y580" s="244" t="s">
        <v>226</v>
      </c>
      <c r="Z580" s="244">
        <v>0</v>
      </c>
      <c r="AA580" s="244">
        <v>0</v>
      </c>
      <c r="AB580" s="244">
        <v>0</v>
      </c>
      <c r="AC580" s="244">
        <v>0</v>
      </c>
      <c r="AD580" s="244">
        <v>0</v>
      </c>
      <c r="AE580" s="244">
        <v>0</v>
      </c>
      <c r="AF580" s="244">
        <v>0</v>
      </c>
      <c r="AG580" s="244">
        <v>0</v>
      </c>
      <c r="AH580" s="244">
        <v>0</v>
      </c>
      <c r="AI580" s="244">
        <v>0</v>
      </c>
      <c r="AJ580" s="244">
        <v>0</v>
      </c>
      <c r="AK580" s="244">
        <v>0</v>
      </c>
      <c r="AL580" s="244">
        <v>0</v>
      </c>
      <c r="AM580" s="244">
        <v>2.5553698673138241</v>
      </c>
      <c r="AN580" s="244">
        <v>0</v>
      </c>
      <c r="AO580" s="244">
        <v>0.45317670702934265</v>
      </c>
      <c r="AP580" s="244">
        <v>1.9763971567153931</v>
      </c>
      <c r="AQ580" s="244">
        <v>4.9849438667297363</v>
      </c>
      <c r="AR580" s="244">
        <v>0</v>
      </c>
      <c r="AS580" s="228">
        <v>9999</v>
      </c>
      <c r="AT580" s="244">
        <v>2.5553698673138241</v>
      </c>
      <c r="AU580" s="244">
        <v>0.1206783801317215</v>
      </c>
      <c r="AV580" s="244">
        <v>0.46524456143379211</v>
      </c>
      <c r="AW580" s="244">
        <v>1.9763971567153931</v>
      </c>
      <c r="AX580" s="244">
        <v>5.1176900863647461</v>
      </c>
      <c r="AY580" s="244">
        <v>0</v>
      </c>
      <c r="AZ580" s="228">
        <v>9999</v>
      </c>
      <c r="BA580" s="244">
        <v>2.5553698673138241</v>
      </c>
      <c r="BB580" s="244">
        <v>0.1206783801317215</v>
      </c>
      <c r="BC580" s="244">
        <v>0.46524456143379211</v>
      </c>
      <c r="BD580" s="244">
        <v>1.9763971567153931</v>
      </c>
      <c r="BE580" s="244">
        <v>5.1176900863647461</v>
      </c>
      <c r="BF580" s="244">
        <v>0</v>
      </c>
      <c r="BG580" s="244">
        <v>-55.747810363769531</v>
      </c>
      <c r="BH580" s="228">
        <v>9999</v>
      </c>
      <c r="BI580" s="244">
        <v>0</v>
      </c>
      <c r="BJ580" s="244">
        <v>0</v>
      </c>
      <c r="BK580" s="244">
        <v>0</v>
      </c>
      <c r="BL580" s="244">
        <v>0</v>
      </c>
      <c r="BM580" s="244">
        <v>0</v>
      </c>
      <c r="BN580" s="244">
        <v>2.5553698673138241</v>
      </c>
      <c r="BO580" s="244">
        <v>0</v>
      </c>
      <c r="BP580" s="244">
        <v>0.1206783801317215</v>
      </c>
      <c r="BQ580" s="244">
        <v>0</v>
      </c>
      <c r="BR580" s="244">
        <v>0</v>
      </c>
      <c r="BS580" s="244">
        <v>0</v>
      </c>
      <c r="BT580" s="244">
        <v>1.9763971567153931</v>
      </c>
      <c r="BU580" s="244">
        <v>0</v>
      </c>
      <c r="BV580" s="244">
        <v>0</v>
      </c>
      <c r="BW580" s="244">
        <v>0.46524456143379211</v>
      </c>
      <c r="BX580" s="244">
        <v>0</v>
      </c>
      <c r="BY580" s="244"/>
      <c r="BZ580" s="244">
        <v>0</v>
      </c>
      <c r="CA580" s="244">
        <v>0</v>
      </c>
      <c r="CB580" s="244">
        <v>5.1176900863647461</v>
      </c>
      <c r="CC580" s="244">
        <v>0</v>
      </c>
      <c r="CD580" s="228">
        <v>9999</v>
      </c>
      <c r="CE580" s="244">
        <v>-55.747810363769531</v>
      </c>
      <c r="CF580" s="244">
        <v>2.7968279551188694E-2</v>
      </c>
      <c r="CG580" s="244">
        <v>0</v>
      </c>
      <c r="CH580" s="244">
        <v>2.7968279551188694E-2</v>
      </c>
      <c r="CI580" s="244">
        <v>1.3728639283547492E-3</v>
      </c>
      <c r="CJ580" s="244">
        <v>0</v>
      </c>
      <c r="CK580" s="244">
        <v>1.3728639283547492E-3</v>
      </c>
      <c r="CL580" s="244"/>
      <c r="CM580" s="244">
        <v>0</v>
      </c>
      <c r="CN580" s="244" t="s">
        <v>605</v>
      </c>
      <c r="CO580" s="244">
        <v>0</v>
      </c>
      <c r="CP580" s="244">
        <v>0</v>
      </c>
      <c r="CQ580" s="244">
        <v>0</v>
      </c>
      <c r="CR580" s="244">
        <v>0</v>
      </c>
      <c r="CS580" s="244">
        <v>0</v>
      </c>
      <c r="CT580" s="244">
        <v>0</v>
      </c>
      <c r="CU580" s="244">
        <v>0</v>
      </c>
      <c r="CV580" s="244">
        <v>9999</v>
      </c>
      <c r="CW580" s="228">
        <v>9999</v>
      </c>
    </row>
    <row r="581" spans="1:101">
      <c r="A581" s="221" t="s">
        <v>501</v>
      </c>
      <c r="B581" s="221" t="s">
        <v>604</v>
      </c>
      <c r="C581" s="244">
        <v>10</v>
      </c>
      <c r="D581" s="244">
        <v>3.3815823772500009</v>
      </c>
      <c r="E581" s="244">
        <v>0</v>
      </c>
      <c r="F581" s="244">
        <v>0</v>
      </c>
      <c r="G581" s="244">
        <v>0</v>
      </c>
      <c r="H581" s="244">
        <v>0</v>
      </c>
      <c r="I581" s="244" t="s">
        <v>605</v>
      </c>
      <c r="J581" s="244">
        <v>1</v>
      </c>
      <c r="K581" s="244">
        <v>0.63999998569488525</v>
      </c>
      <c r="L581" s="244">
        <v>3.6881661470250009</v>
      </c>
      <c r="M581" s="244">
        <v>2.6945504941977561E-4</v>
      </c>
      <c r="N581" s="244">
        <v>4.2102352017536759E-4</v>
      </c>
      <c r="O581" s="244">
        <v>0</v>
      </c>
      <c r="P581" s="244">
        <v>0</v>
      </c>
      <c r="Q581" s="244">
        <v>0</v>
      </c>
      <c r="R581" s="244">
        <v>0</v>
      </c>
      <c r="S581" s="244">
        <v>0</v>
      </c>
      <c r="T581" s="244">
        <v>0</v>
      </c>
      <c r="U581" s="244">
        <v>0</v>
      </c>
      <c r="V581" s="244" t="s">
        <v>226</v>
      </c>
      <c r="W581" s="244" t="s">
        <v>226</v>
      </c>
      <c r="X581" s="244" t="s">
        <v>226</v>
      </c>
      <c r="Y581" s="244" t="s">
        <v>226</v>
      </c>
      <c r="Z581" s="244">
        <v>0</v>
      </c>
      <c r="AA581" s="244">
        <v>0</v>
      </c>
      <c r="AB581" s="244">
        <v>0</v>
      </c>
      <c r="AC581" s="244">
        <v>0</v>
      </c>
      <c r="AD581" s="244">
        <v>0</v>
      </c>
      <c r="AE581" s="244">
        <v>0</v>
      </c>
      <c r="AF581" s="244">
        <v>0</v>
      </c>
      <c r="AG581" s="244">
        <v>0</v>
      </c>
      <c r="AH581" s="244">
        <v>0</v>
      </c>
      <c r="AI581" s="244">
        <v>0</v>
      </c>
      <c r="AJ581" s="244">
        <v>0</v>
      </c>
      <c r="AK581" s="244">
        <v>0</v>
      </c>
      <c r="AL581" s="244">
        <v>0</v>
      </c>
      <c r="AM581" s="244">
        <v>2.5553698673138241</v>
      </c>
      <c r="AN581" s="244">
        <v>0</v>
      </c>
      <c r="AO581" s="244">
        <v>0.45317670702934265</v>
      </c>
      <c r="AP581" s="244">
        <v>1.9763971567153931</v>
      </c>
      <c r="AQ581" s="244">
        <v>4.9849438667297363</v>
      </c>
      <c r="AR581" s="244">
        <v>0</v>
      </c>
      <c r="AS581" s="228">
        <v>9999</v>
      </c>
      <c r="AT581" s="244">
        <v>2.5553698673138241</v>
      </c>
      <c r="AU581" s="244">
        <v>0.1206783801317215</v>
      </c>
      <c r="AV581" s="244">
        <v>0.46524456143379211</v>
      </c>
      <c r="AW581" s="244">
        <v>1.9763971567153931</v>
      </c>
      <c r="AX581" s="244">
        <v>5.1176900863647461</v>
      </c>
      <c r="AY581" s="244">
        <v>0</v>
      </c>
      <c r="AZ581" s="228">
        <v>9999</v>
      </c>
      <c r="BA581" s="244">
        <v>2.5553698673138241</v>
      </c>
      <c r="BB581" s="244">
        <v>0.1206783801317215</v>
      </c>
      <c r="BC581" s="244">
        <v>0.46524456143379211</v>
      </c>
      <c r="BD581" s="244">
        <v>1.9763971567153931</v>
      </c>
      <c r="BE581" s="244">
        <v>5.1176900863647461</v>
      </c>
      <c r="BF581" s="244">
        <v>0</v>
      </c>
      <c r="BG581" s="244">
        <v>-55.747810363769531</v>
      </c>
      <c r="BH581" s="228">
        <v>9999</v>
      </c>
      <c r="BI581" s="244">
        <v>0</v>
      </c>
      <c r="BJ581" s="244">
        <v>0</v>
      </c>
      <c r="BK581" s="244">
        <v>0</v>
      </c>
      <c r="BL581" s="244">
        <v>0</v>
      </c>
      <c r="BM581" s="244">
        <v>0</v>
      </c>
      <c r="BN581" s="244">
        <v>2.5553698673138241</v>
      </c>
      <c r="BO581" s="244">
        <v>0</v>
      </c>
      <c r="BP581" s="244">
        <v>0.1206783801317215</v>
      </c>
      <c r="BQ581" s="244">
        <v>0</v>
      </c>
      <c r="BR581" s="244">
        <v>0</v>
      </c>
      <c r="BS581" s="244">
        <v>0</v>
      </c>
      <c r="BT581" s="244">
        <v>1.9763971567153931</v>
      </c>
      <c r="BU581" s="244">
        <v>0</v>
      </c>
      <c r="BV581" s="244">
        <v>0</v>
      </c>
      <c r="BW581" s="244">
        <v>0.46524456143379211</v>
      </c>
      <c r="BX581" s="244">
        <v>0</v>
      </c>
      <c r="BY581" s="244"/>
      <c r="BZ581" s="244">
        <v>0</v>
      </c>
      <c r="CA581" s="244">
        <v>0</v>
      </c>
      <c r="CB581" s="244">
        <v>5.1176900863647461</v>
      </c>
      <c r="CC581" s="244">
        <v>0</v>
      </c>
      <c r="CD581" s="228">
        <v>9999</v>
      </c>
      <c r="CE581" s="244">
        <v>-55.747810363769531</v>
      </c>
      <c r="CF581" s="244">
        <v>2.7968279551188694E-2</v>
      </c>
      <c r="CG581" s="244">
        <v>0</v>
      </c>
      <c r="CH581" s="244">
        <v>2.7968279551188694E-2</v>
      </c>
      <c r="CI581" s="244">
        <v>1.3728639283547492E-3</v>
      </c>
      <c r="CJ581" s="244">
        <v>0</v>
      </c>
      <c r="CK581" s="244">
        <v>1.3728639283547492E-3</v>
      </c>
      <c r="CL581" s="244"/>
      <c r="CM581" s="244">
        <v>0</v>
      </c>
      <c r="CN581" s="244" t="s">
        <v>605</v>
      </c>
      <c r="CO581" s="244">
        <v>0</v>
      </c>
      <c r="CP581" s="244">
        <v>0</v>
      </c>
      <c r="CQ581" s="244">
        <v>0</v>
      </c>
      <c r="CR581" s="244">
        <v>0</v>
      </c>
      <c r="CS581" s="244">
        <v>0</v>
      </c>
      <c r="CT581" s="244">
        <v>0</v>
      </c>
      <c r="CU581" s="244">
        <v>0</v>
      </c>
      <c r="CV581" s="244">
        <v>9999</v>
      </c>
      <c r="CW581" s="228">
        <v>9999</v>
      </c>
    </row>
    <row r="582" spans="1:101">
      <c r="A582" s="221" t="s">
        <v>502</v>
      </c>
      <c r="B582" s="221" t="s">
        <v>604</v>
      </c>
      <c r="C582" s="244">
        <v>10</v>
      </c>
      <c r="D582" s="244">
        <v>4.9095566366000005</v>
      </c>
      <c r="E582" s="244">
        <v>0</v>
      </c>
      <c r="F582" s="244">
        <v>0</v>
      </c>
      <c r="G582" s="244">
        <v>0</v>
      </c>
      <c r="H582" s="244">
        <v>0</v>
      </c>
      <c r="I582" s="244" t="s">
        <v>605</v>
      </c>
      <c r="J582" s="244">
        <v>1</v>
      </c>
      <c r="K582" s="244">
        <v>0.63999998569488525</v>
      </c>
      <c r="L582" s="244">
        <v>5.3546708504955545</v>
      </c>
      <c r="M582" s="244">
        <v>3.9120882865972817E-4</v>
      </c>
      <c r="N582" s="244">
        <v>6.1126379296183586E-4</v>
      </c>
      <c r="O582" s="244">
        <v>0</v>
      </c>
      <c r="P582" s="244">
        <v>0</v>
      </c>
      <c r="Q582" s="244">
        <v>0</v>
      </c>
      <c r="R582" s="244">
        <v>0</v>
      </c>
      <c r="S582" s="244">
        <v>0</v>
      </c>
      <c r="T582" s="244">
        <v>0</v>
      </c>
      <c r="U582" s="244">
        <v>0</v>
      </c>
      <c r="V582" s="244" t="s">
        <v>226</v>
      </c>
      <c r="W582" s="244" t="s">
        <v>226</v>
      </c>
      <c r="X582" s="244" t="s">
        <v>226</v>
      </c>
      <c r="Y582" s="244" t="s">
        <v>226</v>
      </c>
      <c r="Z582" s="244">
        <v>0</v>
      </c>
      <c r="AA582" s="244">
        <v>0</v>
      </c>
      <c r="AB582" s="244">
        <v>0</v>
      </c>
      <c r="AC582" s="244">
        <v>0</v>
      </c>
      <c r="AD582" s="244">
        <v>0</v>
      </c>
      <c r="AE582" s="244">
        <v>0</v>
      </c>
      <c r="AF582" s="244">
        <v>0</v>
      </c>
      <c r="AG582" s="244">
        <v>0</v>
      </c>
      <c r="AH582" s="244">
        <v>0</v>
      </c>
      <c r="AI582" s="244">
        <v>0</v>
      </c>
      <c r="AJ582" s="244">
        <v>0</v>
      </c>
      <c r="AK582" s="244">
        <v>0</v>
      </c>
      <c r="AL582" s="244">
        <v>0</v>
      </c>
      <c r="AM582" s="244">
        <v>3.7100184740260111</v>
      </c>
      <c r="AN582" s="244">
        <v>0</v>
      </c>
      <c r="AO582" s="244">
        <v>0.65794539451599121</v>
      </c>
      <c r="AP582" s="244">
        <v>2.8694355487823486</v>
      </c>
      <c r="AQ582" s="244">
        <v>7.2373995780944824</v>
      </c>
      <c r="AR582" s="244">
        <v>0</v>
      </c>
      <c r="AS582" s="228">
        <v>9999</v>
      </c>
      <c r="AT582" s="244">
        <v>3.7100184740260111</v>
      </c>
      <c r="AU582" s="244">
        <v>0.17520710825920105</v>
      </c>
      <c r="AV582" s="244">
        <v>0.67546612024307251</v>
      </c>
      <c r="AW582" s="244">
        <v>2.8694355487823486</v>
      </c>
      <c r="AX582" s="244">
        <v>7.4301271438598633</v>
      </c>
      <c r="AY582" s="244">
        <v>0</v>
      </c>
      <c r="AZ582" s="228">
        <v>9999</v>
      </c>
      <c r="BA582" s="244">
        <v>3.7100184740260111</v>
      </c>
      <c r="BB582" s="244">
        <v>0.17520710825920105</v>
      </c>
      <c r="BC582" s="244">
        <v>0.67546612024307251</v>
      </c>
      <c r="BD582" s="244">
        <v>2.8694355487823486</v>
      </c>
      <c r="BE582" s="244">
        <v>7.4301271438598633</v>
      </c>
      <c r="BF582" s="244">
        <v>0</v>
      </c>
      <c r="BG582" s="244">
        <v>-55.747806549072266</v>
      </c>
      <c r="BH582" s="228">
        <v>9999</v>
      </c>
      <c r="BI582" s="244">
        <v>0</v>
      </c>
      <c r="BJ582" s="244">
        <v>0</v>
      </c>
      <c r="BK582" s="244">
        <v>0</v>
      </c>
      <c r="BL582" s="244">
        <v>0</v>
      </c>
      <c r="BM582" s="244">
        <v>0</v>
      </c>
      <c r="BN582" s="244">
        <v>3.7100184740260111</v>
      </c>
      <c r="BO582" s="244">
        <v>0</v>
      </c>
      <c r="BP582" s="244">
        <v>0.17520710825920105</v>
      </c>
      <c r="BQ582" s="244">
        <v>0</v>
      </c>
      <c r="BR582" s="244">
        <v>0</v>
      </c>
      <c r="BS582" s="244">
        <v>0</v>
      </c>
      <c r="BT582" s="244">
        <v>2.8694355487823486</v>
      </c>
      <c r="BU582" s="244">
        <v>0</v>
      </c>
      <c r="BV582" s="244">
        <v>0</v>
      </c>
      <c r="BW582" s="244">
        <v>0.67546612024307251</v>
      </c>
      <c r="BX582" s="244">
        <v>0</v>
      </c>
      <c r="BY582" s="244"/>
      <c r="BZ582" s="244">
        <v>0</v>
      </c>
      <c r="CA582" s="244">
        <v>0</v>
      </c>
      <c r="CB582" s="244">
        <v>7.4301271438598633</v>
      </c>
      <c r="CC582" s="244">
        <v>0</v>
      </c>
      <c r="CD582" s="228">
        <v>9999</v>
      </c>
      <c r="CE582" s="244">
        <v>-55.747806549072266</v>
      </c>
      <c r="CF582" s="244">
        <v>4.0605798459503697E-2</v>
      </c>
      <c r="CG582" s="244">
        <v>0</v>
      </c>
      <c r="CH582" s="244">
        <v>4.0605798459503697E-2</v>
      </c>
      <c r="CI582" s="244">
        <v>1.993195036722449E-3</v>
      </c>
      <c r="CJ582" s="244">
        <v>0</v>
      </c>
      <c r="CK582" s="244">
        <v>1.993195036722449E-3</v>
      </c>
      <c r="CL582" s="244"/>
      <c r="CM582" s="244">
        <v>0</v>
      </c>
      <c r="CN582" s="244" t="s">
        <v>605</v>
      </c>
      <c r="CO582" s="244">
        <v>0</v>
      </c>
      <c r="CP582" s="244">
        <v>0</v>
      </c>
      <c r="CQ582" s="244">
        <v>0</v>
      </c>
      <c r="CR582" s="244">
        <v>0</v>
      </c>
      <c r="CS582" s="244">
        <v>0</v>
      </c>
      <c r="CT582" s="244">
        <v>0</v>
      </c>
      <c r="CU582" s="244">
        <v>0</v>
      </c>
      <c r="CV582" s="244">
        <v>9999</v>
      </c>
      <c r="CW582" s="228">
        <v>9999</v>
      </c>
    </row>
    <row r="583" spans="1:101">
      <c r="A583" s="221" t="s">
        <v>503</v>
      </c>
      <c r="B583" s="221" t="s">
        <v>604</v>
      </c>
      <c r="C583" s="244">
        <v>10</v>
      </c>
      <c r="D583" s="244">
        <v>4.9095566366000005</v>
      </c>
      <c r="E583" s="244">
        <v>0</v>
      </c>
      <c r="F583" s="244">
        <v>0</v>
      </c>
      <c r="G583" s="244">
        <v>0</v>
      </c>
      <c r="H583" s="244">
        <v>0</v>
      </c>
      <c r="I583" s="244" t="s">
        <v>605</v>
      </c>
      <c r="J583" s="244">
        <v>1</v>
      </c>
      <c r="K583" s="244">
        <v>0.63999998569488525</v>
      </c>
      <c r="L583" s="244">
        <v>5.3546708504955545</v>
      </c>
      <c r="M583" s="244">
        <v>3.9120882865972817E-4</v>
      </c>
      <c r="N583" s="244">
        <v>6.1126379296183586E-4</v>
      </c>
      <c r="O583" s="244">
        <v>0</v>
      </c>
      <c r="P583" s="244">
        <v>0</v>
      </c>
      <c r="Q583" s="244">
        <v>0</v>
      </c>
      <c r="R583" s="244">
        <v>0</v>
      </c>
      <c r="S583" s="244">
        <v>0</v>
      </c>
      <c r="T583" s="244">
        <v>0</v>
      </c>
      <c r="U583" s="244">
        <v>0</v>
      </c>
      <c r="V583" s="244" t="s">
        <v>226</v>
      </c>
      <c r="W583" s="244" t="s">
        <v>226</v>
      </c>
      <c r="X583" s="244" t="s">
        <v>226</v>
      </c>
      <c r="Y583" s="244" t="s">
        <v>226</v>
      </c>
      <c r="Z583" s="244">
        <v>0</v>
      </c>
      <c r="AA583" s="244">
        <v>0</v>
      </c>
      <c r="AB583" s="244">
        <v>0</v>
      </c>
      <c r="AC583" s="244">
        <v>0</v>
      </c>
      <c r="AD583" s="244">
        <v>0</v>
      </c>
      <c r="AE583" s="244">
        <v>0</v>
      </c>
      <c r="AF583" s="244">
        <v>0</v>
      </c>
      <c r="AG583" s="244">
        <v>0</v>
      </c>
      <c r="AH583" s="244">
        <v>0</v>
      </c>
      <c r="AI583" s="244">
        <v>0</v>
      </c>
      <c r="AJ583" s="244">
        <v>0</v>
      </c>
      <c r="AK583" s="244">
        <v>0</v>
      </c>
      <c r="AL583" s="244">
        <v>0</v>
      </c>
      <c r="AM583" s="244">
        <v>3.7100184740260111</v>
      </c>
      <c r="AN583" s="244">
        <v>0</v>
      </c>
      <c r="AO583" s="244">
        <v>0.65794539451599121</v>
      </c>
      <c r="AP583" s="244">
        <v>2.8694355487823486</v>
      </c>
      <c r="AQ583" s="244">
        <v>7.2373995780944824</v>
      </c>
      <c r="AR583" s="244">
        <v>0</v>
      </c>
      <c r="AS583" s="228">
        <v>9999</v>
      </c>
      <c r="AT583" s="244">
        <v>3.7100184740260111</v>
      </c>
      <c r="AU583" s="244">
        <v>0.17520710825920105</v>
      </c>
      <c r="AV583" s="244">
        <v>0.67546612024307251</v>
      </c>
      <c r="AW583" s="244">
        <v>2.8694355487823486</v>
      </c>
      <c r="AX583" s="244">
        <v>7.4301271438598633</v>
      </c>
      <c r="AY583" s="244">
        <v>0</v>
      </c>
      <c r="AZ583" s="228">
        <v>9999</v>
      </c>
      <c r="BA583" s="244">
        <v>3.7100184740260111</v>
      </c>
      <c r="BB583" s="244">
        <v>0.17520710825920105</v>
      </c>
      <c r="BC583" s="244">
        <v>0.67546612024307251</v>
      </c>
      <c r="BD583" s="244">
        <v>2.8694355487823486</v>
      </c>
      <c r="BE583" s="244">
        <v>7.4301271438598633</v>
      </c>
      <c r="BF583" s="244">
        <v>0</v>
      </c>
      <c r="BG583" s="244">
        <v>-55.747806549072266</v>
      </c>
      <c r="BH583" s="228">
        <v>9999</v>
      </c>
      <c r="BI583" s="244">
        <v>0</v>
      </c>
      <c r="BJ583" s="244">
        <v>0</v>
      </c>
      <c r="BK583" s="244">
        <v>0</v>
      </c>
      <c r="BL583" s="244">
        <v>0</v>
      </c>
      <c r="BM583" s="244">
        <v>0</v>
      </c>
      <c r="BN583" s="244">
        <v>3.7100184740260111</v>
      </c>
      <c r="BO583" s="244">
        <v>0</v>
      </c>
      <c r="BP583" s="244">
        <v>0.17520710825920105</v>
      </c>
      <c r="BQ583" s="244">
        <v>0</v>
      </c>
      <c r="BR583" s="244">
        <v>0</v>
      </c>
      <c r="BS583" s="244">
        <v>0</v>
      </c>
      <c r="BT583" s="244">
        <v>2.8694355487823486</v>
      </c>
      <c r="BU583" s="244">
        <v>0</v>
      </c>
      <c r="BV583" s="244">
        <v>0</v>
      </c>
      <c r="BW583" s="244">
        <v>0.67546612024307251</v>
      </c>
      <c r="BX583" s="244">
        <v>0</v>
      </c>
      <c r="BY583" s="244"/>
      <c r="BZ583" s="244">
        <v>0</v>
      </c>
      <c r="CA583" s="244">
        <v>0</v>
      </c>
      <c r="CB583" s="244">
        <v>7.4301271438598633</v>
      </c>
      <c r="CC583" s="244">
        <v>0</v>
      </c>
      <c r="CD583" s="228">
        <v>9999</v>
      </c>
      <c r="CE583" s="244">
        <v>-55.747806549072266</v>
      </c>
      <c r="CF583" s="244">
        <v>4.0605798459503697E-2</v>
      </c>
      <c r="CG583" s="244">
        <v>0</v>
      </c>
      <c r="CH583" s="244">
        <v>4.0605798459503697E-2</v>
      </c>
      <c r="CI583" s="244">
        <v>1.993195036722449E-3</v>
      </c>
      <c r="CJ583" s="244">
        <v>0</v>
      </c>
      <c r="CK583" s="244">
        <v>1.993195036722449E-3</v>
      </c>
      <c r="CL583" s="244"/>
      <c r="CM583" s="244">
        <v>0</v>
      </c>
      <c r="CN583" s="244" t="s">
        <v>605</v>
      </c>
      <c r="CO583" s="244">
        <v>0</v>
      </c>
      <c r="CP583" s="244">
        <v>0</v>
      </c>
      <c r="CQ583" s="244">
        <v>0</v>
      </c>
      <c r="CR583" s="244">
        <v>0</v>
      </c>
      <c r="CS583" s="244">
        <v>0</v>
      </c>
      <c r="CT583" s="244">
        <v>0</v>
      </c>
      <c r="CU583" s="244">
        <v>0</v>
      </c>
      <c r="CV583" s="244">
        <v>9999</v>
      </c>
      <c r="CW583" s="228">
        <v>9999</v>
      </c>
    </row>
    <row r="584" spans="1:101">
      <c r="A584" s="221" t="s">
        <v>504</v>
      </c>
      <c r="B584" s="221" t="s">
        <v>604</v>
      </c>
      <c r="C584" s="244">
        <v>10</v>
      </c>
      <c r="D584" s="244">
        <v>4.9095566366000005</v>
      </c>
      <c r="E584" s="244">
        <v>0</v>
      </c>
      <c r="F584" s="244">
        <v>0</v>
      </c>
      <c r="G584" s="244">
        <v>0</v>
      </c>
      <c r="H584" s="244">
        <v>0</v>
      </c>
      <c r="I584" s="244" t="s">
        <v>605</v>
      </c>
      <c r="J584" s="244">
        <v>1</v>
      </c>
      <c r="K584" s="244">
        <v>0.63999998569488525</v>
      </c>
      <c r="L584" s="244">
        <v>5.3546708504955545</v>
      </c>
      <c r="M584" s="244">
        <v>3.9120882865972817E-4</v>
      </c>
      <c r="N584" s="244">
        <v>6.1126379296183586E-4</v>
      </c>
      <c r="O584" s="244">
        <v>0</v>
      </c>
      <c r="P584" s="244">
        <v>0</v>
      </c>
      <c r="Q584" s="244">
        <v>0</v>
      </c>
      <c r="R584" s="244">
        <v>0</v>
      </c>
      <c r="S584" s="244">
        <v>0</v>
      </c>
      <c r="T584" s="244">
        <v>0</v>
      </c>
      <c r="U584" s="244">
        <v>0</v>
      </c>
      <c r="V584" s="244" t="s">
        <v>226</v>
      </c>
      <c r="W584" s="244" t="s">
        <v>226</v>
      </c>
      <c r="X584" s="244" t="s">
        <v>226</v>
      </c>
      <c r="Y584" s="244" t="s">
        <v>226</v>
      </c>
      <c r="Z584" s="244">
        <v>0</v>
      </c>
      <c r="AA584" s="244">
        <v>0</v>
      </c>
      <c r="AB584" s="244">
        <v>0</v>
      </c>
      <c r="AC584" s="244">
        <v>0</v>
      </c>
      <c r="AD584" s="244">
        <v>0</v>
      </c>
      <c r="AE584" s="244">
        <v>0</v>
      </c>
      <c r="AF584" s="244">
        <v>0</v>
      </c>
      <c r="AG584" s="244">
        <v>0</v>
      </c>
      <c r="AH584" s="244">
        <v>0</v>
      </c>
      <c r="AI584" s="244">
        <v>0</v>
      </c>
      <c r="AJ584" s="244">
        <v>0</v>
      </c>
      <c r="AK584" s="244">
        <v>0</v>
      </c>
      <c r="AL584" s="244">
        <v>0</v>
      </c>
      <c r="AM584" s="244">
        <v>3.7100184740260111</v>
      </c>
      <c r="AN584" s="244">
        <v>0</v>
      </c>
      <c r="AO584" s="244">
        <v>0.65794539451599121</v>
      </c>
      <c r="AP584" s="244">
        <v>2.8694355487823486</v>
      </c>
      <c r="AQ584" s="244">
        <v>7.2373995780944824</v>
      </c>
      <c r="AR584" s="244">
        <v>0</v>
      </c>
      <c r="AS584" s="228">
        <v>9999</v>
      </c>
      <c r="AT584" s="244">
        <v>3.7100184740260111</v>
      </c>
      <c r="AU584" s="244">
        <v>0.17520710825920105</v>
      </c>
      <c r="AV584" s="244">
        <v>0.67546612024307251</v>
      </c>
      <c r="AW584" s="244">
        <v>2.8694355487823486</v>
      </c>
      <c r="AX584" s="244">
        <v>7.4301271438598633</v>
      </c>
      <c r="AY584" s="244">
        <v>0</v>
      </c>
      <c r="AZ584" s="228">
        <v>9999</v>
      </c>
      <c r="BA584" s="244">
        <v>3.7100184740260111</v>
      </c>
      <c r="BB584" s="244">
        <v>0.17520710825920105</v>
      </c>
      <c r="BC584" s="244">
        <v>0.67546612024307251</v>
      </c>
      <c r="BD584" s="244">
        <v>2.8694355487823486</v>
      </c>
      <c r="BE584" s="244">
        <v>7.4301271438598633</v>
      </c>
      <c r="BF584" s="244">
        <v>0</v>
      </c>
      <c r="BG584" s="244">
        <v>-55.747806549072266</v>
      </c>
      <c r="BH584" s="228">
        <v>9999</v>
      </c>
      <c r="BI584" s="244">
        <v>0</v>
      </c>
      <c r="BJ584" s="244">
        <v>0</v>
      </c>
      <c r="BK584" s="244">
        <v>0</v>
      </c>
      <c r="BL584" s="244">
        <v>0</v>
      </c>
      <c r="BM584" s="244">
        <v>0</v>
      </c>
      <c r="BN584" s="244">
        <v>3.7100184740260111</v>
      </c>
      <c r="BO584" s="244">
        <v>0</v>
      </c>
      <c r="BP584" s="244">
        <v>0.17520710825920105</v>
      </c>
      <c r="BQ584" s="244">
        <v>0</v>
      </c>
      <c r="BR584" s="244">
        <v>0</v>
      </c>
      <c r="BS584" s="244">
        <v>0</v>
      </c>
      <c r="BT584" s="244">
        <v>2.8694355487823486</v>
      </c>
      <c r="BU584" s="244">
        <v>0</v>
      </c>
      <c r="BV584" s="244">
        <v>0</v>
      </c>
      <c r="BW584" s="244">
        <v>0.67546612024307251</v>
      </c>
      <c r="BX584" s="244">
        <v>0</v>
      </c>
      <c r="BY584" s="244"/>
      <c r="BZ584" s="244">
        <v>0</v>
      </c>
      <c r="CA584" s="244">
        <v>0</v>
      </c>
      <c r="CB584" s="244">
        <v>7.4301271438598633</v>
      </c>
      <c r="CC584" s="244">
        <v>0</v>
      </c>
      <c r="CD584" s="228">
        <v>9999</v>
      </c>
      <c r="CE584" s="244">
        <v>-55.747806549072266</v>
      </c>
      <c r="CF584" s="244">
        <v>4.0605798459503697E-2</v>
      </c>
      <c r="CG584" s="244">
        <v>0</v>
      </c>
      <c r="CH584" s="244">
        <v>4.0605798459503697E-2</v>
      </c>
      <c r="CI584" s="244">
        <v>1.993195036722449E-3</v>
      </c>
      <c r="CJ584" s="244">
        <v>0</v>
      </c>
      <c r="CK584" s="244">
        <v>1.993195036722449E-3</v>
      </c>
      <c r="CL584" s="244"/>
      <c r="CM584" s="244">
        <v>0</v>
      </c>
      <c r="CN584" s="244" t="s">
        <v>605</v>
      </c>
      <c r="CO584" s="244">
        <v>0</v>
      </c>
      <c r="CP584" s="244">
        <v>0</v>
      </c>
      <c r="CQ584" s="244">
        <v>0</v>
      </c>
      <c r="CR584" s="244">
        <v>0</v>
      </c>
      <c r="CS584" s="244">
        <v>0</v>
      </c>
      <c r="CT584" s="244">
        <v>0</v>
      </c>
      <c r="CU584" s="244">
        <v>0</v>
      </c>
      <c r="CV584" s="244">
        <v>9999</v>
      </c>
      <c r="CW584" s="228">
        <v>9999</v>
      </c>
    </row>
    <row r="585" spans="1:101">
      <c r="A585" s="221" t="s">
        <v>505</v>
      </c>
      <c r="B585" s="221" t="s">
        <v>604</v>
      </c>
      <c r="C585" s="244">
        <v>10</v>
      </c>
      <c r="D585" s="244">
        <v>3.6070212024000017</v>
      </c>
      <c r="E585" s="244">
        <v>0</v>
      </c>
      <c r="F585" s="244">
        <v>0</v>
      </c>
      <c r="G585" s="244">
        <v>0</v>
      </c>
      <c r="H585" s="244">
        <v>0</v>
      </c>
      <c r="I585" s="244" t="s">
        <v>605</v>
      </c>
      <c r="J585" s="244">
        <v>1</v>
      </c>
      <c r="K585" s="244">
        <v>0.63999998569488525</v>
      </c>
      <c r="L585" s="244">
        <v>3.9340438901600008</v>
      </c>
      <c r="M585" s="244">
        <v>2.8741871938109398E-4</v>
      </c>
      <c r="N585" s="244">
        <v>4.490917781367898E-4</v>
      </c>
      <c r="O585" s="244">
        <v>0</v>
      </c>
      <c r="P585" s="244">
        <v>0</v>
      </c>
      <c r="Q585" s="244">
        <v>0</v>
      </c>
      <c r="R585" s="244">
        <v>0</v>
      </c>
      <c r="S585" s="244">
        <v>0</v>
      </c>
      <c r="T585" s="244">
        <v>0</v>
      </c>
      <c r="U585" s="244">
        <v>0</v>
      </c>
      <c r="V585" s="244" t="s">
        <v>226</v>
      </c>
      <c r="W585" s="244" t="s">
        <v>226</v>
      </c>
      <c r="X585" s="244" t="s">
        <v>226</v>
      </c>
      <c r="Y585" s="244" t="s">
        <v>226</v>
      </c>
      <c r="Z585" s="244">
        <v>0</v>
      </c>
      <c r="AA585" s="244">
        <v>0</v>
      </c>
      <c r="AB585" s="244">
        <v>0</v>
      </c>
      <c r="AC585" s="244">
        <v>0</v>
      </c>
      <c r="AD585" s="244">
        <v>0</v>
      </c>
      <c r="AE585" s="244">
        <v>0</v>
      </c>
      <c r="AF585" s="244">
        <v>0</v>
      </c>
      <c r="AG585" s="244">
        <v>0</v>
      </c>
      <c r="AH585" s="244">
        <v>0</v>
      </c>
      <c r="AI585" s="244">
        <v>0</v>
      </c>
      <c r="AJ585" s="244">
        <v>0</v>
      </c>
      <c r="AK585" s="244">
        <v>0</v>
      </c>
      <c r="AL585" s="244">
        <v>0</v>
      </c>
      <c r="AM585" s="244">
        <v>2.7257278584680815</v>
      </c>
      <c r="AN585" s="244">
        <v>0</v>
      </c>
      <c r="AO585" s="244">
        <v>0.48338848352432251</v>
      </c>
      <c r="AP585" s="244">
        <v>2.1081569194793701</v>
      </c>
      <c r="AQ585" s="244">
        <v>5.3172731399536133</v>
      </c>
      <c r="AR585" s="244">
        <v>0</v>
      </c>
      <c r="AS585" s="228">
        <v>9999</v>
      </c>
      <c r="AT585" s="244">
        <v>2.7257278584680815</v>
      </c>
      <c r="AU585" s="244">
        <v>0.12872359156608582</v>
      </c>
      <c r="AV585" s="244">
        <v>0.49626085162162781</v>
      </c>
      <c r="AW585" s="244">
        <v>2.1081569194793701</v>
      </c>
      <c r="AX585" s="244">
        <v>5.458869457244873</v>
      </c>
      <c r="AY585" s="244">
        <v>0</v>
      </c>
      <c r="AZ585" s="228">
        <v>9999</v>
      </c>
      <c r="BA585" s="244">
        <v>2.7257278584680815</v>
      </c>
      <c r="BB585" s="244">
        <v>0.12872359156608582</v>
      </c>
      <c r="BC585" s="244">
        <v>0.49626085162162781</v>
      </c>
      <c r="BD585" s="244">
        <v>2.1081569194793701</v>
      </c>
      <c r="BE585" s="244">
        <v>5.458869457244873</v>
      </c>
      <c r="BF585" s="244">
        <v>0</v>
      </c>
      <c r="BG585" s="244">
        <v>-55.747810363769531</v>
      </c>
      <c r="BH585" s="228">
        <v>9999</v>
      </c>
      <c r="BI585" s="244">
        <v>0</v>
      </c>
      <c r="BJ585" s="244">
        <v>0</v>
      </c>
      <c r="BK585" s="244">
        <v>0</v>
      </c>
      <c r="BL585" s="244">
        <v>0</v>
      </c>
      <c r="BM585" s="244">
        <v>0</v>
      </c>
      <c r="BN585" s="244">
        <v>2.7257278584680815</v>
      </c>
      <c r="BO585" s="244">
        <v>0</v>
      </c>
      <c r="BP585" s="244">
        <v>0.12872359156608582</v>
      </c>
      <c r="BQ585" s="244">
        <v>0</v>
      </c>
      <c r="BR585" s="244">
        <v>0</v>
      </c>
      <c r="BS585" s="244">
        <v>0</v>
      </c>
      <c r="BT585" s="244">
        <v>2.1081569194793701</v>
      </c>
      <c r="BU585" s="244">
        <v>0</v>
      </c>
      <c r="BV585" s="244">
        <v>0</v>
      </c>
      <c r="BW585" s="244">
        <v>0.49626085162162781</v>
      </c>
      <c r="BX585" s="244">
        <v>0</v>
      </c>
      <c r="BY585" s="244"/>
      <c r="BZ585" s="244">
        <v>0</v>
      </c>
      <c r="CA585" s="244">
        <v>0</v>
      </c>
      <c r="CB585" s="244">
        <v>5.458869457244873</v>
      </c>
      <c r="CC585" s="244">
        <v>0</v>
      </c>
      <c r="CD585" s="228">
        <v>9999</v>
      </c>
      <c r="CE585" s="244">
        <v>-55.747810363769531</v>
      </c>
      <c r="CF585" s="244">
        <v>2.9832831521267957E-2</v>
      </c>
      <c r="CG585" s="244">
        <v>0</v>
      </c>
      <c r="CH585" s="244">
        <v>2.9832831521267957E-2</v>
      </c>
      <c r="CI585" s="244">
        <v>1.4643881902450663E-3</v>
      </c>
      <c r="CJ585" s="244">
        <v>0</v>
      </c>
      <c r="CK585" s="244">
        <v>1.4643881902450663E-3</v>
      </c>
      <c r="CL585" s="244"/>
      <c r="CM585" s="244">
        <v>0</v>
      </c>
      <c r="CN585" s="244" t="s">
        <v>605</v>
      </c>
      <c r="CO585" s="244">
        <v>0</v>
      </c>
      <c r="CP585" s="244">
        <v>0</v>
      </c>
      <c r="CQ585" s="244">
        <v>0</v>
      </c>
      <c r="CR585" s="244">
        <v>0</v>
      </c>
      <c r="CS585" s="244">
        <v>0</v>
      </c>
      <c r="CT585" s="244">
        <v>0</v>
      </c>
      <c r="CU585" s="244">
        <v>0</v>
      </c>
      <c r="CV585" s="244">
        <v>9999</v>
      </c>
      <c r="CW585" s="228">
        <v>9999</v>
      </c>
    </row>
    <row r="586" spans="1:101">
      <c r="A586" s="221" t="s">
        <v>506</v>
      </c>
      <c r="B586" s="221" t="s">
        <v>604</v>
      </c>
      <c r="C586" s="244">
        <v>10</v>
      </c>
      <c r="D586" s="244">
        <v>3.6070212024000017</v>
      </c>
      <c r="E586" s="244">
        <v>0</v>
      </c>
      <c r="F586" s="244">
        <v>0</v>
      </c>
      <c r="G586" s="244">
        <v>0</v>
      </c>
      <c r="H586" s="244">
        <v>0</v>
      </c>
      <c r="I586" s="244" t="s">
        <v>605</v>
      </c>
      <c r="J586" s="244">
        <v>1</v>
      </c>
      <c r="K586" s="244">
        <v>0.63999998569488525</v>
      </c>
      <c r="L586" s="244">
        <v>3.9340438901600008</v>
      </c>
      <c r="M586" s="244">
        <v>2.8741871938109398E-4</v>
      </c>
      <c r="N586" s="244">
        <v>4.490917781367898E-4</v>
      </c>
      <c r="O586" s="244">
        <v>0</v>
      </c>
      <c r="P586" s="244">
        <v>0</v>
      </c>
      <c r="Q586" s="244">
        <v>0</v>
      </c>
      <c r="R586" s="244">
        <v>0</v>
      </c>
      <c r="S586" s="244">
        <v>0</v>
      </c>
      <c r="T586" s="244">
        <v>0</v>
      </c>
      <c r="U586" s="244">
        <v>0</v>
      </c>
      <c r="V586" s="244" t="s">
        <v>226</v>
      </c>
      <c r="W586" s="244" t="s">
        <v>226</v>
      </c>
      <c r="X586" s="244" t="s">
        <v>226</v>
      </c>
      <c r="Y586" s="244" t="s">
        <v>226</v>
      </c>
      <c r="Z586" s="244">
        <v>0</v>
      </c>
      <c r="AA586" s="244">
        <v>0</v>
      </c>
      <c r="AB586" s="244">
        <v>0</v>
      </c>
      <c r="AC586" s="244">
        <v>0</v>
      </c>
      <c r="AD586" s="244">
        <v>0</v>
      </c>
      <c r="AE586" s="244">
        <v>0</v>
      </c>
      <c r="AF586" s="244">
        <v>0</v>
      </c>
      <c r="AG586" s="244">
        <v>0</v>
      </c>
      <c r="AH586" s="244">
        <v>0</v>
      </c>
      <c r="AI586" s="244">
        <v>0</v>
      </c>
      <c r="AJ586" s="244">
        <v>0</v>
      </c>
      <c r="AK586" s="244">
        <v>0</v>
      </c>
      <c r="AL586" s="244">
        <v>0</v>
      </c>
      <c r="AM586" s="244">
        <v>2.7257278584680815</v>
      </c>
      <c r="AN586" s="244">
        <v>0</v>
      </c>
      <c r="AO586" s="244">
        <v>0.48338848352432251</v>
      </c>
      <c r="AP586" s="244">
        <v>2.1081569194793701</v>
      </c>
      <c r="AQ586" s="244">
        <v>5.3172731399536133</v>
      </c>
      <c r="AR586" s="244">
        <v>0</v>
      </c>
      <c r="AS586" s="228">
        <v>9999</v>
      </c>
      <c r="AT586" s="244">
        <v>2.7257278584680815</v>
      </c>
      <c r="AU586" s="244">
        <v>0.12872359156608582</v>
      </c>
      <c r="AV586" s="244">
        <v>0.49626085162162781</v>
      </c>
      <c r="AW586" s="244">
        <v>2.1081569194793701</v>
      </c>
      <c r="AX586" s="244">
        <v>5.458869457244873</v>
      </c>
      <c r="AY586" s="244">
        <v>0</v>
      </c>
      <c r="AZ586" s="228">
        <v>9999</v>
      </c>
      <c r="BA586" s="244">
        <v>2.7257278584680815</v>
      </c>
      <c r="BB586" s="244">
        <v>0.12872359156608582</v>
      </c>
      <c r="BC586" s="244">
        <v>0.49626085162162781</v>
      </c>
      <c r="BD586" s="244">
        <v>2.1081569194793701</v>
      </c>
      <c r="BE586" s="244">
        <v>5.458869457244873</v>
      </c>
      <c r="BF586" s="244">
        <v>0</v>
      </c>
      <c r="BG586" s="244">
        <v>-55.747810363769531</v>
      </c>
      <c r="BH586" s="228">
        <v>9999</v>
      </c>
      <c r="BI586" s="244">
        <v>0</v>
      </c>
      <c r="BJ586" s="244">
        <v>0</v>
      </c>
      <c r="BK586" s="244">
        <v>0</v>
      </c>
      <c r="BL586" s="244">
        <v>0</v>
      </c>
      <c r="BM586" s="244">
        <v>0</v>
      </c>
      <c r="BN586" s="244">
        <v>2.7257278584680815</v>
      </c>
      <c r="BO586" s="244">
        <v>0</v>
      </c>
      <c r="BP586" s="244">
        <v>0.12872359156608582</v>
      </c>
      <c r="BQ586" s="244">
        <v>0</v>
      </c>
      <c r="BR586" s="244">
        <v>0</v>
      </c>
      <c r="BS586" s="244">
        <v>0</v>
      </c>
      <c r="BT586" s="244">
        <v>2.1081569194793701</v>
      </c>
      <c r="BU586" s="244">
        <v>0</v>
      </c>
      <c r="BV586" s="244">
        <v>0</v>
      </c>
      <c r="BW586" s="244">
        <v>0.49626085162162781</v>
      </c>
      <c r="BX586" s="244">
        <v>0</v>
      </c>
      <c r="BY586" s="244"/>
      <c r="BZ586" s="244">
        <v>0</v>
      </c>
      <c r="CA586" s="244">
        <v>0</v>
      </c>
      <c r="CB586" s="244">
        <v>5.458869457244873</v>
      </c>
      <c r="CC586" s="244">
        <v>0</v>
      </c>
      <c r="CD586" s="228">
        <v>9999</v>
      </c>
      <c r="CE586" s="244">
        <v>-55.747810363769531</v>
      </c>
      <c r="CF586" s="244">
        <v>2.9832831521267957E-2</v>
      </c>
      <c r="CG586" s="244">
        <v>0</v>
      </c>
      <c r="CH586" s="244">
        <v>2.9832831521267957E-2</v>
      </c>
      <c r="CI586" s="244">
        <v>1.4643881902450663E-3</v>
      </c>
      <c r="CJ586" s="244">
        <v>0</v>
      </c>
      <c r="CK586" s="244">
        <v>1.4643881902450663E-3</v>
      </c>
      <c r="CL586" s="244"/>
      <c r="CM586" s="244">
        <v>0</v>
      </c>
      <c r="CN586" s="244" t="s">
        <v>605</v>
      </c>
      <c r="CO586" s="244">
        <v>0</v>
      </c>
      <c r="CP586" s="244">
        <v>0</v>
      </c>
      <c r="CQ586" s="244">
        <v>0</v>
      </c>
      <c r="CR586" s="244">
        <v>0</v>
      </c>
      <c r="CS586" s="244">
        <v>0</v>
      </c>
      <c r="CT586" s="244">
        <v>0</v>
      </c>
      <c r="CU586" s="244">
        <v>0</v>
      </c>
      <c r="CV586" s="244">
        <v>9999</v>
      </c>
      <c r="CW586" s="228">
        <v>9999</v>
      </c>
    </row>
    <row r="587" spans="1:101">
      <c r="A587" s="221" t="s">
        <v>507</v>
      </c>
      <c r="B587" s="221" t="s">
        <v>604</v>
      </c>
      <c r="C587" s="244">
        <v>10</v>
      </c>
      <c r="D587" s="244">
        <v>3.6070212024000017</v>
      </c>
      <c r="E587" s="244">
        <v>0</v>
      </c>
      <c r="F587" s="244">
        <v>0</v>
      </c>
      <c r="G587" s="244">
        <v>0</v>
      </c>
      <c r="H587" s="244">
        <v>0</v>
      </c>
      <c r="I587" s="244" t="s">
        <v>605</v>
      </c>
      <c r="J587" s="244">
        <v>1</v>
      </c>
      <c r="K587" s="244">
        <v>0.63999998569488525</v>
      </c>
      <c r="L587" s="244">
        <v>3.9340438901600008</v>
      </c>
      <c r="M587" s="244">
        <v>2.8741871938109398E-4</v>
      </c>
      <c r="N587" s="244">
        <v>4.490917781367898E-4</v>
      </c>
      <c r="O587" s="244">
        <v>0</v>
      </c>
      <c r="P587" s="244">
        <v>0</v>
      </c>
      <c r="Q587" s="244">
        <v>0</v>
      </c>
      <c r="R587" s="244">
        <v>0</v>
      </c>
      <c r="S587" s="244">
        <v>0</v>
      </c>
      <c r="T587" s="244">
        <v>0</v>
      </c>
      <c r="U587" s="244">
        <v>0</v>
      </c>
      <c r="V587" s="244" t="s">
        <v>226</v>
      </c>
      <c r="W587" s="244" t="s">
        <v>226</v>
      </c>
      <c r="X587" s="244" t="s">
        <v>226</v>
      </c>
      <c r="Y587" s="244" t="s">
        <v>226</v>
      </c>
      <c r="Z587" s="244">
        <v>0</v>
      </c>
      <c r="AA587" s="244">
        <v>0</v>
      </c>
      <c r="AB587" s="244">
        <v>0</v>
      </c>
      <c r="AC587" s="244">
        <v>0</v>
      </c>
      <c r="AD587" s="244">
        <v>0</v>
      </c>
      <c r="AE587" s="244">
        <v>0</v>
      </c>
      <c r="AF587" s="244">
        <v>0</v>
      </c>
      <c r="AG587" s="244">
        <v>0</v>
      </c>
      <c r="AH587" s="244">
        <v>0</v>
      </c>
      <c r="AI587" s="244">
        <v>0</v>
      </c>
      <c r="AJ587" s="244">
        <v>0</v>
      </c>
      <c r="AK587" s="244">
        <v>0</v>
      </c>
      <c r="AL587" s="244">
        <v>0</v>
      </c>
      <c r="AM587" s="244">
        <v>2.7257278584680815</v>
      </c>
      <c r="AN587" s="244">
        <v>0</v>
      </c>
      <c r="AO587" s="244">
        <v>0.48338848352432251</v>
      </c>
      <c r="AP587" s="244">
        <v>2.1081569194793701</v>
      </c>
      <c r="AQ587" s="244">
        <v>5.3172731399536133</v>
      </c>
      <c r="AR587" s="244">
        <v>0</v>
      </c>
      <c r="AS587" s="228">
        <v>9999</v>
      </c>
      <c r="AT587" s="244">
        <v>2.7257278584680815</v>
      </c>
      <c r="AU587" s="244">
        <v>0.12872359156608582</v>
      </c>
      <c r="AV587" s="244">
        <v>0.49626085162162781</v>
      </c>
      <c r="AW587" s="244">
        <v>2.1081569194793701</v>
      </c>
      <c r="AX587" s="244">
        <v>5.458869457244873</v>
      </c>
      <c r="AY587" s="244">
        <v>0</v>
      </c>
      <c r="AZ587" s="228">
        <v>9999</v>
      </c>
      <c r="BA587" s="244">
        <v>2.7257278584680815</v>
      </c>
      <c r="BB587" s="244">
        <v>0.12872359156608582</v>
      </c>
      <c r="BC587" s="244">
        <v>0.49626085162162781</v>
      </c>
      <c r="BD587" s="244">
        <v>2.1081569194793701</v>
      </c>
      <c r="BE587" s="244">
        <v>5.458869457244873</v>
      </c>
      <c r="BF587" s="244">
        <v>0</v>
      </c>
      <c r="BG587" s="244">
        <v>-55.747810363769531</v>
      </c>
      <c r="BH587" s="228">
        <v>9999</v>
      </c>
      <c r="BI587" s="244">
        <v>0</v>
      </c>
      <c r="BJ587" s="244">
        <v>0</v>
      </c>
      <c r="BK587" s="244">
        <v>0</v>
      </c>
      <c r="BL587" s="244">
        <v>0</v>
      </c>
      <c r="BM587" s="244">
        <v>0</v>
      </c>
      <c r="BN587" s="244">
        <v>2.7257278584680815</v>
      </c>
      <c r="BO587" s="244">
        <v>0</v>
      </c>
      <c r="BP587" s="244">
        <v>0.12872359156608582</v>
      </c>
      <c r="BQ587" s="244">
        <v>0</v>
      </c>
      <c r="BR587" s="244">
        <v>0</v>
      </c>
      <c r="BS587" s="244">
        <v>0</v>
      </c>
      <c r="BT587" s="244">
        <v>2.1081569194793701</v>
      </c>
      <c r="BU587" s="244">
        <v>0</v>
      </c>
      <c r="BV587" s="244">
        <v>0</v>
      </c>
      <c r="BW587" s="244">
        <v>0.49626085162162781</v>
      </c>
      <c r="BX587" s="244">
        <v>0</v>
      </c>
      <c r="BY587" s="244"/>
      <c r="BZ587" s="244">
        <v>0</v>
      </c>
      <c r="CA587" s="244">
        <v>0</v>
      </c>
      <c r="CB587" s="244">
        <v>5.458869457244873</v>
      </c>
      <c r="CC587" s="244">
        <v>0</v>
      </c>
      <c r="CD587" s="228">
        <v>9999</v>
      </c>
      <c r="CE587" s="244">
        <v>-55.747810363769531</v>
      </c>
      <c r="CF587" s="244">
        <v>2.9832831521267957E-2</v>
      </c>
      <c r="CG587" s="244">
        <v>0</v>
      </c>
      <c r="CH587" s="244">
        <v>2.9832831521267957E-2</v>
      </c>
      <c r="CI587" s="244">
        <v>1.4643881902450663E-3</v>
      </c>
      <c r="CJ587" s="244">
        <v>0</v>
      </c>
      <c r="CK587" s="244">
        <v>1.4643881902450663E-3</v>
      </c>
      <c r="CL587" s="244"/>
      <c r="CM587" s="244">
        <v>0</v>
      </c>
      <c r="CN587" s="244" t="s">
        <v>605</v>
      </c>
      <c r="CO587" s="244">
        <v>0</v>
      </c>
      <c r="CP587" s="244">
        <v>0</v>
      </c>
      <c r="CQ587" s="244">
        <v>0</v>
      </c>
      <c r="CR587" s="244">
        <v>0</v>
      </c>
      <c r="CS587" s="244">
        <v>0</v>
      </c>
      <c r="CT587" s="244">
        <v>0</v>
      </c>
      <c r="CU587" s="244">
        <v>0</v>
      </c>
      <c r="CV587" s="244">
        <v>9999</v>
      </c>
      <c r="CW587" s="228">
        <v>9999</v>
      </c>
    </row>
    <row r="588" spans="1:101">
      <c r="A588" s="221" t="s">
        <v>508</v>
      </c>
      <c r="B588" s="221" t="s">
        <v>604</v>
      </c>
      <c r="C588" s="244">
        <v>10</v>
      </c>
      <c r="D588" s="244">
        <v>4.0578988527000011</v>
      </c>
      <c r="E588" s="244">
        <v>0</v>
      </c>
      <c r="F588" s="244">
        <v>0</v>
      </c>
      <c r="G588" s="244">
        <v>0</v>
      </c>
      <c r="H588" s="244">
        <v>0</v>
      </c>
      <c r="I588" s="244" t="s">
        <v>605</v>
      </c>
      <c r="J588" s="244">
        <v>1</v>
      </c>
      <c r="K588" s="244">
        <v>0.63999998569488525</v>
      </c>
      <c r="L588" s="244">
        <v>4.4257993764300005</v>
      </c>
      <c r="M588" s="244">
        <v>3.2334605930373073E-4</v>
      </c>
      <c r="N588" s="244">
        <v>5.052282358519733E-4</v>
      </c>
      <c r="O588" s="244">
        <v>0</v>
      </c>
      <c r="P588" s="244">
        <v>0</v>
      </c>
      <c r="Q588" s="244">
        <v>0</v>
      </c>
      <c r="R588" s="244">
        <v>0</v>
      </c>
      <c r="S588" s="244">
        <v>0</v>
      </c>
      <c r="T588" s="244">
        <v>0</v>
      </c>
      <c r="U588" s="244">
        <v>0</v>
      </c>
      <c r="V588" s="244" t="s">
        <v>226</v>
      </c>
      <c r="W588" s="244" t="s">
        <v>226</v>
      </c>
      <c r="X588" s="244" t="s">
        <v>226</v>
      </c>
      <c r="Y588" s="244" t="s">
        <v>226</v>
      </c>
      <c r="Z588" s="244">
        <v>0</v>
      </c>
      <c r="AA588" s="244">
        <v>0</v>
      </c>
      <c r="AB588" s="244">
        <v>0</v>
      </c>
      <c r="AC588" s="244">
        <v>0</v>
      </c>
      <c r="AD588" s="244">
        <v>0</v>
      </c>
      <c r="AE588" s="244">
        <v>0</v>
      </c>
      <c r="AF588" s="244">
        <v>0</v>
      </c>
      <c r="AG588" s="244">
        <v>0</v>
      </c>
      <c r="AH588" s="244">
        <v>0</v>
      </c>
      <c r="AI588" s="244">
        <v>0</v>
      </c>
      <c r="AJ588" s="244">
        <v>0</v>
      </c>
      <c r="AK588" s="244">
        <v>0</v>
      </c>
      <c r="AL588" s="244">
        <v>0</v>
      </c>
      <c r="AM588" s="244">
        <v>3.0664438407765946</v>
      </c>
      <c r="AN588" s="244">
        <v>0</v>
      </c>
      <c r="AO588" s="244">
        <v>0.54381203651428223</v>
      </c>
      <c r="AP588" s="244">
        <v>2.3716762065887451</v>
      </c>
      <c r="AQ588" s="244">
        <v>5.9819321632385254</v>
      </c>
      <c r="AR588" s="244">
        <v>0</v>
      </c>
      <c r="AS588" s="228">
        <v>9999</v>
      </c>
      <c r="AT588" s="244">
        <v>3.0664438407765946</v>
      </c>
      <c r="AU588" s="244">
        <v>0.14481405913829803</v>
      </c>
      <c r="AV588" s="244">
        <v>0.55829340219497681</v>
      </c>
      <c r="AW588" s="244">
        <v>2.3716762065887451</v>
      </c>
      <c r="AX588" s="244">
        <v>6.1412277221679687</v>
      </c>
      <c r="AY588" s="244">
        <v>0</v>
      </c>
      <c r="AZ588" s="228">
        <v>9999</v>
      </c>
      <c r="BA588" s="244">
        <v>3.0664438407765946</v>
      </c>
      <c r="BB588" s="244">
        <v>0.14481405913829803</v>
      </c>
      <c r="BC588" s="244">
        <v>0.55829340219497681</v>
      </c>
      <c r="BD588" s="244">
        <v>2.3716762065887451</v>
      </c>
      <c r="BE588" s="244">
        <v>6.1412277221679687</v>
      </c>
      <c r="BF588" s="244">
        <v>0</v>
      </c>
      <c r="BG588" s="244">
        <v>-55.747802734375</v>
      </c>
      <c r="BH588" s="228">
        <v>9999</v>
      </c>
      <c r="BI588" s="244">
        <v>0</v>
      </c>
      <c r="BJ588" s="244">
        <v>0</v>
      </c>
      <c r="BK588" s="244">
        <v>0</v>
      </c>
      <c r="BL588" s="244">
        <v>0</v>
      </c>
      <c r="BM588" s="244">
        <v>0</v>
      </c>
      <c r="BN588" s="244">
        <v>3.0664438407765946</v>
      </c>
      <c r="BO588" s="244">
        <v>0</v>
      </c>
      <c r="BP588" s="244">
        <v>0.14481405913829803</v>
      </c>
      <c r="BQ588" s="244">
        <v>0</v>
      </c>
      <c r="BR588" s="244">
        <v>0</v>
      </c>
      <c r="BS588" s="244">
        <v>0</v>
      </c>
      <c r="BT588" s="244">
        <v>2.3716762065887451</v>
      </c>
      <c r="BU588" s="244">
        <v>0</v>
      </c>
      <c r="BV588" s="244">
        <v>0</v>
      </c>
      <c r="BW588" s="244">
        <v>0.55829340219497681</v>
      </c>
      <c r="BX588" s="244">
        <v>0</v>
      </c>
      <c r="BY588" s="244"/>
      <c r="BZ588" s="244">
        <v>0</v>
      </c>
      <c r="CA588" s="244">
        <v>0</v>
      </c>
      <c r="CB588" s="244">
        <v>6.1412277221679687</v>
      </c>
      <c r="CC588" s="244">
        <v>0</v>
      </c>
      <c r="CD588" s="228">
        <v>9999</v>
      </c>
      <c r="CE588" s="244">
        <v>-55.747802734375</v>
      </c>
      <c r="CF588" s="244">
        <v>3.3561935461426495E-2</v>
      </c>
      <c r="CG588" s="244">
        <v>0</v>
      </c>
      <c r="CH588" s="244">
        <v>3.3561935461426495E-2</v>
      </c>
      <c r="CI588" s="244">
        <v>1.6474367140256992E-3</v>
      </c>
      <c r="CJ588" s="244">
        <v>0</v>
      </c>
      <c r="CK588" s="244">
        <v>1.6474367140256992E-3</v>
      </c>
      <c r="CL588" s="244"/>
      <c r="CM588" s="244">
        <v>0</v>
      </c>
      <c r="CN588" s="244" t="s">
        <v>605</v>
      </c>
      <c r="CO588" s="244">
        <v>0</v>
      </c>
      <c r="CP588" s="244">
        <v>0</v>
      </c>
      <c r="CQ588" s="244">
        <v>0</v>
      </c>
      <c r="CR588" s="244">
        <v>0</v>
      </c>
      <c r="CS588" s="244">
        <v>0</v>
      </c>
      <c r="CT588" s="244">
        <v>0</v>
      </c>
      <c r="CU588" s="244">
        <v>0</v>
      </c>
      <c r="CV588" s="244">
        <v>9999</v>
      </c>
      <c r="CW588" s="228">
        <v>9999</v>
      </c>
    </row>
    <row r="589" spans="1:101">
      <c r="A589" s="221" t="s">
        <v>509</v>
      </c>
      <c r="B589" s="221" t="s">
        <v>604</v>
      </c>
      <c r="C589" s="244">
        <v>10</v>
      </c>
      <c r="D589" s="244">
        <v>4.0578988527000011</v>
      </c>
      <c r="E589" s="244">
        <v>0</v>
      </c>
      <c r="F589" s="244">
        <v>0</v>
      </c>
      <c r="G589" s="244">
        <v>0</v>
      </c>
      <c r="H589" s="244">
        <v>0</v>
      </c>
      <c r="I589" s="244" t="s">
        <v>605</v>
      </c>
      <c r="J589" s="244">
        <v>1</v>
      </c>
      <c r="K589" s="244">
        <v>0.63999998569488525</v>
      </c>
      <c r="L589" s="244">
        <v>4.4257993764300005</v>
      </c>
      <c r="M589" s="244">
        <v>3.2334605930373073E-4</v>
      </c>
      <c r="N589" s="244">
        <v>5.052282358519733E-4</v>
      </c>
      <c r="O589" s="244">
        <v>0</v>
      </c>
      <c r="P589" s="244">
        <v>0</v>
      </c>
      <c r="Q589" s="244">
        <v>0</v>
      </c>
      <c r="R589" s="244">
        <v>0</v>
      </c>
      <c r="S589" s="244">
        <v>0</v>
      </c>
      <c r="T589" s="244">
        <v>0</v>
      </c>
      <c r="U589" s="244">
        <v>0</v>
      </c>
      <c r="V589" s="244" t="s">
        <v>226</v>
      </c>
      <c r="W589" s="244" t="s">
        <v>226</v>
      </c>
      <c r="X589" s="244" t="s">
        <v>226</v>
      </c>
      <c r="Y589" s="244" t="s">
        <v>226</v>
      </c>
      <c r="Z589" s="244">
        <v>0</v>
      </c>
      <c r="AA589" s="244">
        <v>0</v>
      </c>
      <c r="AB589" s="244">
        <v>0</v>
      </c>
      <c r="AC589" s="244">
        <v>0</v>
      </c>
      <c r="AD589" s="244">
        <v>0</v>
      </c>
      <c r="AE589" s="244">
        <v>0</v>
      </c>
      <c r="AF589" s="244">
        <v>0</v>
      </c>
      <c r="AG589" s="244">
        <v>0</v>
      </c>
      <c r="AH589" s="244">
        <v>0</v>
      </c>
      <c r="AI589" s="244">
        <v>0</v>
      </c>
      <c r="AJ589" s="244">
        <v>0</v>
      </c>
      <c r="AK589" s="244">
        <v>0</v>
      </c>
      <c r="AL589" s="244">
        <v>0</v>
      </c>
      <c r="AM589" s="244">
        <v>3.0664438407765946</v>
      </c>
      <c r="AN589" s="244">
        <v>0</v>
      </c>
      <c r="AO589" s="244">
        <v>0.54381203651428223</v>
      </c>
      <c r="AP589" s="244">
        <v>2.3716762065887451</v>
      </c>
      <c r="AQ589" s="244">
        <v>5.9819321632385254</v>
      </c>
      <c r="AR589" s="244">
        <v>0</v>
      </c>
      <c r="AS589" s="228">
        <v>9999</v>
      </c>
      <c r="AT589" s="244">
        <v>3.0664438407765946</v>
      </c>
      <c r="AU589" s="244">
        <v>0.14481405913829803</v>
      </c>
      <c r="AV589" s="244">
        <v>0.55829340219497681</v>
      </c>
      <c r="AW589" s="244">
        <v>2.3716762065887451</v>
      </c>
      <c r="AX589" s="244">
        <v>6.1412277221679687</v>
      </c>
      <c r="AY589" s="244">
        <v>0</v>
      </c>
      <c r="AZ589" s="228">
        <v>9999</v>
      </c>
      <c r="BA589" s="244">
        <v>3.0664438407765946</v>
      </c>
      <c r="BB589" s="244">
        <v>0.14481405913829803</v>
      </c>
      <c r="BC589" s="244">
        <v>0.55829340219497681</v>
      </c>
      <c r="BD589" s="244">
        <v>2.3716762065887451</v>
      </c>
      <c r="BE589" s="244">
        <v>6.1412277221679687</v>
      </c>
      <c r="BF589" s="244">
        <v>0</v>
      </c>
      <c r="BG589" s="244">
        <v>-55.747802734375</v>
      </c>
      <c r="BH589" s="228">
        <v>9999</v>
      </c>
      <c r="BI589" s="244">
        <v>0</v>
      </c>
      <c r="BJ589" s="244">
        <v>0</v>
      </c>
      <c r="BK589" s="244">
        <v>0</v>
      </c>
      <c r="BL589" s="244">
        <v>0</v>
      </c>
      <c r="BM589" s="244">
        <v>0</v>
      </c>
      <c r="BN589" s="244">
        <v>3.0664438407765946</v>
      </c>
      <c r="BO589" s="244">
        <v>0</v>
      </c>
      <c r="BP589" s="244">
        <v>0.14481405913829803</v>
      </c>
      <c r="BQ589" s="244">
        <v>0</v>
      </c>
      <c r="BR589" s="244">
        <v>0</v>
      </c>
      <c r="BS589" s="244">
        <v>0</v>
      </c>
      <c r="BT589" s="244">
        <v>2.3716762065887451</v>
      </c>
      <c r="BU589" s="244">
        <v>0</v>
      </c>
      <c r="BV589" s="244">
        <v>0</v>
      </c>
      <c r="BW589" s="244">
        <v>0.55829340219497681</v>
      </c>
      <c r="BX589" s="244">
        <v>0</v>
      </c>
      <c r="BY589" s="244"/>
      <c r="BZ589" s="244">
        <v>0</v>
      </c>
      <c r="CA589" s="244">
        <v>0</v>
      </c>
      <c r="CB589" s="244">
        <v>6.1412277221679687</v>
      </c>
      <c r="CC589" s="244">
        <v>0</v>
      </c>
      <c r="CD589" s="228">
        <v>9999</v>
      </c>
      <c r="CE589" s="244">
        <v>-55.747802734375</v>
      </c>
      <c r="CF589" s="244">
        <v>3.3561935461426495E-2</v>
      </c>
      <c r="CG589" s="244">
        <v>0</v>
      </c>
      <c r="CH589" s="244">
        <v>3.3561935461426495E-2</v>
      </c>
      <c r="CI589" s="244">
        <v>1.6474367140256992E-3</v>
      </c>
      <c r="CJ589" s="244">
        <v>0</v>
      </c>
      <c r="CK589" s="244">
        <v>1.6474367140256992E-3</v>
      </c>
      <c r="CL589" s="244"/>
      <c r="CM589" s="244">
        <v>0</v>
      </c>
      <c r="CN589" s="244" t="s">
        <v>605</v>
      </c>
      <c r="CO589" s="244">
        <v>0</v>
      </c>
      <c r="CP589" s="244">
        <v>0</v>
      </c>
      <c r="CQ589" s="244">
        <v>0</v>
      </c>
      <c r="CR589" s="244">
        <v>0</v>
      </c>
      <c r="CS589" s="244">
        <v>0</v>
      </c>
      <c r="CT589" s="244">
        <v>0</v>
      </c>
      <c r="CU589" s="244">
        <v>0</v>
      </c>
      <c r="CV589" s="244">
        <v>9999</v>
      </c>
      <c r="CW589" s="228">
        <v>9999</v>
      </c>
    </row>
    <row r="590" spans="1:101">
      <c r="A590" s="221" t="s">
        <v>510</v>
      </c>
      <c r="B590" s="221" t="s">
        <v>604</v>
      </c>
      <c r="C590" s="244">
        <v>10</v>
      </c>
      <c r="D590" s="244">
        <v>4.0578988527000011</v>
      </c>
      <c r="E590" s="244">
        <v>0</v>
      </c>
      <c r="F590" s="244">
        <v>0</v>
      </c>
      <c r="G590" s="244">
        <v>0</v>
      </c>
      <c r="H590" s="244">
        <v>0</v>
      </c>
      <c r="I590" s="244" t="s">
        <v>605</v>
      </c>
      <c r="J590" s="244">
        <v>1</v>
      </c>
      <c r="K590" s="244">
        <v>0.63999998569488525</v>
      </c>
      <c r="L590" s="244">
        <v>4.4257993764300005</v>
      </c>
      <c r="M590" s="244">
        <v>3.2334605930373073E-4</v>
      </c>
      <c r="N590" s="244">
        <v>5.052282358519733E-4</v>
      </c>
      <c r="O590" s="244">
        <v>0</v>
      </c>
      <c r="P590" s="244">
        <v>0</v>
      </c>
      <c r="Q590" s="244">
        <v>0</v>
      </c>
      <c r="R590" s="244">
        <v>0</v>
      </c>
      <c r="S590" s="244">
        <v>0</v>
      </c>
      <c r="T590" s="244">
        <v>0</v>
      </c>
      <c r="U590" s="244">
        <v>0</v>
      </c>
      <c r="V590" s="244" t="s">
        <v>226</v>
      </c>
      <c r="W590" s="244" t="s">
        <v>226</v>
      </c>
      <c r="X590" s="244" t="s">
        <v>226</v>
      </c>
      <c r="Y590" s="244" t="s">
        <v>226</v>
      </c>
      <c r="Z590" s="244">
        <v>0</v>
      </c>
      <c r="AA590" s="244">
        <v>0</v>
      </c>
      <c r="AB590" s="244">
        <v>0</v>
      </c>
      <c r="AC590" s="244">
        <v>0</v>
      </c>
      <c r="AD590" s="244">
        <v>0</v>
      </c>
      <c r="AE590" s="244">
        <v>0</v>
      </c>
      <c r="AF590" s="244">
        <v>0</v>
      </c>
      <c r="AG590" s="244">
        <v>0</v>
      </c>
      <c r="AH590" s="244">
        <v>0</v>
      </c>
      <c r="AI590" s="244">
        <v>0</v>
      </c>
      <c r="AJ590" s="244">
        <v>0</v>
      </c>
      <c r="AK590" s="244">
        <v>0</v>
      </c>
      <c r="AL590" s="244">
        <v>0</v>
      </c>
      <c r="AM590" s="244">
        <v>3.0664438407765946</v>
      </c>
      <c r="AN590" s="244">
        <v>0</v>
      </c>
      <c r="AO590" s="244">
        <v>0.54381203651428223</v>
      </c>
      <c r="AP590" s="244">
        <v>2.3716762065887451</v>
      </c>
      <c r="AQ590" s="244">
        <v>5.9819321632385254</v>
      </c>
      <c r="AR590" s="244">
        <v>0</v>
      </c>
      <c r="AS590" s="228">
        <v>9999</v>
      </c>
      <c r="AT590" s="244">
        <v>3.0664438407765946</v>
      </c>
      <c r="AU590" s="244">
        <v>0.14481405913829803</v>
      </c>
      <c r="AV590" s="244">
        <v>0.55829340219497681</v>
      </c>
      <c r="AW590" s="244">
        <v>2.3716762065887451</v>
      </c>
      <c r="AX590" s="244">
        <v>6.1412277221679687</v>
      </c>
      <c r="AY590" s="244">
        <v>0</v>
      </c>
      <c r="AZ590" s="228">
        <v>9999</v>
      </c>
      <c r="BA590" s="244">
        <v>3.0664438407765946</v>
      </c>
      <c r="BB590" s="244">
        <v>0.14481405913829803</v>
      </c>
      <c r="BC590" s="244">
        <v>0.55829340219497681</v>
      </c>
      <c r="BD590" s="244">
        <v>2.3716762065887451</v>
      </c>
      <c r="BE590" s="244">
        <v>6.1412277221679687</v>
      </c>
      <c r="BF590" s="244">
        <v>0</v>
      </c>
      <c r="BG590" s="244">
        <v>-55.747802734375</v>
      </c>
      <c r="BH590" s="228">
        <v>9999</v>
      </c>
      <c r="BI590" s="244">
        <v>0</v>
      </c>
      <c r="BJ590" s="244">
        <v>0</v>
      </c>
      <c r="BK590" s="244">
        <v>0</v>
      </c>
      <c r="BL590" s="244">
        <v>0</v>
      </c>
      <c r="BM590" s="244">
        <v>0</v>
      </c>
      <c r="BN590" s="244">
        <v>3.0664438407765946</v>
      </c>
      <c r="BO590" s="244">
        <v>0</v>
      </c>
      <c r="BP590" s="244">
        <v>0.14481405913829803</v>
      </c>
      <c r="BQ590" s="244">
        <v>0</v>
      </c>
      <c r="BR590" s="244">
        <v>0</v>
      </c>
      <c r="BS590" s="244">
        <v>0</v>
      </c>
      <c r="BT590" s="244">
        <v>2.3716762065887451</v>
      </c>
      <c r="BU590" s="244">
        <v>0</v>
      </c>
      <c r="BV590" s="244">
        <v>0</v>
      </c>
      <c r="BW590" s="244">
        <v>0.55829340219497681</v>
      </c>
      <c r="BX590" s="244">
        <v>0</v>
      </c>
      <c r="BY590" s="244"/>
      <c r="BZ590" s="244">
        <v>0</v>
      </c>
      <c r="CA590" s="244">
        <v>0</v>
      </c>
      <c r="CB590" s="244">
        <v>6.1412277221679687</v>
      </c>
      <c r="CC590" s="244">
        <v>0</v>
      </c>
      <c r="CD590" s="228">
        <v>9999</v>
      </c>
      <c r="CE590" s="244">
        <v>-55.747802734375</v>
      </c>
      <c r="CF590" s="244">
        <v>3.3561935461426495E-2</v>
      </c>
      <c r="CG590" s="244">
        <v>0</v>
      </c>
      <c r="CH590" s="244">
        <v>3.3561935461426495E-2</v>
      </c>
      <c r="CI590" s="244">
        <v>1.6474367140256992E-3</v>
      </c>
      <c r="CJ590" s="244">
        <v>0</v>
      </c>
      <c r="CK590" s="244">
        <v>1.6474367140256992E-3</v>
      </c>
      <c r="CL590" s="244"/>
      <c r="CM590" s="244">
        <v>0</v>
      </c>
      <c r="CN590" s="244" t="s">
        <v>605</v>
      </c>
      <c r="CO590" s="244">
        <v>0</v>
      </c>
      <c r="CP590" s="244">
        <v>0</v>
      </c>
      <c r="CQ590" s="244">
        <v>0</v>
      </c>
      <c r="CR590" s="244">
        <v>0</v>
      </c>
      <c r="CS590" s="244">
        <v>0</v>
      </c>
      <c r="CT590" s="244">
        <v>0</v>
      </c>
      <c r="CU590" s="244">
        <v>0</v>
      </c>
      <c r="CV590" s="244">
        <v>9999</v>
      </c>
      <c r="CW590" s="228">
        <v>9999</v>
      </c>
    </row>
    <row r="591" spans="1:101">
      <c r="A591" s="221" t="s">
        <v>511</v>
      </c>
      <c r="B591" s="221" t="s">
        <v>604</v>
      </c>
      <c r="C591" s="244">
        <v>10</v>
      </c>
      <c r="D591" s="244">
        <v>6.3122871042000019</v>
      </c>
      <c r="E591" s="244">
        <v>0</v>
      </c>
      <c r="F591" s="244">
        <v>0</v>
      </c>
      <c r="G591" s="244">
        <v>0</v>
      </c>
      <c r="H591" s="244">
        <v>0</v>
      </c>
      <c r="I591" s="244" t="s">
        <v>605</v>
      </c>
      <c r="J591" s="244">
        <v>1</v>
      </c>
      <c r="K591" s="244">
        <v>0.63999998569488525</v>
      </c>
      <c r="L591" s="244">
        <v>6.8845768077800011</v>
      </c>
      <c r="M591" s="244">
        <v>5.0298275891691446E-4</v>
      </c>
      <c r="N591" s="244">
        <v>7.8591058263555169E-4</v>
      </c>
      <c r="O591" s="244">
        <v>0</v>
      </c>
      <c r="P591" s="244">
        <v>0</v>
      </c>
      <c r="Q591" s="244">
        <v>0</v>
      </c>
      <c r="R591" s="244">
        <v>0</v>
      </c>
      <c r="S591" s="244">
        <v>0</v>
      </c>
      <c r="T591" s="244">
        <v>0</v>
      </c>
      <c r="U591" s="244">
        <v>0</v>
      </c>
      <c r="V591" s="244" t="s">
        <v>226</v>
      </c>
      <c r="W591" s="244" t="s">
        <v>226</v>
      </c>
      <c r="X591" s="244" t="s">
        <v>226</v>
      </c>
      <c r="Y591" s="244" t="s">
        <v>226</v>
      </c>
      <c r="Z591" s="244">
        <v>0</v>
      </c>
      <c r="AA591" s="244">
        <v>0</v>
      </c>
      <c r="AB591" s="244">
        <v>0</v>
      </c>
      <c r="AC591" s="244">
        <v>0</v>
      </c>
      <c r="AD591" s="244">
        <v>0</v>
      </c>
      <c r="AE591" s="244">
        <v>0</v>
      </c>
      <c r="AF591" s="244">
        <v>0</v>
      </c>
      <c r="AG591" s="244">
        <v>0</v>
      </c>
      <c r="AH591" s="244">
        <v>0</v>
      </c>
      <c r="AI591" s="244">
        <v>0</v>
      </c>
      <c r="AJ591" s="244">
        <v>0</v>
      </c>
      <c r="AK591" s="244">
        <v>0</v>
      </c>
      <c r="AL591" s="244">
        <v>0</v>
      </c>
      <c r="AM591" s="244">
        <v>4.7700237523191493</v>
      </c>
      <c r="AN591" s="244">
        <v>0</v>
      </c>
      <c r="AO591" s="244">
        <v>0.84592986106872559</v>
      </c>
      <c r="AP591" s="244">
        <v>3.6892745494842529</v>
      </c>
      <c r="AQ591" s="244">
        <v>9.3052282333374023</v>
      </c>
      <c r="AR591" s="244">
        <v>0</v>
      </c>
      <c r="AS591" s="228">
        <v>9999</v>
      </c>
      <c r="AT591" s="244">
        <v>4.7700237523191493</v>
      </c>
      <c r="AU591" s="244">
        <v>0.22526629269123077</v>
      </c>
      <c r="AV591" s="244">
        <v>0.86845648288726807</v>
      </c>
      <c r="AW591" s="244">
        <v>3.6892745494842529</v>
      </c>
      <c r="AX591" s="244">
        <v>9.5530214309692383</v>
      </c>
      <c r="AY591" s="244">
        <v>0</v>
      </c>
      <c r="AZ591" s="228">
        <v>9999</v>
      </c>
      <c r="BA591" s="244">
        <v>4.7700237523191493</v>
      </c>
      <c r="BB591" s="244">
        <v>0.22526629269123077</v>
      </c>
      <c r="BC591" s="244">
        <v>0.86845648288726807</v>
      </c>
      <c r="BD591" s="244">
        <v>3.6892745494842529</v>
      </c>
      <c r="BE591" s="244">
        <v>9.5530214309692383</v>
      </c>
      <c r="BF591" s="244">
        <v>0</v>
      </c>
      <c r="BG591" s="244">
        <v>-55.747810363769531</v>
      </c>
      <c r="BH591" s="228">
        <v>9999</v>
      </c>
      <c r="BI591" s="244">
        <v>0</v>
      </c>
      <c r="BJ591" s="244">
        <v>0</v>
      </c>
      <c r="BK591" s="244">
        <v>0</v>
      </c>
      <c r="BL591" s="244">
        <v>0</v>
      </c>
      <c r="BM591" s="244">
        <v>0</v>
      </c>
      <c r="BN591" s="244">
        <v>4.7700237523191493</v>
      </c>
      <c r="BO591" s="244">
        <v>0</v>
      </c>
      <c r="BP591" s="244">
        <v>0.22526629269123077</v>
      </c>
      <c r="BQ591" s="244">
        <v>0</v>
      </c>
      <c r="BR591" s="244">
        <v>0</v>
      </c>
      <c r="BS591" s="244">
        <v>0</v>
      </c>
      <c r="BT591" s="244">
        <v>3.6892745494842529</v>
      </c>
      <c r="BU591" s="244">
        <v>0</v>
      </c>
      <c r="BV591" s="244">
        <v>0</v>
      </c>
      <c r="BW591" s="244">
        <v>0.86845648288726807</v>
      </c>
      <c r="BX591" s="244">
        <v>0</v>
      </c>
      <c r="BY591" s="244"/>
      <c r="BZ591" s="244">
        <v>0</v>
      </c>
      <c r="CA591" s="244">
        <v>0</v>
      </c>
      <c r="CB591" s="244">
        <v>9.5530214309692383</v>
      </c>
      <c r="CC591" s="244">
        <v>0</v>
      </c>
      <c r="CD591" s="228">
        <v>9999</v>
      </c>
      <c r="CE591" s="244">
        <v>-55.747810363769531</v>
      </c>
      <c r="CF591" s="244">
        <v>5.2207455162219099E-2</v>
      </c>
      <c r="CG591" s="244">
        <v>0</v>
      </c>
      <c r="CH591" s="244">
        <v>5.2207455162219099E-2</v>
      </c>
      <c r="CI591" s="244">
        <v>2.5626793329288633E-3</v>
      </c>
      <c r="CJ591" s="244">
        <v>0</v>
      </c>
      <c r="CK591" s="244">
        <v>2.5626793329288633E-3</v>
      </c>
      <c r="CL591" s="244"/>
      <c r="CM591" s="244">
        <v>0</v>
      </c>
      <c r="CN591" s="244" t="s">
        <v>605</v>
      </c>
      <c r="CO591" s="244">
        <v>0</v>
      </c>
      <c r="CP591" s="244">
        <v>0</v>
      </c>
      <c r="CQ591" s="244">
        <v>0</v>
      </c>
      <c r="CR591" s="244">
        <v>0</v>
      </c>
      <c r="CS591" s="244">
        <v>0</v>
      </c>
      <c r="CT591" s="244">
        <v>0</v>
      </c>
      <c r="CU591" s="244">
        <v>0</v>
      </c>
      <c r="CV591" s="244">
        <v>9999</v>
      </c>
      <c r="CW591" s="228">
        <v>9999</v>
      </c>
    </row>
    <row r="592" spans="1:101">
      <c r="A592" s="221" t="s">
        <v>512</v>
      </c>
      <c r="B592" s="221" t="s">
        <v>604</v>
      </c>
      <c r="C592" s="244">
        <v>10</v>
      </c>
      <c r="D592" s="244">
        <v>6.3122871042000019</v>
      </c>
      <c r="E592" s="244">
        <v>0</v>
      </c>
      <c r="F592" s="244">
        <v>0</v>
      </c>
      <c r="G592" s="244">
        <v>0</v>
      </c>
      <c r="H592" s="244">
        <v>0</v>
      </c>
      <c r="I592" s="244" t="s">
        <v>605</v>
      </c>
      <c r="J592" s="244">
        <v>1</v>
      </c>
      <c r="K592" s="244">
        <v>0.63999998569488525</v>
      </c>
      <c r="L592" s="244">
        <v>6.8845768077800011</v>
      </c>
      <c r="M592" s="244">
        <v>5.0298275891691446E-4</v>
      </c>
      <c r="N592" s="244">
        <v>7.8591058263555169E-4</v>
      </c>
      <c r="O592" s="244">
        <v>0</v>
      </c>
      <c r="P592" s="244">
        <v>0</v>
      </c>
      <c r="Q592" s="244">
        <v>0</v>
      </c>
      <c r="R592" s="244">
        <v>0</v>
      </c>
      <c r="S592" s="244">
        <v>0</v>
      </c>
      <c r="T592" s="244">
        <v>0</v>
      </c>
      <c r="U592" s="244">
        <v>0</v>
      </c>
      <c r="V592" s="244" t="s">
        <v>226</v>
      </c>
      <c r="W592" s="244" t="s">
        <v>226</v>
      </c>
      <c r="X592" s="244" t="s">
        <v>226</v>
      </c>
      <c r="Y592" s="244" t="s">
        <v>226</v>
      </c>
      <c r="Z592" s="244">
        <v>0</v>
      </c>
      <c r="AA592" s="244">
        <v>0</v>
      </c>
      <c r="AB592" s="244">
        <v>0</v>
      </c>
      <c r="AC592" s="244">
        <v>0</v>
      </c>
      <c r="AD592" s="244">
        <v>0</v>
      </c>
      <c r="AE592" s="244">
        <v>0</v>
      </c>
      <c r="AF592" s="244">
        <v>0</v>
      </c>
      <c r="AG592" s="244">
        <v>0</v>
      </c>
      <c r="AH592" s="244">
        <v>0</v>
      </c>
      <c r="AI592" s="244">
        <v>0</v>
      </c>
      <c r="AJ592" s="244">
        <v>0</v>
      </c>
      <c r="AK592" s="244">
        <v>0</v>
      </c>
      <c r="AL592" s="244">
        <v>0</v>
      </c>
      <c r="AM592" s="244">
        <v>4.7700237523191493</v>
      </c>
      <c r="AN592" s="244">
        <v>0</v>
      </c>
      <c r="AO592" s="244">
        <v>0.84592986106872559</v>
      </c>
      <c r="AP592" s="244">
        <v>3.6892745494842529</v>
      </c>
      <c r="AQ592" s="244">
        <v>9.3052282333374023</v>
      </c>
      <c r="AR592" s="244">
        <v>0</v>
      </c>
      <c r="AS592" s="228">
        <v>9999</v>
      </c>
      <c r="AT592" s="244">
        <v>4.7700237523191493</v>
      </c>
      <c r="AU592" s="244">
        <v>0.22526629269123077</v>
      </c>
      <c r="AV592" s="244">
        <v>0.86845648288726807</v>
      </c>
      <c r="AW592" s="244">
        <v>3.6892745494842529</v>
      </c>
      <c r="AX592" s="244">
        <v>9.5530214309692383</v>
      </c>
      <c r="AY592" s="244">
        <v>0</v>
      </c>
      <c r="AZ592" s="228">
        <v>9999</v>
      </c>
      <c r="BA592" s="244">
        <v>4.7700237523191493</v>
      </c>
      <c r="BB592" s="244">
        <v>0.22526629269123077</v>
      </c>
      <c r="BC592" s="244">
        <v>0.86845648288726807</v>
      </c>
      <c r="BD592" s="244">
        <v>3.6892745494842529</v>
      </c>
      <c r="BE592" s="244">
        <v>9.5530214309692383</v>
      </c>
      <c r="BF592" s="244">
        <v>0</v>
      </c>
      <c r="BG592" s="244">
        <v>-55.747810363769531</v>
      </c>
      <c r="BH592" s="228">
        <v>9999</v>
      </c>
      <c r="BI592" s="244">
        <v>0</v>
      </c>
      <c r="BJ592" s="244">
        <v>0</v>
      </c>
      <c r="BK592" s="244">
        <v>0</v>
      </c>
      <c r="BL592" s="244">
        <v>0</v>
      </c>
      <c r="BM592" s="244">
        <v>0</v>
      </c>
      <c r="BN592" s="244">
        <v>4.7700237523191493</v>
      </c>
      <c r="BO592" s="244">
        <v>0</v>
      </c>
      <c r="BP592" s="244">
        <v>0.22526629269123077</v>
      </c>
      <c r="BQ592" s="244">
        <v>0</v>
      </c>
      <c r="BR592" s="244">
        <v>0</v>
      </c>
      <c r="BS592" s="244">
        <v>0</v>
      </c>
      <c r="BT592" s="244">
        <v>3.6892745494842529</v>
      </c>
      <c r="BU592" s="244">
        <v>0</v>
      </c>
      <c r="BV592" s="244">
        <v>0</v>
      </c>
      <c r="BW592" s="244">
        <v>0.86845648288726807</v>
      </c>
      <c r="BX592" s="244">
        <v>0</v>
      </c>
      <c r="BY592" s="244"/>
      <c r="BZ592" s="244">
        <v>0</v>
      </c>
      <c r="CA592" s="244">
        <v>0</v>
      </c>
      <c r="CB592" s="244">
        <v>9.5530214309692383</v>
      </c>
      <c r="CC592" s="244">
        <v>0</v>
      </c>
      <c r="CD592" s="228">
        <v>9999</v>
      </c>
      <c r="CE592" s="244">
        <v>-55.747810363769531</v>
      </c>
      <c r="CF592" s="244">
        <v>5.2207455162219099E-2</v>
      </c>
      <c r="CG592" s="244">
        <v>0</v>
      </c>
      <c r="CH592" s="244">
        <v>5.2207455162219099E-2</v>
      </c>
      <c r="CI592" s="244">
        <v>2.5626793329288633E-3</v>
      </c>
      <c r="CJ592" s="244">
        <v>0</v>
      </c>
      <c r="CK592" s="244">
        <v>2.5626793329288633E-3</v>
      </c>
      <c r="CL592" s="244"/>
      <c r="CM592" s="244">
        <v>0</v>
      </c>
      <c r="CN592" s="244" t="s">
        <v>605</v>
      </c>
      <c r="CO592" s="244">
        <v>0</v>
      </c>
      <c r="CP592" s="244">
        <v>0</v>
      </c>
      <c r="CQ592" s="244">
        <v>0</v>
      </c>
      <c r="CR592" s="244">
        <v>0</v>
      </c>
      <c r="CS592" s="244">
        <v>0</v>
      </c>
      <c r="CT592" s="244">
        <v>0</v>
      </c>
      <c r="CU592" s="244">
        <v>0</v>
      </c>
      <c r="CV592" s="244">
        <v>9999</v>
      </c>
      <c r="CW592" s="228">
        <v>9999</v>
      </c>
    </row>
    <row r="593" spans="1:101">
      <c r="A593" s="221" t="s">
        <v>513</v>
      </c>
      <c r="B593" s="221" t="s">
        <v>604</v>
      </c>
      <c r="C593" s="244">
        <v>10</v>
      </c>
      <c r="D593" s="244">
        <v>6.3122871042000019</v>
      </c>
      <c r="E593" s="244">
        <v>0</v>
      </c>
      <c r="F593" s="244">
        <v>0</v>
      </c>
      <c r="G593" s="244">
        <v>0</v>
      </c>
      <c r="H593" s="244">
        <v>0</v>
      </c>
      <c r="I593" s="244" t="s">
        <v>605</v>
      </c>
      <c r="J593" s="244">
        <v>1</v>
      </c>
      <c r="K593" s="244">
        <v>0.63999998569488525</v>
      </c>
      <c r="L593" s="244">
        <v>6.8845768077800011</v>
      </c>
      <c r="M593" s="244">
        <v>5.0298275891691446E-4</v>
      </c>
      <c r="N593" s="244">
        <v>7.8591058263555169E-4</v>
      </c>
      <c r="O593" s="244">
        <v>0</v>
      </c>
      <c r="P593" s="244">
        <v>0</v>
      </c>
      <c r="Q593" s="244">
        <v>0</v>
      </c>
      <c r="R593" s="244">
        <v>0</v>
      </c>
      <c r="S593" s="244">
        <v>0</v>
      </c>
      <c r="T593" s="244">
        <v>0</v>
      </c>
      <c r="U593" s="244">
        <v>0</v>
      </c>
      <c r="V593" s="244" t="s">
        <v>226</v>
      </c>
      <c r="W593" s="244" t="s">
        <v>226</v>
      </c>
      <c r="X593" s="244" t="s">
        <v>226</v>
      </c>
      <c r="Y593" s="244" t="s">
        <v>226</v>
      </c>
      <c r="Z593" s="244">
        <v>0</v>
      </c>
      <c r="AA593" s="244">
        <v>0</v>
      </c>
      <c r="AB593" s="244">
        <v>0</v>
      </c>
      <c r="AC593" s="244">
        <v>0</v>
      </c>
      <c r="AD593" s="244">
        <v>0</v>
      </c>
      <c r="AE593" s="244">
        <v>0</v>
      </c>
      <c r="AF593" s="244">
        <v>0</v>
      </c>
      <c r="AG593" s="244">
        <v>0</v>
      </c>
      <c r="AH593" s="244">
        <v>0</v>
      </c>
      <c r="AI593" s="244">
        <v>0</v>
      </c>
      <c r="AJ593" s="244">
        <v>0</v>
      </c>
      <c r="AK593" s="244">
        <v>0</v>
      </c>
      <c r="AL593" s="244">
        <v>0</v>
      </c>
      <c r="AM593" s="244">
        <v>4.7700237523191493</v>
      </c>
      <c r="AN593" s="244">
        <v>0</v>
      </c>
      <c r="AO593" s="244">
        <v>0.84592986106872559</v>
      </c>
      <c r="AP593" s="244">
        <v>3.6892745494842529</v>
      </c>
      <c r="AQ593" s="244">
        <v>9.3052282333374023</v>
      </c>
      <c r="AR593" s="244">
        <v>0</v>
      </c>
      <c r="AS593" s="228">
        <v>9999</v>
      </c>
      <c r="AT593" s="244">
        <v>4.7700237523191493</v>
      </c>
      <c r="AU593" s="244">
        <v>0.22526629269123077</v>
      </c>
      <c r="AV593" s="244">
        <v>0.86845648288726807</v>
      </c>
      <c r="AW593" s="244">
        <v>3.6892745494842529</v>
      </c>
      <c r="AX593" s="244">
        <v>9.5530214309692383</v>
      </c>
      <c r="AY593" s="244">
        <v>0</v>
      </c>
      <c r="AZ593" s="228">
        <v>9999</v>
      </c>
      <c r="BA593" s="244">
        <v>4.7700237523191493</v>
      </c>
      <c r="BB593" s="244">
        <v>0.22526629269123077</v>
      </c>
      <c r="BC593" s="244">
        <v>0.86845648288726807</v>
      </c>
      <c r="BD593" s="244">
        <v>3.6892745494842529</v>
      </c>
      <c r="BE593" s="244">
        <v>9.5530214309692383</v>
      </c>
      <c r="BF593" s="244">
        <v>0</v>
      </c>
      <c r="BG593" s="244">
        <v>-55.747810363769531</v>
      </c>
      <c r="BH593" s="228">
        <v>9999</v>
      </c>
      <c r="BI593" s="244">
        <v>0</v>
      </c>
      <c r="BJ593" s="244">
        <v>0</v>
      </c>
      <c r="BK593" s="244">
        <v>0</v>
      </c>
      <c r="BL593" s="244">
        <v>0</v>
      </c>
      <c r="BM593" s="244">
        <v>0</v>
      </c>
      <c r="BN593" s="244">
        <v>4.7700237523191493</v>
      </c>
      <c r="BO593" s="244">
        <v>0</v>
      </c>
      <c r="BP593" s="244">
        <v>0.22526629269123077</v>
      </c>
      <c r="BQ593" s="244">
        <v>0</v>
      </c>
      <c r="BR593" s="244">
        <v>0</v>
      </c>
      <c r="BS593" s="244">
        <v>0</v>
      </c>
      <c r="BT593" s="244">
        <v>3.6892745494842529</v>
      </c>
      <c r="BU593" s="244">
        <v>0</v>
      </c>
      <c r="BV593" s="244">
        <v>0</v>
      </c>
      <c r="BW593" s="244">
        <v>0.86845648288726807</v>
      </c>
      <c r="BX593" s="244">
        <v>0</v>
      </c>
      <c r="BY593" s="244"/>
      <c r="BZ593" s="244">
        <v>0</v>
      </c>
      <c r="CA593" s="244">
        <v>0</v>
      </c>
      <c r="CB593" s="244">
        <v>9.5530214309692383</v>
      </c>
      <c r="CC593" s="244">
        <v>0</v>
      </c>
      <c r="CD593" s="228">
        <v>9999</v>
      </c>
      <c r="CE593" s="244">
        <v>-55.747810363769531</v>
      </c>
      <c r="CF593" s="244">
        <v>5.2207455162219099E-2</v>
      </c>
      <c r="CG593" s="244">
        <v>0</v>
      </c>
      <c r="CH593" s="244">
        <v>5.2207455162219099E-2</v>
      </c>
      <c r="CI593" s="244">
        <v>2.5626793329288633E-3</v>
      </c>
      <c r="CJ593" s="244">
        <v>0</v>
      </c>
      <c r="CK593" s="244">
        <v>2.5626793329288633E-3</v>
      </c>
      <c r="CL593" s="244"/>
      <c r="CM593" s="244">
        <v>0</v>
      </c>
      <c r="CN593" s="244" t="s">
        <v>605</v>
      </c>
      <c r="CO593" s="244">
        <v>0</v>
      </c>
      <c r="CP593" s="244">
        <v>0</v>
      </c>
      <c r="CQ593" s="244">
        <v>0</v>
      </c>
      <c r="CR593" s="244">
        <v>0</v>
      </c>
      <c r="CS593" s="244">
        <v>0</v>
      </c>
      <c r="CT593" s="244">
        <v>0</v>
      </c>
      <c r="CU593" s="244">
        <v>0</v>
      </c>
      <c r="CV593" s="244">
        <v>9999</v>
      </c>
      <c r="CW593" s="228">
        <v>9999</v>
      </c>
    </row>
    <row r="594" spans="1:101">
      <c r="A594" s="221" t="s">
        <v>514</v>
      </c>
      <c r="B594" s="221" t="s">
        <v>604</v>
      </c>
      <c r="C594" s="244">
        <v>10</v>
      </c>
      <c r="D594" s="244">
        <v>2.404680801600001</v>
      </c>
      <c r="E594" s="244">
        <v>0</v>
      </c>
      <c r="F594" s="244">
        <v>0</v>
      </c>
      <c r="G594" s="244">
        <v>0</v>
      </c>
      <c r="H594" s="244">
        <v>0</v>
      </c>
      <c r="I594" s="244" t="s">
        <v>605</v>
      </c>
      <c r="J594" s="244">
        <v>1</v>
      </c>
      <c r="K594" s="244">
        <v>0.63999998569488525</v>
      </c>
      <c r="L594" s="244">
        <v>2.6226959267733334</v>
      </c>
      <c r="M594" s="244">
        <v>1.9161247473675758E-4</v>
      </c>
      <c r="N594" s="244">
        <v>2.9939450905658305E-4</v>
      </c>
      <c r="O594" s="244">
        <v>0</v>
      </c>
      <c r="P594" s="244">
        <v>0</v>
      </c>
      <c r="Q594" s="244">
        <v>0</v>
      </c>
      <c r="R594" s="244">
        <v>0</v>
      </c>
      <c r="S594" s="244">
        <v>0</v>
      </c>
      <c r="T594" s="244">
        <v>0</v>
      </c>
      <c r="U594" s="244">
        <v>0</v>
      </c>
      <c r="V594" s="244" t="s">
        <v>226</v>
      </c>
      <c r="W594" s="244" t="s">
        <v>226</v>
      </c>
      <c r="X594" s="244" t="s">
        <v>226</v>
      </c>
      <c r="Y594" s="244" t="s">
        <v>226</v>
      </c>
      <c r="Z594" s="244">
        <v>0</v>
      </c>
      <c r="AA594" s="244">
        <v>0</v>
      </c>
      <c r="AB594" s="244">
        <v>0</v>
      </c>
      <c r="AC594" s="244">
        <v>0</v>
      </c>
      <c r="AD594" s="244">
        <v>0</v>
      </c>
      <c r="AE594" s="244">
        <v>0</v>
      </c>
      <c r="AF594" s="244">
        <v>0</v>
      </c>
      <c r="AG594" s="244">
        <v>0</v>
      </c>
      <c r="AH594" s="244">
        <v>0</v>
      </c>
      <c r="AI594" s="244">
        <v>0</v>
      </c>
      <c r="AJ594" s="244">
        <v>0</v>
      </c>
      <c r="AK594" s="244">
        <v>0</v>
      </c>
      <c r="AL594" s="244">
        <v>0</v>
      </c>
      <c r="AM594" s="244">
        <v>1.8171519056453891</v>
      </c>
      <c r="AN594" s="244">
        <v>0</v>
      </c>
      <c r="AO594" s="244">
        <v>0.32225897908210754</v>
      </c>
      <c r="AP594" s="244">
        <v>1.405437707901001</v>
      </c>
      <c r="AQ594" s="244">
        <v>3.5448486804962158</v>
      </c>
      <c r="AR594" s="244">
        <v>0</v>
      </c>
      <c r="AS594" s="228">
        <v>9999</v>
      </c>
      <c r="AT594" s="244">
        <v>1.8171519056453891</v>
      </c>
      <c r="AU594" s="244">
        <v>8.5815727710723877E-2</v>
      </c>
      <c r="AV594" s="244">
        <v>0.33084052801132202</v>
      </c>
      <c r="AW594" s="244">
        <v>1.405437707901001</v>
      </c>
      <c r="AX594" s="244">
        <v>3.6392459869384766</v>
      </c>
      <c r="AY594" s="244">
        <v>0</v>
      </c>
      <c r="AZ594" s="228">
        <v>9999</v>
      </c>
      <c r="BA594" s="244">
        <v>1.8171519056453891</v>
      </c>
      <c r="BB594" s="244">
        <v>8.5815727710723877E-2</v>
      </c>
      <c r="BC594" s="244">
        <v>0.33084052801132202</v>
      </c>
      <c r="BD594" s="244">
        <v>1.405437707901001</v>
      </c>
      <c r="BE594" s="244">
        <v>3.6392459869384766</v>
      </c>
      <c r="BF594" s="244">
        <v>0</v>
      </c>
      <c r="BG594" s="244">
        <v>-55.747798919677734</v>
      </c>
      <c r="BH594" s="228">
        <v>9999</v>
      </c>
      <c r="BI594" s="244">
        <v>0</v>
      </c>
      <c r="BJ594" s="244">
        <v>0</v>
      </c>
      <c r="BK594" s="244">
        <v>0</v>
      </c>
      <c r="BL594" s="244">
        <v>0</v>
      </c>
      <c r="BM594" s="244">
        <v>0</v>
      </c>
      <c r="BN594" s="244">
        <v>1.8171519056453891</v>
      </c>
      <c r="BO594" s="244">
        <v>0</v>
      </c>
      <c r="BP594" s="244">
        <v>8.5815727710723877E-2</v>
      </c>
      <c r="BQ594" s="244">
        <v>0</v>
      </c>
      <c r="BR594" s="244">
        <v>0</v>
      </c>
      <c r="BS594" s="244">
        <v>0</v>
      </c>
      <c r="BT594" s="244">
        <v>1.405437707901001</v>
      </c>
      <c r="BU594" s="244">
        <v>0</v>
      </c>
      <c r="BV594" s="244">
        <v>0</v>
      </c>
      <c r="BW594" s="244">
        <v>0.33084052801132202</v>
      </c>
      <c r="BX594" s="244">
        <v>0</v>
      </c>
      <c r="BY594" s="244"/>
      <c r="BZ594" s="244">
        <v>0</v>
      </c>
      <c r="CA594" s="244">
        <v>0</v>
      </c>
      <c r="CB594" s="244">
        <v>3.6392459869384766</v>
      </c>
      <c r="CC594" s="244">
        <v>0</v>
      </c>
      <c r="CD594" s="228">
        <v>9999</v>
      </c>
      <c r="CE594" s="244">
        <v>-55.747798919677734</v>
      </c>
      <c r="CF594" s="244">
        <v>1.988855434751197E-2</v>
      </c>
      <c r="CG594" s="244">
        <v>0</v>
      </c>
      <c r="CH594" s="244">
        <v>1.988855434751197E-2</v>
      </c>
      <c r="CI594" s="244">
        <v>9.7625879349670999E-4</v>
      </c>
      <c r="CJ594" s="244">
        <v>0</v>
      </c>
      <c r="CK594" s="244">
        <v>9.7625879349670999E-4</v>
      </c>
      <c r="CL594" s="244"/>
      <c r="CM594" s="244">
        <v>0</v>
      </c>
      <c r="CN594" s="244" t="s">
        <v>605</v>
      </c>
      <c r="CO594" s="244">
        <v>0</v>
      </c>
      <c r="CP594" s="244">
        <v>0</v>
      </c>
      <c r="CQ594" s="244">
        <v>0</v>
      </c>
      <c r="CR594" s="244">
        <v>0</v>
      </c>
      <c r="CS594" s="244">
        <v>0</v>
      </c>
      <c r="CT594" s="244">
        <v>0</v>
      </c>
      <c r="CU594" s="244">
        <v>0</v>
      </c>
      <c r="CV594" s="244">
        <v>9999</v>
      </c>
      <c r="CW594" s="228">
        <v>9999</v>
      </c>
    </row>
    <row r="595" spans="1:101">
      <c r="A595" s="221" t="s">
        <v>515</v>
      </c>
      <c r="B595" s="221" t="s">
        <v>604</v>
      </c>
      <c r="C595" s="244">
        <v>10</v>
      </c>
      <c r="D595" s="244">
        <v>2.404680801600001</v>
      </c>
      <c r="E595" s="244">
        <v>0</v>
      </c>
      <c r="F595" s="244">
        <v>0</v>
      </c>
      <c r="G595" s="244">
        <v>0</v>
      </c>
      <c r="H595" s="244">
        <v>0</v>
      </c>
      <c r="I595" s="244" t="s">
        <v>605</v>
      </c>
      <c r="J595" s="244">
        <v>1</v>
      </c>
      <c r="K595" s="244">
        <v>0.63999998569488525</v>
      </c>
      <c r="L595" s="244">
        <v>2.6226959267733334</v>
      </c>
      <c r="M595" s="244">
        <v>1.9161247473675758E-4</v>
      </c>
      <c r="N595" s="244">
        <v>2.9939450905658305E-4</v>
      </c>
      <c r="O595" s="244">
        <v>0</v>
      </c>
      <c r="P595" s="244">
        <v>0</v>
      </c>
      <c r="Q595" s="244">
        <v>0</v>
      </c>
      <c r="R595" s="244">
        <v>0</v>
      </c>
      <c r="S595" s="244">
        <v>0</v>
      </c>
      <c r="T595" s="244">
        <v>0</v>
      </c>
      <c r="U595" s="244">
        <v>0</v>
      </c>
      <c r="V595" s="244" t="s">
        <v>226</v>
      </c>
      <c r="W595" s="244" t="s">
        <v>226</v>
      </c>
      <c r="X595" s="244" t="s">
        <v>226</v>
      </c>
      <c r="Y595" s="244" t="s">
        <v>226</v>
      </c>
      <c r="Z595" s="244">
        <v>0</v>
      </c>
      <c r="AA595" s="244">
        <v>0</v>
      </c>
      <c r="AB595" s="244">
        <v>0</v>
      </c>
      <c r="AC595" s="244">
        <v>0</v>
      </c>
      <c r="AD595" s="244">
        <v>0</v>
      </c>
      <c r="AE595" s="244">
        <v>0</v>
      </c>
      <c r="AF595" s="244">
        <v>0</v>
      </c>
      <c r="AG595" s="244">
        <v>0</v>
      </c>
      <c r="AH595" s="244">
        <v>0</v>
      </c>
      <c r="AI595" s="244">
        <v>0</v>
      </c>
      <c r="AJ595" s="244">
        <v>0</v>
      </c>
      <c r="AK595" s="244">
        <v>0</v>
      </c>
      <c r="AL595" s="244">
        <v>0</v>
      </c>
      <c r="AM595" s="244">
        <v>1.8171519056453891</v>
      </c>
      <c r="AN595" s="244">
        <v>0</v>
      </c>
      <c r="AO595" s="244">
        <v>0.32225897908210754</v>
      </c>
      <c r="AP595" s="244">
        <v>1.405437707901001</v>
      </c>
      <c r="AQ595" s="244">
        <v>3.5448486804962158</v>
      </c>
      <c r="AR595" s="244">
        <v>0</v>
      </c>
      <c r="AS595" s="228">
        <v>9999</v>
      </c>
      <c r="AT595" s="244">
        <v>1.8171519056453891</v>
      </c>
      <c r="AU595" s="244">
        <v>8.5815727710723877E-2</v>
      </c>
      <c r="AV595" s="244">
        <v>0.33084052801132202</v>
      </c>
      <c r="AW595" s="244">
        <v>1.405437707901001</v>
      </c>
      <c r="AX595" s="244">
        <v>3.6392459869384766</v>
      </c>
      <c r="AY595" s="244">
        <v>0</v>
      </c>
      <c r="AZ595" s="228">
        <v>9999</v>
      </c>
      <c r="BA595" s="244">
        <v>1.8171519056453891</v>
      </c>
      <c r="BB595" s="244">
        <v>8.5815727710723877E-2</v>
      </c>
      <c r="BC595" s="244">
        <v>0.33084052801132202</v>
      </c>
      <c r="BD595" s="244">
        <v>1.405437707901001</v>
      </c>
      <c r="BE595" s="244">
        <v>3.6392459869384766</v>
      </c>
      <c r="BF595" s="244">
        <v>0</v>
      </c>
      <c r="BG595" s="244">
        <v>-55.747798919677734</v>
      </c>
      <c r="BH595" s="228">
        <v>9999</v>
      </c>
      <c r="BI595" s="244">
        <v>0</v>
      </c>
      <c r="BJ595" s="244">
        <v>0</v>
      </c>
      <c r="BK595" s="244">
        <v>0</v>
      </c>
      <c r="BL595" s="244">
        <v>0</v>
      </c>
      <c r="BM595" s="244">
        <v>0</v>
      </c>
      <c r="BN595" s="244">
        <v>1.8171519056453891</v>
      </c>
      <c r="BO595" s="244">
        <v>0</v>
      </c>
      <c r="BP595" s="244">
        <v>8.5815727710723877E-2</v>
      </c>
      <c r="BQ595" s="244">
        <v>0</v>
      </c>
      <c r="BR595" s="244">
        <v>0</v>
      </c>
      <c r="BS595" s="244">
        <v>0</v>
      </c>
      <c r="BT595" s="244">
        <v>1.405437707901001</v>
      </c>
      <c r="BU595" s="244">
        <v>0</v>
      </c>
      <c r="BV595" s="244">
        <v>0</v>
      </c>
      <c r="BW595" s="244">
        <v>0.33084052801132202</v>
      </c>
      <c r="BX595" s="244">
        <v>0</v>
      </c>
      <c r="BY595" s="244"/>
      <c r="BZ595" s="244">
        <v>0</v>
      </c>
      <c r="CA595" s="244">
        <v>0</v>
      </c>
      <c r="CB595" s="244">
        <v>3.6392459869384766</v>
      </c>
      <c r="CC595" s="244">
        <v>0</v>
      </c>
      <c r="CD595" s="228">
        <v>9999</v>
      </c>
      <c r="CE595" s="244">
        <v>-55.747798919677734</v>
      </c>
      <c r="CF595" s="244">
        <v>1.988855434751197E-2</v>
      </c>
      <c r="CG595" s="244">
        <v>0</v>
      </c>
      <c r="CH595" s="244">
        <v>1.988855434751197E-2</v>
      </c>
      <c r="CI595" s="244">
        <v>9.7625879349670999E-4</v>
      </c>
      <c r="CJ595" s="244">
        <v>0</v>
      </c>
      <c r="CK595" s="244">
        <v>9.7625879349670999E-4</v>
      </c>
      <c r="CL595" s="244"/>
      <c r="CM595" s="244">
        <v>0</v>
      </c>
      <c r="CN595" s="244" t="s">
        <v>605</v>
      </c>
      <c r="CO595" s="244">
        <v>0</v>
      </c>
      <c r="CP595" s="244">
        <v>0</v>
      </c>
      <c r="CQ595" s="244">
        <v>0</v>
      </c>
      <c r="CR595" s="244">
        <v>0</v>
      </c>
      <c r="CS595" s="244">
        <v>0</v>
      </c>
      <c r="CT595" s="244">
        <v>0</v>
      </c>
      <c r="CU595" s="244">
        <v>0</v>
      </c>
      <c r="CV595" s="244">
        <v>9999</v>
      </c>
      <c r="CW595" s="228">
        <v>9999</v>
      </c>
    </row>
    <row r="596" spans="1:101">
      <c r="A596" s="221" t="s">
        <v>516</v>
      </c>
      <c r="B596" s="221" t="s">
        <v>604</v>
      </c>
      <c r="C596" s="244">
        <v>10</v>
      </c>
      <c r="D596" s="244">
        <v>2.404680801600001</v>
      </c>
      <c r="E596" s="244">
        <v>0</v>
      </c>
      <c r="F596" s="244">
        <v>0</v>
      </c>
      <c r="G596" s="244">
        <v>0</v>
      </c>
      <c r="H596" s="244">
        <v>0</v>
      </c>
      <c r="I596" s="244" t="s">
        <v>605</v>
      </c>
      <c r="J596" s="244">
        <v>1</v>
      </c>
      <c r="K596" s="244">
        <v>0.63999998569488525</v>
      </c>
      <c r="L596" s="244">
        <v>2.6226959267733334</v>
      </c>
      <c r="M596" s="244">
        <v>1.9161247473675758E-4</v>
      </c>
      <c r="N596" s="244">
        <v>2.9939450905658305E-4</v>
      </c>
      <c r="O596" s="244">
        <v>0</v>
      </c>
      <c r="P596" s="244">
        <v>0</v>
      </c>
      <c r="Q596" s="244">
        <v>0</v>
      </c>
      <c r="R596" s="244">
        <v>0</v>
      </c>
      <c r="S596" s="244">
        <v>0</v>
      </c>
      <c r="T596" s="244">
        <v>0</v>
      </c>
      <c r="U596" s="244">
        <v>0</v>
      </c>
      <c r="V596" s="244" t="s">
        <v>226</v>
      </c>
      <c r="W596" s="244" t="s">
        <v>226</v>
      </c>
      <c r="X596" s="244" t="s">
        <v>226</v>
      </c>
      <c r="Y596" s="244" t="s">
        <v>226</v>
      </c>
      <c r="Z596" s="244">
        <v>0</v>
      </c>
      <c r="AA596" s="244">
        <v>0</v>
      </c>
      <c r="AB596" s="244">
        <v>0</v>
      </c>
      <c r="AC596" s="244">
        <v>0</v>
      </c>
      <c r="AD596" s="244">
        <v>0</v>
      </c>
      <c r="AE596" s="244">
        <v>0</v>
      </c>
      <c r="AF596" s="244">
        <v>0</v>
      </c>
      <c r="AG596" s="244">
        <v>0</v>
      </c>
      <c r="AH596" s="244">
        <v>0</v>
      </c>
      <c r="AI596" s="244">
        <v>0</v>
      </c>
      <c r="AJ596" s="244">
        <v>0</v>
      </c>
      <c r="AK596" s="244">
        <v>0</v>
      </c>
      <c r="AL596" s="244">
        <v>0</v>
      </c>
      <c r="AM596" s="244">
        <v>1.8171519056453891</v>
      </c>
      <c r="AN596" s="244">
        <v>0</v>
      </c>
      <c r="AO596" s="244">
        <v>0.32225897908210754</v>
      </c>
      <c r="AP596" s="244">
        <v>1.405437707901001</v>
      </c>
      <c r="AQ596" s="244">
        <v>3.5448486804962158</v>
      </c>
      <c r="AR596" s="244">
        <v>0</v>
      </c>
      <c r="AS596" s="228">
        <v>9999</v>
      </c>
      <c r="AT596" s="244">
        <v>1.8171519056453891</v>
      </c>
      <c r="AU596" s="244">
        <v>8.5815727710723877E-2</v>
      </c>
      <c r="AV596" s="244">
        <v>0.33084052801132202</v>
      </c>
      <c r="AW596" s="244">
        <v>1.405437707901001</v>
      </c>
      <c r="AX596" s="244">
        <v>3.6392459869384766</v>
      </c>
      <c r="AY596" s="244">
        <v>0</v>
      </c>
      <c r="AZ596" s="228">
        <v>9999</v>
      </c>
      <c r="BA596" s="244">
        <v>1.8171519056453891</v>
      </c>
      <c r="BB596" s="244">
        <v>8.5815727710723877E-2</v>
      </c>
      <c r="BC596" s="244">
        <v>0.33084052801132202</v>
      </c>
      <c r="BD596" s="244">
        <v>1.405437707901001</v>
      </c>
      <c r="BE596" s="244">
        <v>3.6392459869384766</v>
      </c>
      <c r="BF596" s="244">
        <v>0</v>
      </c>
      <c r="BG596" s="244">
        <v>-55.747798919677734</v>
      </c>
      <c r="BH596" s="228">
        <v>9999</v>
      </c>
      <c r="BI596" s="244">
        <v>0</v>
      </c>
      <c r="BJ596" s="244">
        <v>0</v>
      </c>
      <c r="BK596" s="244">
        <v>0</v>
      </c>
      <c r="BL596" s="244">
        <v>0</v>
      </c>
      <c r="BM596" s="244">
        <v>0</v>
      </c>
      <c r="BN596" s="244">
        <v>1.8171519056453891</v>
      </c>
      <c r="BO596" s="244">
        <v>0</v>
      </c>
      <c r="BP596" s="244">
        <v>8.5815727710723877E-2</v>
      </c>
      <c r="BQ596" s="244">
        <v>0</v>
      </c>
      <c r="BR596" s="244">
        <v>0</v>
      </c>
      <c r="BS596" s="244">
        <v>0</v>
      </c>
      <c r="BT596" s="244">
        <v>1.405437707901001</v>
      </c>
      <c r="BU596" s="244">
        <v>0</v>
      </c>
      <c r="BV596" s="244">
        <v>0</v>
      </c>
      <c r="BW596" s="244">
        <v>0.33084052801132202</v>
      </c>
      <c r="BX596" s="244">
        <v>0</v>
      </c>
      <c r="BY596" s="244"/>
      <c r="BZ596" s="244">
        <v>0</v>
      </c>
      <c r="CA596" s="244">
        <v>0</v>
      </c>
      <c r="CB596" s="244">
        <v>3.6392459869384766</v>
      </c>
      <c r="CC596" s="244">
        <v>0</v>
      </c>
      <c r="CD596" s="228">
        <v>9999</v>
      </c>
      <c r="CE596" s="244">
        <v>-55.747798919677734</v>
      </c>
      <c r="CF596" s="244">
        <v>1.988855434751197E-2</v>
      </c>
      <c r="CG596" s="244">
        <v>0</v>
      </c>
      <c r="CH596" s="244">
        <v>1.988855434751197E-2</v>
      </c>
      <c r="CI596" s="244">
        <v>9.7625879349670999E-4</v>
      </c>
      <c r="CJ596" s="244">
        <v>0</v>
      </c>
      <c r="CK596" s="244">
        <v>9.7625879349670999E-4</v>
      </c>
      <c r="CL596" s="244"/>
      <c r="CM596" s="244">
        <v>0</v>
      </c>
      <c r="CN596" s="244" t="s">
        <v>605</v>
      </c>
      <c r="CO596" s="244">
        <v>0</v>
      </c>
      <c r="CP596" s="244">
        <v>0</v>
      </c>
      <c r="CQ596" s="244">
        <v>0</v>
      </c>
      <c r="CR596" s="244">
        <v>0</v>
      </c>
      <c r="CS596" s="244">
        <v>0</v>
      </c>
      <c r="CT596" s="244">
        <v>0</v>
      </c>
      <c r="CU596" s="244">
        <v>0</v>
      </c>
      <c r="CV596" s="244">
        <v>9999</v>
      </c>
      <c r="CW596" s="228">
        <v>9999</v>
      </c>
    </row>
    <row r="597" spans="1:101">
      <c r="A597" s="221" t="s">
        <v>517</v>
      </c>
      <c r="B597" s="221" t="s">
        <v>604</v>
      </c>
      <c r="C597" s="244">
        <v>10</v>
      </c>
      <c r="D597" s="244">
        <v>2.7052659018000003</v>
      </c>
      <c r="E597" s="244">
        <v>0</v>
      </c>
      <c r="F597" s="244">
        <v>0</v>
      </c>
      <c r="G597" s="244">
        <v>0</v>
      </c>
      <c r="H597" s="244">
        <v>0</v>
      </c>
      <c r="I597" s="244" t="s">
        <v>605</v>
      </c>
      <c r="J597" s="244">
        <v>1</v>
      </c>
      <c r="K597" s="244">
        <v>0.63999998569488525</v>
      </c>
      <c r="L597" s="244">
        <v>2.9505329176199995</v>
      </c>
      <c r="M597" s="244">
        <v>2.1556405408773571E-4</v>
      </c>
      <c r="N597" s="244">
        <v>3.3681883360259235E-4</v>
      </c>
      <c r="O597" s="244">
        <v>0</v>
      </c>
      <c r="P597" s="244">
        <v>0</v>
      </c>
      <c r="Q597" s="244">
        <v>0</v>
      </c>
      <c r="R597" s="244">
        <v>0</v>
      </c>
      <c r="S597" s="244">
        <v>0</v>
      </c>
      <c r="T597" s="244">
        <v>0</v>
      </c>
      <c r="U597" s="244">
        <v>0</v>
      </c>
      <c r="V597" s="244" t="s">
        <v>226</v>
      </c>
      <c r="W597" s="244" t="s">
        <v>226</v>
      </c>
      <c r="X597" s="244" t="s">
        <v>226</v>
      </c>
      <c r="Y597" s="244" t="s">
        <v>226</v>
      </c>
      <c r="Z597" s="244">
        <v>0</v>
      </c>
      <c r="AA597" s="244">
        <v>0</v>
      </c>
      <c r="AB597" s="244">
        <v>0</v>
      </c>
      <c r="AC597" s="244">
        <v>0</v>
      </c>
      <c r="AD597" s="244">
        <v>0</v>
      </c>
      <c r="AE597" s="244">
        <v>0</v>
      </c>
      <c r="AF597" s="244">
        <v>0</v>
      </c>
      <c r="AG597" s="244">
        <v>0</v>
      </c>
      <c r="AH597" s="244">
        <v>0</v>
      </c>
      <c r="AI597" s="244">
        <v>0</v>
      </c>
      <c r="AJ597" s="244">
        <v>0</v>
      </c>
      <c r="AK597" s="244">
        <v>0</v>
      </c>
      <c r="AL597" s="244">
        <v>0</v>
      </c>
      <c r="AM597" s="244">
        <v>2.0442958938510589</v>
      </c>
      <c r="AN597" s="244">
        <v>0</v>
      </c>
      <c r="AO597" s="244">
        <v>0.36254137754440308</v>
      </c>
      <c r="AP597" s="244">
        <v>1.5811177492141724</v>
      </c>
      <c r="AQ597" s="244">
        <v>3.9879550933837891</v>
      </c>
      <c r="AR597" s="244">
        <v>0</v>
      </c>
      <c r="AS597" s="228">
        <v>9999</v>
      </c>
      <c r="AT597" s="244">
        <v>2.0442958938510589</v>
      </c>
      <c r="AU597" s="244">
        <v>9.6542716026306152E-2</v>
      </c>
      <c r="AV597" s="244">
        <v>0.37219563126564026</v>
      </c>
      <c r="AW597" s="244">
        <v>1.5811177492141724</v>
      </c>
      <c r="AX597" s="244">
        <v>4.0941519737243652</v>
      </c>
      <c r="AY597" s="244">
        <v>0</v>
      </c>
      <c r="AZ597" s="228">
        <v>9999</v>
      </c>
      <c r="BA597" s="244">
        <v>2.0442958938510589</v>
      </c>
      <c r="BB597" s="244">
        <v>9.6542716026306152E-2</v>
      </c>
      <c r="BC597" s="244">
        <v>0.37219563126564026</v>
      </c>
      <c r="BD597" s="244">
        <v>1.5811177492141724</v>
      </c>
      <c r="BE597" s="244">
        <v>4.0941519737243652</v>
      </c>
      <c r="BF597" s="244">
        <v>0</v>
      </c>
      <c r="BG597" s="244">
        <v>-55.747810363769531</v>
      </c>
      <c r="BH597" s="228">
        <v>9999</v>
      </c>
      <c r="BI597" s="244">
        <v>0</v>
      </c>
      <c r="BJ597" s="244">
        <v>0</v>
      </c>
      <c r="BK597" s="244">
        <v>0</v>
      </c>
      <c r="BL597" s="244">
        <v>0</v>
      </c>
      <c r="BM597" s="244">
        <v>0</v>
      </c>
      <c r="BN597" s="244">
        <v>2.0442958938510589</v>
      </c>
      <c r="BO597" s="244">
        <v>0</v>
      </c>
      <c r="BP597" s="244">
        <v>9.6542716026306152E-2</v>
      </c>
      <c r="BQ597" s="244">
        <v>0</v>
      </c>
      <c r="BR597" s="244">
        <v>0</v>
      </c>
      <c r="BS597" s="244">
        <v>0</v>
      </c>
      <c r="BT597" s="244">
        <v>1.5811177492141724</v>
      </c>
      <c r="BU597" s="244">
        <v>0</v>
      </c>
      <c r="BV597" s="244">
        <v>0</v>
      </c>
      <c r="BW597" s="244">
        <v>0.37219563126564026</v>
      </c>
      <c r="BX597" s="244">
        <v>0</v>
      </c>
      <c r="BY597" s="244"/>
      <c r="BZ597" s="244">
        <v>0</v>
      </c>
      <c r="CA597" s="244">
        <v>0</v>
      </c>
      <c r="CB597" s="244">
        <v>4.0941519737243652</v>
      </c>
      <c r="CC597" s="244">
        <v>0</v>
      </c>
      <c r="CD597" s="228">
        <v>9999</v>
      </c>
      <c r="CE597" s="244">
        <v>-55.747810363769531</v>
      </c>
      <c r="CF597" s="244">
        <v>2.2374623640951032E-2</v>
      </c>
      <c r="CG597" s="244">
        <v>0</v>
      </c>
      <c r="CH597" s="244">
        <v>2.2374623640951032E-2</v>
      </c>
      <c r="CI597" s="244">
        <v>1.098291142683799E-3</v>
      </c>
      <c r="CJ597" s="244">
        <v>0</v>
      </c>
      <c r="CK597" s="244">
        <v>1.098291142683799E-3</v>
      </c>
      <c r="CL597" s="244"/>
      <c r="CM597" s="244">
        <v>0</v>
      </c>
      <c r="CN597" s="244" t="s">
        <v>605</v>
      </c>
      <c r="CO597" s="244">
        <v>0</v>
      </c>
      <c r="CP597" s="244">
        <v>0</v>
      </c>
      <c r="CQ597" s="244">
        <v>0</v>
      </c>
      <c r="CR597" s="244">
        <v>0</v>
      </c>
      <c r="CS597" s="244">
        <v>0</v>
      </c>
      <c r="CT597" s="244">
        <v>0</v>
      </c>
      <c r="CU597" s="244">
        <v>0</v>
      </c>
      <c r="CV597" s="244">
        <v>9999</v>
      </c>
      <c r="CW597" s="228">
        <v>9999</v>
      </c>
    </row>
    <row r="598" spans="1:101">
      <c r="A598" s="221" t="s">
        <v>518</v>
      </c>
      <c r="B598" s="221" t="s">
        <v>604</v>
      </c>
      <c r="C598" s="244">
        <v>10</v>
      </c>
      <c r="D598" s="244">
        <v>2.7052659018000003</v>
      </c>
      <c r="E598" s="244">
        <v>0</v>
      </c>
      <c r="F598" s="244">
        <v>0</v>
      </c>
      <c r="G598" s="244">
        <v>0</v>
      </c>
      <c r="H598" s="244">
        <v>0</v>
      </c>
      <c r="I598" s="244" t="s">
        <v>605</v>
      </c>
      <c r="J598" s="244">
        <v>1</v>
      </c>
      <c r="K598" s="244">
        <v>0.63999998569488525</v>
      </c>
      <c r="L598" s="244">
        <v>2.9505329176199995</v>
      </c>
      <c r="M598" s="244">
        <v>2.1556405408773571E-4</v>
      </c>
      <c r="N598" s="244">
        <v>3.3681883360259235E-4</v>
      </c>
      <c r="O598" s="244">
        <v>0</v>
      </c>
      <c r="P598" s="244">
        <v>0</v>
      </c>
      <c r="Q598" s="244">
        <v>0</v>
      </c>
      <c r="R598" s="244">
        <v>0</v>
      </c>
      <c r="S598" s="244">
        <v>0</v>
      </c>
      <c r="T598" s="244">
        <v>0</v>
      </c>
      <c r="U598" s="244">
        <v>0</v>
      </c>
      <c r="V598" s="244" t="s">
        <v>226</v>
      </c>
      <c r="W598" s="244" t="s">
        <v>226</v>
      </c>
      <c r="X598" s="244" t="s">
        <v>226</v>
      </c>
      <c r="Y598" s="244" t="s">
        <v>226</v>
      </c>
      <c r="Z598" s="244">
        <v>0</v>
      </c>
      <c r="AA598" s="244">
        <v>0</v>
      </c>
      <c r="AB598" s="244">
        <v>0</v>
      </c>
      <c r="AC598" s="244">
        <v>0</v>
      </c>
      <c r="AD598" s="244">
        <v>0</v>
      </c>
      <c r="AE598" s="244">
        <v>0</v>
      </c>
      <c r="AF598" s="244">
        <v>0</v>
      </c>
      <c r="AG598" s="244">
        <v>0</v>
      </c>
      <c r="AH598" s="244">
        <v>0</v>
      </c>
      <c r="AI598" s="244">
        <v>0</v>
      </c>
      <c r="AJ598" s="244">
        <v>0</v>
      </c>
      <c r="AK598" s="244">
        <v>0</v>
      </c>
      <c r="AL598" s="244">
        <v>0</v>
      </c>
      <c r="AM598" s="244">
        <v>2.0442958938510589</v>
      </c>
      <c r="AN598" s="244">
        <v>0</v>
      </c>
      <c r="AO598" s="244">
        <v>0.36254137754440308</v>
      </c>
      <c r="AP598" s="244">
        <v>1.5811177492141724</v>
      </c>
      <c r="AQ598" s="244">
        <v>3.9879550933837891</v>
      </c>
      <c r="AR598" s="244">
        <v>0</v>
      </c>
      <c r="AS598" s="228">
        <v>9999</v>
      </c>
      <c r="AT598" s="244">
        <v>2.0442958938510589</v>
      </c>
      <c r="AU598" s="244">
        <v>9.6542716026306152E-2</v>
      </c>
      <c r="AV598" s="244">
        <v>0.37219563126564026</v>
      </c>
      <c r="AW598" s="244">
        <v>1.5811177492141724</v>
      </c>
      <c r="AX598" s="244">
        <v>4.0941519737243652</v>
      </c>
      <c r="AY598" s="244">
        <v>0</v>
      </c>
      <c r="AZ598" s="228">
        <v>9999</v>
      </c>
      <c r="BA598" s="244">
        <v>2.0442958938510589</v>
      </c>
      <c r="BB598" s="244">
        <v>9.6542716026306152E-2</v>
      </c>
      <c r="BC598" s="244">
        <v>0.37219563126564026</v>
      </c>
      <c r="BD598" s="244">
        <v>1.5811177492141724</v>
      </c>
      <c r="BE598" s="244">
        <v>4.0941519737243652</v>
      </c>
      <c r="BF598" s="244">
        <v>0</v>
      </c>
      <c r="BG598" s="244">
        <v>-55.747810363769531</v>
      </c>
      <c r="BH598" s="228">
        <v>9999</v>
      </c>
      <c r="BI598" s="244">
        <v>0</v>
      </c>
      <c r="BJ598" s="244">
        <v>0</v>
      </c>
      <c r="BK598" s="244">
        <v>0</v>
      </c>
      <c r="BL598" s="244">
        <v>0</v>
      </c>
      <c r="BM598" s="244">
        <v>0</v>
      </c>
      <c r="BN598" s="244">
        <v>2.0442958938510589</v>
      </c>
      <c r="BO598" s="244">
        <v>0</v>
      </c>
      <c r="BP598" s="244">
        <v>9.6542716026306152E-2</v>
      </c>
      <c r="BQ598" s="244">
        <v>0</v>
      </c>
      <c r="BR598" s="244">
        <v>0</v>
      </c>
      <c r="BS598" s="244">
        <v>0</v>
      </c>
      <c r="BT598" s="244">
        <v>1.5811177492141724</v>
      </c>
      <c r="BU598" s="244">
        <v>0</v>
      </c>
      <c r="BV598" s="244">
        <v>0</v>
      </c>
      <c r="BW598" s="244">
        <v>0.37219563126564026</v>
      </c>
      <c r="BX598" s="244">
        <v>0</v>
      </c>
      <c r="BY598" s="244"/>
      <c r="BZ598" s="244">
        <v>0</v>
      </c>
      <c r="CA598" s="244">
        <v>0</v>
      </c>
      <c r="CB598" s="244">
        <v>4.0941519737243652</v>
      </c>
      <c r="CC598" s="244">
        <v>0</v>
      </c>
      <c r="CD598" s="228">
        <v>9999</v>
      </c>
      <c r="CE598" s="244">
        <v>-55.747810363769531</v>
      </c>
      <c r="CF598" s="244">
        <v>2.2374623640951032E-2</v>
      </c>
      <c r="CG598" s="244">
        <v>0</v>
      </c>
      <c r="CH598" s="244">
        <v>2.2374623640951032E-2</v>
      </c>
      <c r="CI598" s="244">
        <v>1.098291142683799E-3</v>
      </c>
      <c r="CJ598" s="244">
        <v>0</v>
      </c>
      <c r="CK598" s="244">
        <v>1.098291142683799E-3</v>
      </c>
      <c r="CL598" s="244"/>
      <c r="CM598" s="244">
        <v>0</v>
      </c>
      <c r="CN598" s="244" t="s">
        <v>605</v>
      </c>
      <c r="CO598" s="244">
        <v>0</v>
      </c>
      <c r="CP598" s="244">
        <v>0</v>
      </c>
      <c r="CQ598" s="244">
        <v>0</v>
      </c>
      <c r="CR598" s="244">
        <v>0</v>
      </c>
      <c r="CS598" s="244">
        <v>0</v>
      </c>
      <c r="CT598" s="244">
        <v>0</v>
      </c>
      <c r="CU598" s="244">
        <v>0</v>
      </c>
      <c r="CV598" s="244">
        <v>9999</v>
      </c>
      <c r="CW598" s="228">
        <v>9999</v>
      </c>
    </row>
    <row r="599" spans="1:101">
      <c r="A599" s="221" t="s">
        <v>519</v>
      </c>
      <c r="B599" s="221" t="s">
        <v>604</v>
      </c>
      <c r="C599" s="244">
        <v>10</v>
      </c>
      <c r="D599" s="244">
        <v>2.7052659018000003</v>
      </c>
      <c r="E599" s="244">
        <v>0</v>
      </c>
      <c r="F599" s="244">
        <v>0</v>
      </c>
      <c r="G599" s="244">
        <v>0</v>
      </c>
      <c r="H599" s="244">
        <v>0</v>
      </c>
      <c r="I599" s="244" t="s">
        <v>605</v>
      </c>
      <c r="J599" s="244">
        <v>1</v>
      </c>
      <c r="K599" s="244">
        <v>0.63999998569488525</v>
      </c>
      <c r="L599" s="244">
        <v>2.9505329176199995</v>
      </c>
      <c r="M599" s="244">
        <v>2.1556405408773571E-4</v>
      </c>
      <c r="N599" s="244">
        <v>3.3681883360259235E-4</v>
      </c>
      <c r="O599" s="244">
        <v>0</v>
      </c>
      <c r="P599" s="244">
        <v>0</v>
      </c>
      <c r="Q599" s="244">
        <v>0</v>
      </c>
      <c r="R599" s="244">
        <v>0</v>
      </c>
      <c r="S599" s="244">
        <v>0</v>
      </c>
      <c r="T599" s="244">
        <v>0</v>
      </c>
      <c r="U599" s="244">
        <v>0</v>
      </c>
      <c r="V599" s="244" t="s">
        <v>226</v>
      </c>
      <c r="W599" s="244" t="s">
        <v>226</v>
      </c>
      <c r="X599" s="244" t="s">
        <v>226</v>
      </c>
      <c r="Y599" s="244" t="s">
        <v>226</v>
      </c>
      <c r="Z599" s="244">
        <v>0</v>
      </c>
      <c r="AA599" s="244">
        <v>0</v>
      </c>
      <c r="AB599" s="244">
        <v>0</v>
      </c>
      <c r="AC599" s="244">
        <v>0</v>
      </c>
      <c r="AD599" s="244">
        <v>0</v>
      </c>
      <c r="AE599" s="244">
        <v>0</v>
      </c>
      <c r="AF599" s="244">
        <v>0</v>
      </c>
      <c r="AG599" s="244">
        <v>0</v>
      </c>
      <c r="AH599" s="244">
        <v>0</v>
      </c>
      <c r="AI599" s="244">
        <v>0</v>
      </c>
      <c r="AJ599" s="244">
        <v>0</v>
      </c>
      <c r="AK599" s="244">
        <v>0</v>
      </c>
      <c r="AL599" s="244">
        <v>0</v>
      </c>
      <c r="AM599" s="244">
        <v>2.0442958938510589</v>
      </c>
      <c r="AN599" s="244">
        <v>0</v>
      </c>
      <c r="AO599" s="244">
        <v>0.36254137754440308</v>
      </c>
      <c r="AP599" s="244">
        <v>1.5811177492141724</v>
      </c>
      <c r="AQ599" s="244">
        <v>3.9879550933837891</v>
      </c>
      <c r="AR599" s="244">
        <v>0</v>
      </c>
      <c r="AS599" s="228">
        <v>9999</v>
      </c>
      <c r="AT599" s="244">
        <v>2.0442958938510589</v>
      </c>
      <c r="AU599" s="244">
        <v>9.6542716026306152E-2</v>
      </c>
      <c r="AV599" s="244">
        <v>0.37219563126564026</v>
      </c>
      <c r="AW599" s="244">
        <v>1.5811177492141724</v>
      </c>
      <c r="AX599" s="244">
        <v>4.0941519737243652</v>
      </c>
      <c r="AY599" s="244">
        <v>0</v>
      </c>
      <c r="AZ599" s="228">
        <v>9999</v>
      </c>
      <c r="BA599" s="244">
        <v>2.0442958938510589</v>
      </c>
      <c r="BB599" s="244">
        <v>9.6542716026306152E-2</v>
      </c>
      <c r="BC599" s="244">
        <v>0.37219563126564026</v>
      </c>
      <c r="BD599" s="244">
        <v>1.5811177492141724</v>
      </c>
      <c r="BE599" s="244">
        <v>4.0941519737243652</v>
      </c>
      <c r="BF599" s="244">
        <v>0</v>
      </c>
      <c r="BG599" s="244">
        <v>-55.747810363769531</v>
      </c>
      <c r="BH599" s="228">
        <v>9999</v>
      </c>
      <c r="BI599" s="244">
        <v>0</v>
      </c>
      <c r="BJ599" s="244">
        <v>0</v>
      </c>
      <c r="BK599" s="244">
        <v>0</v>
      </c>
      <c r="BL599" s="244">
        <v>0</v>
      </c>
      <c r="BM599" s="244">
        <v>0</v>
      </c>
      <c r="BN599" s="244">
        <v>2.0442958938510589</v>
      </c>
      <c r="BO599" s="244">
        <v>0</v>
      </c>
      <c r="BP599" s="244">
        <v>9.6542716026306152E-2</v>
      </c>
      <c r="BQ599" s="244">
        <v>0</v>
      </c>
      <c r="BR599" s="244">
        <v>0</v>
      </c>
      <c r="BS599" s="244">
        <v>0</v>
      </c>
      <c r="BT599" s="244">
        <v>1.5811177492141724</v>
      </c>
      <c r="BU599" s="244">
        <v>0</v>
      </c>
      <c r="BV599" s="244">
        <v>0</v>
      </c>
      <c r="BW599" s="244">
        <v>0.37219563126564026</v>
      </c>
      <c r="BX599" s="244">
        <v>0</v>
      </c>
      <c r="BY599" s="244"/>
      <c r="BZ599" s="244">
        <v>0</v>
      </c>
      <c r="CA599" s="244">
        <v>0</v>
      </c>
      <c r="CB599" s="244">
        <v>4.0941519737243652</v>
      </c>
      <c r="CC599" s="244">
        <v>0</v>
      </c>
      <c r="CD599" s="228">
        <v>9999</v>
      </c>
      <c r="CE599" s="244">
        <v>-55.747810363769531</v>
      </c>
      <c r="CF599" s="244">
        <v>2.2374623640951032E-2</v>
      </c>
      <c r="CG599" s="244">
        <v>0</v>
      </c>
      <c r="CH599" s="244">
        <v>2.2374623640951032E-2</v>
      </c>
      <c r="CI599" s="244">
        <v>1.098291142683799E-3</v>
      </c>
      <c r="CJ599" s="244">
        <v>0</v>
      </c>
      <c r="CK599" s="244">
        <v>1.098291142683799E-3</v>
      </c>
      <c r="CL599" s="244"/>
      <c r="CM599" s="244">
        <v>0</v>
      </c>
      <c r="CN599" s="244" t="s">
        <v>605</v>
      </c>
      <c r="CO599" s="244">
        <v>0</v>
      </c>
      <c r="CP599" s="244">
        <v>0</v>
      </c>
      <c r="CQ599" s="244">
        <v>0</v>
      </c>
      <c r="CR599" s="244">
        <v>0</v>
      </c>
      <c r="CS599" s="244">
        <v>0</v>
      </c>
      <c r="CT599" s="244">
        <v>0</v>
      </c>
      <c r="CU599" s="244">
        <v>0</v>
      </c>
      <c r="CV599" s="244">
        <v>9999</v>
      </c>
      <c r="CW599" s="228">
        <v>9999</v>
      </c>
    </row>
    <row r="600" spans="1:101">
      <c r="A600" s="221" t="s">
        <v>520</v>
      </c>
      <c r="B600" s="221" t="s">
        <v>604</v>
      </c>
      <c r="C600" s="244">
        <v>10</v>
      </c>
      <c r="D600" s="244">
        <v>4.2081914028000007</v>
      </c>
      <c r="E600" s="244">
        <v>0</v>
      </c>
      <c r="F600" s="244">
        <v>0</v>
      </c>
      <c r="G600" s="244">
        <v>0</v>
      </c>
      <c r="H600" s="244">
        <v>0</v>
      </c>
      <c r="I600" s="244" t="s">
        <v>605</v>
      </c>
      <c r="J600" s="244">
        <v>1</v>
      </c>
      <c r="K600" s="244">
        <v>0.63999998569488525</v>
      </c>
      <c r="L600" s="244">
        <v>4.589717871853332</v>
      </c>
      <c r="M600" s="244">
        <v>3.3532181987538934E-4</v>
      </c>
      <c r="N600" s="244">
        <v>5.2394036902114749E-4</v>
      </c>
      <c r="O600" s="244">
        <v>0</v>
      </c>
      <c r="P600" s="244">
        <v>0</v>
      </c>
      <c r="Q600" s="244">
        <v>0</v>
      </c>
      <c r="R600" s="244">
        <v>0</v>
      </c>
      <c r="S600" s="244">
        <v>0</v>
      </c>
      <c r="T600" s="244">
        <v>0</v>
      </c>
      <c r="U600" s="244">
        <v>0</v>
      </c>
      <c r="V600" s="244" t="s">
        <v>226</v>
      </c>
      <c r="W600" s="244" t="s">
        <v>226</v>
      </c>
      <c r="X600" s="244" t="s">
        <v>226</v>
      </c>
      <c r="Y600" s="244" t="s">
        <v>226</v>
      </c>
      <c r="Z600" s="244">
        <v>0</v>
      </c>
      <c r="AA600" s="244">
        <v>0</v>
      </c>
      <c r="AB600" s="244">
        <v>0</v>
      </c>
      <c r="AC600" s="244">
        <v>0</v>
      </c>
      <c r="AD600" s="244">
        <v>0</v>
      </c>
      <c r="AE600" s="244">
        <v>0</v>
      </c>
      <c r="AF600" s="244">
        <v>0</v>
      </c>
      <c r="AG600" s="244">
        <v>0</v>
      </c>
      <c r="AH600" s="244">
        <v>0</v>
      </c>
      <c r="AI600" s="244">
        <v>0</v>
      </c>
      <c r="AJ600" s="244">
        <v>0</v>
      </c>
      <c r="AK600" s="244">
        <v>0</v>
      </c>
      <c r="AL600" s="244">
        <v>0</v>
      </c>
      <c r="AM600" s="244">
        <v>3.1800158348794341</v>
      </c>
      <c r="AN600" s="244">
        <v>0</v>
      </c>
      <c r="AO600" s="244">
        <v>0.5639532208442688</v>
      </c>
      <c r="AP600" s="244">
        <v>2.4595162868499756</v>
      </c>
      <c r="AQ600" s="244">
        <v>6.2034854888916016</v>
      </c>
      <c r="AR600" s="244">
        <v>0</v>
      </c>
      <c r="AS600" s="228">
        <v>9999</v>
      </c>
      <c r="AT600" s="244">
        <v>3.1800158348794341</v>
      </c>
      <c r="AU600" s="244">
        <v>0.15017753839492798</v>
      </c>
      <c r="AV600" s="244">
        <v>0.57897096872329712</v>
      </c>
      <c r="AW600" s="244">
        <v>2.4595162868499756</v>
      </c>
      <c r="AX600" s="244">
        <v>6.368680477142334</v>
      </c>
      <c r="AY600" s="244">
        <v>0</v>
      </c>
      <c r="AZ600" s="228">
        <v>9999</v>
      </c>
      <c r="BA600" s="244">
        <v>3.1800158348794341</v>
      </c>
      <c r="BB600" s="244">
        <v>0.15017753839492798</v>
      </c>
      <c r="BC600" s="244">
        <v>0.57897096872329712</v>
      </c>
      <c r="BD600" s="244">
        <v>2.4595162868499756</v>
      </c>
      <c r="BE600" s="244">
        <v>6.368680477142334</v>
      </c>
      <c r="BF600" s="244">
        <v>0</v>
      </c>
      <c r="BG600" s="244">
        <v>-55.747806549072266</v>
      </c>
      <c r="BH600" s="228">
        <v>9999</v>
      </c>
      <c r="BI600" s="244">
        <v>0</v>
      </c>
      <c r="BJ600" s="244">
        <v>0</v>
      </c>
      <c r="BK600" s="244">
        <v>0</v>
      </c>
      <c r="BL600" s="244">
        <v>0</v>
      </c>
      <c r="BM600" s="244">
        <v>0</v>
      </c>
      <c r="BN600" s="244">
        <v>3.1800158348794341</v>
      </c>
      <c r="BO600" s="244">
        <v>0</v>
      </c>
      <c r="BP600" s="244">
        <v>0.15017753839492798</v>
      </c>
      <c r="BQ600" s="244">
        <v>0</v>
      </c>
      <c r="BR600" s="244">
        <v>0</v>
      </c>
      <c r="BS600" s="244">
        <v>0</v>
      </c>
      <c r="BT600" s="244">
        <v>2.4595162868499756</v>
      </c>
      <c r="BU600" s="244">
        <v>0</v>
      </c>
      <c r="BV600" s="244">
        <v>0</v>
      </c>
      <c r="BW600" s="244">
        <v>0.57897096872329712</v>
      </c>
      <c r="BX600" s="244">
        <v>0</v>
      </c>
      <c r="BY600" s="244"/>
      <c r="BZ600" s="244">
        <v>0</v>
      </c>
      <c r="CA600" s="244">
        <v>0</v>
      </c>
      <c r="CB600" s="244">
        <v>6.368680477142334</v>
      </c>
      <c r="CC600" s="244">
        <v>0</v>
      </c>
      <c r="CD600" s="228">
        <v>9999</v>
      </c>
      <c r="CE600" s="244">
        <v>-55.747806549072266</v>
      </c>
      <c r="CF600" s="244">
        <v>3.4804970108145886E-2</v>
      </c>
      <c r="CG600" s="244">
        <v>0</v>
      </c>
      <c r="CH600" s="244">
        <v>3.4804970108145886E-2</v>
      </c>
      <c r="CI600" s="244">
        <v>1.7084528886192423E-3</v>
      </c>
      <c r="CJ600" s="244">
        <v>0</v>
      </c>
      <c r="CK600" s="244">
        <v>1.7084528886192423E-3</v>
      </c>
      <c r="CL600" s="244"/>
      <c r="CM600" s="244">
        <v>0</v>
      </c>
      <c r="CN600" s="244" t="s">
        <v>605</v>
      </c>
      <c r="CO600" s="244">
        <v>0</v>
      </c>
      <c r="CP600" s="244">
        <v>0</v>
      </c>
      <c r="CQ600" s="244">
        <v>0</v>
      </c>
      <c r="CR600" s="244">
        <v>0</v>
      </c>
      <c r="CS600" s="244">
        <v>0</v>
      </c>
      <c r="CT600" s="244">
        <v>0</v>
      </c>
      <c r="CU600" s="244">
        <v>0</v>
      </c>
      <c r="CV600" s="244">
        <v>9999</v>
      </c>
      <c r="CW600" s="228">
        <v>9999</v>
      </c>
    </row>
    <row r="601" spans="1:101">
      <c r="A601" s="221" t="s">
        <v>521</v>
      </c>
      <c r="B601" s="221" t="s">
        <v>604</v>
      </c>
      <c r="C601" s="244">
        <v>10</v>
      </c>
      <c r="D601" s="244">
        <v>4.2081914028000007</v>
      </c>
      <c r="E601" s="244">
        <v>0</v>
      </c>
      <c r="F601" s="244">
        <v>0</v>
      </c>
      <c r="G601" s="244">
        <v>0</v>
      </c>
      <c r="H601" s="244">
        <v>0</v>
      </c>
      <c r="I601" s="244" t="s">
        <v>605</v>
      </c>
      <c r="J601" s="244">
        <v>1</v>
      </c>
      <c r="K601" s="244">
        <v>0.63999998569488525</v>
      </c>
      <c r="L601" s="244">
        <v>4.589717871853332</v>
      </c>
      <c r="M601" s="244">
        <v>3.3532181987538934E-4</v>
      </c>
      <c r="N601" s="244">
        <v>5.2394036902114749E-4</v>
      </c>
      <c r="O601" s="244">
        <v>0</v>
      </c>
      <c r="P601" s="244">
        <v>0</v>
      </c>
      <c r="Q601" s="244">
        <v>0</v>
      </c>
      <c r="R601" s="244">
        <v>0</v>
      </c>
      <c r="S601" s="244">
        <v>0</v>
      </c>
      <c r="T601" s="244">
        <v>0</v>
      </c>
      <c r="U601" s="244">
        <v>0</v>
      </c>
      <c r="V601" s="244" t="s">
        <v>226</v>
      </c>
      <c r="W601" s="244" t="s">
        <v>226</v>
      </c>
      <c r="X601" s="244" t="s">
        <v>226</v>
      </c>
      <c r="Y601" s="244" t="s">
        <v>226</v>
      </c>
      <c r="Z601" s="244">
        <v>0</v>
      </c>
      <c r="AA601" s="244">
        <v>0</v>
      </c>
      <c r="AB601" s="244">
        <v>0</v>
      </c>
      <c r="AC601" s="244">
        <v>0</v>
      </c>
      <c r="AD601" s="244">
        <v>0</v>
      </c>
      <c r="AE601" s="244">
        <v>0</v>
      </c>
      <c r="AF601" s="244">
        <v>0</v>
      </c>
      <c r="AG601" s="244">
        <v>0</v>
      </c>
      <c r="AH601" s="244">
        <v>0</v>
      </c>
      <c r="AI601" s="244">
        <v>0</v>
      </c>
      <c r="AJ601" s="244">
        <v>0</v>
      </c>
      <c r="AK601" s="244">
        <v>0</v>
      </c>
      <c r="AL601" s="244">
        <v>0</v>
      </c>
      <c r="AM601" s="244">
        <v>3.1800158348794341</v>
      </c>
      <c r="AN601" s="244">
        <v>0</v>
      </c>
      <c r="AO601" s="244">
        <v>0.5639532208442688</v>
      </c>
      <c r="AP601" s="244">
        <v>2.4595162868499756</v>
      </c>
      <c r="AQ601" s="244">
        <v>6.2034854888916016</v>
      </c>
      <c r="AR601" s="244">
        <v>0</v>
      </c>
      <c r="AS601" s="228">
        <v>9999</v>
      </c>
      <c r="AT601" s="244">
        <v>3.1800158348794341</v>
      </c>
      <c r="AU601" s="244">
        <v>0.15017753839492798</v>
      </c>
      <c r="AV601" s="244">
        <v>0.57897096872329712</v>
      </c>
      <c r="AW601" s="244">
        <v>2.4595162868499756</v>
      </c>
      <c r="AX601" s="244">
        <v>6.368680477142334</v>
      </c>
      <c r="AY601" s="244">
        <v>0</v>
      </c>
      <c r="AZ601" s="228">
        <v>9999</v>
      </c>
      <c r="BA601" s="244">
        <v>3.1800158348794341</v>
      </c>
      <c r="BB601" s="244">
        <v>0.15017753839492798</v>
      </c>
      <c r="BC601" s="244">
        <v>0.57897096872329712</v>
      </c>
      <c r="BD601" s="244">
        <v>2.4595162868499756</v>
      </c>
      <c r="BE601" s="244">
        <v>6.368680477142334</v>
      </c>
      <c r="BF601" s="244">
        <v>0</v>
      </c>
      <c r="BG601" s="244">
        <v>-55.747806549072266</v>
      </c>
      <c r="BH601" s="228">
        <v>9999</v>
      </c>
      <c r="BI601" s="244">
        <v>0</v>
      </c>
      <c r="BJ601" s="244">
        <v>0</v>
      </c>
      <c r="BK601" s="244">
        <v>0</v>
      </c>
      <c r="BL601" s="244">
        <v>0</v>
      </c>
      <c r="BM601" s="244">
        <v>0</v>
      </c>
      <c r="BN601" s="244">
        <v>3.1800158348794341</v>
      </c>
      <c r="BO601" s="244">
        <v>0</v>
      </c>
      <c r="BP601" s="244">
        <v>0.15017753839492798</v>
      </c>
      <c r="BQ601" s="244">
        <v>0</v>
      </c>
      <c r="BR601" s="244">
        <v>0</v>
      </c>
      <c r="BS601" s="244">
        <v>0</v>
      </c>
      <c r="BT601" s="244">
        <v>2.4595162868499756</v>
      </c>
      <c r="BU601" s="244">
        <v>0</v>
      </c>
      <c r="BV601" s="244">
        <v>0</v>
      </c>
      <c r="BW601" s="244">
        <v>0.57897096872329712</v>
      </c>
      <c r="BX601" s="244">
        <v>0</v>
      </c>
      <c r="BY601" s="244"/>
      <c r="BZ601" s="244">
        <v>0</v>
      </c>
      <c r="CA601" s="244">
        <v>0</v>
      </c>
      <c r="CB601" s="244">
        <v>6.368680477142334</v>
      </c>
      <c r="CC601" s="244">
        <v>0</v>
      </c>
      <c r="CD601" s="228">
        <v>9999</v>
      </c>
      <c r="CE601" s="244">
        <v>-55.747806549072266</v>
      </c>
      <c r="CF601" s="244">
        <v>3.4804970108145886E-2</v>
      </c>
      <c r="CG601" s="244">
        <v>0</v>
      </c>
      <c r="CH601" s="244">
        <v>3.4804970108145886E-2</v>
      </c>
      <c r="CI601" s="244">
        <v>1.7084528886192423E-3</v>
      </c>
      <c r="CJ601" s="244">
        <v>0</v>
      </c>
      <c r="CK601" s="244">
        <v>1.7084528886192423E-3</v>
      </c>
      <c r="CL601" s="244"/>
      <c r="CM601" s="244">
        <v>0</v>
      </c>
      <c r="CN601" s="244" t="s">
        <v>605</v>
      </c>
      <c r="CO601" s="244">
        <v>0</v>
      </c>
      <c r="CP601" s="244">
        <v>0</v>
      </c>
      <c r="CQ601" s="244">
        <v>0</v>
      </c>
      <c r="CR601" s="244">
        <v>0</v>
      </c>
      <c r="CS601" s="244">
        <v>0</v>
      </c>
      <c r="CT601" s="244">
        <v>0</v>
      </c>
      <c r="CU601" s="244">
        <v>0</v>
      </c>
      <c r="CV601" s="244">
        <v>9999</v>
      </c>
      <c r="CW601" s="228">
        <v>9999</v>
      </c>
    </row>
    <row r="602" spans="1:101">
      <c r="A602" s="221" t="s">
        <v>522</v>
      </c>
      <c r="B602" s="221" t="s">
        <v>604</v>
      </c>
      <c r="C602" s="244">
        <v>10</v>
      </c>
      <c r="D602" s="244">
        <v>4.2081914028000007</v>
      </c>
      <c r="E602" s="244">
        <v>0</v>
      </c>
      <c r="F602" s="244">
        <v>0</v>
      </c>
      <c r="G602" s="244">
        <v>0</v>
      </c>
      <c r="H602" s="244">
        <v>0</v>
      </c>
      <c r="I602" s="244" t="s">
        <v>605</v>
      </c>
      <c r="J602" s="244">
        <v>1</v>
      </c>
      <c r="K602" s="244">
        <v>0.63999998569488525</v>
      </c>
      <c r="L602" s="244">
        <v>4.589717871853332</v>
      </c>
      <c r="M602" s="244">
        <v>3.3532181987538934E-4</v>
      </c>
      <c r="N602" s="244">
        <v>5.2394036902114749E-4</v>
      </c>
      <c r="O602" s="244">
        <v>0</v>
      </c>
      <c r="P602" s="244">
        <v>0</v>
      </c>
      <c r="Q602" s="244">
        <v>0</v>
      </c>
      <c r="R602" s="244">
        <v>0</v>
      </c>
      <c r="S602" s="244">
        <v>0</v>
      </c>
      <c r="T602" s="244">
        <v>0</v>
      </c>
      <c r="U602" s="244">
        <v>0</v>
      </c>
      <c r="V602" s="244" t="s">
        <v>226</v>
      </c>
      <c r="W602" s="244" t="s">
        <v>226</v>
      </c>
      <c r="X602" s="244" t="s">
        <v>226</v>
      </c>
      <c r="Y602" s="244" t="s">
        <v>226</v>
      </c>
      <c r="Z602" s="244">
        <v>0</v>
      </c>
      <c r="AA602" s="244">
        <v>0</v>
      </c>
      <c r="AB602" s="244">
        <v>0</v>
      </c>
      <c r="AC602" s="244">
        <v>0</v>
      </c>
      <c r="AD602" s="244">
        <v>0</v>
      </c>
      <c r="AE602" s="244">
        <v>0</v>
      </c>
      <c r="AF602" s="244">
        <v>0</v>
      </c>
      <c r="AG602" s="244">
        <v>0</v>
      </c>
      <c r="AH602" s="244">
        <v>0</v>
      </c>
      <c r="AI602" s="244">
        <v>0</v>
      </c>
      <c r="AJ602" s="244">
        <v>0</v>
      </c>
      <c r="AK602" s="244">
        <v>0</v>
      </c>
      <c r="AL602" s="244">
        <v>0</v>
      </c>
      <c r="AM602" s="244">
        <v>3.1800158348794341</v>
      </c>
      <c r="AN602" s="244">
        <v>0</v>
      </c>
      <c r="AO602" s="244">
        <v>0.5639532208442688</v>
      </c>
      <c r="AP602" s="244">
        <v>2.4595162868499756</v>
      </c>
      <c r="AQ602" s="244">
        <v>6.2034854888916016</v>
      </c>
      <c r="AR602" s="244">
        <v>0</v>
      </c>
      <c r="AS602" s="228">
        <v>9999</v>
      </c>
      <c r="AT602" s="244">
        <v>3.1800158348794341</v>
      </c>
      <c r="AU602" s="244">
        <v>0.15017753839492798</v>
      </c>
      <c r="AV602" s="244">
        <v>0.57897096872329712</v>
      </c>
      <c r="AW602" s="244">
        <v>2.4595162868499756</v>
      </c>
      <c r="AX602" s="244">
        <v>6.368680477142334</v>
      </c>
      <c r="AY602" s="244">
        <v>0</v>
      </c>
      <c r="AZ602" s="228">
        <v>9999</v>
      </c>
      <c r="BA602" s="244">
        <v>3.1800158348794341</v>
      </c>
      <c r="BB602" s="244">
        <v>0.15017753839492798</v>
      </c>
      <c r="BC602" s="244">
        <v>0.57897096872329712</v>
      </c>
      <c r="BD602" s="244">
        <v>2.4595162868499756</v>
      </c>
      <c r="BE602" s="244">
        <v>6.368680477142334</v>
      </c>
      <c r="BF602" s="244">
        <v>0</v>
      </c>
      <c r="BG602" s="244">
        <v>-55.747806549072266</v>
      </c>
      <c r="BH602" s="228">
        <v>9999</v>
      </c>
      <c r="BI602" s="244">
        <v>0</v>
      </c>
      <c r="BJ602" s="244">
        <v>0</v>
      </c>
      <c r="BK602" s="244">
        <v>0</v>
      </c>
      <c r="BL602" s="244">
        <v>0</v>
      </c>
      <c r="BM602" s="244">
        <v>0</v>
      </c>
      <c r="BN602" s="244">
        <v>3.1800158348794341</v>
      </c>
      <c r="BO602" s="244">
        <v>0</v>
      </c>
      <c r="BP602" s="244">
        <v>0.15017753839492798</v>
      </c>
      <c r="BQ602" s="244">
        <v>0</v>
      </c>
      <c r="BR602" s="244">
        <v>0</v>
      </c>
      <c r="BS602" s="244">
        <v>0</v>
      </c>
      <c r="BT602" s="244">
        <v>2.4595162868499756</v>
      </c>
      <c r="BU602" s="244">
        <v>0</v>
      </c>
      <c r="BV602" s="244">
        <v>0</v>
      </c>
      <c r="BW602" s="244">
        <v>0.57897096872329712</v>
      </c>
      <c r="BX602" s="244">
        <v>0</v>
      </c>
      <c r="BY602" s="244"/>
      <c r="BZ602" s="244">
        <v>0</v>
      </c>
      <c r="CA602" s="244">
        <v>0</v>
      </c>
      <c r="CB602" s="244">
        <v>6.368680477142334</v>
      </c>
      <c r="CC602" s="244">
        <v>0</v>
      </c>
      <c r="CD602" s="228">
        <v>9999</v>
      </c>
      <c r="CE602" s="244">
        <v>-55.747806549072266</v>
      </c>
      <c r="CF602" s="244">
        <v>3.4804970108145886E-2</v>
      </c>
      <c r="CG602" s="244">
        <v>0</v>
      </c>
      <c r="CH602" s="244">
        <v>3.4804970108145886E-2</v>
      </c>
      <c r="CI602" s="244">
        <v>1.7084528886192423E-3</v>
      </c>
      <c r="CJ602" s="244">
        <v>0</v>
      </c>
      <c r="CK602" s="244">
        <v>1.7084528886192423E-3</v>
      </c>
      <c r="CL602" s="244"/>
      <c r="CM602" s="244">
        <v>0</v>
      </c>
      <c r="CN602" s="244" t="s">
        <v>605</v>
      </c>
      <c r="CO602" s="244">
        <v>0</v>
      </c>
      <c r="CP602" s="244">
        <v>0</v>
      </c>
      <c r="CQ602" s="244">
        <v>0</v>
      </c>
      <c r="CR602" s="244">
        <v>0</v>
      </c>
      <c r="CS602" s="244">
        <v>0</v>
      </c>
      <c r="CT602" s="244">
        <v>0</v>
      </c>
      <c r="CU602" s="244">
        <v>0</v>
      </c>
      <c r="CV602" s="244">
        <v>9999</v>
      </c>
      <c r="CW602" s="228">
        <v>9999</v>
      </c>
    </row>
    <row r="603" spans="1:101">
      <c r="A603" s="221" t="s">
        <v>523</v>
      </c>
      <c r="B603" s="221" t="s">
        <v>604</v>
      </c>
      <c r="C603" s="244">
        <v>10</v>
      </c>
      <c r="D603" s="244">
        <v>3.482794258373207</v>
      </c>
      <c r="E603" s="244">
        <v>0</v>
      </c>
      <c r="F603" s="244">
        <v>0</v>
      </c>
      <c r="G603" s="244">
        <v>0</v>
      </c>
      <c r="H603" s="244">
        <v>0</v>
      </c>
      <c r="I603" s="244" t="s">
        <v>605</v>
      </c>
      <c r="J603" s="244">
        <v>1</v>
      </c>
      <c r="K603" s="244">
        <v>0.63999998569488525</v>
      </c>
      <c r="L603" s="244">
        <v>3.7985541819717921</v>
      </c>
      <c r="M603" s="244">
        <v>2.7751992456614971E-4</v>
      </c>
      <c r="N603" s="244">
        <v>4.3362489668652415E-4</v>
      </c>
      <c r="O603" s="244">
        <v>0</v>
      </c>
      <c r="P603" s="244">
        <v>0</v>
      </c>
      <c r="Q603" s="244">
        <v>0</v>
      </c>
      <c r="R603" s="244">
        <v>0</v>
      </c>
      <c r="S603" s="244">
        <v>0</v>
      </c>
      <c r="T603" s="244">
        <v>0</v>
      </c>
      <c r="U603" s="244">
        <v>0</v>
      </c>
      <c r="V603" s="244" t="s">
        <v>226</v>
      </c>
      <c r="W603" s="244" t="s">
        <v>226</v>
      </c>
      <c r="X603" s="244" t="s">
        <v>226</v>
      </c>
      <c r="Y603" s="244" t="s">
        <v>226</v>
      </c>
      <c r="Z603" s="244">
        <v>0</v>
      </c>
      <c r="AA603" s="244">
        <v>0</v>
      </c>
      <c r="AB603" s="244">
        <v>0</v>
      </c>
      <c r="AC603" s="244">
        <v>0</v>
      </c>
      <c r="AD603" s="244">
        <v>0</v>
      </c>
      <c r="AE603" s="244">
        <v>0</v>
      </c>
      <c r="AF603" s="244">
        <v>0</v>
      </c>
      <c r="AG603" s="244">
        <v>0</v>
      </c>
      <c r="AH603" s="244">
        <v>0</v>
      </c>
      <c r="AI603" s="244">
        <v>0</v>
      </c>
      <c r="AJ603" s="244">
        <v>0</v>
      </c>
      <c r="AK603" s="244">
        <v>0</v>
      </c>
      <c r="AL603" s="244">
        <v>0</v>
      </c>
      <c r="AM603" s="244">
        <v>2.63185293422841</v>
      </c>
      <c r="AN603" s="244">
        <v>0</v>
      </c>
      <c r="AO603" s="244">
        <v>0.46674042940139771</v>
      </c>
      <c r="AP603" s="244">
        <v>2.0355513095855713</v>
      </c>
      <c r="AQ603" s="244">
        <v>5.1341447830200195</v>
      </c>
      <c r="AR603" s="244">
        <v>0</v>
      </c>
      <c r="AS603" s="228">
        <v>9999</v>
      </c>
      <c r="AT603" s="244">
        <v>2.63185293422841</v>
      </c>
      <c r="AU603" s="244">
        <v>0.12429031729698181</v>
      </c>
      <c r="AV603" s="244">
        <v>0.47916945815086365</v>
      </c>
      <c r="AW603" s="244">
        <v>2.0355513095855713</v>
      </c>
      <c r="AX603" s="244">
        <v>5.2708640098571777</v>
      </c>
      <c r="AY603" s="244">
        <v>0</v>
      </c>
      <c r="AZ603" s="228">
        <v>9999</v>
      </c>
      <c r="BA603" s="244">
        <v>2.63185293422841</v>
      </c>
      <c r="BB603" s="244">
        <v>0.12429031729698181</v>
      </c>
      <c r="BC603" s="244">
        <v>0.47916945815086365</v>
      </c>
      <c r="BD603" s="244">
        <v>2.0355513095855713</v>
      </c>
      <c r="BE603" s="244">
        <v>5.2708640098571777</v>
      </c>
      <c r="BF603" s="244">
        <v>0</v>
      </c>
      <c r="BG603" s="244">
        <v>-55.747810363769531</v>
      </c>
      <c r="BH603" s="228">
        <v>9999</v>
      </c>
      <c r="BI603" s="244">
        <v>0</v>
      </c>
      <c r="BJ603" s="244">
        <v>0</v>
      </c>
      <c r="BK603" s="244">
        <v>0</v>
      </c>
      <c r="BL603" s="244">
        <v>0</v>
      </c>
      <c r="BM603" s="244">
        <v>0</v>
      </c>
      <c r="BN603" s="244">
        <v>2.63185293422841</v>
      </c>
      <c r="BO603" s="244">
        <v>0</v>
      </c>
      <c r="BP603" s="244">
        <v>0.12429031729698181</v>
      </c>
      <c r="BQ603" s="244">
        <v>0</v>
      </c>
      <c r="BR603" s="244">
        <v>0</v>
      </c>
      <c r="BS603" s="244">
        <v>0</v>
      </c>
      <c r="BT603" s="244">
        <v>2.0355513095855713</v>
      </c>
      <c r="BU603" s="244">
        <v>0</v>
      </c>
      <c r="BV603" s="244">
        <v>0</v>
      </c>
      <c r="BW603" s="244">
        <v>0.47916945815086365</v>
      </c>
      <c r="BX603" s="244">
        <v>0</v>
      </c>
      <c r="BY603" s="244"/>
      <c r="BZ603" s="244">
        <v>0</v>
      </c>
      <c r="CA603" s="244">
        <v>0</v>
      </c>
      <c r="CB603" s="244">
        <v>5.2708640098571777</v>
      </c>
      <c r="CC603" s="244">
        <v>0</v>
      </c>
      <c r="CD603" s="228">
        <v>9999</v>
      </c>
      <c r="CE603" s="244">
        <v>-55.747810363769531</v>
      </c>
      <c r="CF603" s="244">
        <v>2.880537942614652E-2</v>
      </c>
      <c r="CG603" s="244">
        <v>0</v>
      </c>
      <c r="CH603" s="244">
        <v>2.880537942614652E-2</v>
      </c>
      <c r="CI603" s="244">
        <v>1.4139542006632944E-3</v>
      </c>
      <c r="CJ603" s="244">
        <v>0</v>
      </c>
      <c r="CK603" s="244">
        <v>1.4139542006632944E-3</v>
      </c>
      <c r="CL603" s="244"/>
      <c r="CM603" s="244">
        <v>0</v>
      </c>
      <c r="CN603" s="244" t="s">
        <v>605</v>
      </c>
      <c r="CO603" s="244">
        <v>0</v>
      </c>
      <c r="CP603" s="244">
        <v>0</v>
      </c>
      <c r="CQ603" s="244">
        <v>0</v>
      </c>
      <c r="CR603" s="244">
        <v>0</v>
      </c>
      <c r="CS603" s="244">
        <v>0</v>
      </c>
      <c r="CT603" s="244">
        <v>0</v>
      </c>
      <c r="CU603" s="244">
        <v>0</v>
      </c>
      <c r="CV603" s="244">
        <v>9999</v>
      </c>
      <c r="CW603" s="228">
        <v>9999</v>
      </c>
    </row>
    <row r="604" spans="1:101">
      <c r="A604" s="221" t="s">
        <v>524</v>
      </c>
      <c r="B604" s="221" t="s">
        <v>604</v>
      </c>
      <c r="C604" s="244">
        <v>10</v>
      </c>
      <c r="D604" s="244">
        <v>3.482794258373207</v>
      </c>
      <c r="E604" s="244">
        <v>0</v>
      </c>
      <c r="F604" s="244">
        <v>0</v>
      </c>
      <c r="G604" s="244">
        <v>0</v>
      </c>
      <c r="H604" s="244">
        <v>0</v>
      </c>
      <c r="I604" s="244" t="s">
        <v>605</v>
      </c>
      <c r="J604" s="244">
        <v>1</v>
      </c>
      <c r="K604" s="244">
        <v>0.63999998569488525</v>
      </c>
      <c r="L604" s="244">
        <v>3.7985541819717921</v>
      </c>
      <c r="M604" s="244">
        <v>2.7751992456614971E-4</v>
      </c>
      <c r="N604" s="244">
        <v>4.3362489668652415E-4</v>
      </c>
      <c r="O604" s="244">
        <v>0</v>
      </c>
      <c r="P604" s="244">
        <v>0</v>
      </c>
      <c r="Q604" s="244">
        <v>0</v>
      </c>
      <c r="R604" s="244">
        <v>0</v>
      </c>
      <c r="S604" s="244">
        <v>0</v>
      </c>
      <c r="T604" s="244">
        <v>0</v>
      </c>
      <c r="U604" s="244">
        <v>0</v>
      </c>
      <c r="V604" s="244" t="s">
        <v>226</v>
      </c>
      <c r="W604" s="244" t="s">
        <v>226</v>
      </c>
      <c r="X604" s="244" t="s">
        <v>226</v>
      </c>
      <c r="Y604" s="244" t="s">
        <v>226</v>
      </c>
      <c r="Z604" s="244">
        <v>0</v>
      </c>
      <c r="AA604" s="244">
        <v>0</v>
      </c>
      <c r="AB604" s="244">
        <v>0</v>
      </c>
      <c r="AC604" s="244">
        <v>0</v>
      </c>
      <c r="AD604" s="244">
        <v>0</v>
      </c>
      <c r="AE604" s="244">
        <v>0</v>
      </c>
      <c r="AF604" s="244">
        <v>0</v>
      </c>
      <c r="AG604" s="244">
        <v>0</v>
      </c>
      <c r="AH604" s="244">
        <v>0</v>
      </c>
      <c r="AI604" s="244">
        <v>0</v>
      </c>
      <c r="AJ604" s="244">
        <v>0</v>
      </c>
      <c r="AK604" s="244">
        <v>0</v>
      </c>
      <c r="AL604" s="244">
        <v>0</v>
      </c>
      <c r="AM604" s="244">
        <v>2.63185293422841</v>
      </c>
      <c r="AN604" s="244">
        <v>0</v>
      </c>
      <c r="AO604" s="244">
        <v>0.46674042940139771</v>
      </c>
      <c r="AP604" s="244">
        <v>2.0355513095855713</v>
      </c>
      <c r="AQ604" s="244">
        <v>5.1341447830200195</v>
      </c>
      <c r="AR604" s="244">
        <v>0</v>
      </c>
      <c r="AS604" s="228">
        <v>9999</v>
      </c>
      <c r="AT604" s="244">
        <v>2.63185293422841</v>
      </c>
      <c r="AU604" s="244">
        <v>0.12429031729698181</v>
      </c>
      <c r="AV604" s="244">
        <v>0.47916945815086365</v>
      </c>
      <c r="AW604" s="244">
        <v>2.0355513095855713</v>
      </c>
      <c r="AX604" s="244">
        <v>5.2708640098571777</v>
      </c>
      <c r="AY604" s="244">
        <v>0</v>
      </c>
      <c r="AZ604" s="228">
        <v>9999</v>
      </c>
      <c r="BA604" s="244">
        <v>2.63185293422841</v>
      </c>
      <c r="BB604" s="244">
        <v>0.12429031729698181</v>
      </c>
      <c r="BC604" s="244">
        <v>0.47916945815086365</v>
      </c>
      <c r="BD604" s="244">
        <v>2.0355513095855713</v>
      </c>
      <c r="BE604" s="244">
        <v>5.2708640098571777</v>
      </c>
      <c r="BF604" s="244">
        <v>0</v>
      </c>
      <c r="BG604" s="244">
        <v>-55.747810363769531</v>
      </c>
      <c r="BH604" s="228">
        <v>9999</v>
      </c>
      <c r="BI604" s="244">
        <v>0</v>
      </c>
      <c r="BJ604" s="244">
        <v>0</v>
      </c>
      <c r="BK604" s="244">
        <v>0</v>
      </c>
      <c r="BL604" s="244">
        <v>0</v>
      </c>
      <c r="BM604" s="244">
        <v>0</v>
      </c>
      <c r="BN604" s="244">
        <v>2.63185293422841</v>
      </c>
      <c r="BO604" s="244">
        <v>0</v>
      </c>
      <c r="BP604" s="244">
        <v>0.12429031729698181</v>
      </c>
      <c r="BQ604" s="244">
        <v>0</v>
      </c>
      <c r="BR604" s="244">
        <v>0</v>
      </c>
      <c r="BS604" s="244">
        <v>0</v>
      </c>
      <c r="BT604" s="244">
        <v>2.0355513095855713</v>
      </c>
      <c r="BU604" s="244">
        <v>0</v>
      </c>
      <c r="BV604" s="244">
        <v>0</v>
      </c>
      <c r="BW604" s="244">
        <v>0.47916945815086365</v>
      </c>
      <c r="BX604" s="244">
        <v>0</v>
      </c>
      <c r="BY604" s="244"/>
      <c r="BZ604" s="244">
        <v>0</v>
      </c>
      <c r="CA604" s="244">
        <v>0</v>
      </c>
      <c r="CB604" s="244">
        <v>5.2708640098571777</v>
      </c>
      <c r="CC604" s="244">
        <v>0</v>
      </c>
      <c r="CD604" s="228">
        <v>9999</v>
      </c>
      <c r="CE604" s="244">
        <v>-55.747810363769531</v>
      </c>
      <c r="CF604" s="244">
        <v>2.880537942614652E-2</v>
      </c>
      <c r="CG604" s="244">
        <v>0</v>
      </c>
      <c r="CH604" s="244">
        <v>2.880537942614652E-2</v>
      </c>
      <c r="CI604" s="244">
        <v>1.4139542006632944E-3</v>
      </c>
      <c r="CJ604" s="244">
        <v>0</v>
      </c>
      <c r="CK604" s="244">
        <v>1.4139542006632944E-3</v>
      </c>
      <c r="CL604" s="244"/>
      <c r="CM604" s="244">
        <v>0</v>
      </c>
      <c r="CN604" s="244" t="s">
        <v>605</v>
      </c>
      <c r="CO604" s="244">
        <v>0</v>
      </c>
      <c r="CP604" s="244">
        <v>0</v>
      </c>
      <c r="CQ604" s="244">
        <v>0</v>
      </c>
      <c r="CR604" s="244">
        <v>0</v>
      </c>
      <c r="CS604" s="244">
        <v>0</v>
      </c>
      <c r="CT604" s="244">
        <v>0</v>
      </c>
      <c r="CU604" s="244">
        <v>0</v>
      </c>
      <c r="CV604" s="244">
        <v>9999</v>
      </c>
      <c r="CW604" s="228">
        <v>9999</v>
      </c>
    </row>
    <row r="605" spans="1:101">
      <c r="A605" s="221" t="s">
        <v>525</v>
      </c>
      <c r="B605" s="221" t="s">
        <v>604</v>
      </c>
      <c r="C605" s="244">
        <v>10</v>
      </c>
      <c r="D605" s="244">
        <v>3.482794258373207</v>
      </c>
      <c r="E605" s="244">
        <v>0</v>
      </c>
      <c r="F605" s="244">
        <v>0</v>
      </c>
      <c r="G605" s="244">
        <v>0</v>
      </c>
      <c r="H605" s="244">
        <v>0</v>
      </c>
      <c r="I605" s="244" t="s">
        <v>605</v>
      </c>
      <c r="J605" s="244">
        <v>1</v>
      </c>
      <c r="K605" s="244">
        <v>0.63999998569488525</v>
      </c>
      <c r="L605" s="244">
        <v>3.7985541819717921</v>
      </c>
      <c r="M605" s="244">
        <v>2.7751992456614971E-4</v>
      </c>
      <c r="N605" s="244">
        <v>4.3362489668652415E-4</v>
      </c>
      <c r="O605" s="244">
        <v>0</v>
      </c>
      <c r="P605" s="244">
        <v>0</v>
      </c>
      <c r="Q605" s="244">
        <v>0</v>
      </c>
      <c r="R605" s="244">
        <v>0</v>
      </c>
      <c r="S605" s="244">
        <v>0</v>
      </c>
      <c r="T605" s="244">
        <v>0</v>
      </c>
      <c r="U605" s="244">
        <v>0</v>
      </c>
      <c r="V605" s="244" t="s">
        <v>226</v>
      </c>
      <c r="W605" s="244" t="s">
        <v>226</v>
      </c>
      <c r="X605" s="244" t="s">
        <v>226</v>
      </c>
      <c r="Y605" s="244" t="s">
        <v>226</v>
      </c>
      <c r="Z605" s="244">
        <v>0</v>
      </c>
      <c r="AA605" s="244">
        <v>0</v>
      </c>
      <c r="AB605" s="244">
        <v>0</v>
      </c>
      <c r="AC605" s="244">
        <v>0</v>
      </c>
      <c r="AD605" s="244">
        <v>0</v>
      </c>
      <c r="AE605" s="244">
        <v>0</v>
      </c>
      <c r="AF605" s="244">
        <v>0</v>
      </c>
      <c r="AG605" s="244">
        <v>0</v>
      </c>
      <c r="AH605" s="244">
        <v>0</v>
      </c>
      <c r="AI605" s="244">
        <v>0</v>
      </c>
      <c r="AJ605" s="244">
        <v>0</v>
      </c>
      <c r="AK605" s="244">
        <v>0</v>
      </c>
      <c r="AL605" s="244">
        <v>0</v>
      </c>
      <c r="AM605" s="244">
        <v>2.63185293422841</v>
      </c>
      <c r="AN605" s="244">
        <v>0</v>
      </c>
      <c r="AO605" s="244">
        <v>0.46674042940139771</v>
      </c>
      <c r="AP605" s="244">
        <v>2.0355513095855713</v>
      </c>
      <c r="AQ605" s="244">
        <v>5.1341447830200195</v>
      </c>
      <c r="AR605" s="244">
        <v>0</v>
      </c>
      <c r="AS605" s="228">
        <v>9999</v>
      </c>
      <c r="AT605" s="244">
        <v>2.63185293422841</v>
      </c>
      <c r="AU605" s="244">
        <v>0.12429031729698181</v>
      </c>
      <c r="AV605" s="244">
        <v>0.47916945815086365</v>
      </c>
      <c r="AW605" s="244">
        <v>2.0355513095855713</v>
      </c>
      <c r="AX605" s="244">
        <v>5.2708640098571777</v>
      </c>
      <c r="AY605" s="244">
        <v>0</v>
      </c>
      <c r="AZ605" s="228">
        <v>9999</v>
      </c>
      <c r="BA605" s="244">
        <v>2.63185293422841</v>
      </c>
      <c r="BB605" s="244">
        <v>0.12429031729698181</v>
      </c>
      <c r="BC605" s="244">
        <v>0.47916945815086365</v>
      </c>
      <c r="BD605" s="244">
        <v>2.0355513095855713</v>
      </c>
      <c r="BE605" s="244">
        <v>5.2708640098571777</v>
      </c>
      <c r="BF605" s="244">
        <v>0</v>
      </c>
      <c r="BG605" s="244">
        <v>-55.747810363769531</v>
      </c>
      <c r="BH605" s="228">
        <v>9999</v>
      </c>
      <c r="BI605" s="244">
        <v>0</v>
      </c>
      <c r="BJ605" s="244">
        <v>0</v>
      </c>
      <c r="BK605" s="244">
        <v>0</v>
      </c>
      <c r="BL605" s="244">
        <v>0</v>
      </c>
      <c r="BM605" s="244">
        <v>0</v>
      </c>
      <c r="BN605" s="244">
        <v>2.63185293422841</v>
      </c>
      <c r="BO605" s="244">
        <v>0</v>
      </c>
      <c r="BP605" s="244">
        <v>0.12429031729698181</v>
      </c>
      <c r="BQ605" s="244">
        <v>0</v>
      </c>
      <c r="BR605" s="244">
        <v>0</v>
      </c>
      <c r="BS605" s="244">
        <v>0</v>
      </c>
      <c r="BT605" s="244">
        <v>2.0355513095855713</v>
      </c>
      <c r="BU605" s="244">
        <v>0</v>
      </c>
      <c r="BV605" s="244">
        <v>0</v>
      </c>
      <c r="BW605" s="244">
        <v>0.47916945815086365</v>
      </c>
      <c r="BX605" s="244">
        <v>0</v>
      </c>
      <c r="BY605" s="244"/>
      <c r="BZ605" s="244">
        <v>0</v>
      </c>
      <c r="CA605" s="244">
        <v>0</v>
      </c>
      <c r="CB605" s="244">
        <v>5.2708640098571777</v>
      </c>
      <c r="CC605" s="244">
        <v>0</v>
      </c>
      <c r="CD605" s="228">
        <v>9999</v>
      </c>
      <c r="CE605" s="244">
        <v>-55.747810363769531</v>
      </c>
      <c r="CF605" s="244">
        <v>2.880537942614652E-2</v>
      </c>
      <c r="CG605" s="244">
        <v>0</v>
      </c>
      <c r="CH605" s="244">
        <v>2.880537942614652E-2</v>
      </c>
      <c r="CI605" s="244">
        <v>1.4139542006632944E-3</v>
      </c>
      <c r="CJ605" s="244">
        <v>0</v>
      </c>
      <c r="CK605" s="244">
        <v>1.4139542006632944E-3</v>
      </c>
      <c r="CL605" s="244"/>
      <c r="CM605" s="244">
        <v>0</v>
      </c>
      <c r="CN605" s="244" t="s">
        <v>605</v>
      </c>
      <c r="CO605" s="244">
        <v>0</v>
      </c>
      <c r="CP605" s="244">
        <v>0</v>
      </c>
      <c r="CQ605" s="244">
        <v>0</v>
      </c>
      <c r="CR605" s="244">
        <v>0</v>
      </c>
      <c r="CS605" s="244">
        <v>0</v>
      </c>
      <c r="CT605" s="244">
        <v>0</v>
      </c>
      <c r="CU605" s="244">
        <v>0</v>
      </c>
      <c r="CV605" s="244">
        <v>9999</v>
      </c>
      <c r="CW605" s="228">
        <v>9999</v>
      </c>
    </row>
    <row r="606" spans="1:101">
      <c r="A606" s="221" t="s">
        <v>526</v>
      </c>
      <c r="B606" s="221" t="s">
        <v>604</v>
      </c>
      <c r="C606" s="244">
        <v>10</v>
      </c>
      <c r="D606" s="244">
        <v>3.6732595693779908</v>
      </c>
      <c r="E606" s="244">
        <v>0</v>
      </c>
      <c r="F606" s="244">
        <v>0</v>
      </c>
      <c r="G606" s="244">
        <v>0</v>
      </c>
      <c r="H606" s="244">
        <v>0</v>
      </c>
      <c r="I606" s="244" t="s">
        <v>605</v>
      </c>
      <c r="J606" s="244">
        <v>1</v>
      </c>
      <c r="K606" s="244">
        <v>0.63999998569488525</v>
      </c>
      <c r="L606" s="244">
        <v>4.0062876137983734</v>
      </c>
      <c r="M606" s="244">
        <v>2.9269678634591401E-4</v>
      </c>
      <c r="N606" s="244">
        <v>4.5733875595033169E-4</v>
      </c>
      <c r="O606" s="244">
        <v>0</v>
      </c>
      <c r="P606" s="244">
        <v>0</v>
      </c>
      <c r="Q606" s="244">
        <v>0</v>
      </c>
      <c r="R606" s="244">
        <v>0</v>
      </c>
      <c r="S606" s="244">
        <v>0</v>
      </c>
      <c r="T606" s="244">
        <v>0</v>
      </c>
      <c r="U606" s="244">
        <v>0</v>
      </c>
      <c r="V606" s="244" t="s">
        <v>226</v>
      </c>
      <c r="W606" s="244" t="s">
        <v>226</v>
      </c>
      <c r="X606" s="244" t="s">
        <v>226</v>
      </c>
      <c r="Y606" s="244" t="s">
        <v>226</v>
      </c>
      <c r="Z606" s="244">
        <v>0</v>
      </c>
      <c r="AA606" s="244">
        <v>0</v>
      </c>
      <c r="AB606" s="244">
        <v>0</v>
      </c>
      <c r="AC606" s="244">
        <v>0</v>
      </c>
      <c r="AD606" s="244">
        <v>0</v>
      </c>
      <c r="AE606" s="244">
        <v>0</v>
      </c>
      <c r="AF606" s="244">
        <v>0</v>
      </c>
      <c r="AG606" s="244">
        <v>0</v>
      </c>
      <c r="AH606" s="244">
        <v>0</v>
      </c>
      <c r="AI606" s="244">
        <v>0</v>
      </c>
      <c r="AJ606" s="244">
        <v>0</v>
      </c>
      <c r="AK606" s="244">
        <v>0</v>
      </c>
      <c r="AL606" s="244">
        <v>0</v>
      </c>
      <c r="AM606" s="244">
        <v>2.7757823915690327</v>
      </c>
      <c r="AN606" s="244">
        <v>0</v>
      </c>
      <c r="AO606" s="244">
        <v>0.49226528406143188</v>
      </c>
      <c r="AP606" s="244">
        <v>2.1468703746795654</v>
      </c>
      <c r="AQ606" s="244">
        <v>5.4149179458618164</v>
      </c>
      <c r="AR606" s="244">
        <v>0</v>
      </c>
      <c r="AS606" s="228">
        <v>9999</v>
      </c>
      <c r="AT606" s="244">
        <v>2.7757823915690327</v>
      </c>
      <c r="AU606" s="244">
        <v>0.13108743727207184</v>
      </c>
      <c r="AV606" s="244">
        <v>0.50537401437759399</v>
      </c>
      <c r="AW606" s="244">
        <v>2.1468703746795654</v>
      </c>
      <c r="AX606" s="244">
        <v>5.5591144561767578</v>
      </c>
      <c r="AY606" s="244">
        <v>0</v>
      </c>
      <c r="AZ606" s="228">
        <v>9999</v>
      </c>
      <c r="BA606" s="244">
        <v>2.7757823915690327</v>
      </c>
      <c r="BB606" s="244">
        <v>0.13108743727207184</v>
      </c>
      <c r="BC606" s="244">
        <v>0.50537401437759399</v>
      </c>
      <c r="BD606" s="244">
        <v>2.1468703746795654</v>
      </c>
      <c r="BE606" s="244">
        <v>5.5591144561767578</v>
      </c>
      <c r="BF606" s="244">
        <v>0</v>
      </c>
      <c r="BG606" s="244">
        <v>-55.747806549072266</v>
      </c>
      <c r="BH606" s="228">
        <v>9999</v>
      </c>
      <c r="BI606" s="244">
        <v>0</v>
      </c>
      <c r="BJ606" s="244">
        <v>0</v>
      </c>
      <c r="BK606" s="244">
        <v>0</v>
      </c>
      <c r="BL606" s="244">
        <v>0</v>
      </c>
      <c r="BM606" s="244">
        <v>0</v>
      </c>
      <c r="BN606" s="244">
        <v>2.7757823915690327</v>
      </c>
      <c r="BO606" s="244">
        <v>0</v>
      </c>
      <c r="BP606" s="244">
        <v>0.13108743727207184</v>
      </c>
      <c r="BQ606" s="244">
        <v>0</v>
      </c>
      <c r="BR606" s="244">
        <v>0</v>
      </c>
      <c r="BS606" s="244">
        <v>0</v>
      </c>
      <c r="BT606" s="244">
        <v>2.1468703746795654</v>
      </c>
      <c r="BU606" s="244">
        <v>0</v>
      </c>
      <c r="BV606" s="244">
        <v>0</v>
      </c>
      <c r="BW606" s="244">
        <v>0.50537401437759399</v>
      </c>
      <c r="BX606" s="244">
        <v>0</v>
      </c>
      <c r="BY606" s="244"/>
      <c r="BZ606" s="244">
        <v>0</v>
      </c>
      <c r="CA606" s="244">
        <v>0</v>
      </c>
      <c r="CB606" s="244">
        <v>5.5591144561767578</v>
      </c>
      <c r="CC606" s="244">
        <v>0</v>
      </c>
      <c r="CD606" s="228">
        <v>9999</v>
      </c>
      <c r="CE606" s="244">
        <v>-55.747806549072266</v>
      </c>
      <c r="CF606" s="244">
        <v>3.0380673613513903E-2</v>
      </c>
      <c r="CG606" s="244">
        <v>0</v>
      </c>
      <c r="CH606" s="244">
        <v>3.0380673613513903E-2</v>
      </c>
      <c r="CI606" s="244">
        <v>1.4912798210120666E-3</v>
      </c>
      <c r="CJ606" s="244">
        <v>0</v>
      </c>
      <c r="CK606" s="244">
        <v>1.4912798210120666E-3</v>
      </c>
      <c r="CL606" s="244"/>
      <c r="CM606" s="244">
        <v>0</v>
      </c>
      <c r="CN606" s="244" t="s">
        <v>605</v>
      </c>
      <c r="CO606" s="244">
        <v>0</v>
      </c>
      <c r="CP606" s="244">
        <v>0</v>
      </c>
      <c r="CQ606" s="244">
        <v>0</v>
      </c>
      <c r="CR606" s="244">
        <v>0</v>
      </c>
      <c r="CS606" s="244">
        <v>0</v>
      </c>
      <c r="CT606" s="244">
        <v>0</v>
      </c>
      <c r="CU606" s="244">
        <v>0</v>
      </c>
      <c r="CV606" s="244">
        <v>9999</v>
      </c>
      <c r="CW606" s="228">
        <v>9999</v>
      </c>
    </row>
    <row r="607" spans="1:101">
      <c r="A607" s="221" t="s">
        <v>527</v>
      </c>
      <c r="B607" s="221" t="s">
        <v>604</v>
      </c>
      <c r="C607" s="244">
        <v>10</v>
      </c>
      <c r="D607" s="244">
        <v>3.6732595693779908</v>
      </c>
      <c r="E607" s="244">
        <v>0</v>
      </c>
      <c r="F607" s="244">
        <v>0</v>
      </c>
      <c r="G607" s="244">
        <v>0</v>
      </c>
      <c r="H607" s="244">
        <v>0</v>
      </c>
      <c r="I607" s="244" t="s">
        <v>605</v>
      </c>
      <c r="J607" s="244">
        <v>1</v>
      </c>
      <c r="K607" s="244">
        <v>0.63999998569488525</v>
      </c>
      <c r="L607" s="244">
        <v>4.0062876137983734</v>
      </c>
      <c r="M607" s="244">
        <v>2.9269678634591401E-4</v>
      </c>
      <c r="N607" s="244">
        <v>4.5733875595033169E-4</v>
      </c>
      <c r="O607" s="244">
        <v>0</v>
      </c>
      <c r="P607" s="244">
        <v>0</v>
      </c>
      <c r="Q607" s="244">
        <v>0</v>
      </c>
      <c r="R607" s="244">
        <v>0</v>
      </c>
      <c r="S607" s="244">
        <v>0</v>
      </c>
      <c r="T607" s="244">
        <v>0</v>
      </c>
      <c r="U607" s="244">
        <v>0</v>
      </c>
      <c r="V607" s="244" t="s">
        <v>226</v>
      </c>
      <c r="W607" s="244" t="s">
        <v>226</v>
      </c>
      <c r="X607" s="244" t="s">
        <v>226</v>
      </c>
      <c r="Y607" s="244" t="s">
        <v>226</v>
      </c>
      <c r="Z607" s="244">
        <v>0</v>
      </c>
      <c r="AA607" s="244">
        <v>0</v>
      </c>
      <c r="AB607" s="244">
        <v>0</v>
      </c>
      <c r="AC607" s="244">
        <v>0</v>
      </c>
      <c r="AD607" s="244">
        <v>0</v>
      </c>
      <c r="AE607" s="244">
        <v>0</v>
      </c>
      <c r="AF607" s="244">
        <v>0</v>
      </c>
      <c r="AG607" s="244">
        <v>0</v>
      </c>
      <c r="AH607" s="244">
        <v>0</v>
      </c>
      <c r="AI607" s="244">
        <v>0</v>
      </c>
      <c r="AJ607" s="244">
        <v>0</v>
      </c>
      <c r="AK607" s="244">
        <v>0</v>
      </c>
      <c r="AL607" s="244">
        <v>0</v>
      </c>
      <c r="AM607" s="244">
        <v>2.7757823915690327</v>
      </c>
      <c r="AN607" s="244">
        <v>0</v>
      </c>
      <c r="AO607" s="244">
        <v>0.49226528406143188</v>
      </c>
      <c r="AP607" s="244">
        <v>2.1468703746795654</v>
      </c>
      <c r="AQ607" s="244">
        <v>5.4149179458618164</v>
      </c>
      <c r="AR607" s="244">
        <v>0</v>
      </c>
      <c r="AS607" s="228">
        <v>9999</v>
      </c>
      <c r="AT607" s="244">
        <v>2.7757823915690327</v>
      </c>
      <c r="AU607" s="244">
        <v>0.13108743727207184</v>
      </c>
      <c r="AV607" s="244">
        <v>0.50537401437759399</v>
      </c>
      <c r="AW607" s="244">
        <v>2.1468703746795654</v>
      </c>
      <c r="AX607" s="244">
        <v>5.5591144561767578</v>
      </c>
      <c r="AY607" s="244">
        <v>0</v>
      </c>
      <c r="AZ607" s="228">
        <v>9999</v>
      </c>
      <c r="BA607" s="244">
        <v>2.7757823915690327</v>
      </c>
      <c r="BB607" s="244">
        <v>0.13108743727207184</v>
      </c>
      <c r="BC607" s="244">
        <v>0.50537401437759399</v>
      </c>
      <c r="BD607" s="244">
        <v>2.1468703746795654</v>
      </c>
      <c r="BE607" s="244">
        <v>5.5591144561767578</v>
      </c>
      <c r="BF607" s="244">
        <v>0</v>
      </c>
      <c r="BG607" s="244">
        <v>-55.747806549072266</v>
      </c>
      <c r="BH607" s="228">
        <v>9999</v>
      </c>
      <c r="BI607" s="244">
        <v>0</v>
      </c>
      <c r="BJ607" s="244">
        <v>0</v>
      </c>
      <c r="BK607" s="244">
        <v>0</v>
      </c>
      <c r="BL607" s="244">
        <v>0</v>
      </c>
      <c r="BM607" s="244">
        <v>0</v>
      </c>
      <c r="BN607" s="244">
        <v>2.7757823915690327</v>
      </c>
      <c r="BO607" s="244">
        <v>0</v>
      </c>
      <c r="BP607" s="244">
        <v>0.13108743727207184</v>
      </c>
      <c r="BQ607" s="244">
        <v>0</v>
      </c>
      <c r="BR607" s="244">
        <v>0</v>
      </c>
      <c r="BS607" s="244">
        <v>0</v>
      </c>
      <c r="BT607" s="244">
        <v>2.1468703746795654</v>
      </c>
      <c r="BU607" s="244">
        <v>0</v>
      </c>
      <c r="BV607" s="244">
        <v>0</v>
      </c>
      <c r="BW607" s="244">
        <v>0.50537401437759399</v>
      </c>
      <c r="BX607" s="244">
        <v>0</v>
      </c>
      <c r="BY607" s="244"/>
      <c r="BZ607" s="244">
        <v>0</v>
      </c>
      <c r="CA607" s="244">
        <v>0</v>
      </c>
      <c r="CB607" s="244">
        <v>5.5591144561767578</v>
      </c>
      <c r="CC607" s="244">
        <v>0</v>
      </c>
      <c r="CD607" s="228">
        <v>9999</v>
      </c>
      <c r="CE607" s="244">
        <v>-55.747806549072266</v>
      </c>
      <c r="CF607" s="244">
        <v>3.0380673613513903E-2</v>
      </c>
      <c r="CG607" s="244">
        <v>0</v>
      </c>
      <c r="CH607" s="244">
        <v>3.0380673613513903E-2</v>
      </c>
      <c r="CI607" s="244">
        <v>1.4912798210120666E-3</v>
      </c>
      <c r="CJ607" s="244">
        <v>0</v>
      </c>
      <c r="CK607" s="244">
        <v>1.4912798210120666E-3</v>
      </c>
      <c r="CL607" s="244"/>
      <c r="CM607" s="244">
        <v>0</v>
      </c>
      <c r="CN607" s="244" t="s">
        <v>605</v>
      </c>
      <c r="CO607" s="244">
        <v>0</v>
      </c>
      <c r="CP607" s="244">
        <v>0</v>
      </c>
      <c r="CQ607" s="244">
        <v>0</v>
      </c>
      <c r="CR607" s="244">
        <v>0</v>
      </c>
      <c r="CS607" s="244">
        <v>0</v>
      </c>
      <c r="CT607" s="244">
        <v>0</v>
      </c>
      <c r="CU607" s="244">
        <v>0</v>
      </c>
      <c r="CV607" s="244">
        <v>9999</v>
      </c>
      <c r="CW607" s="228">
        <v>9999</v>
      </c>
    </row>
    <row r="608" spans="1:101">
      <c r="A608" s="221" t="s">
        <v>528</v>
      </c>
      <c r="B608" s="221" t="s">
        <v>604</v>
      </c>
      <c r="C608" s="244">
        <v>10</v>
      </c>
      <c r="D608" s="244">
        <v>3.6732595693779908</v>
      </c>
      <c r="E608" s="244">
        <v>0</v>
      </c>
      <c r="F608" s="244">
        <v>0</v>
      </c>
      <c r="G608" s="244">
        <v>0</v>
      </c>
      <c r="H608" s="244">
        <v>0</v>
      </c>
      <c r="I608" s="244" t="s">
        <v>605</v>
      </c>
      <c r="J608" s="244">
        <v>1</v>
      </c>
      <c r="K608" s="244">
        <v>0.63999998569488525</v>
      </c>
      <c r="L608" s="244">
        <v>4.0062876137983734</v>
      </c>
      <c r="M608" s="244">
        <v>2.9269678634591401E-4</v>
      </c>
      <c r="N608" s="244">
        <v>4.5733875595033169E-4</v>
      </c>
      <c r="O608" s="244">
        <v>0</v>
      </c>
      <c r="P608" s="244">
        <v>0</v>
      </c>
      <c r="Q608" s="244">
        <v>0</v>
      </c>
      <c r="R608" s="244">
        <v>0</v>
      </c>
      <c r="S608" s="244">
        <v>0</v>
      </c>
      <c r="T608" s="244">
        <v>0</v>
      </c>
      <c r="U608" s="244">
        <v>0</v>
      </c>
      <c r="V608" s="244" t="s">
        <v>226</v>
      </c>
      <c r="W608" s="244" t="s">
        <v>226</v>
      </c>
      <c r="X608" s="244" t="s">
        <v>226</v>
      </c>
      <c r="Y608" s="244" t="s">
        <v>226</v>
      </c>
      <c r="Z608" s="244">
        <v>0</v>
      </c>
      <c r="AA608" s="244">
        <v>0</v>
      </c>
      <c r="AB608" s="244">
        <v>0</v>
      </c>
      <c r="AC608" s="244">
        <v>0</v>
      </c>
      <c r="AD608" s="244">
        <v>0</v>
      </c>
      <c r="AE608" s="244">
        <v>0</v>
      </c>
      <c r="AF608" s="244">
        <v>0</v>
      </c>
      <c r="AG608" s="244">
        <v>0</v>
      </c>
      <c r="AH608" s="244">
        <v>0</v>
      </c>
      <c r="AI608" s="244">
        <v>0</v>
      </c>
      <c r="AJ608" s="244">
        <v>0</v>
      </c>
      <c r="AK608" s="244">
        <v>0</v>
      </c>
      <c r="AL608" s="244">
        <v>0</v>
      </c>
      <c r="AM608" s="244">
        <v>2.7757823915690327</v>
      </c>
      <c r="AN608" s="244">
        <v>0</v>
      </c>
      <c r="AO608" s="244">
        <v>0.49226528406143188</v>
      </c>
      <c r="AP608" s="244">
        <v>2.1468703746795654</v>
      </c>
      <c r="AQ608" s="244">
        <v>5.4149179458618164</v>
      </c>
      <c r="AR608" s="244">
        <v>0</v>
      </c>
      <c r="AS608" s="228">
        <v>9999</v>
      </c>
      <c r="AT608" s="244">
        <v>2.7757823915690327</v>
      </c>
      <c r="AU608" s="244">
        <v>0.13108743727207184</v>
      </c>
      <c r="AV608" s="244">
        <v>0.50537401437759399</v>
      </c>
      <c r="AW608" s="244">
        <v>2.1468703746795654</v>
      </c>
      <c r="AX608" s="244">
        <v>5.5591144561767578</v>
      </c>
      <c r="AY608" s="244">
        <v>0</v>
      </c>
      <c r="AZ608" s="228">
        <v>9999</v>
      </c>
      <c r="BA608" s="244">
        <v>2.7757823915690327</v>
      </c>
      <c r="BB608" s="244">
        <v>0.13108743727207184</v>
      </c>
      <c r="BC608" s="244">
        <v>0.50537401437759399</v>
      </c>
      <c r="BD608" s="244">
        <v>2.1468703746795654</v>
      </c>
      <c r="BE608" s="244">
        <v>5.5591144561767578</v>
      </c>
      <c r="BF608" s="244">
        <v>0</v>
      </c>
      <c r="BG608" s="244">
        <v>-55.747806549072266</v>
      </c>
      <c r="BH608" s="228">
        <v>9999</v>
      </c>
      <c r="BI608" s="244">
        <v>0</v>
      </c>
      <c r="BJ608" s="244">
        <v>0</v>
      </c>
      <c r="BK608" s="244">
        <v>0</v>
      </c>
      <c r="BL608" s="244">
        <v>0</v>
      </c>
      <c r="BM608" s="244">
        <v>0</v>
      </c>
      <c r="BN608" s="244">
        <v>2.7757823915690327</v>
      </c>
      <c r="BO608" s="244">
        <v>0</v>
      </c>
      <c r="BP608" s="244">
        <v>0.13108743727207184</v>
      </c>
      <c r="BQ608" s="244">
        <v>0</v>
      </c>
      <c r="BR608" s="244">
        <v>0</v>
      </c>
      <c r="BS608" s="244">
        <v>0</v>
      </c>
      <c r="BT608" s="244">
        <v>2.1468703746795654</v>
      </c>
      <c r="BU608" s="244">
        <v>0</v>
      </c>
      <c r="BV608" s="244">
        <v>0</v>
      </c>
      <c r="BW608" s="244">
        <v>0.50537401437759399</v>
      </c>
      <c r="BX608" s="244">
        <v>0</v>
      </c>
      <c r="BY608" s="244"/>
      <c r="BZ608" s="244">
        <v>0</v>
      </c>
      <c r="CA608" s="244">
        <v>0</v>
      </c>
      <c r="CB608" s="244">
        <v>5.5591144561767578</v>
      </c>
      <c r="CC608" s="244">
        <v>0</v>
      </c>
      <c r="CD608" s="228">
        <v>9999</v>
      </c>
      <c r="CE608" s="244">
        <v>-55.747806549072266</v>
      </c>
      <c r="CF608" s="244">
        <v>3.0380673613513903E-2</v>
      </c>
      <c r="CG608" s="244">
        <v>0</v>
      </c>
      <c r="CH608" s="244">
        <v>3.0380673613513903E-2</v>
      </c>
      <c r="CI608" s="244">
        <v>1.4912798210120666E-3</v>
      </c>
      <c r="CJ608" s="244">
        <v>0</v>
      </c>
      <c r="CK608" s="244">
        <v>1.4912798210120666E-3</v>
      </c>
      <c r="CL608" s="244"/>
      <c r="CM608" s="244">
        <v>0</v>
      </c>
      <c r="CN608" s="244" t="s">
        <v>605</v>
      </c>
      <c r="CO608" s="244">
        <v>0</v>
      </c>
      <c r="CP608" s="244">
        <v>0</v>
      </c>
      <c r="CQ608" s="244">
        <v>0</v>
      </c>
      <c r="CR608" s="244">
        <v>0</v>
      </c>
      <c r="CS608" s="244">
        <v>0</v>
      </c>
      <c r="CT608" s="244">
        <v>0</v>
      </c>
      <c r="CU608" s="244">
        <v>0</v>
      </c>
      <c r="CV608" s="244">
        <v>9999</v>
      </c>
      <c r="CW608" s="228">
        <v>9999</v>
      </c>
    </row>
    <row r="609" spans="1:101">
      <c r="A609" s="221" t="s">
        <v>529</v>
      </c>
      <c r="B609" s="221" t="s">
        <v>604</v>
      </c>
      <c r="C609" s="244">
        <v>10</v>
      </c>
      <c r="D609" s="244">
        <v>5.3330287081339716</v>
      </c>
      <c r="E609" s="244">
        <v>0</v>
      </c>
      <c r="F609" s="244">
        <v>0</v>
      </c>
      <c r="G609" s="244">
        <v>0</v>
      </c>
      <c r="H609" s="244">
        <v>0</v>
      </c>
      <c r="I609" s="244" t="s">
        <v>605</v>
      </c>
      <c r="J609" s="244">
        <v>1</v>
      </c>
      <c r="K609" s="244">
        <v>0.63999998569488525</v>
      </c>
      <c r="L609" s="244">
        <v>5.8165360911443056</v>
      </c>
      <c r="M609" s="244">
        <v>4.2495239176787436E-4</v>
      </c>
      <c r="N609" s="244">
        <v>6.639881175942719E-4</v>
      </c>
      <c r="O609" s="244">
        <v>0</v>
      </c>
      <c r="P609" s="244">
        <v>0</v>
      </c>
      <c r="Q609" s="244">
        <v>0</v>
      </c>
      <c r="R609" s="244">
        <v>0</v>
      </c>
      <c r="S609" s="244">
        <v>0</v>
      </c>
      <c r="T609" s="244">
        <v>0</v>
      </c>
      <c r="U609" s="244">
        <v>0</v>
      </c>
      <c r="V609" s="244" t="s">
        <v>226</v>
      </c>
      <c r="W609" s="244" t="s">
        <v>226</v>
      </c>
      <c r="X609" s="244" t="s">
        <v>226</v>
      </c>
      <c r="Y609" s="244" t="s">
        <v>226</v>
      </c>
      <c r="Z609" s="244">
        <v>0</v>
      </c>
      <c r="AA609" s="244">
        <v>0</v>
      </c>
      <c r="AB609" s="244">
        <v>0</v>
      </c>
      <c r="AC609" s="244">
        <v>0</v>
      </c>
      <c r="AD609" s="244">
        <v>0</v>
      </c>
      <c r="AE609" s="244">
        <v>0</v>
      </c>
      <c r="AF609" s="244">
        <v>0</v>
      </c>
      <c r="AG609" s="244">
        <v>0</v>
      </c>
      <c r="AH609" s="244">
        <v>0</v>
      </c>
      <c r="AI609" s="244">
        <v>0</v>
      </c>
      <c r="AJ609" s="244">
        <v>0</v>
      </c>
      <c r="AK609" s="244">
        <v>0</v>
      </c>
      <c r="AL609" s="244">
        <v>0</v>
      </c>
      <c r="AM609" s="244">
        <v>4.0300248055372592</v>
      </c>
      <c r="AN609" s="244">
        <v>0</v>
      </c>
      <c r="AO609" s="244">
        <v>0.71469628810882568</v>
      </c>
      <c r="AP609" s="244">
        <v>3.1169378757476807</v>
      </c>
      <c r="AQ609" s="244">
        <v>7.861659049987793</v>
      </c>
      <c r="AR609" s="244">
        <v>0</v>
      </c>
      <c r="AS609" s="228">
        <v>9999</v>
      </c>
      <c r="AT609" s="244">
        <v>4.0300248055372592</v>
      </c>
      <c r="AU609" s="244">
        <v>0.19031953811645508</v>
      </c>
      <c r="AV609" s="244">
        <v>0.73372822999954224</v>
      </c>
      <c r="AW609" s="244">
        <v>3.1169378757476807</v>
      </c>
      <c r="AX609" s="244">
        <v>8.0710105895996094</v>
      </c>
      <c r="AY609" s="244">
        <v>0</v>
      </c>
      <c r="AZ609" s="228">
        <v>9999</v>
      </c>
      <c r="BA609" s="244">
        <v>4.0300248055372592</v>
      </c>
      <c r="BB609" s="244">
        <v>0.19031953811645508</v>
      </c>
      <c r="BC609" s="244">
        <v>0.73372822999954224</v>
      </c>
      <c r="BD609" s="244">
        <v>3.1169378757476807</v>
      </c>
      <c r="BE609" s="244">
        <v>8.0710105895996094</v>
      </c>
      <c r="BF609" s="244">
        <v>0</v>
      </c>
      <c r="BG609" s="244">
        <v>-55.747806549072266</v>
      </c>
      <c r="BH609" s="228">
        <v>9999</v>
      </c>
      <c r="BI609" s="244">
        <v>0</v>
      </c>
      <c r="BJ609" s="244">
        <v>0</v>
      </c>
      <c r="BK609" s="244">
        <v>0</v>
      </c>
      <c r="BL609" s="244">
        <v>0</v>
      </c>
      <c r="BM609" s="244">
        <v>0</v>
      </c>
      <c r="BN609" s="244">
        <v>4.0300248055372592</v>
      </c>
      <c r="BO609" s="244">
        <v>0</v>
      </c>
      <c r="BP609" s="244">
        <v>0.19031953811645508</v>
      </c>
      <c r="BQ609" s="244">
        <v>0</v>
      </c>
      <c r="BR609" s="244">
        <v>0</v>
      </c>
      <c r="BS609" s="244">
        <v>0</v>
      </c>
      <c r="BT609" s="244">
        <v>3.1169378757476807</v>
      </c>
      <c r="BU609" s="244">
        <v>0</v>
      </c>
      <c r="BV609" s="244">
        <v>0</v>
      </c>
      <c r="BW609" s="244">
        <v>0.73372822999954224</v>
      </c>
      <c r="BX609" s="244">
        <v>0</v>
      </c>
      <c r="BY609" s="244"/>
      <c r="BZ609" s="244">
        <v>0</v>
      </c>
      <c r="CA609" s="244">
        <v>0</v>
      </c>
      <c r="CB609" s="244">
        <v>8.0710105895996094</v>
      </c>
      <c r="CC609" s="244">
        <v>0</v>
      </c>
      <c r="CD609" s="228">
        <v>9999</v>
      </c>
      <c r="CE609" s="244">
        <v>-55.747806549072266</v>
      </c>
      <c r="CF609" s="244">
        <v>4.4108237246286958E-2</v>
      </c>
      <c r="CG609" s="244">
        <v>0</v>
      </c>
      <c r="CH609" s="244">
        <v>4.4108237246286958E-2</v>
      </c>
      <c r="CI609" s="244">
        <v>2.165117369765668E-3</v>
      </c>
      <c r="CJ609" s="244">
        <v>0</v>
      </c>
      <c r="CK609" s="244">
        <v>2.165117369765668E-3</v>
      </c>
      <c r="CL609" s="244"/>
      <c r="CM609" s="244">
        <v>0</v>
      </c>
      <c r="CN609" s="244" t="s">
        <v>605</v>
      </c>
      <c r="CO609" s="244">
        <v>0</v>
      </c>
      <c r="CP609" s="244">
        <v>0</v>
      </c>
      <c r="CQ609" s="244">
        <v>0</v>
      </c>
      <c r="CR609" s="244">
        <v>0</v>
      </c>
      <c r="CS609" s="244">
        <v>0</v>
      </c>
      <c r="CT609" s="244">
        <v>0</v>
      </c>
      <c r="CU609" s="244">
        <v>0</v>
      </c>
      <c r="CV609" s="244">
        <v>9999</v>
      </c>
      <c r="CW609" s="228">
        <v>9999</v>
      </c>
    </row>
    <row r="610" spans="1:101">
      <c r="A610" s="221" t="s">
        <v>530</v>
      </c>
      <c r="B610" s="221" t="s">
        <v>604</v>
      </c>
      <c r="C610" s="244">
        <v>10</v>
      </c>
      <c r="D610" s="244">
        <v>5.3330287081339716</v>
      </c>
      <c r="E610" s="244">
        <v>0</v>
      </c>
      <c r="F610" s="244">
        <v>0</v>
      </c>
      <c r="G610" s="244">
        <v>0</v>
      </c>
      <c r="H610" s="244">
        <v>0</v>
      </c>
      <c r="I610" s="244" t="s">
        <v>605</v>
      </c>
      <c r="J610" s="244">
        <v>1</v>
      </c>
      <c r="K610" s="244">
        <v>0.63999998569488525</v>
      </c>
      <c r="L610" s="244">
        <v>5.8165360911443056</v>
      </c>
      <c r="M610" s="244">
        <v>4.2495239176787436E-4</v>
      </c>
      <c r="N610" s="244">
        <v>6.639881175942719E-4</v>
      </c>
      <c r="O610" s="244">
        <v>0</v>
      </c>
      <c r="P610" s="244">
        <v>0</v>
      </c>
      <c r="Q610" s="244">
        <v>0</v>
      </c>
      <c r="R610" s="244">
        <v>0</v>
      </c>
      <c r="S610" s="244">
        <v>0</v>
      </c>
      <c r="T610" s="244">
        <v>0</v>
      </c>
      <c r="U610" s="244">
        <v>0</v>
      </c>
      <c r="V610" s="244" t="s">
        <v>226</v>
      </c>
      <c r="W610" s="244" t="s">
        <v>226</v>
      </c>
      <c r="X610" s="244" t="s">
        <v>226</v>
      </c>
      <c r="Y610" s="244" t="s">
        <v>226</v>
      </c>
      <c r="Z610" s="244">
        <v>0</v>
      </c>
      <c r="AA610" s="244">
        <v>0</v>
      </c>
      <c r="AB610" s="244">
        <v>0</v>
      </c>
      <c r="AC610" s="244">
        <v>0</v>
      </c>
      <c r="AD610" s="244">
        <v>0</v>
      </c>
      <c r="AE610" s="244">
        <v>0</v>
      </c>
      <c r="AF610" s="244">
        <v>0</v>
      </c>
      <c r="AG610" s="244">
        <v>0</v>
      </c>
      <c r="AH610" s="244">
        <v>0</v>
      </c>
      <c r="AI610" s="244">
        <v>0</v>
      </c>
      <c r="AJ610" s="244">
        <v>0</v>
      </c>
      <c r="AK610" s="244">
        <v>0</v>
      </c>
      <c r="AL610" s="244">
        <v>0</v>
      </c>
      <c r="AM610" s="244">
        <v>4.0300248055372592</v>
      </c>
      <c r="AN610" s="244">
        <v>0</v>
      </c>
      <c r="AO610" s="244">
        <v>0.71469628810882568</v>
      </c>
      <c r="AP610" s="244">
        <v>3.1169378757476807</v>
      </c>
      <c r="AQ610" s="244">
        <v>7.861659049987793</v>
      </c>
      <c r="AR610" s="244">
        <v>0</v>
      </c>
      <c r="AS610" s="228">
        <v>9999</v>
      </c>
      <c r="AT610" s="244">
        <v>4.0300248055372592</v>
      </c>
      <c r="AU610" s="244">
        <v>0.19031953811645508</v>
      </c>
      <c r="AV610" s="244">
        <v>0.73372822999954224</v>
      </c>
      <c r="AW610" s="244">
        <v>3.1169378757476807</v>
      </c>
      <c r="AX610" s="244">
        <v>8.0710105895996094</v>
      </c>
      <c r="AY610" s="244">
        <v>0</v>
      </c>
      <c r="AZ610" s="228">
        <v>9999</v>
      </c>
      <c r="BA610" s="244">
        <v>4.0300248055372592</v>
      </c>
      <c r="BB610" s="244">
        <v>0.19031953811645508</v>
      </c>
      <c r="BC610" s="244">
        <v>0.73372822999954224</v>
      </c>
      <c r="BD610" s="244">
        <v>3.1169378757476807</v>
      </c>
      <c r="BE610" s="244">
        <v>8.0710105895996094</v>
      </c>
      <c r="BF610" s="244">
        <v>0</v>
      </c>
      <c r="BG610" s="244">
        <v>-55.747806549072266</v>
      </c>
      <c r="BH610" s="228">
        <v>9999</v>
      </c>
      <c r="BI610" s="244">
        <v>0</v>
      </c>
      <c r="BJ610" s="244">
        <v>0</v>
      </c>
      <c r="BK610" s="244">
        <v>0</v>
      </c>
      <c r="BL610" s="244">
        <v>0</v>
      </c>
      <c r="BM610" s="244">
        <v>0</v>
      </c>
      <c r="BN610" s="244">
        <v>4.0300248055372592</v>
      </c>
      <c r="BO610" s="244">
        <v>0</v>
      </c>
      <c r="BP610" s="244">
        <v>0.19031953811645508</v>
      </c>
      <c r="BQ610" s="244">
        <v>0</v>
      </c>
      <c r="BR610" s="244">
        <v>0</v>
      </c>
      <c r="BS610" s="244">
        <v>0</v>
      </c>
      <c r="BT610" s="244">
        <v>3.1169378757476807</v>
      </c>
      <c r="BU610" s="244">
        <v>0</v>
      </c>
      <c r="BV610" s="244">
        <v>0</v>
      </c>
      <c r="BW610" s="244">
        <v>0.73372822999954224</v>
      </c>
      <c r="BX610" s="244">
        <v>0</v>
      </c>
      <c r="BY610" s="244"/>
      <c r="BZ610" s="244">
        <v>0</v>
      </c>
      <c r="CA610" s="244">
        <v>0</v>
      </c>
      <c r="CB610" s="244">
        <v>8.0710105895996094</v>
      </c>
      <c r="CC610" s="244">
        <v>0</v>
      </c>
      <c r="CD610" s="228">
        <v>9999</v>
      </c>
      <c r="CE610" s="244">
        <v>-55.747806549072266</v>
      </c>
      <c r="CF610" s="244">
        <v>4.4108237246286958E-2</v>
      </c>
      <c r="CG610" s="244">
        <v>0</v>
      </c>
      <c r="CH610" s="244">
        <v>4.4108237246286958E-2</v>
      </c>
      <c r="CI610" s="244">
        <v>2.165117369765668E-3</v>
      </c>
      <c r="CJ610" s="244">
        <v>0</v>
      </c>
      <c r="CK610" s="244">
        <v>2.165117369765668E-3</v>
      </c>
      <c r="CL610" s="244"/>
      <c r="CM610" s="244">
        <v>0</v>
      </c>
      <c r="CN610" s="244" t="s">
        <v>605</v>
      </c>
      <c r="CO610" s="244">
        <v>0</v>
      </c>
      <c r="CP610" s="244">
        <v>0</v>
      </c>
      <c r="CQ610" s="244">
        <v>0</v>
      </c>
      <c r="CR610" s="244">
        <v>0</v>
      </c>
      <c r="CS610" s="244">
        <v>0</v>
      </c>
      <c r="CT610" s="244">
        <v>0</v>
      </c>
      <c r="CU610" s="244">
        <v>0</v>
      </c>
      <c r="CV610" s="244">
        <v>9999</v>
      </c>
      <c r="CW610" s="228">
        <v>9999</v>
      </c>
    </row>
    <row r="611" spans="1:101">
      <c r="A611" s="221" t="s">
        <v>531</v>
      </c>
      <c r="B611" s="221" t="s">
        <v>604</v>
      </c>
      <c r="C611" s="244">
        <v>10</v>
      </c>
      <c r="D611" s="244">
        <v>5.3330287081339716</v>
      </c>
      <c r="E611" s="244">
        <v>0</v>
      </c>
      <c r="F611" s="244">
        <v>0</v>
      </c>
      <c r="G611" s="244">
        <v>0</v>
      </c>
      <c r="H611" s="244">
        <v>0</v>
      </c>
      <c r="I611" s="244" t="s">
        <v>605</v>
      </c>
      <c r="J611" s="244">
        <v>1</v>
      </c>
      <c r="K611" s="244">
        <v>0.63999998569488525</v>
      </c>
      <c r="L611" s="244">
        <v>5.8165360911443056</v>
      </c>
      <c r="M611" s="244">
        <v>4.2495239176787436E-4</v>
      </c>
      <c r="N611" s="244">
        <v>6.639881175942719E-4</v>
      </c>
      <c r="O611" s="244">
        <v>0</v>
      </c>
      <c r="P611" s="244">
        <v>0</v>
      </c>
      <c r="Q611" s="244">
        <v>0</v>
      </c>
      <c r="R611" s="244">
        <v>0</v>
      </c>
      <c r="S611" s="244">
        <v>0</v>
      </c>
      <c r="T611" s="244">
        <v>0</v>
      </c>
      <c r="U611" s="244">
        <v>0</v>
      </c>
      <c r="V611" s="244" t="s">
        <v>226</v>
      </c>
      <c r="W611" s="244" t="s">
        <v>226</v>
      </c>
      <c r="X611" s="244" t="s">
        <v>226</v>
      </c>
      <c r="Y611" s="244" t="s">
        <v>226</v>
      </c>
      <c r="Z611" s="244">
        <v>0</v>
      </c>
      <c r="AA611" s="244">
        <v>0</v>
      </c>
      <c r="AB611" s="244">
        <v>0</v>
      </c>
      <c r="AC611" s="244">
        <v>0</v>
      </c>
      <c r="AD611" s="244">
        <v>0</v>
      </c>
      <c r="AE611" s="244">
        <v>0</v>
      </c>
      <c r="AF611" s="244">
        <v>0</v>
      </c>
      <c r="AG611" s="244">
        <v>0</v>
      </c>
      <c r="AH611" s="244">
        <v>0</v>
      </c>
      <c r="AI611" s="244">
        <v>0</v>
      </c>
      <c r="AJ611" s="244">
        <v>0</v>
      </c>
      <c r="AK611" s="244">
        <v>0</v>
      </c>
      <c r="AL611" s="244">
        <v>0</v>
      </c>
      <c r="AM611" s="244">
        <v>4.0300248055372592</v>
      </c>
      <c r="AN611" s="244">
        <v>0</v>
      </c>
      <c r="AO611" s="244">
        <v>0.71469628810882568</v>
      </c>
      <c r="AP611" s="244">
        <v>3.1169378757476807</v>
      </c>
      <c r="AQ611" s="244">
        <v>7.861659049987793</v>
      </c>
      <c r="AR611" s="244">
        <v>0</v>
      </c>
      <c r="AS611" s="228">
        <v>9999</v>
      </c>
      <c r="AT611" s="244">
        <v>4.0300248055372592</v>
      </c>
      <c r="AU611" s="244">
        <v>0.19031953811645508</v>
      </c>
      <c r="AV611" s="244">
        <v>0.73372822999954224</v>
      </c>
      <c r="AW611" s="244">
        <v>3.1169378757476807</v>
      </c>
      <c r="AX611" s="244">
        <v>8.0710105895996094</v>
      </c>
      <c r="AY611" s="244">
        <v>0</v>
      </c>
      <c r="AZ611" s="228">
        <v>9999</v>
      </c>
      <c r="BA611" s="244">
        <v>4.0300248055372592</v>
      </c>
      <c r="BB611" s="244">
        <v>0.19031953811645508</v>
      </c>
      <c r="BC611" s="244">
        <v>0.73372822999954224</v>
      </c>
      <c r="BD611" s="244">
        <v>3.1169378757476807</v>
      </c>
      <c r="BE611" s="244">
        <v>8.0710105895996094</v>
      </c>
      <c r="BF611" s="244">
        <v>0</v>
      </c>
      <c r="BG611" s="244">
        <v>-55.747806549072266</v>
      </c>
      <c r="BH611" s="228">
        <v>9999</v>
      </c>
      <c r="BI611" s="244">
        <v>0</v>
      </c>
      <c r="BJ611" s="244">
        <v>0</v>
      </c>
      <c r="BK611" s="244">
        <v>0</v>
      </c>
      <c r="BL611" s="244">
        <v>0</v>
      </c>
      <c r="BM611" s="244">
        <v>0</v>
      </c>
      <c r="BN611" s="244">
        <v>4.0300248055372592</v>
      </c>
      <c r="BO611" s="244">
        <v>0</v>
      </c>
      <c r="BP611" s="244">
        <v>0.19031953811645508</v>
      </c>
      <c r="BQ611" s="244">
        <v>0</v>
      </c>
      <c r="BR611" s="244">
        <v>0</v>
      </c>
      <c r="BS611" s="244">
        <v>0</v>
      </c>
      <c r="BT611" s="244">
        <v>3.1169378757476807</v>
      </c>
      <c r="BU611" s="244">
        <v>0</v>
      </c>
      <c r="BV611" s="244">
        <v>0</v>
      </c>
      <c r="BW611" s="244">
        <v>0.73372822999954224</v>
      </c>
      <c r="BX611" s="244">
        <v>0</v>
      </c>
      <c r="BY611" s="244"/>
      <c r="BZ611" s="244">
        <v>0</v>
      </c>
      <c r="CA611" s="244">
        <v>0</v>
      </c>
      <c r="CB611" s="244">
        <v>8.0710105895996094</v>
      </c>
      <c r="CC611" s="244">
        <v>0</v>
      </c>
      <c r="CD611" s="228">
        <v>9999</v>
      </c>
      <c r="CE611" s="244">
        <v>-55.747806549072266</v>
      </c>
      <c r="CF611" s="244">
        <v>4.4108237246286958E-2</v>
      </c>
      <c r="CG611" s="244">
        <v>0</v>
      </c>
      <c r="CH611" s="244">
        <v>4.4108237246286958E-2</v>
      </c>
      <c r="CI611" s="244">
        <v>2.165117369765668E-3</v>
      </c>
      <c r="CJ611" s="244">
        <v>0</v>
      </c>
      <c r="CK611" s="244">
        <v>2.165117369765668E-3</v>
      </c>
      <c r="CL611" s="244"/>
      <c r="CM611" s="244">
        <v>0</v>
      </c>
      <c r="CN611" s="244" t="s">
        <v>605</v>
      </c>
      <c r="CO611" s="244">
        <v>0</v>
      </c>
      <c r="CP611" s="244">
        <v>0</v>
      </c>
      <c r="CQ611" s="244">
        <v>0</v>
      </c>
      <c r="CR611" s="244">
        <v>0</v>
      </c>
      <c r="CS611" s="244">
        <v>0</v>
      </c>
      <c r="CT611" s="244">
        <v>0</v>
      </c>
      <c r="CU611" s="244">
        <v>0</v>
      </c>
      <c r="CV611" s="244">
        <v>9999</v>
      </c>
      <c r="CW611" s="228">
        <v>9999</v>
      </c>
    </row>
    <row r="612" spans="1:101">
      <c r="A612" s="221" t="s">
        <v>532</v>
      </c>
      <c r="B612" s="221" t="s">
        <v>604</v>
      </c>
      <c r="C612" s="244">
        <v>10</v>
      </c>
      <c r="D612" s="244">
        <v>3.9181435406698575</v>
      </c>
      <c r="E612" s="244">
        <v>0</v>
      </c>
      <c r="F612" s="244">
        <v>0</v>
      </c>
      <c r="G612" s="244">
        <v>0</v>
      </c>
      <c r="H612" s="244">
        <v>0</v>
      </c>
      <c r="I612" s="244" t="s">
        <v>605</v>
      </c>
      <c r="J612" s="244">
        <v>1</v>
      </c>
      <c r="K612" s="244">
        <v>0.63999998569488525</v>
      </c>
      <c r="L612" s="244">
        <v>4.2733734547182651</v>
      </c>
      <c r="M612" s="244">
        <v>3.1220991513691843E-4</v>
      </c>
      <c r="N612" s="244">
        <v>4.8782801604829729E-4</v>
      </c>
      <c r="O612" s="244">
        <v>0</v>
      </c>
      <c r="P612" s="244">
        <v>0</v>
      </c>
      <c r="Q612" s="244">
        <v>0</v>
      </c>
      <c r="R612" s="244">
        <v>0</v>
      </c>
      <c r="S612" s="244">
        <v>0</v>
      </c>
      <c r="T612" s="244">
        <v>0</v>
      </c>
      <c r="U612" s="244">
        <v>0</v>
      </c>
      <c r="V612" s="244" t="s">
        <v>226</v>
      </c>
      <c r="W612" s="244" t="s">
        <v>226</v>
      </c>
      <c r="X612" s="244" t="s">
        <v>226</v>
      </c>
      <c r="Y612" s="244" t="s">
        <v>226</v>
      </c>
      <c r="Z612" s="244">
        <v>0</v>
      </c>
      <c r="AA612" s="244">
        <v>0</v>
      </c>
      <c r="AB612" s="244">
        <v>0</v>
      </c>
      <c r="AC612" s="244">
        <v>0</v>
      </c>
      <c r="AD612" s="244">
        <v>0</v>
      </c>
      <c r="AE612" s="244">
        <v>0</v>
      </c>
      <c r="AF612" s="244">
        <v>0</v>
      </c>
      <c r="AG612" s="244">
        <v>0</v>
      </c>
      <c r="AH612" s="244">
        <v>0</v>
      </c>
      <c r="AI612" s="244">
        <v>0</v>
      </c>
      <c r="AJ612" s="244">
        <v>0</v>
      </c>
      <c r="AK612" s="244">
        <v>0</v>
      </c>
      <c r="AL612" s="244">
        <v>0</v>
      </c>
      <c r="AM612" s="244">
        <v>2.9608345510069571</v>
      </c>
      <c r="AN612" s="244">
        <v>0</v>
      </c>
      <c r="AO612" s="244">
        <v>0.52508294582366943</v>
      </c>
      <c r="AP612" s="244">
        <v>2.2899949550628662</v>
      </c>
      <c r="AQ612" s="244">
        <v>5.7759122848510742</v>
      </c>
      <c r="AR612" s="244">
        <v>0</v>
      </c>
      <c r="AS612" s="228">
        <v>9999</v>
      </c>
      <c r="AT612" s="244">
        <v>2.9608345510069571</v>
      </c>
      <c r="AU612" s="244">
        <v>0.13982662558555603</v>
      </c>
      <c r="AV612" s="244">
        <v>0.53906559944152832</v>
      </c>
      <c r="AW612" s="244">
        <v>2.2899949550628662</v>
      </c>
      <c r="AX612" s="244">
        <v>5.9297218322753906</v>
      </c>
      <c r="AY612" s="244">
        <v>0</v>
      </c>
      <c r="AZ612" s="228">
        <v>9999</v>
      </c>
      <c r="BA612" s="244">
        <v>2.9608345510069571</v>
      </c>
      <c r="BB612" s="244">
        <v>0.13982662558555603</v>
      </c>
      <c r="BC612" s="244">
        <v>0.53906559944152832</v>
      </c>
      <c r="BD612" s="244">
        <v>2.2899949550628662</v>
      </c>
      <c r="BE612" s="244">
        <v>5.9297218322753906</v>
      </c>
      <c r="BF612" s="244">
        <v>0</v>
      </c>
      <c r="BG612" s="244">
        <v>-55.747802734375</v>
      </c>
      <c r="BH612" s="228">
        <v>9999</v>
      </c>
      <c r="BI612" s="244">
        <v>0</v>
      </c>
      <c r="BJ612" s="244">
        <v>0</v>
      </c>
      <c r="BK612" s="244">
        <v>0</v>
      </c>
      <c r="BL612" s="244">
        <v>0</v>
      </c>
      <c r="BM612" s="244">
        <v>0</v>
      </c>
      <c r="BN612" s="244">
        <v>2.9608345510069571</v>
      </c>
      <c r="BO612" s="244">
        <v>0</v>
      </c>
      <c r="BP612" s="244">
        <v>0.13982662558555603</v>
      </c>
      <c r="BQ612" s="244">
        <v>0</v>
      </c>
      <c r="BR612" s="244">
        <v>0</v>
      </c>
      <c r="BS612" s="244">
        <v>0</v>
      </c>
      <c r="BT612" s="244">
        <v>2.2899949550628662</v>
      </c>
      <c r="BU612" s="244">
        <v>0</v>
      </c>
      <c r="BV612" s="244">
        <v>0</v>
      </c>
      <c r="BW612" s="244">
        <v>0.53906559944152832</v>
      </c>
      <c r="BX612" s="244">
        <v>0</v>
      </c>
      <c r="BY612" s="244"/>
      <c r="BZ612" s="244">
        <v>0</v>
      </c>
      <c r="CA612" s="244">
        <v>0</v>
      </c>
      <c r="CB612" s="244">
        <v>5.9297218322753906</v>
      </c>
      <c r="CC612" s="244">
        <v>0</v>
      </c>
      <c r="CD612" s="228">
        <v>9999</v>
      </c>
      <c r="CE612" s="244">
        <v>-55.747802734375</v>
      </c>
      <c r="CF612" s="244">
        <v>3.2406051854414905E-2</v>
      </c>
      <c r="CG612" s="244">
        <v>0</v>
      </c>
      <c r="CH612" s="244">
        <v>3.2406051854414905E-2</v>
      </c>
      <c r="CI612" s="244">
        <v>1.5906984757462048E-3</v>
      </c>
      <c r="CJ612" s="244">
        <v>0</v>
      </c>
      <c r="CK612" s="244">
        <v>1.5906984757462048E-3</v>
      </c>
      <c r="CL612" s="244"/>
      <c r="CM612" s="244">
        <v>0</v>
      </c>
      <c r="CN612" s="244" t="s">
        <v>605</v>
      </c>
      <c r="CO612" s="244">
        <v>0</v>
      </c>
      <c r="CP612" s="244">
        <v>0</v>
      </c>
      <c r="CQ612" s="244">
        <v>0</v>
      </c>
      <c r="CR612" s="244">
        <v>0</v>
      </c>
      <c r="CS612" s="244">
        <v>0</v>
      </c>
      <c r="CT612" s="244">
        <v>0</v>
      </c>
      <c r="CU612" s="244">
        <v>0</v>
      </c>
      <c r="CV612" s="244">
        <v>9999</v>
      </c>
      <c r="CW612" s="228">
        <v>9999</v>
      </c>
    </row>
    <row r="613" spans="1:101">
      <c r="A613" s="221" t="s">
        <v>533</v>
      </c>
      <c r="B613" s="221" t="s">
        <v>604</v>
      </c>
      <c r="C613" s="244">
        <v>10</v>
      </c>
      <c r="D613" s="244">
        <v>3.9181435406698575</v>
      </c>
      <c r="E613" s="244">
        <v>0</v>
      </c>
      <c r="F613" s="244">
        <v>0</v>
      </c>
      <c r="G613" s="244">
        <v>0</v>
      </c>
      <c r="H613" s="244">
        <v>0</v>
      </c>
      <c r="I613" s="244" t="s">
        <v>605</v>
      </c>
      <c r="J613" s="244">
        <v>1</v>
      </c>
      <c r="K613" s="244">
        <v>0.63999998569488525</v>
      </c>
      <c r="L613" s="244">
        <v>4.2733734547182651</v>
      </c>
      <c r="M613" s="244">
        <v>3.1220991513691843E-4</v>
      </c>
      <c r="N613" s="244">
        <v>4.8782801604829729E-4</v>
      </c>
      <c r="O613" s="244">
        <v>0</v>
      </c>
      <c r="P613" s="244">
        <v>0</v>
      </c>
      <c r="Q613" s="244">
        <v>0</v>
      </c>
      <c r="R613" s="244">
        <v>0</v>
      </c>
      <c r="S613" s="244">
        <v>0</v>
      </c>
      <c r="T613" s="244">
        <v>0</v>
      </c>
      <c r="U613" s="244">
        <v>0</v>
      </c>
      <c r="V613" s="244" t="s">
        <v>226</v>
      </c>
      <c r="W613" s="244" t="s">
        <v>226</v>
      </c>
      <c r="X613" s="244" t="s">
        <v>226</v>
      </c>
      <c r="Y613" s="244" t="s">
        <v>226</v>
      </c>
      <c r="Z613" s="244">
        <v>0</v>
      </c>
      <c r="AA613" s="244">
        <v>0</v>
      </c>
      <c r="AB613" s="244">
        <v>0</v>
      </c>
      <c r="AC613" s="244">
        <v>0</v>
      </c>
      <c r="AD613" s="244">
        <v>0</v>
      </c>
      <c r="AE613" s="244">
        <v>0</v>
      </c>
      <c r="AF613" s="244">
        <v>0</v>
      </c>
      <c r="AG613" s="244">
        <v>0</v>
      </c>
      <c r="AH613" s="244">
        <v>0</v>
      </c>
      <c r="AI613" s="244">
        <v>0</v>
      </c>
      <c r="AJ613" s="244">
        <v>0</v>
      </c>
      <c r="AK613" s="244">
        <v>0</v>
      </c>
      <c r="AL613" s="244">
        <v>0</v>
      </c>
      <c r="AM613" s="244">
        <v>2.9608345510069571</v>
      </c>
      <c r="AN613" s="244">
        <v>0</v>
      </c>
      <c r="AO613" s="244">
        <v>0.52508294582366943</v>
      </c>
      <c r="AP613" s="244">
        <v>2.2899949550628662</v>
      </c>
      <c r="AQ613" s="244">
        <v>5.7759122848510742</v>
      </c>
      <c r="AR613" s="244">
        <v>0</v>
      </c>
      <c r="AS613" s="228">
        <v>9999</v>
      </c>
      <c r="AT613" s="244">
        <v>2.9608345510069571</v>
      </c>
      <c r="AU613" s="244">
        <v>0.13982662558555603</v>
      </c>
      <c r="AV613" s="244">
        <v>0.53906559944152832</v>
      </c>
      <c r="AW613" s="244">
        <v>2.2899949550628662</v>
      </c>
      <c r="AX613" s="244">
        <v>5.9297218322753906</v>
      </c>
      <c r="AY613" s="244">
        <v>0</v>
      </c>
      <c r="AZ613" s="228">
        <v>9999</v>
      </c>
      <c r="BA613" s="244">
        <v>2.9608345510069571</v>
      </c>
      <c r="BB613" s="244">
        <v>0.13982662558555603</v>
      </c>
      <c r="BC613" s="244">
        <v>0.53906559944152832</v>
      </c>
      <c r="BD613" s="244">
        <v>2.2899949550628662</v>
      </c>
      <c r="BE613" s="244">
        <v>5.9297218322753906</v>
      </c>
      <c r="BF613" s="244">
        <v>0</v>
      </c>
      <c r="BG613" s="244">
        <v>-55.747802734375</v>
      </c>
      <c r="BH613" s="228">
        <v>9999</v>
      </c>
      <c r="BI613" s="244">
        <v>0</v>
      </c>
      <c r="BJ613" s="244">
        <v>0</v>
      </c>
      <c r="BK613" s="244">
        <v>0</v>
      </c>
      <c r="BL613" s="244">
        <v>0</v>
      </c>
      <c r="BM613" s="244">
        <v>0</v>
      </c>
      <c r="BN613" s="244">
        <v>2.9608345510069571</v>
      </c>
      <c r="BO613" s="244">
        <v>0</v>
      </c>
      <c r="BP613" s="244">
        <v>0.13982662558555603</v>
      </c>
      <c r="BQ613" s="244">
        <v>0</v>
      </c>
      <c r="BR613" s="244">
        <v>0</v>
      </c>
      <c r="BS613" s="244">
        <v>0</v>
      </c>
      <c r="BT613" s="244">
        <v>2.2899949550628662</v>
      </c>
      <c r="BU613" s="244">
        <v>0</v>
      </c>
      <c r="BV613" s="244">
        <v>0</v>
      </c>
      <c r="BW613" s="244">
        <v>0.53906559944152832</v>
      </c>
      <c r="BX613" s="244">
        <v>0</v>
      </c>
      <c r="BY613" s="244"/>
      <c r="BZ613" s="244">
        <v>0</v>
      </c>
      <c r="CA613" s="244">
        <v>0</v>
      </c>
      <c r="CB613" s="244">
        <v>5.9297218322753906</v>
      </c>
      <c r="CC613" s="244">
        <v>0</v>
      </c>
      <c r="CD613" s="228">
        <v>9999</v>
      </c>
      <c r="CE613" s="244">
        <v>-55.747802734375</v>
      </c>
      <c r="CF613" s="244">
        <v>3.2406051854414905E-2</v>
      </c>
      <c r="CG613" s="244">
        <v>0</v>
      </c>
      <c r="CH613" s="244">
        <v>3.2406051854414905E-2</v>
      </c>
      <c r="CI613" s="244">
        <v>1.5906984757462048E-3</v>
      </c>
      <c r="CJ613" s="244">
        <v>0</v>
      </c>
      <c r="CK613" s="244">
        <v>1.5906984757462048E-3</v>
      </c>
      <c r="CL613" s="244"/>
      <c r="CM613" s="244">
        <v>0</v>
      </c>
      <c r="CN613" s="244" t="s">
        <v>605</v>
      </c>
      <c r="CO613" s="244">
        <v>0</v>
      </c>
      <c r="CP613" s="244">
        <v>0</v>
      </c>
      <c r="CQ613" s="244">
        <v>0</v>
      </c>
      <c r="CR613" s="244">
        <v>0</v>
      </c>
      <c r="CS613" s="244">
        <v>0</v>
      </c>
      <c r="CT613" s="244">
        <v>0</v>
      </c>
      <c r="CU613" s="244">
        <v>0</v>
      </c>
      <c r="CV613" s="244">
        <v>9999</v>
      </c>
      <c r="CW613" s="228">
        <v>9999</v>
      </c>
    </row>
    <row r="614" spans="1:101">
      <c r="A614" s="221" t="s">
        <v>534</v>
      </c>
      <c r="B614" s="221" t="s">
        <v>604</v>
      </c>
      <c r="C614" s="244">
        <v>10</v>
      </c>
      <c r="D614" s="244">
        <v>3.9181435406698575</v>
      </c>
      <c r="E614" s="244">
        <v>0</v>
      </c>
      <c r="F614" s="244">
        <v>0</v>
      </c>
      <c r="G614" s="244">
        <v>0</v>
      </c>
      <c r="H614" s="244">
        <v>0</v>
      </c>
      <c r="I614" s="244" t="s">
        <v>605</v>
      </c>
      <c r="J614" s="244">
        <v>1</v>
      </c>
      <c r="K614" s="244">
        <v>0.63999998569488525</v>
      </c>
      <c r="L614" s="244">
        <v>4.2733734547182651</v>
      </c>
      <c r="M614" s="244">
        <v>3.1220991513691843E-4</v>
      </c>
      <c r="N614" s="244">
        <v>4.8782801604829729E-4</v>
      </c>
      <c r="O614" s="244">
        <v>0</v>
      </c>
      <c r="P614" s="244">
        <v>0</v>
      </c>
      <c r="Q614" s="244">
        <v>0</v>
      </c>
      <c r="R614" s="244">
        <v>0</v>
      </c>
      <c r="S614" s="244">
        <v>0</v>
      </c>
      <c r="T614" s="244">
        <v>0</v>
      </c>
      <c r="U614" s="244">
        <v>0</v>
      </c>
      <c r="V614" s="244" t="s">
        <v>226</v>
      </c>
      <c r="W614" s="244" t="s">
        <v>226</v>
      </c>
      <c r="X614" s="244" t="s">
        <v>226</v>
      </c>
      <c r="Y614" s="244" t="s">
        <v>226</v>
      </c>
      <c r="Z614" s="244">
        <v>0</v>
      </c>
      <c r="AA614" s="244">
        <v>0</v>
      </c>
      <c r="AB614" s="244">
        <v>0</v>
      </c>
      <c r="AC614" s="244">
        <v>0</v>
      </c>
      <c r="AD614" s="244">
        <v>0</v>
      </c>
      <c r="AE614" s="244">
        <v>0</v>
      </c>
      <c r="AF614" s="244">
        <v>0</v>
      </c>
      <c r="AG614" s="244">
        <v>0</v>
      </c>
      <c r="AH614" s="244">
        <v>0</v>
      </c>
      <c r="AI614" s="244">
        <v>0</v>
      </c>
      <c r="AJ614" s="244">
        <v>0</v>
      </c>
      <c r="AK614" s="244">
        <v>0</v>
      </c>
      <c r="AL614" s="244">
        <v>0</v>
      </c>
      <c r="AM614" s="244">
        <v>2.9608345510069571</v>
      </c>
      <c r="AN614" s="244">
        <v>0</v>
      </c>
      <c r="AO614" s="244">
        <v>0.52508294582366943</v>
      </c>
      <c r="AP614" s="244">
        <v>2.2899949550628662</v>
      </c>
      <c r="AQ614" s="244">
        <v>5.7759122848510742</v>
      </c>
      <c r="AR614" s="244">
        <v>0</v>
      </c>
      <c r="AS614" s="228">
        <v>9999</v>
      </c>
      <c r="AT614" s="244">
        <v>2.9608345510069571</v>
      </c>
      <c r="AU614" s="244">
        <v>0.13982662558555603</v>
      </c>
      <c r="AV614" s="244">
        <v>0.53906559944152832</v>
      </c>
      <c r="AW614" s="244">
        <v>2.2899949550628662</v>
      </c>
      <c r="AX614" s="244">
        <v>5.9297218322753906</v>
      </c>
      <c r="AY614" s="244">
        <v>0</v>
      </c>
      <c r="AZ614" s="228">
        <v>9999</v>
      </c>
      <c r="BA614" s="244">
        <v>2.9608345510069571</v>
      </c>
      <c r="BB614" s="244">
        <v>0.13982662558555603</v>
      </c>
      <c r="BC614" s="244">
        <v>0.53906559944152832</v>
      </c>
      <c r="BD614" s="244">
        <v>2.2899949550628662</v>
      </c>
      <c r="BE614" s="244">
        <v>5.9297218322753906</v>
      </c>
      <c r="BF614" s="244">
        <v>0</v>
      </c>
      <c r="BG614" s="244">
        <v>-55.747802734375</v>
      </c>
      <c r="BH614" s="228">
        <v>9999</v>
      </c>
      <c r="BI614" s="244">
        <v>0</v>
      </c>
      <c r="BJ614" s="244">
        <v>0</v>
      </c>
      <c r="BK614" s="244">
        <v>0</v>
      </c>
      <c r="BL614" s="244">
        <v>0</v>
      </c>
      <c r="BM614" s="244">
        <v>0</v>
      </c>
      <c r="BN614" s="244">
        <v>2.9608345510069571</v>
      </c>
      <c r="BO614" s="244">
        <v>0</v>
      </c>
      <c r="BP614" s="244">
        <v>0.13982662558555603</v>
      </c>
      <c r="BQ614" s="244">
        <v>0</v>
      </c>
      <c r="BR614" s="244">
        <v>0</v>
      </c>
      <c r="BS614" s="244">
        <v>0</v>
      </c>
      <c r="BT614" s="244">
        <v>2.2899949550628662</v>
      </c>
      <c r="BU614" s="244">
        <v>0</v>
      </c>
      <c r="BV614" s="244">
        <v>0</v>
      </c>
      <c r="BW614" s="244">
        <v>0.53906559944152832</v>
      </c>
      <c r="BX614" s="244">
        <v>0</v>
      </c>
      <c r="BY614" s="244"/>
      <c r="BZ614" s="244">
        <v>0</v>
      </c>
      <c r="CA614" s="244">
        <v>0</v>
      </c>
      <c r="CB614" s="244">
        <v>5.9297218322753906</v>
      </c>
      <c r="CC614" s="244">
        <v>0</v>
      </c>
      <c r="CD614" s="228">
        <v>9999</v>
      </c>
      <c r="CE614" s="244">
        <v>-55.747802734375</v>
      </c>
      <c r="CF614" s="244">
        <v>3.2406051854414905E-2</v>
      </c>
      <c r="CG614" s="244">
        <v>0</v>
      </c>
      <c r="CH614" s="244">
        <v>3.2406051854414905E-2</v>
      </c>
      <c r="CI614" s="244">
        <v>1.5906984757462048E-3</v>
      </c>
      <c r="CJ614" s="244">
        <v>0</v>
      </c>
      <c r="CK614" s="244">
        <v>1.5906984757462048E-3</v>
      </c>
      <c r="CL614" s="244"/>
      <c r="CM614" s="244">
        <v>0</v>
      </c>
      <c r="CN614" s="244" t="s">
        <v>605</v>
      </c>
      <c r="CO614" s="244">
        <v>0</v>
      </c>
      <c r="CP614" s="244">
        <v>0</v>
      </c>
      <c r="CQ614" s="244">
        <v>0</v>
      </c>
      <c r="CR614" s="244">
        <v>0</v>
      </c>
      <c r="CS614" s="244">
        <v>0</v>
      </c>
      <c r="CT614" s="244">
        <v>0</v>
      </c>
      <c r="CU614" s="244">
        <v>0</v>
      </c>
      <c r="CV614" s="244">
        <v>9999</v>
      </c>
      <c r="CW614" s="228">
        <v>9999</v>
      </c>
    </row>
    <row r="615" spans="1:101">
      <c r="A615" s="221" t="s">
        <v>535</v>
      </c>
      <c r="B615" s="221" t="s">
        <v>604</v>
      </c>
      <c r="C615" s="244">
        <v>10</v>
      </c>
      <c r="D615" s="244">
        <v>4.4079114832535895</v>
      </c>
      <c r="E615" s="244">
        <v>0</v>
      </c>
      <c r="F615" s="244">
        <v>0</v>
      </c>
      <c r="G615" s="244">
        <v>0</v>
      </c>
      <c r="H615" s="244">
        <v>0</v>
      </c>
      <c r="I615" s="244" t="s">
        <v>605</v>
      </c>
      <c r="J615" s="244">
        <v>1</v>
      </c>
      <c r="K615" s="244">
        <v>0.63999998569488525</v>
      </c>
      <c r="L615" s="244">
        <v>4.8075451365580504</v>
      </c>
      <c r="M615" s="244">
        <v>3.5123614361509681E-4</v>
      </c>
      <c r="N615" s="244">
        <v>5.4880650714039803E-4</v>
      </c>
      <c r="O615" s="244">
        <v>0</v>
      </c>
      <c r="P615" s="244">
        <v>0</v>
      </c>
      <c r="Q615" s="244">
        <v>0</v>
      </c>
      <c r="R615" s="244">
        <v>0</v>
      </c>
      <c r="S615" s="244">
        <v>0</v>
      </c>
      <c r="T615" s="244">
        <v>0</v>
      </c>
      <c r="U615" s="244">
        <v>0</v>
      </c>
      <c r="V615" s="244" t="s">
        <v>226</v>
      </c>
      <c r="W615" s="244" t="s">
        <v>226</v>
      </c>
      <c r="X615" s="244" t="s">
        <v>226</v>
      </c>
      <c r="Y615" s="244" t="s">
        <v>226</v>
      </c>
      <c r="Z615" s="244">
        <v>0</v>
      </c>
      <c r="AA615" s="244">
        <v>0</v>
      </c>
      <c r="AB615" s="244">
        <v>0</v>
      </c>
      <c r="AC615" s="244">
        <v>0</v>
      </c>
      <c r="AD615" s="244">
        <v>0</v>
      </c>
      <c r="AE615" s="244">
        <v>0</v>
      </c>
      <c r="AF615" s="244">
        <v>0</v>
      </c>
      <c r="AG615" s="244">
        <v>0</v>
      </c>
      <c r="AH615" s="244">
        <v>0</v>
      </c>
      <c r="AI615" s="244">
        <v>0</v>
      </c>
      <c r="AJ615" s="244">
        <v>0</v>
      </c>
      <c r="AK615" s="244">
        <v>0</v>
      </c>
      <c r="AL615" s="244">
        <v>0</v>
      </c>
      <c r="AM615" s="244">
        <v>3.3309388698828313</v>
      </c>
      <c r="AN615" s="244">
        <v>0</v>
      </c>
      <c r="AO615" s="244">
        <v>0.59071832895278931</v>
      </c>
      <c r="AP615" s="244">
        <v>2.5762443542480469</v>
      </c>
      <c r="AQ615" s="244">
        <v>6.497901439666748</v>
      </c>
      <c r="AR615" s="244">
        <v>0</v>
      </c>
      <c r="AS615" s="228">
        <v>9999</v>
      </c>
      <c r="AT615" s="244">
        <v>3.3309388698828313</v>
      </c>
      <c r="AU615" s="244">
        <v>0.15730497241020203</v>
      </c>
      <c r="AV615" s="244">
        <v>0.60644882917404175</v>
      </c>
      <c r="AW615" s="244">
        <v>2.5762443542480469</v>
      </c>
      <c r="AX615" s="244">
        <v>6.6709370613098145</v>
      </c>
      <c r="AY615" s="244">
        <v>0</v>
      </c>
      <c r="AZ615" s="228">
        <v>9999</v>
      </c>
      <c r="BA615" s="244">
        <v>3.3309388698828313</v>
      </c>
      <c r="BB615" s="244">
        <v>0.15730497241020203</v>
      </c>
      <c r="BC615" s="244">
        <v>0.60644882917404175</v>
      </c>
      <c r="BD615" s="244">
        <v>2.5762443542480469</v>
      </c>
      <c r="BE615" s="244">
        <v>6.6709370613098145</v>
      </c>
      <c r="BF615" s="244">
        <v>0</v>
      </c>
      <c r="BG615" s="244">
        <v>-55.747802734375</v>
      </c>
      <c r="BH615" s="228">
        <v>9999</v>
      </c>
      <c r="BI615" s="244">
        <v>0</v>
      </c>
      <c r="BJ615" s="244">
        <v>0</v>
      </c>
      <c r="BK615" s="244">
        <v>0</v>
      </c>
      <c r="BL615" s="244">
        <v>0</v>
      </c>
      <c r="BM615" s="244">
        <v>0</v>
      </c>
      <c r="BN615" s="244">
        <v>3.3309388698828313</v>
      </c>
      <c r="BO615" s="244">
        <v>0</v>
      </c>
      <c r="BP615" s="244">
        <v>0.15730497241020203</v>
      </c>
      <c r="BQ615" s="244">
        <v>0</v>
      </c>
      <c r="BR615" s="244">
        <v>0</v>
      </c>
      <c r="BS615" s="244">
        <v>0</v>
      </c>
      <c r="BT615" s="244">
        <v>2.5762443542480469</v>
      </c>
      <c r="BU615" s="244">
        <v>0</v>
      </c>
      <c r="BV615" s="244">
        <v>0</v>
      </c>
      <c r="BW615" s="244">
        <v>0.60644882917404175</v>
      </c>
      <c r="BX615" s="244">
        <v>0</v>
      </c>
      <c r="BY615" s="244"/>
      <c r="BZ615" s="244">
        <v>0</v>
      </c>
      <c r="CA615" s="244">
        <v>0</v>
      </c>
      <c r="CB615" s="244">
        <v>6.6709370613098145</v>
      </c>
      <c r="CC615" s="244">
        <v>0</v>
      </c>
      <c r="CD615" s="228">
        <v>9999</v>
      </c>
      <c r="CE615" s="244">
        <v>-55.747802734375</v>
      </c>
      <c r="CF615" s="244">
        <v>3.6456808336216701E-2</v>
      </c>
      <c r="CG615" s="244">
        <v>0</v>
      </c>
      <c r="CH615" s="244">
        <v>3.6456808336216701E-2</v>
      </c>
      <c r="CI615" s="244">
        <v>1.7895357852144821E-3</v>
      </c>
      <c r="CJ615" s="244">
        <v>0</v>
      </c>
      <c r="CK615" s="244">
        <v>1.7895357852144821E-3</v>
      </c>
      <c r="CL615" s="244"/>
      <c r="CM615" s="244">
        <v>0</v>
      </c>
      <c r="CN615" s="244" t="s">
        <v>605</v>
      </c>
      <c r="CO615" s="244">
        <v>0</v>
      </c>
      <c r="CP615" s="244">
        <v>0</v>
      </c>
      <c r="CQ615" s="244">
        <v>0</v>
      </c>
      <c r="CR615" s="244">
        <v>0</v>
      </c>
      <c r="CS615" s="244">
        <v>0</v>
      </c>
      <c r="CT615" s="244">
        <v>0</v>
      </c>
      <c r="CU615" s="244">
        <v>0</v>
      </c>
      <c r="CV615" s="244">
        <v>9999</v>
      </c>
      <c r="CW615" s="228">
        <v>9999</v>
      </c>
    </row>
    <row r="616" spans="1:101">
      <c r="A616" s="221" t="s">
        <v>536</v>
      </c>
      <c r="B616" s="221" t="s">
        <v>604</v>
      </c>
      <c r="C616" s="244">
        <v>10</v>
      </c>
      <c r="D616" s="244">
        <v>4.4079114832535895</v>
      </c>
      <c r="E616" s="244">
        <v>0</v>
      </c>
      <c r="F616" s="244">
        <v>0</v>
      </c>
      <c r="G616" s="244">
        <v>0</v>
      </c>
      <c r="H616" s="244">
        <v>0</v>
      </c>
      <c r="I616" s="244" t="s">
        <v>605</v>
      </c>
      <c r="J616" s="244">
        <v>1</v>
      </c>
      <c r="K616" s="244">
        <v>0.63999998569488525</v>
      </c>
      <c r="L616" s="244">
        <v>4.8075451365580504</v>
      </c>
      <c r="M616" s="244">
        <v>3.5123614361509681E-4</v>
      </c>
      <c r="N616" s="244">
        <v>5.4880650714039803E-4</v>
      </c>
      <c r="O616" s="244">
        <v>0</v>
      </c>
      <c r="P616" s="244">
        <v>0</v>
      </c>
      <c r="Q616" s="244">
        <v>0</v>
      </c>
      <c r="R616" s="244">
        <v>0</v>
      </c>
      <c r="S616" s="244">
        <v>0</v>
      </c>
      <c r="T616" s="244">
        <v>0</v>
      </c>
      <c r="U616" s="244">
        <v>0</v>
      </c>
      <c r="V616" s="244" t="s">
        <v>226</v>
      </c>
      <c r="W616" s="244" t="s">
        <v>226</v>
      </c>
      <c r="X616" s="244" t="s">
        <v>226</v>
      </c>
      <c r="Y616" s="244" t="s">
        <v>226</v>
      </c>
      <c r="Z616" s="244">
        <v>0</v>
      </c>
      <c r="AA616" s="244">
        <v>0</v>
      </c>
      <c r="AB616" s="244">
        <v>0</v>
      </c>
      <c r="AC616" s="244">
        <v>0</v>
      </c>
      <c r="AD616" s="244">
        <v>0</v>
      </c>
      <c r="AE616" s="244">
        <v>0</v>
      </c>
      <c r="AF616" s="244">
        <v>0</v>
      </c>
      <c r="AG616" s="244">
        <v>0</v>
      </c>
      <c r="AH616" s="244">
        <v>0</v>
      </c>
      <c r="AI616" s="244">
        <v>0</v>
      </c>
      <c r="AJ616" s="244">
        <v>0</v>
      </c>
      <c r="AK616" s="244">
        <v>0</v>
      </c>
      <c r="AL616" s="244">
        <v>0</v>
      </c>
      <c r="AM616" s="244">
        <v>3.3309388698828313</v>
      </c>
      <c r="AN616" s="244">
        <v>0</v>
      </c>
      <c r="AO616" s="244">
        <v>0.59071832895278931</v>
      </c>
      <c r="AP616" s="244">
        <v>2.5762443542480469</v>
      </c>
      <c r="AQ616" s="244">
        <v>6.497901439666748</v>
      </c>
      <c r="AR616" s="244">
        <v>0</v>
      </c>
      <c r="AS616" s="228">
        <v>9999</v>
      </c>
      <c r="AT616" s="244">
        <v>3.3309388698828313</v>
      </c>
      <c r="AU616" s="244">
        <v>0.15730497241020203</v>
      </c>
      <c r="AV616" s="244">
        <v>0.60644882917404175</v>
      </c>
      <c r="AW616" s="244">
        <v>2.5762443542480469</v>
      </c>
      <c r="AX616" s="244">
        <v>6.6709370613098145</v>
      </c>
      <c r="AY616" s="244">
        <v>0</v>
      </c>
      <c r="AZ616" s="228">
        <v>9999</v>
      </c>
      <c r="BA616" s="244">
        <v>3.3309388698828313</v>
      </c>
      <c r="BB616" s="244">
        <v>0.15730497241020203</v>
      </c>
      <c r="BC616" s="244">
        <v>0.60644882917404175</v>
      </c>
      <c r="BD616" s="244">
        <v>2.5762443542480469</v>
      </c>
      <c r="BE616" s="244">
        <v>6.6709370613098145</v>
      </c>
      <c r="BF616" s="244">
        <v>0</v>
      </c>
      <c r="BG616" s="244">
        <v>-55.747802734375</v>
      </c>
      <c r="BH616" s="228">
        <v>9999</v>
      </c>
      <c r="BI616" s="244">
        <v>0</v>
      </c>
      <c r="BJ616" s="244">
        <v>0</v>
      </c>
      <c r="BK616" s="244">
        <v>0</v>
      </c>
      <c r="BL616" s="244">
        <v>0</v>
      </c>
      <c r="BM616" s="244">
        <v>0</v>
      </c>
      <c r="BN616" s="244">
        <v>3.3309388698828313</v>
      </c>
      <c r="BO616" s="244">
        <v>0</v>
      </c>
      <c r="BP616" s="244">
        <v>0.15730497241020203</v>
      </c>
      <c r="BQ616" s="244">
        <v>0</v>
      </c>
      <c r="BR616" s="244">
        <v>0</v>
      </c>
      <c r="BS616" s="244">
        <v>0</v>
      </c>
      <c r="BT616" s="244">
        <v>2.5762443542480469</v>
      </c>
      <c r="BU616" s="244">
        <v>0</v>
      </c>
      <c r="BV616" s="244">
        <v>0</v>
      </c>
      <c r="BW616" s="244">
        <v>0.60644882917404175</v>
      </c>
      <c r="BX616" s="244">
        <v>0</v>
      </c>
      <c r="BY616" s="244"/>
      <c r="BZ616" s="244">
        <v>0</v>
      </c>
      <c r="CA616" s="244">
        <v>0</v>
      </c>
      <c r="CB616" s="244">
        <v>6.6709370613098145</v>
      </c>
      <c r="CC616" s="244">
        <v>0</v>
      </c>
      <c r="CD616" s="228">
        <v>9999</v>
      </c>
      <c r="CE616" s="244">
        <v>-55.747802734375</v>
      </c>
      <c r="CF616" s="244">
        <v>3.6456808336216701E-2</v>
      </c>
      <c r="CG616" s="244">
        <v>0</v>
      </c>
      <c r="CH616" s="244">
        <v>3.6456808336216701E-2</v>
      </c>
      <c r="CI616" s="244">
        <v>1.7895357852144821E-3</v>
      </c>
      <c r="CJ616" s="244">
        <v>0</v>
      </c>
      <c r="CK616" s="244">
        <v>1.7895357852144821E-3</v>
      </c>
      <c r="CL616" s="244"/>
      <c r="CM616" s="244">
        <v>0</v>
      </c>
      <c r="CN616" s="244" t="s">
        <v>605</v>
      </c>
      <c r="CO616" s="244">
        <v>0</v>
      </c>
      <c r="CP616" s="244">
        <v>0</v>
      </c>
      <c r="CQ616" s="244">
        <v>0</v>
      </c>
      <c r="CR616" s="244">
        <v>0</v>
      </c>
      <c r="CS616" s="244">
        <v>0</v>
      </c>
      <c r="CT616" s="244">
        <v>0</v>
      </c>
      <c r="CU616" s="244">
        <v>0</v>
      </c>
      <c r="CV616" s="244">
        <v>9999</v>
      </c>
      <c r="CW616" s="228">
        <v>9999</v>
      </c>
    </row>
    <row r="617" spans="1:101">
      <c r="A617" s="221" t="s">
        <v>537</v>
      </c>
      <c r="B617" s="221" t="s">
        <v>604</v>
      </c>
      <c r="C617" s="244">
        <v>10</v>
      </c>
      <c r="D617" s="244">
        <v>4.4079114832535895</v>
      </c>
      <c r="E617" s="244">
        <v>0</v>
      </c>
      <c r="F617" s="244">
        <v>0</v>
      </c>
      <c r="G617" s="244">
        <v>0</v>
      </c>
      <c r="H617" s="244">
        <v>0</v>
      </c>
      <c r="I617" s="244" t="s">
        <v>605</v>
      </c>
      <c r="J617" s="244">
        <v>1</v>
      </c>
      <c r="K617" s="244">
        <v>0.63999998569488525</v>
      </c>
      <c r="L617" s="244">
        <v>4.8075451365580504</v>
      </c>
      <c r="M617" s="244">
        <v>3.5123614361509681E-4</v>
      </c>
      <c r="N617" s="244">
        <v>5.4880650714039803E-4</v>
      </c>
      <c r="O617" s="244">
        <v>0</v>
      </c>
      <c r="P617" s="244">
        <v>0</v>
      </c>
      <c r="Q617" s="244">
        <v>0</v>
      </c>
      <c r="R617" s="244">
        <v>0</v>
      </c>
      <c r="S617" s="244">
        <v>0</v>
      </c>
      <c r="T617" s="244">
        <v>0</v>
      </c>
      <c r="U617" s="244">
        <v>0</v>
      </c>
      <c r="V617" s="244" t="s">
        <v>226</v>
      </c>
      <c r="W617" s="244" t="s">
        <v>226</v>
      </c>
      <c r="X617" s="244" t="s">
        <v>226</v>
      </c>
      <c r="Y617" s="244" t="s">
        <v>226</v>
      </c>
      <c r="Z617" s="244">
        <v>0</v>
      </c>
      <c r="AA617" s="244">
        <v>0</v>
      </c>
      <c r="AB617" s="244">
        <v>0</v>
      </c>
      <c r="AC617" s="244">
        <v>0</v>
      </c>
      <c r="AD617" s="244">
        <v>0</v>
      </c>
      <c r="AE617" s="244">
        <v>0</v>
      </c>
      <c r="AF617" s="244">
        <v>0</v>
      </c>
      <c r="AG617" s="244">
        <v>0</v>
      </c>
      <c r="AH617" s="244">
        <v>0</v>
      </c>
      <c r="AI617" s="244">
        <v>0</v>
      </c>
      <c r="AJ617" s="244">
        <v>0</v>
      </c>
      <c r="AK617" s="244">
        <v>0</v>
      </c>
      <c r="AL617" s="244">
        <v>0</v>
      </c>
      <c r="AM617" s="244">
        <v>3.3309388698828313</v>
      </c>
      <c r="AN617" s="244">
        <v>0</v>
      </c>
      <c r="AO617" s="244">
        <v>0.59071832895278931</v>
      </c>
      <c r="AP617" s="244">
        <v>2.5762443542480469</v>
      </c>
      <c r="AQ617" s="244">
        <v>6.497901439666748</v>
      </c>
      <c r="AR617" s="244">
        <v>0</v>
      </c>
      <c r="AS617" s="228">
        <v>9999</v>
      </c>
      <c r="AT617" s="244">
        <v>3.3309388698828313</v>
      </c>
      <c r="AU617" s="244">
        <v>0.15730497241020203</v>
      </c>
      <c r="AV617" s="244">
        <v>0.60644882917404175</v>
      </c>
      <c r="AW617" s="244">
        <v>2.5762443542480469</v>
      </c>
      <c r="AX617" s="244">
        <v>6.6709370613098145</v>
      </c>
      <c r="AY617" s="244">
        <v>0</v>
      </c>
      <c r="AZ617" s="228">
        <v>9999</v>
      </c>
      <c r="BA617" s="244">
        <v>3.3309388698828313</v>
      </c>
      <c r="BB617" s="244">
        <v>0.15730497241020203</v>
      </c>
      <c r="BC617" s="244">
        <v>0.60644882917404175</v>
      </c>
      <c r="BD617" s="244">
        <v>2.5762443542480469</v>
      </c>
      <c r="BE617" s="244">
        <v>6.6709370613098145</v>
      </c>
      <c r="BF617" s="244">
        <v>0</v>
      </c>
      <c r="BG617" s="244">
        <v>-55.747802734375</v>
      </c>
      <c r="BH617" s="228">
        <v>9999</v>
      </c>
      <c r="BI617" s="244">
        <v>0</v>
      </c>
      <c r="BJ617" s="244">
        <v>0</v>
      </c>
      <c r="BK617" s="244">
        <v>0</v>
      </c>
      <c r="BL617" s="244">
        <v>0</v>
      </c>
      <c r="BM617" s="244">
        <v>0</v>
      </c>
      <c r="BN617" s="244">
        <v>3.3309388698828313</v>
      </c>
      <c r="BO617" s="244">
        <v>0</v>
      </c>
      <c r="BP617" s="244">
        <v>0.15730497241020203</v>
      </c>
      <c r="BQ617" s="244">
        <v>0</v>
      </c>
      <c r="BR617" s="244">
        <v>0</v>
      </c>
      <c r="BS617" s="244">
        <v>0</v>
      </c>
      <c r="BT617" s="244">
        <v>2.5762443542480469</v>
      </c>
      <c r="BU617" s="244">
        <v>0</v>
      </c>
      <c r="BV617" s="244">
        <v>0</v>
      </c>
      <c r="BW617" s="244">
        <v>0.60644882917404175</v>
      </c>
      <c r="BX617" s="244">
        <v>0</v>
      </c>
      <c r="BY617" s="244"/>
      <c r="BZ617" s="244">
        <v>0</v>
      </c>
      <c r="CA617" s="244">
        <v>0</v>
      </c>
      <c r="CB617" s="244">
        <v>6.6709370613098145</v>
      </c>
      <c r="CC617" s="244">
        <v>0</v>
      </c>
      <c r="CD617" s="228">
        <v>9999</v>
      </c>
      <c r="CE617" s="244">
        <v>-55.747802734375</v>
      </c>
      <c r="CF617" s="244">
        <v>3.6456808336216701E-2</v>
      </c>
      <c r="CG617" s="244">
        <v>0</v>
      </c>
      <c r="CH617" s="244">
        <v>3.6456808336216701E-2</v>
      </c>
      <c r="CI617" s="244">
        <v>1.7895357852144821E-3</v>
      </c>
      <c r="CJ617" s="244">
        <v>0</v>
      </c>
      <c r="CK617" s="244">
        <v>1.7895357852144821E-3</v>
      </c>
      <c r="CL617" s="244"/>
      <c r="CM617" s="244">
        <v>0</v>
      </c>
      <c r="CN617" s="244" t="s">
        <v>605</v>
      </c>
      <c r="CO617" s="244">
        <v>0</v>
      </c>
      <c r="CP617" s="244">
        <v>0</v>
      </c>
      <c r="CQ617" s="244">
        <v>0</v>
      </c>
      <c r="CR617" s="244">
        <v>0</v>
      </c>
      <c r="CS617" s="244">
        <v>0</v>
      </c>
      <c r="CT617" s="244">
        <v>0</v>
      </c>
      <c r="CU617" s="244">
        <v>0</v>
      </c>
      <c r="CV617" s="244">
        <v>9999</v>
      </c>
      <c r="CW617" s="228">
        <v>9999</v>
      </c>
    </row>
    <row r="618" spans="1:101">
      <c r="A618" s="221" t="s">
        <v>538</v>
      </c>
      <c r="B618" s="221" t="s">
        <v>604</v>
      </c>
      <c r="C618" s="244">
        <v>10</v>
      </c>
      <c r="D618" s="244">
        <v>6.85675119617225</v>
      </c>
      <c r="E618" s="244">
        <v>0</v>
      </c>
      <c r="F618" s="244">
        <v>0</v>
      </c>
      <c r="G618" s="244">
        <v>0</v>
      </c>
      <c r="H618" s="244">
        <v>0</v>
      </c>
      <c r="I618" s="244" t="s">
        <v>605</v>
      </c>
      <c r="J618" s="244">
        <v>1</v>
      </c>
      <c r="K618" s="244">
        <v>0.63999998569488525</v>
      </c>
      <c r="L618" s="244">
        <v>7.4784035457569633</v>
      </c>
      <c r="M618" s="244">
        <v>5.4636737331748009E-4</v>
      </c>
      <c r="N618" s="244">
        <v>8.5369904991239309E-4</v>
      </c>
      <c r="O618" s="244">
        <v>0</v>
      </c>
      <c r="P618" s="244">
        <v>0</v>
      </c>
      <c r="Q618" s="244">
        <v>0</v>
      </c>
      <c r="R618" s="244">
        <v>0</v>
      </c>
      <c r="S618" s="244">
        <v>0</v>
      </c>
      <c r="T618" s="244">
        <v>0</v>
      </c>
      <c r="U618" s="244">
        <v>0</v>
      </c>
      <c r="V618" s="244" t="s">
        <v>226</v>
      </c>
      <c r="W618" s="244" t="s">
        <v>226</v>
      </c>
      <c r="X618" s="244" t="s">
        <v>226</v>
      </c>
      <c r="Y618" s="244" t="s">
        <v>226</v>
      </c>
      <c r="Z618" s="244">
        <v>0</v>
      </c>
      <c r="AA618" s="244">
        <v>0</v>
      </c>
      <c r="AB618" s="244">
        <v>0</v>
      </c>
      <c r="AC618" s="244">
        <v>0</v>
      </c>
      <c r="AD618" s="244">
        <v>0</v>
      </c>
      <c r="AE618" s="244">
        <v>0</v>
      </c>
      <c r="AF618" s="244">
        <v>0</v>
      </c>
      <c r="AG618" s="244">
        <v>0</v>
      </c>
      <c r="AH618" s="244">
        <v>0</v>
      </c>
      <c r="AI618" s="244">
        <v>0</v>
      </c>
      <c r="AJ618" s="244">
        <v>0</v>
      </c>
      <c r="AK618" s="244">
        <v>0</v>
      </c>
      <c r="AL618" s="244">
        <v>0</v>
      </c>
      <c r="AM618" s="244">
        <v>5.1814604642621775</v>
      </c>
      <c r="AN618" s="244">
        <v>0</v>
      </c>
      <c r="AO618" s="244">
        <v>0.9188951849937439</v>
      </c>
      <c r="AP618" s="244">
        <v>4.0074911117553711</v>
      </c>
      <c r="AQ618" s="244">
        <v>10.107847213745117</v>
      </c>
      <c r="AR618" s="244">
        <v>0</v>
      </c>
      <c r="AS618" s="228">
        <v>9999</v>
      </c>
      <c r="AT618" s="244">
        <v>5.1814604642621775</v>
      </c>
      <c r="AU618" s="244">
        <v>0.24469654262065887</v>
      </c>
      <c r="AV618" s="244">
        <v>0.94336479902267456</v>
      </c>
      <c r="AW618" s="244">
        <v>4.0074911117553711</v>
      </c>
      <c r="AX618" s="244">
        <v>10.377013206481934</v>
      </c>
      <c r="AY618" s="244">
        <v>0</v>
      </c>
      <c r="AZ618" s="228">
        <v>9999</v>
      </c>
      <c r="BA618" s="244">
        <v>5.1814604642621775</v>
      </c>
      <c r="BB618" s="244">
        <v>0.24469654262065887</v>
      </c>
      <c r="BC618" s="244">
        <v>0.94336479902267456</v>
      </c>
      <c r="BD618" s="244">
        <v>4.0074911117553711</v>
      </c>
      <c r="BE618" s="244">
        <v>10.377013206481934</v>
      </c>
      <c r="BF618" s="244">
        <v>0</v>
      </c>
      <c r="BG618" s="244">
        <v>-55.747802734375</v>
      </c>
      <c r="BH618" s="228">
        <v>9999</v>
      </c>
      <c r="BI618" s="244">
        <v>0</v>
      </c>
      <c r="BJ618" s="244">
        <v>0</v>
      </c>
      <c r="BK618" s="244">
        <v>0</v>
      </c>
      <c r="BL618" s="244">
        <v>0</v>
      </c>
      <c r="BM618" s="244">
        <v>0</v>
      </c>
      <c r="BN618" s="244">
        <v>5.1814604642621775</v>
      </c>
      <c r="BO618" s="244">
        <v>0</v>
      </c>
      <c r="BP618" s="244">
        <v>0.24469654262065887</v>
      </c>
      <c r="BQ618" s="244">
        <v>0</v>
      </c>
      <c r="BR618" s="244">
        <v>0</v>
      </c>
      <c r="BS618" s="244">
        <v>0</v>
      </c>
      <c r="BT618" s="244">
        <v>4.0074911117553711</v>
      </c>
      <c r="BU618" s="244">
        <v>0</v>
      </c>
      <c r="BV618" s="244">
        <v>0</v>
      </c>
      <c r="BW618" s="244">
        <v>0.94336479902267456</v>
      </c>
      <c r="BX618" s="244">
        <v>0</v>
      </c>
      <c r="BY618" s="244"/>
      <c r="BZ618" s="244">
        <v>0</v>
      </c>
      <c r="CA618" s="244">
        <v>0</v>
      </c>
      <c r="CB618" s="244">
        <v>10.377013206481934</v>
      </c>
      <c r="CC618" s="244">
        <v>0</v>
      </c>
      <c r="CD618" s="228">
        <v>9999</v>
      </c>
      <c r="CE618" s="244">
        <v>-55.747802734375</v>
      </c>
      <c r="CF618" s="244">
        <v>5.6710590745225928E-2</v>
      </c>
      <c r="CG618" s="244">
        <v>0</v>
      </c>
      <c r="CH618" s="244">
        <v>5.6710590745225928E-2</v>
      </c>
      <c r="CI618" s="244">
        <v>2.7837223325558593E-3</v>
      </c>
      <c r="CJ618" s="244">
        <v>0</v>
      </c>
      <c r="CK618" s="244">
        <v>2.7837223325558593E-3</v>
      </c>
      <c r="CL618" s="244"/>
      <c r="CM618" s="244">
        <v>0</v>
      </c>
      <c r="CN618" s="244" t="s">
        <v>605</v>
      </c>
      <c r="CO618" s="244">
        <v>0</v>
      </c>
      <c r="CP618" s="244">
        <v>0</v>
      </c>
      <c r="CQ618" s="244">
        <v>0</v>
      </c>
      <c r="CR618" s="244">
        <v>0</v>
      </c>
      <c r="CS618" s="244">
        <v>0</v>
      </c>
      <c r="CT618" s="244">
        <v>0</v>
      </c>
      <c r="CU618" s="244">
        <v>0</v>
      </c>
      <c r="CV618" s="244">
        <v>9999</v>
      </c>
      <c r="CW618" s="228">
        <v>9999</v>
      </c>
    </row>
    <row r="619" spans="1:101">
      <c r="A619" s="221" t="s">
        <v>539</v>
      </c>
      <c r="B619" s="221" t="s">
        <v>604</v>
      </c>
      <c r="C619" s="244">
        <v>10</v>
      </c>
      <c r="D619" s="244">
        <v>6.85675119617225</v>
      </c>
      <c r="E619" s="244">
        <v>0</v>
      </c>
      <c r="F619" s="244">
        <v>0</v>
      </c>
      <c r="G619" s="244">
        <v>0</v>
      </c>
      <c r="H619" s="244">
        <v>0</v>
      </c>
      <c r="I619" s="244" t="s">
        <v>605</v>
      </c>
      <c r="J619" s="244">
        <v>1</v>
      </c>
      <c r="K619" s="244">
        <v>0.63999998569488525</v>
      </c>
      <c r="L619" s="244">
        <v>7.4784035457569633</v>
      </c>
      <c r="M619" s="244">
        <v>5.4636737331748009E-4</v>
      </c>
      <c r="N619" s="244">
        <v>8.5369904991239309E-4</v>
      </c>
      <c r="O619" s="244">
        <v>0</v>
      </c>
      <c r="P619" s="244">
        <v>0</v>
      </c>
      <c r="Q619" s="244">
        <v>0</v>
      </c>
      <c r="R619" s="244">
        <v>0</v>
      </c>
      <c r="S619" s="244">
        <v>0</v>
      </c>
      <c r="T619" s="244">
        <v>0</v>
      </c>
      <c r="U619" s="244">
        <v>0</v>
      </c>
      <c r="V619" s="244" t="s">
        <v>226</v>
      </c>
      <c r="W619" s="244" t="s">
        <v>226</v>
      </c>
      <c r="X619" s="244" t="s">
        <v>226</v>
      </c>
      <c r="Y619" s="244" t="s">
        <v>226</v>
      </c>
      <c r="Z619" s="244">
        <v>0</v>
      </c>
      <c r="AA619" s="244">
        <v>0</v>
      </c>
      <c r="AB619" s="244">
        <v>0</v>
      </c>
      <c r="AC619" s="244">
        <v>0</v>
      </c>
      <c r="AD619" s="244">
        <v>0</v>
      </c>
      <c r="AE619" s="244">
        <v>0</v>
      </c>
      <c r="AF619" s="244">
        <v>0</v>
      </c>
      <c r="AG619" s="244">
        <v>0</v>
      </c>
      <c r="AH619" s="244">
        <v>0</v>
      </c>
      <c r="AI619" s="244">
        <v>0</v>
      </c>
      <c r="AJ619" s="244">
        <v>0</v>
      </c>
      <c r="AK619" s="244">
        <v>0</v>
      </c>
      <c r="AL619" s="244">
        <v>0</v>
      </c>
      <c r="AM619" s="244">
        <v>5.1814604642621775</v>
      </c>
      <c r="AN619" s="244">
        <v>0</v>
      </c>
      <c r="AO619" s="244">
        <v>0.9188951849937439</v>
      </c>
      <c r="AP619" s="244">
        <v>4.0074911117553711</v>
      </c>
      <c r="AQ619" s="244">
        <v>10.107847213745117</v>
      </c>
      <c r="AR619" s="244">
        <v>0</v>
      </c>
      <c r="AS619" s="228">
        <v>9999</v>
      </c>
      <c r="AT619" s="244">
        <v>5.1814604642621775</v>
      </c>
      <c r="AU619" s="244">
        <v>0.24469654262065887</v>
      </c>
      <c r="AV619" s="244">
        <v>0.94336479902267456</v>
      </c>
      <c r="AW619" s="244">
        <v>4.0074911117553711</v>
      </c>
      <c r="AX619" s="244">
        <v>10.377013206481934</v>
      </c>
      <c r="AY619" s="244">
        <v>0</v>
      </c>
      <c r="AZ619" s="228">
        <v>9999</v>
      </c>
      <c r="BA619" s="244">
        <v>5.1814604642621775</v>
      </c>
      <c r="BB619" s="244">
        <v>0.24469654262065887</v>
      </c>
      <c r="BC619" s="244">
        <v>0.94336479902267456</v>
      </c>
      <c r="BD619" s="244">
        <v>4.0074911117553711</v>
      </c>
      <c r="BE619" s="244">
        <v>10.377013206481934</v>
      </c>
      <c r="BF619" s="244">
        <v>0</v>
      </c>
      <c r="BG619" s="244">
        <v>-55.747802734375</v>
      </c>
      <c r="BH619" s="228">
        <v>9999</v>
      </c>
      <c r="BI619" s="244">
        <v>0</v>
      </c>
      <c r="BJ619" s="244">
        <v>0</v>
      </c>
      <c r="BK619" s="244">
        <v>0</v>
      </c>
      <c r="BL619" s="244">
        <v>0</v>
      </c>
      <c r="BM619" s="244">
        <v>0</v>
      </c>
      <c r="BN619" s="244">
        <v>5.1814604642621775</v>
      </c>
      <c r="BO619" s="244">
        <v>0</v>
      </c>
      <c r="BP619" s="244">
        <v>0.24469654262065887</v>
      </c>
      <c r="BQ619" s="244">
        <v>0</v>
      </c>
      <c r="BR619" s="244">
        <v>0</v>
      </c>
      <c r="BS619" s="244">
        <v>0</v>
      </c>
      <c r="BT619" s="244">
        <v>4.0074911117553711</v>
      </c>
      <c r="BU619" s="244">
        <v>0</v>
      </c>
      <c r="BV619" s="244">
        <v>0</v>
      </c>
      <c r="BW619" s="244">
        <v>0.94336479902267456</v>
      </c>
      <c r="BX619" s="244">
        <v>0</v>
      </c>
      <c r="BY619" s="244"/>
      <c r="BZ619" s="244">
        <v>0</v>
      </c>
      <c r="CA619" s="244">
        <v>0</v>
      </c>
      <c r="CB619" s="244">
        <v>10.377013206481934</v>
      </c>
      <c r="CC619" s="244">
        <v>0</v>
      </c>
      <c r="CD619" s="228">
        <v>9999</v>
      </c>
      <c r="CE619" s="244">
        <v>-55.747802734375</v>
      </c>
      <c r="CF619" s="244">
        <v>5.6710590745225928E-2</v>
      </c>
      <c r="CG619" s="244">
        <v>0</v>
      </c>
      <c r="CH619" s="244">
        <v>5.6710590745225928E-2</v>
      </c>
      <c r="CI619" s="244">
        <v>2.7837223325558593E-3</v>
      </c>
      <c r="CJ619" s="244">
        <v>0</v>
      </c>
      <c r="CK619" s="244">
        <v>2.7837223325558593E-3</v>
      </c>
      <c r="CL619" s="244"/>
      <c r="CM619" s="244">
        <v>0</v>
      </c>
      <c r="CN619" s="244" t="s">
        <v>605</v>
      </c>
      <c r="CO619" s="244">
        <v>0</v>
      </c>
      <c r="CP619" s="244">
        <v>0</v>
      </c>
      <c r="CQ619" s="244">
        <v>0</v>
      </c>
      <c r="CR619" s="244">
        <v>0</v>
      </c>
      <c r="CS619" s="244">
        <v>0</v>
      </c>
      <c r="CT619" s="244">
        <v>0</v>
      </c>
      <c r="CU619" s="244">
        <v>0</v>
      </c>
      <c r="CV619" s="244">
        <v>9999</v>
      </c>
      <c r="CW619" s="228">
        <v>9999</v>
      </c>
    </row>
    <row r="620" spans="1:101">
      <c r="A620" s="221" t="s">
        <v>540</v>
      </c>
      <c r="B620" s="221" t="s">
        <v>604</v>
      </c>
      <c r="C620" s="244">
        <v>10</v>
      </c>
      <c r="D620" s="244">
        <v>6.85675119617225</v>
      </c>
      <c r="E620" s="244">
        <v>0</v>
      </c>
      <c r="F620" s="244">
        <v>0</v>
      </c>
      <c r="G620" s="244">
        <v>0</v>
      </c>
      <c r="H620" s="244">
        <v>0</v>
      </c>
      <c r="I620" s="244" t="s">
        <v>605</v>
      </c>
      <c r="J620" s="244">
        <v>1</v>
      </c>
      <c r="K620" s="244">
        <v>0.63999998569488525</v>
      </c>
      <c r="L620" s="244">
        <v>7.4784035457569633</v>
      </c>
      <c r="M620" s="244">
        <v>5.4636737331748009E-4</v>
      </c>
      <c r="N620" s="244">
        <v>8.5369904991239309E-4</v>
      </c>
      <c r="O620" s="244">
        <v>0</v>
      </c>
      <c r="P620" s="244">
        <v>0</v>
      </c>
      <c r="Q620" s="244">
        <v>0</v>
      </c>
      <c r="R620" s="244">
        <v>0</v>
      </c>
      <c r="S620" s="244">
        <v>0</v>
      </c>
      <c r="T620" s="244">
        <v>0</v>
      </c>
      <c r="U620" s="244">
        <v>0</v>
      </c>
      <c r="V620" s="244" t="s">
        <v>226</v>
      </c>
      <c r="W620" s="244" t="s">
        <v>226</v>
      </c>
      <c r="X620" s="244" t="s">
        <v>226</v>
      </c>
      <c r="Y620" s="244" t="s">
        <v>226</v>
      </c>
      <c r="Z620" s="244">
        <v>0</v>
      </c>
      <c r="AA620" s="244">
        <v>0</v>
      </c>
      <c r="AB620" s="244">
        <v>0</v>
      </c>
      <c r="AC620" s="244">
        <v>0</v>
      </c>
      <c r="AD620" s="244">
        <v>0</v>
      </c>
      <c r="AE620" s="244">
        <v>0</v>
      </c>
      <c r="AF620" s="244">
        <v>0</v>
      </c>
      <c r="AG620" s="244">
        <v>0</v>
      </c>
      <c r="AH620" s="244">
        <v>0</v>
      </c>
      <c r="AI620" s="244">
        <v>0</v>
      </c>
      <c r="AJ620" s="244">
        <v>0</v>
      </c>
      <c r="AK620" s="244">
        <v>0</v>
      </c>
      <c r="AL620" s="244">
        <v>0</v>
      </c>
      <c r="AM620" s="244">
        <v>5.1814604642621775</v>
      </c>
      <c r="AN620" s="244">
        <v>0</v>
      </c>
      <c r="AO620" s="244">
        <v>0.9188951849937439</v>
      </c>
      <c r="AP620" s="244">
        <v>4.0074911117553711</v>
      </c>
      <c r="AQ620" s="244">
        <v>10.107847213745117</v>
      </c>
      <c r="AR620" s="244">
        <v>0</v>
      </c>
      <c r="AS620" s="228">
        <v>9999</v>
      </c>
      <c r="AT620" s="244">
        <v>5.1814604642621775</v>
      </c>
      <c r="AU620" s="244">
        <v>0.24469654262065887</v>
      </c>
      <c r="AV620" s="244">
        <v>0.94336479902267456</v>
      </c>
      <c r="AW620" s="244">
        <v>4.0074911117553711</v>
      </c>
      <c r="AX620" s="244">
        <v>10.377013206481934</v>
      </c>
      <c r="AY620" s="244">
        <v>0</v>
      </c>
      <c r="AZ620" s="228">
        <v>9999</v>
      </c>
      <c r="BA620" s="244">
        <v>5.1814604642621775</v>
      </c>
      <c r="BB620" s="244">
        <v>0.24469654262065887</v>
      </c>
      <c r="BC620" s="244">
        <v>0.94336479902267456</v>
      </c>
      <c r="BD620" s="244">
        <v>4.0074911117553711</v>
      </c>
      <c r="BE620" s="244">
        <v>10.377013206481934</v>
      </c>
      <c r="BF620" s="244">
        <v>0</v>
      </c>
      <c r="BG620" s="244">
        <v>-55.747802734375</v>
      </c>
      <c r="BH620" s="228">
        <v>9999</v>
      </c>
      <c r="BI620" s="244">
        <v>0</v>
      </c>
      <c r="BJ620" s="244">
        <v>0</v>
      </c>
      <c r="BK620" s="244">
        <v>0</v>
      </c>
      <c r="BL620" s="244">
        <v>0</v>
      </c>
      <c r="BM620" s="244">
        <v>0</v>
      </c>
      <c r="BN620" s="244">
        <v>5.1814604642621775</v>
      </c>
      <c r="BO620" s="244">
        <v>0</v>
      </c>
      <c r="BP620" s="244">
        <v>0.24469654262065887</v>
      </c>
      <c r="BQ620" s="244">
        <v>0</v>
      </c>
      <c r="BR620" s="244">
        <v>0</v>
      </c>
      <c r="BS620" s="244">
        <v>0</v>
      </c>
      <c r="BT620" s="244">
        <v>4.0074911117553711</v>
      </c>
      <c r="BU620" s="244">
        <v>0</v>
      </c>
      <c r="BV620" s="244">
        <v>0</v>
      </c>
      <c r="BW620" s="244">
        <v>0.94336479902267456</v>
      </c>
      <c r="BX620" s="244">
        <v>0</v>
      </c>
      <c r="BY620" s="244"/>
      <c r="BZ620" s="244">
        <v>0</v>
      </c>
      <c r="CA620" s="244">
        <v>0</v>
      </c>
      <c r="CB620" s="244">
        <v>10.377013206481934</v>
      </c>
      <c r="CC620" s="244">
        <v>0</v>
      </c>
      <c r="CD620" s="228">
        <v>9999</v>
      </c>
      <c r="CE620" s="244">
        <v>-55.747802734375</v>
      </c>
      <c r="CF620" s="244">
        <v>5.6710590745225928E-2</v>
      </c>
      <c r="CG620" s="244">
        <v>0</v>
      </c>
      <c r="CH620" s="244">
        <v>5.6710590745225928E-2</v>
      </c>
      <c r="CI620" s="244">
        <v>2.7837223325558593E-3</v>
      </c>
      <c r="CJ620" s="244">
        <v>0</v>
      </c>
      <c r="CK620" s="244">
        <v>2.7837223325558593E-3</v>
      </c>
      <c r="CL620" s="244"/>
      <c r="CM620" s="244">
        <v>0</v>
      </c>
      <c r="CN620" s="244" t="s">
        <v>605</v>
      </c>
      <c r="CO620" s="244">
        <v>0</v>
      </c>
      <c r="CP620" s="244">
        <v>0</v>
      </c>
      <c r="CQ620" s="244">
        <v>0</v>
      </c>
      <c r="CR620" s="244">
        <v>0</v>
      </c>
      <c r="CS620" s="244">
        <v>0</v>
      </c>
      <c r="CT620" s="244">
        <v>0</v>
      </c>
      <c r="CU620" s="244">
        <v>0</v>
      </c>
      <c r="CV620" s="244">
        <v>9999</v>
      </c>
      <c r="CW620" s="228">
        <v>9999</v>
      </c>
    </row>
    <row r="621" spans="1:101">
      <c r="A621" s="221" t="s">
        <v>541</v>
      </c>
      <c r="B621" s="221" t="s">
        <v>604</v>
      </c>
      <c r="C621" s="244">
        <v>10</v>
      </c>
      <c r="D621" s="244">
        <v>2.6120956937799051</v>
      </c>
      <c r="E621" s="244">
        <v>0</v>
      </c>
      <c r="F621" s="244">
        <v>0</v>
      </c>
      <c r="G621" s="244">
        <v>0</v>
      </c>
      <c r="H621" s="244">
        <v>0</v>
      </c>
      <c r="I621" s="244" t="s">
        <v>605</v>
      </c>
      <c r="J621" s="244">
        <v>1</v>
      </c>
      <c r="K621" s="244">
        <v>0.63999998569488525</v>
      </c>
      <c r="L621" s="244">
        <v>2.8489156364788433</v>
      </c>
      <c r="M621" s="244">
        <v>2.0813995797652751E-4</v>
      </c>
      <c r="N621" s="244">
        <v>3.2521868706680834E-4</v>
      </c>
      <c r="O621" s="244">
        <v>0</v>
      </c>
      <c r="P621" s="244">
        <v>0</v>
      </c>
      <c r="Q621" s="244">
        <v>0</v>
      </c>
      <c r="R621" s="244">
        <v>0</v>
      </c>
      <c r="S621" s="244">
        <v>0</v>
      </c>
      <c r="T621" s="244">
        <v>0</v>
      </c>
      <c r="U621" s="244">
        <v>0</v>
      </c>
      <c r="V621" s="244" t="s">
        <v>226</v>
      </c>
      <c r="W621" s="244" t="s">
        <v>226</v>
      </c>
      <c r="X621" s="244" t="s">
        <v>226</v>
      </c>
      <c r="Y621" s="244" t="s">
        <v>226</v>
      </c>
      <c r="Z621" s="244">
        <v>0</v>
      </c>
      <c r="AA621" s="244">
        <v>0</v>
      </c>
      <c r="AB621" s="244">
        <v>0</v>
      </c>
      <c r="AC621" s="244">
        <v>0</v>
      </c>
      <c r="AD621" s="244">
        <v>0</v>
      </c>
      <c r="AE621" s="244">
        <v>0</v>
      </c>
      <c r="AF621" s="244">
        <v>0</v>
      </c>
      <c r="AG621" s="244">
        <v>0</v>
      </c>
      <c r="AH621" s="244">
        <v>0</v>
      </c>
      <c r="AI621" s="244">
        <v>0</v>
      </c>
      <c r="AJ621" s="244">
        <v>0</v>
      </c>
      <c r="AK621" s="244">
        <v>0</v>
      </c>
      <c r="AL621" s="244">
        <v>0</v>
      </c>
      <c r="AM621" s="244">
        <v>1.9738897006713063</v>
      </c>
      <c r="AN621" s="244">
        <v>0</v>
      </c>
      <c r="AO621" s="244">
        <v>0.35005530714988708</v>
      </c>
      <c r="AP621" s="244">
        <v>1.5266634225845337</v>
      </c>
      <c r="AQ621" s="244">
        <v>3.8506083488464355</v>
      </c>
      <c r="AR621" s="244">
        <v>0</v>
      </c>
      <c r="AS621" s="228">
        <v>9999</v>
      </c>
      <c r="AT621" s="244">
        <v>1.9738897006713063</v>
      </c>
      <c r="AU621" s="244">
        <v>9.3217760324478149E-2</v>
      </c>
      <c r="AV621" s="244">
        <v>0.35937708616256714</v>
      </c>
      <c r="AW621" s="244">
        <v>1.5266634225845337</v>
      </c>
      <c r="AX621" s="244">
        <v>3.9531478881835937</v>
      </c>
      <c r="AY621" s="244">
        <v>0</v>
      </c>
      <c r="AZ621" s="228">
        <v>9999</v>
      </c>
      <c r="BA621" s="244">
        <v>1.9738897006713063</v>
      </c>
      <c r="BB621" s="244">
        <v>9.3217760324478149E-2</v>
      </c>
      <c r="BC621" s="244">
        <v>0.35937708616256714</v>
      </c>
      <c r="BD621" s="244">
        <v>1.5266634225845337</v>
      </c>
      <c r="BE621" s="244">
        <v>3.9531478881835937</v>
      </c>
      <c r="BF621" s="244">
        <v>0</v>
      </c>
      <c r="BG621" s="244">
        <v>-55.747806549072266</v>
      </c>
      <c r="BH621" s="228">
        <v>9999</v>
      </c>
      <c r="BI621" s="244">
        <v>0</v>
      </c>
      <c r="BJ621" s="244">
        <v>0</v>
      </c>
      <c r="BK621" s="244">
        <v>0</v>
      </c>
      <c r="BL621" s="244">
        <v>0</v>
      </c>
      <c r="BM621" s="244">
        <v>0</v>
      </c>
      <c r="BN621" s="244">
        <v>1.9738897006713063</v>
      </c>
      <c r="BO621" s="244">
        <v>0</v>
      </c>
      <c r="BP621" s="244">
        <v>9.3217760324478149E-2</v>
      </c>
      <c r="BQ621" s="244">
        <v>0</v>
      </c>
      <c r="BR621" s="244">
        <v>0</v>
      </c>
      <c r="BS621" s="244">
        <v>0</v>
      </c>
      <c r="BT621" s="244">
        <v>1.5266634225845337</v>
      </c>
      <c r="BU621" s="244">
        <v>0</v>
      </c>
      <c r="BV621" s="244">
        <v>0</v>
      </c>
      <c r="BW621" s="244">
        <v>0.35937708616256714</v>
      </c>
      <c r="BX621" s="244">
        <v>0</v>
      </c>
      <c r="BY621" s="244"/>
      <c r="BZ621" s="244">
        <v>0</v>
      </c>
      <c r="CA621" s="244">
        <v>0</v>
      </c>
      <c r="CB621" s="244">
        <v>3.9531478881835937</v>
      </c>
      <c r="CC621" s="244">
        <v>0</v>
      </c>
      <c r="CD621" s="228">
        <v>9999</v>
      </c>
      <c r="CE621" s="244">
        <v>-55.747806549072266</v>
      </c>
      <c r="CF621" s="244">
        <v>2.1604034569609926E-2</v>
      </c>
      <c r="CG621" s="244">
        <v>0</v>
      </c>
      <c r="CH621" s="244">
        <v>2.1604034569609926E-2</v>
      </c>
      <c r="CI621" s="244">
        <v>1.0604656504974706E-3</v>
      </c>
      <c r="CJ621" s="244">
        <v>0</v>
      </c>
      <c r="CK621" s="244">
        <v>1.0604656504974706E-3</v>
      </c>
      <c r="CL621" s="244"/>
      <c r="CM621" s="244">
        <v>0</v>
      </c>
      <c r="CN621" s="244" t="s">
        <v>605</v>
      </c>
      <c r="CO621" s="244">
        <v>0</v>
      </c>
      <c r="CP621" s="244">
        <v>0</v>
      </c>
      <c r="CQ621" s="244">
        <v>0</v>
      </c>
      <c r="CR621" s="244">
        <v>0</v>
      </c>
      <c r="CS621" s="244">
        <v>0</v>
      </c>
      <c r="CT621" s="244">
        <v>0</v>
      </c>
      <c r="CU621" s="244">
        <v>0</v>
      </c>
      <c r="CV621" s="244">
        <v>9999</v>
      </c>
      <c r="CW621" s="228">
        <v>9999</v>
      </c>
    </row>
    <row r="622" spans="1:101">
      <c r="A622" s="221" t="s">
        <v>542</v>
      </c>
      <c r="B622" s="221" t="s">
        <v>604</v>
      </c>
      <c r="C622" s="244">
        <v>10</v>
      </c>
      <c r="D622" s="244">
        <v>2.6120956937799051</v>
      </c>
      <c r="E622" s="244">
        <v>0</v>
      </c>
      <c r="F622" s="244">
        <v>0</v>
      </c>
      <c r="G622" s="244">
        <v>0</v>
      </c>
      <c r="H622" s="244">
        <v>0</v>
      </c>
      <c r="I622" s="244" t="s">
        <v>605</v>
      </c>
      <c r="J622" s="244">
        <v>1</v>
      </c>
      <c r="K622" s="244">
        <v>0.63999998569488525</v>
      </c>
      <c r="L622" s="244">
        <v>2.8489156364788433</v>
      </c>
      <c r="M622" s="244">
        <v>2.0813995797652751E-4</v>
      </c>
      <c r="N622" s="244">
        <v>3.2521868706680834E-4</v>
      </c>
      <c r="O622" s="244">
        <v>0</v>
      </c>
      <c r="P622" s="244">
        <v>0</v>
      </c>
      <c r="Q622" s="244">
        <v>0</v>
      </c>
      <c r="R622" s="244">
        <v>0</v>
      </c>
      <c r="S622" s="244">
        <v>0</v>
      </c>
      <c r="T622" s="244">
        <v>0</v>
      </c>
      <c r="U622" s="244">
        <v>0</v>
      </c>
      <c r="V622" s="244" t="s">
        <v>226</v>
      </c>
      <c r="W622" s="244" t="s">
        <v>226</v>
      </c>
      <c r="X622" s="244" t="s">
        <v>226</v>
      </c>
      <c r="Y622" s="244" t="s">
        <v>226</v>
      </c>
      <c r="Z622" s="244">
        <v>0</v>
      </c>
      <c r="AA622" s="244">
        <v>0</v>
      </c>
      <c r="AB622" s="244">
        <v>0</v>
      </c>
      <c r="AC622" s="244">
        <v>0</v>
      </c>
      <c r="AD622" s="244">
        <v>0</v>
      </c>
      <c r="AE622" s="244">
        <v>0</v>
      </c>
      <c r="AF622" s="244">
        <v>0</v>
      </c>
      <c r="AG622" s="244">
        <v>0</v>
      </c>
      <c r="AH622" s="244">
        <v>0</v>
      </c>
      <c r="AI622" s="244">
        <v>0</v>
      </c>
      <c r="AJ622" s="244">
        <v>0</v>
      </c>
      <c r="AK622" s="244">
        <v>0</v>
      </c>
      <c r="AL622" s="244">
        <v>0</v>
      </c>
      <c r="AM622" s="244">
        <v>1.9738897006713063</v>
      </c>
      <c r="AN622" s="244">
        <v>0</v>
      </c>
      <c r="AO622" s="244">
        <v>0.35005530714988708</v>
      </c>
      <c r="AP622" s="244">
        <v>1.5266634225845337</v>
      </c>
      <c r="AQ622" s="244">
        <v>3.8506083488464355</v>
      </c>
      <c r="AR622" s="244">
        <v>0</v>
      </c>
      <c r="AS622" s="228">
        <v>9999</v>
      </c>
      <c r="AT622" s="244">
        <v>1.9738897006713063</v>
      </c>
      <c r="AU622" s="244">
        <v>9.3217760324478149E-2</v>
      </c>
      <c r="AV622" s="244">
        <v>0.35937708616256714</v>
      </c>
      <c r="AW622" s="244">
        <v>1.5266634225845337</v>
      </c>
      <c r="AX622" s="244">
        <v>3.9531478881835937</v>
      </c>
      <c r="AY622" s="244">
        <v>0</v>
      </c>
      <c r="AZ622" s="228">
        <v>9999</v>
      </c>
      <c r="BA622" s="244">
        <v>1.9738897006713063</v>
      </c>
      <c r="BB622" s="244">
        <v>9.3217760324478149E-2</v>
      </c>
      <c r="BC622" s="244">
        <v>0.35937708616256714</v>
      </c>
      <c r="BD622" s="244">
        <v>1.5266634225845337</v>
      </c>
      <c r="BE622" s="244">
        <v>3.9531478881835937</v>
      </c>
      <c r="BF622" s="244">
        <v>0</v>
      </c>
      <c r="BG622" s="244">
        <v>-55.747806549072266</v>
      </c>
      <c r="BH622" s="228">
        <v>9999</v>
      </c>
      <c r="BI622" s="244">
        <v>0</v>
      </c>
      <c r="BJ622" s="244">
        <v>0</v>
      </c>
      <c r="BK622" s="244">
        <v>0</v>
      </c>
      <c r="BL622" s="244">
        <v>0</v>
      </c>
      <c r="BM622" s="244">
        <v>0</v>
      </c>
      <c r="BN622" s="244">
        <v>1.9738897006713063</v>
      </c>
      <c r="BO622" s="244">
        <v>0</v>
      </c>
      <c r="BP622" s="244">
        <v>9.3217760324478149E-2</v>
      </c>
      <c r="BQ622" s="244">
        <v>0</v>
      </c>
      <c r="BR622" s="244">
        <v>0</v>
      </c>
      <c r="BS622" s="244">
        <v>0</v>
      </c>
      <c r="BT622" s="244">
        <v>1.5266634225845337</v>
      </c>
      <c r="BU622" s="244">
        <v>0</v>
      </c>
      <c r="BV622" s="244">
        <v>0</v>
      </c>
      <c r="BW622" s="244">
        <v>0.35937708616256714</v>
      </c>
      <c r="BX622" s="244">
        <v>0</v>
      </c>
      <c r="BY622" s="244"/>
      <c r="BZ622" s="244">
        <v>0</v>
      </c>
      <c r="CA622" s="244">
        <v>0</v>
      </c>
      <c r="CB622" s="244">
        <v>3.9531478881835937</v>
      </c>
      <c r="CC622" s="244">
        <v>0</v>
      </c>
      <c r="CD622" s="228">
        <v>9999</v>
      </c>
      <c r="CE622" s="244">
        <v>-55.747806549072266</v>
      </c>
      <c r="CF622" s="244">
        <v>2.1604034569609926E-2</v>
      </c>
      <c r="CG622" s="244">
        <v>0</v>
      </c>
      <c r="CH622" s="244">
        <v>2.1604034569609926E-2</v>
      </c>
      <c r="CI622" s="244">
        <v>1.0604656504974706E-3</v>
      </c>
      <c r="CJ622" s="244">
        <v>0</v>
      </c>
      <c r="CK622" s="244">
        <v>1.0604656504974706E-3</v>
      </c>
      <c r="CL622" s="244"/>
      <c r="CM622" s="244">
        <v>0</v>
      </c>
      <c r="CN622" s="244" t="s">
        <v>605</v>
      </c>
      <c r="CO622" s="244">
        <v>0</v>
      </c>
      <c r="CP622" s="244">
        <v>0</v>
      </c>
      <c r="CQ622" s="244">
        <v>0</v>
      </c>
      <c r="CR622" s="244">
        <v>0</v>
      </c>
      <c r="CS622" s="244">
        <v>0</v>
      </c>
      <c r="CT622" s="244">
        <v>0</v>
      </c>
      <c r="CU622" s="244">
        <v>0</v>
      </c>
      <c r="CV622" s="244">
        <v>9999</v>
      </c>
      <c r="CW622" s="228">
        <v>9999</v>
      </c>
    </row>
    <row r="623" spans="1:101">
      <c r="A623" s="221" t="s">
        <v>543</v>
      </c>
      <c r="B623" s="221" t="s">
        <v>604</v>
      </c>
      <c r="C623" s="244">
        <v>10</v>
      </c>
      <c r="D623" s="244">
        <v>2.6120956937799051</v>
      </c>
      <c r="E623" s="244">
        <v>0</v>
      </c>
      <c r="F623" s="244">
        <v>0</v>
      </c>
      <c r="G623" s="244">
        <v>0</v>
      </c>
      <c r="H623" s="244">
        <v>0</v>
      </c>
      <c r="I623" s="244" t="s">
        <v>605</v>
      </c>
      <c r="J623" s="244">
        <v>1</v>
      </c>
      <c r="K623" s="244">
        <v>0.63999998569488525</v>
      </c>
      <c r="L623" s="244">
        <v>2.8489156364788433</v>
      </c>
      <c r="M623" s="244">
        <v>2.0813995797652751E-4</v>
      </c>
      <c r="N623" s="244">
        <v>3.2521868706680834E-4</v>
      </c>
      <c r="O623" s="244">
        <v>0</v>
      </c>
      <c r="P623" s="244">
        <v>0</v>
      </c>
      <c r="Q623" s="244">
        <v>0</v>
      </c>
      <c r="R623" s="244">
        <v>0</v>
      </c>
      <c r="S623" s="244">
        <v>0</v>
      </c>
      <c r="T623" s="244">
        <v>0</v>
      </c>
      <c r="U623" s="244">
        <v>0</v>
      </c>
      <c r="V623" s="244" t="s">
        <v>226</v>
      </c>
      <c r="W623" s="244" t="s">
        <v>226</v>
      </c>
      <c r="X623" s="244" t="s">
        <v>226</v>
      </c>
      <c r="Y623" s="244" t="s">
        <v>226</v>
      </c>
      <c r="Z623" s="244">
        <v>0</v>
      </c>
      <c r="AA623" s="244">
        <v>0</v>
      </c>
      <c r="AB623" s="244">
        <v>0</v>
      </c>
      <c r="AC623" s="244">
        <v>0</v>
      </c>
      <c r="AD623" s="244">
        <v>0</v>
      </c>
      <c r="AE623" s="244">
        <v>0</v>
      </c>
      <c r="AF623" s="244">
        <v>0</v>
      </c>
      <c r="AG623" s="244">
        <v>0</v>
      </c>
      <c r="AH623" s="244">
        <v>0</v>
      </c>
      <c r="AI623" s="244">
        <v>0</v>
      </c>
      <c r="AJ623" s="244">
        <v>0</v>
      </c>
      <c r="AK623" s="244">
        <v>0</v>
      </c>
      <c r="AL623" s="244">
        <v>0</v>
      </c>
      <c r="AM623" s="244">
        <v>1.9738897006713063</v>
      </c>
      <c r="AN623" s="244">
        <v>0</v>
      </c>
      <c r="AO623" s="244">
        <v>0.35005530714988708</v>
      </c>
      <c r="AP623" s="244">
        <v>1.5266634225845337</v>
      </c>
      <c r="AQ623" s="244">
        <v>3.8506083488464355</v>
      </c>
      <c r="AR623" s="244">
        <v>0</v>
      </c>
      <c r="AS623" s="228">
        <v>9999</v>
      </c>
      <c r="AT623" s="244">
        <v>1.9738897006713063</v>
      </c>
      <c r="AU623" s="244">
        <v>9.3217760324478149E-2</v>
      </c>
      <c r="AV623" s="244">
        <v>0.35937708616256714</v>
      </c>
      <c r="AW623" s="244">
        <v>1.5266634225845337</v>
      </c>
      <c r="AX623" s="244">
        <v>3.9531478881835937</v>
      </c>
      <c r="AY623" s="244">
        <v>0</v>
      </c>
      <c r="AZ623" s="228">
        <v>9999</v>
      </c>
      <c r="BA623" s="244">
        <v>1.9738897006713063</v>
      </c>
      <c r="BB623" s="244">
        <v>9.3217760324478149E-2</v>
      </c>
      <c r="BC623" s="244">
        <v>0.35937708616256714</v>
      </c>
      <c r="BD623" s="244">
        <v>1.5266634225845337</v>
      </c>
      <c r="BE623" s="244">
        <v>3.9531478881835937</v>
      </c>
      <c r="BF623" s="244">
        <v>0</v>
      </c>
      <c r="BG623" s="244">
        <v>-55.747806549072266</v>
      </c>
      <c r="BH623" s="228">
        <v>9999</v>
      </c>
      <c r="BI623" s="244">
        <v>0</v>
      </c>
      <c r="BJ623" s="244">
        <v>0</v>
      </c>
      <c r="BK623" s="244">
        <v>0</v>
      </c>
      <c r="BL623" s="244">
        <v>0</v>
      </c>
      <c r="BM623" s="244">
        <v>0</v>
      </c>
      <c r="BN623" s="244">
        <v>1.9738897006713063</v>
      </c>
      <c r="BO623" s="244">
        <v>0</v>
      </c>
      <c r="BP623" s="244">
        <v>9.3217760324478149E-2</v>
      </c>
      <c r="BQ623" s="244">
        <v>0</v>
      </c>
      <c r="BR623" s="244">
        <v>0</v>
      </c>
      <c r="BS623" s="244">
        <v>0</v>
      </c>
      <c r="BT623" s="244">
        <v>1.5266634225845337</v>
      </c>
      <c r="BU623" s="244">
        <v>0</v>
      </c>
      <c r="BV623" s="244">
        <v>0</v>
      </c>
      <c r="BW623" s="244">
        <v>0.35937708616256714</v>
      </c>
      <c r="BX623" s="244">
        <v>0</v>
      </c>
      <c r="BY623" s="244"/>
      <c r="BZ623" s="244">
        <v>0</v>
      </c>
      <c r="CA623" s="244">
        <v>0</v>
      </c>
      <c r="CB623" s="244">
        <v>3.9531478881835937</v>
      </c>
      <c r="CC623" s="244">
        <v>0</v>
      </c>
      <c r="CD623" s="228">
        <v>9999</v>
      </c>
      <c r="CE623" s="244">
        <v>-55.747806549072266</v>
      </c>
      <c r="CF623" s="244">
        <v>2.1604034569609926E-2</v>
      </c>
      <c r="CG623" s="244">
        <v>0</v>
      </c>
      <c r="CH623" s="244">
        <v>2.1604034569609926E-2</v>
      </c>
      <c r="CI623" s="244">
        <v>1.0604656504974706E-3</v>
      </c>
      <c r="CJ623" s="244">
        <v>0</v>
      </c>
      <c r="CK623" s="244">
        <v>1.0604656504974706E-3</v>
      </c>
      <c r="CL623" s="244"/>
      <c r="CM623" s="244">
        <v>0</v>
      </c>
      <c r="CN623" s="244" t="s">
        <v>605</v>
      </c>
      <c r="CO623" s="244">
        <v>0</v>
      </c>
      <c r="CP623" s="244">
        <v>0</v>
      </c>
      <c r="CQ623" s="244">
        <v>0</v>
      </c>
      <c r="CR623" s="244">
        <v>0</v>
      </c>
      <c r="CS623" s="244">
        <v>0</v>
      </c>
      <c r="CT623" s="244">
        <v>0</v>
      </c>
      <c r="CU623" s="244">
        <v>0</v>
      </c>
      <c r="CV623" s="244">
        <v>9999</v>
      </c>
      <c r="CW623" s="228">
        <v>9999</v>
      </c>
    </row>
    <row r="624" spans="1:101">
      <c r="A624" s="221" t="s">
        <v>544</v>
      </c>
      <c r="B624" s="221" t="s">
        <v>604</v>
      </c>
      <c r="C624" s="244">
        <v>10</v>
      </c>
      <c r="D624" s="244">
        <v>2.9386076555023926</v>
      </c>
      <c r="E624" s="244">
        <v>0</v>
      </c>
      <c r="F624" s="244">
        <v>0</v>
      </c>
      <c r="G624" s="244">
        <v>0</v>
      </c>
      <c r="H624" s="244">
        <v>0</v>
      </c>
      <c r="I624" s="244" t="s">
        <v>605</v>
      </c>
      <c r="J624" s="244">
        <v>1</v>
      </c>
      <c r="K624" s="244">
        <v>0.63999998569488525</v>
      </c>
      <c r="L624" s="244">
        <v>3.2050300910386991</v>
      </c>
      <c r="M624" s="244">
        <v>2.3415744362864643E-4</v>
      </c>
      <c r="N624" s="244">
        <v>3.6587100476026535E-4</v>
      </c>
      <c r="O624" s="244">
        <v>0</v>
      </c>
      <c r="P624" s="244">
        <v>0</v>
      </c>
      <c r="Q624" s="244">
        <v>0</v>
      </c>
      <c r="R624" s="244">
        <v>0</v>
      </c>
      <c r="S624" s="244">
        <v>0</v>
      </c>
      <c r="T624" s="244">
        <v>0</v>
      </c>
      <c r="U624" s="244">
        <v>0</v>
      </c>
      <c r="V624" s="244" t="s">
        <v>226</v>
      </c>
      <c r="W624" s="244" t="s">
        <v>226</v>
      </c>
      <c r="X624" s="244" t="s">
        <v>226</v>
      </c>
      <c r="Y624" s="244" t="s">
        <v>226</v>
      </c>
      <c r="Z624" s="244">
        <v>0</v>
      </c>
      <c r="AA624" s="244">
        <v>0</v>
      </c>
      <c r="AB624" s="244">
        <v>0</v>
      </c>
      <c r="AC624" s="244">
        <v>0</v>
      </c>
      <c r="AD624" s="244">
        <v>0</v>
      </c>
      <c r="AE624" s="244">
        <v>0</v>
      </c>
      <c r="AF624" s="244">
        <v>0</v>
      </c>
      <c r="AG624" s="244">
        <v>0</v>
      </c>
      <c r="AH624" s="244">
        <v>0</v>
      </c>
      <c r="AI624" s="244">
        <v>0</v>
      </c>
      <c r="AJ624" s="244">
        <v>0</v>
      </c>
      <c r="AK624" s="244">
        <v>0</v>
      </c>
      <c r="AL624" s="244">
        <v>0</v>
      </c>
      <c r="AM624" s="244">
        <v>2.2206259132552173</v>
      </c>
      <c r="AN624" s="244">
        <v>0</v>
      </c>
      <c r="AO624" s="244">
        <v>0.39381220936775208</v>
      </c>
      <c r="AP624" s="244">
        <v>1.7174961566925049</v>
      </c>
      <c r="AQ624" s="244">
        <v>4.3319344520568848</v>
      </c>
      <c r="AR624" s="244">
        <v>0</v>
      </c>
      <c r="AS624" s="228">
        <v>9999</v>
      </c>
      <c r="AT624" s="244">
        <v>2.2206259132552173</v>
      </c>
      <c r="AU624" s="244">
        <v>0.10486994683742523</v>
      </c>
      <c r="AV624" s="244">
        <v>0.40429919958114624</v>
      </c>
      <c r="AW624" s="244">
        <v>1.7174961566925049</v>
      </c>
      <c r="AX624" s="244">
        <v>4.447291374206543</v>
      </c>
      <c r="AY624" s="244">
        <v>0</v>
      </c>
      <c r="AZ624" s="228">
        <v>9999</v>
      </c>
      <c r="BA624" s="244">
        <v>2.2206259132552173</v>
      </c>
      <c r="BB624" s="244">
        <v>0.10486994683742523</v>
      </c>
      <c r="BC624" s="244">
        <v>0.40429919958114624</v>
      </c>
      <c r="BD624" s="244">
        <v>1.7174961566925049</v>
      </c>
      <c r="BE624" s="244">
        <v>4.447291374206543</v>
      </c>
      <c r="BF624" s="244">
        <v>0</v>
      </c>
      <c r="BG624" s="244">
        <v>-55.747802734375</v>
      </c>
      <c r="BH624" s="228">
        <v>9999</v>
      </c>
      <c r="BI624" s="244">
        <v>0</v>
      </c>
      <c r="BJ624" s="244">
        <v>0</v>
      </c>
      <c r="BK624" s="244">
        <v>0</v>
      </c>
      <c r="BL624" s="244">
        <v>0</v>
      </c>
      <c r="BM624" s="244">
        <v>0</v>
      </c>
      <c r="BN624" s="244">
        <v>2.2206259132552173</v>
      </c>
      <c r="BO624" s="244">
        <v>0</v>
      </c>
      <c r="BP624" s="244">
        <v>0.10486994683742523</v>
      </c>
      <c r="BQ624" s="244">
        <v>0</v>
      </c>
      <c r="BR624" s="244">
        <v>0</v>
      </c>
      <c r="BS624" s="244">
        <v>0</v>
      </c>
      <c r="BT624" s="244">
        <v>1.7174961566925049</v>
      </c>
      <c r="BU624" s="244">
        <v>0</v>
      </c>
      <c r="BV624" s="244">
        <v>0</v>
      </c>
      <c r="BW624" s="244">
        <v>0.40429919958114624</v>
      </c>
      <c r="BX624" s="244">
        <v>0</v>
      </c>
      <c r="BY624" s="244"/>
      <c r="BZ624" s="244">
        <v>0</v>
      </c>
      <c r="CA624" s="244">
        <v>0</v>
      </c>
      <c r="CB624" s="244">
        <v>4.447291374206543</v>
      </c>
      <c r="CC624" s="244">
        <v>0</v>
      </c>
      <c r="CD624" s="228">
        <v>9999</v>
      </c>
      <c r="CE624" s="244">
        <v>-55.747802734375</v>
      </c>
      <c r="CF624" s="244">
        <v>2.4304538890811165E-2</v>
      </c>
      <c r="CG624" s="244">
        <v>0</v>
      </c>
      <c r="CH624" s="244">
        <v>2.4304538890811165E-2</v>
      </c>
      <c r="CI624" s="244">
        <v>1.1930238568096546E-3</v>
      </c>
      <c r="CJ624" s="244">
        <v>0</v>
      </c>
      <c r="CK624" s="244">
        <v>1.1930238568096546E-3</v>
      </c>
      <c r="CL624" s="244"/>
      <c r="CM624" s="244">
        <v>0</v>
      </c>
      <c r="CN624" s="244" t="s">
        <v>605</v>
      </c>
      <c r="CO624" s="244">
        <v>0</v>
      </c>
      <c r="CP624" s="244">
        <v>0</v>
      </c>
      <c r="CQ624" s="244">
        <v>0</v>
      </c>
      <c r="CR624" s="244">
        <v>0</v>
      </c>
      <c r="CS624" s="244">
        <v>0</v>
      </c>
      <c r="CT624" s="244">
        <v>0</v>
      </c>
      <c r="CU624" s="244">
        <v>0</v>
      </c>
      <c r="CV624" s="244">
        <v>9999</v>
      </c>
      <c r="CW624" s="228">
        <v>9999</v>
      </c>
    </row>
    <row r="625" spans="1:101">
      <c r="A625" s="221" t="s">
        <v>545</v>
      </c>
      <c r="B625" s="221" t="s">
        <v>604</v>
      </c>
      <c r="C625" s="244">
        <v>10</v>
      </c>
      <c r="D625" s="244">
        <v>2.9386076555023926</v>
      </c>
      <c r="E625" s="244">
        <v>0</v>
      </c>
      <c r="F625" s="244">
        <v>0</v>
      </c>
      <c r="G625" s="244">
        <v>0</v>
      </c>
      <c r="H625" s="244">
        <v>0</v>
      </c>
      <c r="I625" s="244" t="s">
        <v>605</v>
      </c>
      <c r="J625" s="244">
        <v>1</v>
      </c>
      <c r="K625" s="244">
        <v>0.63999998569488525</v>
      </c>
      <c r="L625" s="244">
        <v>3.2050300910386991</v>
      </c>
      <c r="M625" s="244">
        <v>2.3415744362864643E-4</v>
      </c>
      <c r="N625" s="244">
        <v>3.6587100476026535E-4</v>
      </c>
      <c r="O625" s="244">
        <v>0</v>
      </c>
      <c r="P625" s="244">
        <v>0</v>
      </c>
      <c r="Q625" s="244">
        <v>0</v>
      </c>
      <c r="R625" s="244">
        <v>0</v>
      </c>
      <c r="S625" s="244">
        <v>0</v>
      </c>
      <c r="T625" s="244">
        <v>0</v>
      </c>
      <c r="U625" s="244">
        <v>0</v>
      </c>
      <c r="V625" s="244" t="s">
        <v>226</v>
      </c>
      <c r="W625" s="244" t="s">
        <v>226</v>
      </c>
      <c r="X625" s="244" t="s">
        <v>226</v>
      </c>
      <c r="Y625" s="244" t="s">
        <v>226</v>
      </c>
      <c r="Z625" s="244">
        <v>0</v>
      </c>
      <c r="AA625" s="244">
        <v>0</v>
      </c>
      <c r="AB625" s="244">
        <v>0</v>
      </c>
      <c r="AC625" s="244">
        <v>0</v>
      </c>
      <c r="AD625" s="244">
        <v>0</v>
      </c>
      <c r="AE625" s="244">
        <v>0</v>
      </c>
      <c r="AF625" s="244">
        <v>0</v>
      </c>
      <c r="AG625" s="244">
        <v>0</v>
      </c>
      <c r="AH625" s="244">
        <v>0</v>
      </c>
      <c r="AI625" s="244">
        <v>0</v>
      </c>
      <c r="AJ625" s="244">
        <v>0</v>
      </c>
      <c r="AK625" s="244">
        <v>0</v>
      </c>
      <c r="AL625" s="244">
        <v>0</v>
      </c>
      <c r="AM625" s="244">
        <v>2.2206259132552173</v>
      </c>
      <c r="AN625" s="244">
        <v>0</v>
      </c>
      <c r="AO625" s="244">
        <v>0.39381220936775208</v>
      </c>
      <c r="AP625" s="244">
        <v>1.7174961566925049</v>
      </c>
      <c r="AQ625" s="244">
        <v>4.3319344520568848</v>
      </c>
      <c r="AR625" s="244">
        <v>0</v>
      </c>
      <c r="AS625" s="228">
        <v>9999</v>
      </c>
      <c r="AT625" s="244">
        <v>2.2206259132552173</v>
      </c>
      <c r="AU625" s="244">
        <v>0.10486994683742523</v>
      </c>
      <c r="AV625" s="244">
        <v>0.40429919958114624</v>
      </c>
      <c r="AW625" s="244">
        <v>1.7174961566925049</v>
      </c>
      <c r="AX625" s="244">
        <v>4.447291374206543</v>
      </c>
      <c r="AY625" s="244">
        <v>0</v>
      </c>
      <c r="AZ625" s="228">
        <v>9999</v>
      </c>
      <c r="BA625" s="244">
        <v>2.2206259132552173</v>
      </c>
      <c r="BB625" s="244">
        <v>0.10486994683742523</v>
      </c>
      <c r="BC625" s="244">
        <v>0.40429919958114624</v>
      </c>
      <c r="BD625" s="244">
        <v>1.7174961566925049</v>
      </c>
      <c r="BE625" s="244">
        <v>4.447291374206543</v>
      </c>
      <c r="BF625" s="244">
        <v>0</v>
      </c>
      <c r="BG625" s="244">
        <v>-55.747802734375</v>
      </c>
      <c r="BH625" s="228">
        <v>9999</v>
      </c>
      <c r="BI625" s="244">
        <v>0</v>
      </c>
      <c r="BJ625" s="244">
        <v>0</v>
      </c>
      <c r="BK625" s="244">
        <v>0</v>
      </c>
      <c r="BL625" s="244">
        <v>0</v>
      </c>
      <c r="BM625" s="244">
        <v>0</v>
      </c>
      <c r="BN625" s="244">
        <v>2.2206259132552173</v>
      </c>
      <c r="BO625" s="244">
        <v>0</v>
      </c>
      <c r="BP625" s="244">
        <v>0.10486994683742523</v>
      </c>
      <c r="BQ625" s="244">
        <v>0</v>
      </c>
      <c r="BR625" s="244">
        <v>0</v>
      </c>
      <c r="BS625" s="244">
        <v>0</v>
      </c>
      <c r="BT625" s="244">
        <v>1.7174961566925049</v>
      </c>
      <c r="BU625" s="244">
        <v>0</v>
      </c>
      <c r="BV625" s="244">
        <v>0</v>
      </c>
      <c r="BW625" s="244">
        <v>0.40429919958114624</v>
      </c>
      <c r="BX625" s="244">
        <v>0</v>
      </c>
      <c r="BY625" s="244"/>
      <c r="BZ625" s="244">
        <v>0</v>
      </c>
      <c r="CA625" s="244">
        <v>0</v>
      </c>
      <c r="CB625" s="244">
        <v>4.447291374206543</v>
      </c>
      <c r="CC625" s="244">
        <v>0</v>
      </c>
      <c r="CD625" s="228">
        <v>9999</v>
      </c>
      <c r="CE625" s="244">
        <v>-55.747802734375</v>
      </c>
      <c r="CF625" s="244">
        <v>2.4304538890811165E-2</v>
      </c>
      <c r="CG625" s="244">
        <v>0</v>
      </c>
      <c r="CH625" s="244">
        <v>2.4304538890811165E-2</v>
      </c>
      <c r="CI625" s="244">
        <v>1.1930238568096546E-3</v>
      </c>
      <c r="CJ625" s="244">
        <v>0</v>
      </c>
      <c r="CK625" s="244">
        <v>1.1930238568096546E-3</v>
      </c>
      <c r="CL625" s="244"/>
      <c r="CM625" s="244">
        <v>0</v>
      </c>
      <c r="CN625" s="244" t="s">
        <v>605</v>
      </c>
      <c r="CO625" s="244">
        <v>0</v>
      </c>
      <c r="CP625" s="244">
        <v>0</v>
      </c>
      <c r="CQ625" s="244">
        <v>0</v>
      </c>
      <c r="CR625" s="244">
        <v>0</v>
      </c>
      <c r="CS625" s="244">
        <v>0</v>
      </c>
      <c r="CT625" s="244">
        <v>0</v>
      </c>
      <c r="CU625" s="244">
        <v>0</v>
      </c>
      <c r="CV625" s="244">
        <v>9999</v>
      </c>
      <c r="CW625" s="228">
        <v>9999</v>
      </c>
    </row>
    <row r="626" spans="1:101">
      <c r="A626" s="221" t="s">
        <v>546</v>
      </c>
      <c r="B626" s="221" t="s">
        <v>604</v>
      </c>
      <c r="C626" s="244">
        <v>10</v>
      </c>
      <c r="D626" s="244">
        <v>2.9386076555023926</v>
      </c>
      <c r="E626" s="244">
        <v>0</v>
      </c>
      <c r="F626" s="244">
        <v>0</v>
      </c>
      <c r="G626" s="244">
        <v>0</v>
      </c>
      <c r="H626" s="244">
        <v>0</v>
      </c>
      <c r="I626" s="244" t="s">
        <v>605</v>
      </c>
      <c r="J626" s="244">
        <v>1</v>
      </c>
      <c r="K626" s="244">
        <v>0.63999998569488525</v>
      </c>
      <c r="L626" s="244">
        <v>3.2050300910386991</v>
      </c>
      <c r="M626" s="244">
        <v>2.3415744362864643E-4</v>
      </c>
      <c r="N626" s="244">
        <v>3.6587100476026535E-4</v>
      </c>
      <c r="O626" s="244">
        <v>0</v>
      </c>
      <c r="P626" s="244">
        <v>0</v>
      </c>
      <c r="Q626" s="244">
        <v>0</v>
      </c>
      <c r="R626" s="244">
        <v>0</v>
      </c>
      <c r="S626" s="244">
        <v>0</v>
      </c>
      <c r="T626" s="244">
        <v>0</v>
      </c>
      <c r="U626" s="244">
        <v>0</v>
      </c>
      <c r="V626" s="244" t="s">
        <v>226</v>
      </c>
      <c r="W626" s="244" t="s">
        <v>226</v>
      </c>
      <c r="X626" s="244" t="s">
        <v>226</v>
      </c>
      <c r="Y626" s="244" t="s">
        <v>226</v>
      </c>
      <c r="Z626" s="244">
        <v>0</v>
      </c>
      <c r="AA626" s="244">
        <v>0</v>
      </c>
      <c r="AB626" s="244">
        <v>0</v>
      </c>
      <c r="AC626" s="244">
        <v>0</v>
      </c>
      <c r="AD626" s="244">
        <v>0</v>
      </c>
      <c r="AE626" s="244">
        <v>0</v>
      </c>
      <c r="AF626" s="244">
        <v>0</v>
      </c>
      <c r="AG626" s="244">
        <v>0</v>
      </c>
      <c r="AH626" s="244">
        <v>0</v>
      </c>
      <c r="AI626" s="244">
        <v>0</v>
      </c>
      <c r="AJ626" s="244">
        <v>0</v>
      </c>
      <c r="AK626" s="244">
        <v>0</v>
      </c>
      <c r="AL626" s="244">
        <v>0</v>
      </c>
      <c r="AM626" s="244">
        <v>2.2206259132552173</v>
      </c>
      <c r="AN626" s="244">
        <v>0</v>
      </c>
      <c r="AO626" s="244">
        <v>0.39381220936775208</v>
      </c>
      <c r="AP626" s="244">
        <v>1.7174961566925049</v>
      </c>
      <c r="AQ626" s="244">
        <v>4.3319344520568848</v>
      </c>
      <c r="AR626" s="244">
        <v>0</v>
      </c>
      <c r="AS626" s="228">
        <v>9999</v>
      </c>
      <c r="AT626" s="244">
        <v>2.2206259132552173</v>
      </c>
      <c r="AU626" s="244">
        <v>0.10486994683742523</v>
      </c>
      <c r="AV626" s="244">
        <v>0.40429919958114624</v>
      </c>
      <c r="AW626" s="244">
        <v>1.7174961566925049</v>
      </c>
      <c r="AX626" s="244">
        <v>4.447291374206543</v>
      </c>
      <c r="AY626" s="244">
        <v>0</v>
      </c>
      <c r="AZ626" s="228">
        <v>9999</v>
      </c>
      <c r="BA626" s="244">
        <v>2.2206259132552173</v>
      </c>
      <c r="BB626" s="244">
        <v>0.10486994683742523</v>
      </c>
      <c r="BC626" s="244">
        <v>0.40429919958114624</v>
      </c>
      <c r="BD626" s="244">
        <v>1.7174961566925049</v>
      </c>
      <c r="BE626" s="244">
        <v>4.447291374206543</v>
      </c>
      <c r="BF626" s="244">
        <v>0</v>
      </c>
      <c r="BG626" s="244">
        <v>-55.747802734375</v>
      </c>
      <c r="BH626" s="228">
        <v>9999</v>
      </c>
      <c r="BI626" s="244">
        <v>0</v>
      </c>
      <c r="BJ626" s="244">
        <v>0</v>
      </c>
      <c r="BK626" s="244">
        <v>0</v>
      </c>
      <c r="BL626" s="244">
        <v>0</v>
      </c>
      <c r="BM626" s="244">
        <v>0</v>
      </c>
      <c r="BN626" s="244">
        <v>2.2206259132552173</v>
      </c>
      <c r="BO626" s="244">
        <v>0</v>
      </c>
      <c r="BP626" s="244">
        <v>0.10486994683742523</v>
      </c>
      <c r="BQ626" s="244">
        <v>0</v>
      </c>
      <c r="BR626" s="244">
        <v>0</v>
      </c>
      <c r="BS626" s="244">
        <v>0</v>
      </c>
      <c r="BT626" s="244">
        <v>1.7174961566925049</v>
      </c>
      <c r="BU626" s="244">
        <v>0</v>
      </c>
      <c r="BV626" s="244">
        <v>0</v>
      </c>
      <c r="BW626" s="244">
        <v>0.40429919958114624</v>
      </c>
      <c r="BX626" s="244">
        <v>0</v>
      </c>
      <c r="BY626" s="244"/>
      <c r="BZ626" s="244">
        <v>0</v>
      </c>
      <c r="CA626" s="244">
        <v>0</v>
      </c>
      <c r="CB626" s="244">
        <v>4.447291374206543</v>
      </c>
      <c r="CC626" s="244">
        <v>0</v>
      </c>
      <c r="CD626" s="228">
        <v>9999</v>
      </c>
      <c r="CE626" s="244">
        <v>-55.747802734375</v>
      </c>
      <c r="CF626" s="244">
        <v>2.4304538890811165E-2</v>
      </c>
      <c r="CG626" s="244">
        <v>0</v>
      </c>
      <c r="CH626" s="244">
        <v>2.4304538890811165E-2</v>
      </c>
      <c r="CI626" s="244">
        <v>1.1930238568096546E-3</v>
      </c>
      <c r="CJ626" s="244">
        <v>0</v>
      </c>
      <c r="CK626" s="244">
        <v>1.1930238568096546E-3</v>
      </c>
      <c r="CL626" s="244"/>
      <c r="CM626" s="244">
        <v>0</v>
      </c>
      <c r="CN626" s="244" t="s">
        <v>605</v>
      </c>
      <c r="CO626" s="244">
        <v>0</v>
      </c>
      <c r="CP626" s="244">
        <v>0</v>
      </c>
      <c r="CQ626" s="244">
        <v>0</v>
      </c>
      <c r="CR626" s="244">
        <v>0</v>
      </c>
      <c r="CS626" s="244">
        <v>0</v>
      </c>
      <c r="CT626" s="244">
        <v>0</v>
      </c>
      <c r="CU626" s="244">
        <v>0</v>
      </c>
      <c r="CV626" s="244">
        <v>9999</v>
      </c>
      <c r="CW626" s="228">
        <v>9999</v>
      </c>
    </row>
    <row r="627" spans="1:101">
      <c r="A627" s="221" t="s">
        <v>547</v>
      </c>
      <c r="B627" s="221" t="s">
        <v>604</v>
      </c>
      <c r="C627" s="244">
        <v>10</v>
      </c>
      <c r="D627" s="244">
        <v>4.5711674641148328</v>
      </c>
      <c r="E627" s="244">
        <v>0</v>
      </c>
      <c r="F627" s="244">
        <v>0</v>
      </c>
      <c r="G627" s="244">
        <v>0</v>
      </c>
      <c r="H627" s="244">
        <v>0</v>
      </c>
      <c r="I627" s="244" t="s">
        <v>605</v>
      </c>
      <c r="J627" s="244">
        <v>1</v>
      </c>
      <c r="K627" s="244">
        <v>0.63999998569488525</v>
      </c>
      <c r="L627" s="244">
        <v>4.9856023638379758</v>
      </c>
      <c r="M627" s="244">
        <v>3.6424491554498672E-4</v>
      </c>
      <c r="N627" s="244">
        <v>5.6913268053904176E-4</v>
      </c>
      <c r="O627" s="244">
        <v>0</v>
      </c>
      <c r="P627" s="244">
        <v>0</v>
      </c>
      <c r="Q627" s="244">
        <v>0</v>
      </c>
      <c r="R627" s="244">
        <v>0</v>
      </c>
      <c r="S627" s="244">
        <v>0</v>
      </c>
      <c r="T627" s="244">
        <v>0</v>
      </c>
      <c r="U627" s="244">
        <v>0</v>
      </c>
      <c r="V627" s="244" t="s">
        <v>226</v>
      </c>
      <c r="W627" s="244" t="s">
        <v>226</v>
      </c>
      <c r="X627" s="244" t="s">
        <v>226</v>
      </c>
      <c r="Y627" s="244" t="s">
        <v>226</v>
      </c>
      <c r="Z627" s="244">
        <v>0</v>
      </c>
      <c r="AA627" s="244">
        <v>0</v>
      </c>
      <c r="AB627" s="244">
        <v>0</v>
      </c>
      <c r="AC627" s="244">
        <v>0</v>
      </c>
      <c r="AD627" s="244">
        <v>0</v>
      </c>
      <c r="AE627" s="244">
        <v>0</v>
      </c>
      <c r="AF627" s="244">
        <v>0</v>
      </c>
      <c r="AG627" s="244">
        <v>0</v>
      </c>
      <c r="AH627" s="244">
        <v>0</v>
      </c>
      <c r="AI627" s="244">
        <v>0</v>
      </c>
      <c r="AJ627" s="244">
        <v>0</v>
      </c>
      <c r="AK627" s="244">
        <v>0</v>
      </c>
      <c r="AL627" s="244">
        <v>0</v>
      </c>
      <c r="AM627" s="244">
        <v>3.4543069761747947</v>
      </c>
      <c r="AN627" s="244">
        <v>0</v>
      </c>
      <c r="AO627" s="244">
        <v>0.61259680986404419</v>
      </c>
      <c r="AP627" s="244">
        <v>2.6716611385345459</v>
      </c>
      <c r="AQ627" s="244">
        <v>6.7385649681091309</v>
      </c>
      <c r="AR627" s="244">
        <v>0</v>
      </c>
      <c r="AS627" s="228">
        <v>9999</v>
      </c>
      <c r="AT627" s="244">
        <v>3.4543069761747947</v>
      </c>
      <c r="AU627" s="244">
        <v>0.16313104331493378</v>
      </c>
      <c r="AV627" s="244">
        <v>0.62890994548797607</v>
      </c>
      <c r="AW627" s="244">
        <v>2.6716611385345459</v>
      </c>
      <c r="AX627" s="244">
        <v>6.9180092811584473</v>
      </c>
      <c r="AY627" s="244">
        <v>0</v>
      </c>
      <c r="AZ627" s="228">
        <v>9999</v>
      </c>
      <c r="BA627" s="244">
        <v>3.4543069761747947</v>
      </c>
      <c r="BB627" s="244">
        <v>0.16313104331493378</v>
      </c>
      <c r="BC627" s="244">
        <v>0.62890994548797607</v>
      </c>
      <c r="BD627" s="244">
        <v>2.6716611385345459</v>
      </c>
      <c r="BE627" s="244">
        <v>6.9180092811584473</v>
      </c>
      <c r="BF627" s="244">
        <v>0</v>
      </c>
      <c r="BG627" s="244">
        <v>-55.747810363769531</v>
      </c>
      <c r="BH627" s="228">
        <v>9999</v>
      </c>
      <c r="BI627" s="244">
        <v>0</v>
      </c>
      <c r="BJ627" s="244">
        <v>0</v>
      </c>
      <c r="BK627" s="244">
        <v>0</v>
      </c>
      <c r="BL627" s="244">
        <v>0</v>
      </c>
      <c r="BM627" s="244">
        <v>0</v>
      </c>
      <c r="BN627" s="244">
        <v>3.4543069761747947</v>
      </c>
      <c r="BO627" s="244">
        <v>0</v>
      </c>
      <c r="BP627" s="244">
        <v>0.16313104331493378</v>
      </c>
      <c r="BQ627" s="244">
        <v>0</v>
      </c>
      <c r="BR627" s="244">
        <v>0</v>
      </c>
      <c r="BS627" s="244">
        <v>0</v>
      </c>
      <c r="BT627" s="244">
        <v>2.6716611385345459</v>
      </c>
      <c r="BU627" s="244">
        <v>0</v>
      </c>
      <c r="BV627" s="244">
        <v>0</v>
      </c>
      <c r="BW627" s="244">
        <v>0.62890994548797607</v>
      </c>
      <c r="BX627" s="244">
        <v>0</v>
      </c>
      <c r="BY627" s="244"/>
      <c r="BZ627" s="244">
        <v>0</v>
      </c>
      <c r="CA627" s="244">
        <v>0</v>
      </c>
      <c r="CB627" s="244">
        <v>6.9180092811584473</v>
      </c>
      <c r="CC627" s="244">
        <v>0</v>
      </c>
      <c r="CD627" s="228">
        <v>9999</v>
      </c>
      <c r="CE627" s="244">
        <v>-55.747810363769531</v>
      </c>
      <c r="CF627" s="244">
        <v>3.7807060496817355E-2</v>
      </c>
      <c r="CG627" s="244">
        <v>0</v>
      </c>
      <c r="CH627" s="244">
        <v>3.7807060496817355E-2</v>
      </c>
      <c r="CI627" s="244">
        <v>1.8558148883705723E-3</v>
      </c>
      <c r="CJ627" s="244">
        <v>0</v>
      </c>
      <c r="CK627" s="244">
        <v>1.8558148883705723E-3</v>
      </c>
      <c r="CL627" s="244"/>
      <c r="CM627" s="244">
        <v>0</v>
      </c>
      <c r="CN627" s="244" t="s">
        <v>605</v>
      </c>
      <c r="CO627" s="244">
        <v>0</v>
      </c>
      <c r="CP627" s="244">
        <v>0</v>
      </c>
      <c r="CQ627" s="244">
        <v>0</v>
      </c>
      <c r="CR627" s="244">
        <v>0</v>
      </c>
      <c r="CS627" s="244">
        <v>0</v>
      </c>
      <c r="CT627" s="244">
        <v>0</v>
      </c>
      <c r="CU627" s="244">
        <v>0</v>
      </c>
      <c r="CV627" s="244">
        <v>9999</v>
      </c>
      <c r="CW627" s="228">
        <v>9999</v>
      </c>
    </row>
    <row r="628" spans="1:101">
      <c r="A628" s="221" t="s">
        <v>548</v>
      </c>
      <c r="B628" s="221" t="s">
        <v>604</v>
      </c>
      <c r="C628" s="244">
        <v>10</v>
      </c>
      <c r="D628" s="244">
        <v>4.5711674641148328</v>
      </c>
      <c r="E628" s="244">
        <v>0</v>
      </c>
      <c r="F628" s="244">
        <v>0</v>
      </c>
      <c r="G628" s="244">
        <v>0</v>
      </c>
      <c r="H628" s="244">
        <v>0</v>
      </c>
      <c r="I628" s="244" t="s">
        <v>605</v>
      </c>
      <c r="J628" s="244">
        <v>1</v>
      </c>
      <c r="K628" s="244">
        <v>0.63999998569488525</v>
      </c>
      <c r="L628" s="244">
        <v>4.9856023638379758</v>
      </c>
      <c r="M628" s="244">
        <v>3.6424491554498672E-4</v>
      </c>
      <c r="N628" s="244">
        <v>5.6913268053904176E-4</v>
      </c>
      <c r="O628" s="244">
        <v>0</v>
      </c>
      <c r="P628" s="244">
        <v>0</v>
      </c>
      <c r="Q628" s="244">
        <v>0</v>
      </c>
      <c r="R628" s="244">
        <v>0</v>
      </c>
      <c r="S628" s="244">
        <v>0</v>
      </c>
      <c r="T628" s="244">
        <v>0</v>
      </c>
      <c r="U628" s="244">
        <v>0</v>
      </c>
      <c r="V628" s="244" t="s">
        <v>226</v>
      </c>
      <c r="W628" s="244" t="s">
        <v>226</v>
      </c>
      <c r="X628" s="244" t="s">
        <v>226</v>
      </c>
      <c r="Y628" s="244" t="s">
        <v>226</v>
      </c>
      <c r="Z628" s="244">
        <v>0</v>
      </c>
      <c r="AA628" s="244">
        <v>0</v>
      </c>
      <c r="AB628" s="244">
        <v>0</v>
      </c>
      <c r="AC628" s="244">
        <v>0</v>
      </c>
      <c r="AD628" s="244">
        <v>0</v>
      </c>
      <c r="AE628" s="244">
        <v>0</v>
      </c>
      <c r="AF628" s="244">
        <v>0</v>
      </c>
      <c r="AG628" s="244">
        <v>0</v>
      </c>
      <c r="AH628" s="244">
        <v>0</v>
      </c>
      <c r="AI628" s="244">
        <v>0</v>
      </c>
      <c r="AJ628" s="244">
        <v>0</v>
      </c>
      <c r="AK628" s="244">
        <v>0</v>
      </c>
      <c r="AL628" s="244">
        <v>0</v>
      </c>
      <c r="AM628" s="244">
        <v>3.4543069761747947</v>
      </c>
      <c r="AN628" s="244">
        <v>0</v>
      </c>
      <c r="AO628" s="244">
        <v>0.61259680986404419</v>
      </c>
      <c r="AP628" s="244">
        <v>2.6716611385345459</v>
      </c>
      <c r="AQ628" s="244">
        <v>6.7385649681091309</v>
      </c>
      <c r="AR628" s="244">
        <v>0</v>
      </c>
      <c r="AS628" s="228">
        <v>9999</v>
      </c>
      <c r="AT628" s="244">
        <v>3.4543069761747947</v>
      </c>
      <c r="AU628" s="244">
        <v>0.16313104331493378</v>
      </c>
      <c r="AV628" s="244">
        <v>0.62890994548797607</v>
      </c>
      <c r="AW628" s="244">
        <v>2.6716611385345459</v>
      </c>
      <c r="AX628" s="244">
        <v>6.9180092811584473</v>
      </c>
      <c r="AY628" s="244">
        <v>0</v>
      </c>
      <c r="AZ628" s="228">
        <v>9999</v>
      </c>
      <c r="BA628" s="244">
        <v>3.4543069761747947</v>
      </c>
      <c r="BB628" s="244">
        <v>0.16313104331493378</v>
      </c>
      <c r="BC628" s="244">
        <v>0.62890994548797607</v>
      </c>
      <c r="BD628" s="244">
        <v>2.6716611385345459</v>
      </c>
      <c r="BE628" s="244">
        <v>6.9180092811584473</v>
      </c>
      <c r="BF628" s="244">
        <v>0</v>
      </c>
      <c r="BG628" s="244">
        <v>-55.747810363769531</v>
      </c>
      <c r="BH628" s="228">
        <v>9999</v>
      </c>
      <c r="BI628" s="244">
        <v>0</v>
      </c>
      <c r="BJ628" s="244">
        <v>0</v>
      </c>
      <c r="BK628" s="244">
        <v>0</v>
      </c>
      <c r="BL628" s="244">
        <v>0</v>
      </c>
      <c r="BM628" s="244">
        <v>0</v>
      </c>
      <c r="BN628" s="244">
        <v>3.4543069761747947</v>
      </c>
      <c r="BO628" s="244">
        <v>0</v>
      </c>
      <c r="BP628" s="244">
        <v>0.16313104331493378</v>
      </c>
      <c r="BQ628" s="244">
        <v>0</v>
      </c>
      <c r="BR628" s="244">
        <v>0</v>
      </c>
      <c r="BS628" s="244">
        <v>0</v>
      </c>
      <c r="BT628" s="244">
        <v>2.6716611385345459</v>
      </c>
      <c r="BU628" s="244">
        <v>0</v>
      </c>
      <c r="BV628" s="244">
        <v>0</v>
      </c>
      <c r="BW628" s="244">
        <v>0.62890994548797607</v>
      </c>
      <c r="BX628" s="244">
        <v>0</v>
      </c>
      <c r="BY628" s="244"/>
      <c r="BZ628" s="244">
        <v>0</v>
      </c>
      <c r="CA628" s="244">
        <v>0</v>
      </c>
      <c r="CB628" s="244">
        <v>6.9180092811584473</v>
      </c>
      <c r="CC628" s="244">
        <v>0</v>
      </c>
      <c r="CD628" s="228">
        <v>9999</v>
      </c>
      <c r="CE628" s="244">
        <v>-55.747810363769531</v>
      </c>
      <c r="CF628" s="244">
        <v>3.7807060496817355E-2</v>
      </c>
      <c r="CG628" s="244">
        <v>0</v>
      </c>
      <c r="CH628" s="244">
        <v>3.7807060496817355E-2</v>
      </c>
      <c r="CI628" s="244">
        <v>1.8558148883705723E-3</v>
      </c>
      <c r="CJ628" s="244">
        <v>0</v>
      </c>
      <c r="CK628" s="244">
        <v>1.8558148883705723E-3</v>
      </c>
      <c r="CL628" s="244"/>
      <c r="CM628" s="244">
        <v>0</v>
      </c>
      <c r="CN628" s="244" t="s">
        <v>605</v>
      </c>
      <c r="CO628" s="244">
        <v>0</v>
      </c>
      <c r="CP628" s="244">
        <v>0</v>
      </c>
      <c r="CQ628" s="244">
        <v>0</v>
      </c>
      <c r="CR628" s="244">
        <v>0</v>
      </c>
      <c r="CS628" s="244">
        <v>0</v>
      </c>
      <c r="CT628" s="244">
        <v>0</v>
      </c>
      <c r="CU628" s="244">
        <v>0</v>
      </c>
      <c r="CV628" s="244">
        <v>9999</v>
      </c>
      <c r="CW628" s="228">
        <v>9999</v>
      </c>
    </row>
    <row r="629" spans="1:101">
      <c r="A629" s="221" t="s">
        <v>549</v>
      </c>
      <c r="B629" s="221" t="s">
        <v>604</v>
      </c>
      <c r="C629" s="244">
        <v>10</v>
      </c>
      <c r="D629" s="244">
        <v>4.5711674641148328</v>
      </c>
      <c r="E629" s="244">
        <v>0</v>
      </c>
      <c r="F629" s="244">
        <v>0</v>
      </c>
      <c r="G629" s="244">
        <v>0</v>
      </c>
      <c r="H629" s="244">
        <v>0</v>
      </c>
      <c r="I629" s="244" t="s">
        <v>605</v>
      </c>
      <c r="J629" s="244">
        <v>1</v>
      </c>
      <c r="K629" s="244">
        <v>0.63999998569488525</v>
      </c>
      <c r="L629" s="244">
        <v>4.9856023638379758</v>
      </c>
      <c r="M629" s="244">
        <v>3.6424491554498672E-4</v>
      </c>
      <c r="N629" s="244">
        <v>5.6913268053904176E-4</v>
      </c>
      <c r="O629" s="244">
        <v>0</v>
      </c>
      <c r="P629" s="244">
        <v>0</v>
      </c>
      <c r="Q629" s="244">
        <v>0</v>
      </c>
      <c r="R629" s="244">
        <v>0</v>
      </c>
      <c r="S629" s="244">
        <v>0</v>
      </c>
      <c r="T629" s="244">
        <v>0</v>
      </c>
      <c r="U629" s="244">
        <v>0</v>
      </c>
      <c r="V629" s="244" t="s">
        <v>226</v>
      </c>
      <c r="W629" s="244" t="s">
        <v>226</v>
      </c>
      <c r="X629" s="244" t="s">
        <v>226</v>
      </c>
      <c r="Y629" s="244" t="s">
        <v>226</v>
      </c>
      <c r="Z629" s="244">
        <v>0</v>
      </c>
      <c r="AA629" s="244">
        <v>0</v>
      </c>
      <c r="AB629" s="244">
        <v>0</v>
      </c>
      <c r="AC629" s="244">
        <v>0</v>
      </c>
      <c r="AD629" s="244">
        <v>0</v>
      </c>
      <c r="AE629" s="244">
        <v>0</v>
      </c>
      <c r="AF629" s="244">
        <v>0</v>
      </c>
      <c r="AG629" s="244">
        <v>0</v>
      </c>
      <c r="AH629" s="244">
        <v>0</v>
      </c>
      <c r="AI629" s="244">
        <v>0</v>
      </c>
      <c r="AJ629" s="244">
        <v>0</v>
      </c>
      <c r="AK629" s="244">
        <v>0</v>
      </c>
      <c r="AL629" s="244">
        <v>0</v>
      </c>
      <c r="AM629" s="244">
        <v>3.4543069761747947</v>
      </c>
      <c r="AN629" s="244">
        <v>0</v>
      </c>
      <c r="AO629" s="244">
        <v>0.61259680986404419</v>
      </c>
      <c r="AP629" s="244">
        <v>2.6716611385345459</v>
      </c>
      <c r="AQ629" s="244">
        <v>6.7385649681091309</v>
      </c>
      <c r="AR629" s="244">
        <v>0</v>
      </c>
      <c r="AS629" s="228">
        <v>9999</v>
      </c>
      <c r="AT629" s="244">
        <v>3.4543069761747947</v>
      </c>
      <c r="AU629" s="244">
        <v>0.16313104331493378</v>
      </c>
      <c r="AV629" s="244">
        <v>0.62890994548797607</v>
      </c>
      <c r="AW629" s="244">
        <v>2.6716611385345459</v>
      </c>
      <c r="AX629" s="244">
        <v>6.9180092811584473</v>
      </c>
      <c r="AY629" s="244">
        <v>0</v>
      </c>
      <c r="AZ629" s="228">
        <v>9999</v>
      </c>
      <c r="BA629" s="244">
        <v>3.4543069761747947</v>
      </c>
      <c r="BB629" s="244">
        <v>0.16313104331493378</v>
      </c>
      <c r="BC629" s="244">
        <v>0.62890994548797607</v>
      </c>
      <c r="BD629" s="244">
        <v>2.6716611385345459</v>
      </c>
      <c r="BE629" s="244">
        <v>6.9180092811584473</v>
      </c>
      <c r="BF629" s="244">
        <v>0</v>
      </c>
      <c r="BG629" s="244">
        <v>-55.747810363769531</v>
      </c>
      <c r="BH629" s="228">
        <v>9999</v>
      </c>
      <c r="BI629" s="244">
        <v>0</v>
      </c>
      <c r="BJ629" s="244">
        <v>0</v>
      </c>
      <c r="BK629" s="244">
        <v>0</v>
      </c>
      <c r="BL629" s="244">
        <v>0</v>
      </c>
      <c r="BM629" s="244">
        <v>0</v>
      </c>
      <c r="BN629" s="244">
        <v>3.4543069761747947</v>
      </c>
      <c r="BO629" s="244">
        <v>0</v>
      </c>
      <c r="BP629" s="244">
        <v>0.16313104331493378</v>
      </c>
      <c r="BQ629" s="244">
        <v>0</v>
      </c>
      <c r="BR629" s="244">
        <v>0</v>
      </c>
      <c r="BS629" s="244">
        <v>0</v>
      </c>
      <c r="BT629" s="244">
        <v>2.6716611385345459</v>
      </c>
      <c r="BU629" s="244">
        <v>0</v>
      </c>
      <c r="BV629" s="244">
        <v>0</v>
      </c>
      <c r="BW629" s="244">
        <v>0.62890994548797607</v>
      </c>
      <c r="BX629" s="244">
        <v>0</v>
      </c>
      <c r="BY629" s="244"/>
      <c r="BZ629" s="244">
        <v>0</v>
      </c>
      <c r="CA629" s="244">
        <v>0</v>
      </c>
      <c r="CB629" s="244">
        <v>6.9180092811584473</v>
      </c>
      <c r="CC629" s="244">
        <v>0</v>
      </c>
      <c r="CD629" s="228">
        <v>9999</v>
      </c>
      <c r="CE629" s="244">
        <v>-55.747810363769531</v>
      </c>
      <c r="CF629" s="244">
        <v>3.7807060496817355E-2</v>
      </c>
      <c r="CG629" s="244">
        <v>0</v>
      </c>
      <c r="CH629" s="244">
        <v>3.7807060496817355E-2</v>
      </c>
      <c r="CI629" s="244">
        <v>1.8558148883705723E-3</v>
      </c>
      <c r="CJ629" s="244">
        <v>0</v>
      </c>
      <c r="CK629" s="244">
        <v>1.8558148883705723E-3</v>
      </c>
      <c r="CL629" s="244"/>
      <c r="CM629" s="244">
        <v>0</v>
      </c>
      <c r="CN629" s="244" t="s">
        <v>605</v>
      </c>
      <c r="CO629" s="244">
        <v>0</v>
      </c>
      <c r="CP629" s="244">
        <v>0</v>
      </c>
      <c r="CQ629" s="244">
        <v>0</v>
      </c>
      <c r="CR629" s="244">
        <v>0</v>
      </c>
      <c r="CS629" s="244">
        <v>0</v>
      </c>
      <c r="CT629" s="244">
        <v>0</v>
      </c>
      <c r="CU629" s="244">
        <v>0</v>
      </c>
      <c r="CV629" s="244">
        <v>9999</v>
      </c>
      <c r="CW629" s="228">
        <v>9999</v>
      </c>
    </row>
    <row r="630" spans="1:101">
      <c r="A630" s="221" t="s">
        <v>550</v>
      </c>
      <c r="B630" s="221" t="s">
        <v>604</v>
      </c>
      <c r="C630" s="244">
        <v>10</v>
      </c>
      <c r="D630" s="244">
        <v>5.1276455631010327</v>
      </c>
      <c r="E630" s="244">
        <v>0</v>
      </c>
      <c r="F630" s="244">
        <v>0</v>
      </c>
      <c r="G630" s="244">
        <v>0</v>
      </c>
      <c r="H630" s="244">
        <v>0</v>
      </c>
      <c r="I630" s="244" t="s">
        <v>605</v>
      </c>
      <c r="J630" s="244">
        <v>1</v>
      </c>
      <c r="K630" s="244">
        <v>0.63999998569488525</v>
      </c>
      <c r="L630" s="244">
        <v>5.5925323324968463</v>
      </c>
      <c r="M630" s="244">
        <v>4.0858681313693523E-4</v>
      </c>
      <c r="N630" s="244">
        <v>6.3841691007837653E-4</v>
      </c>
      <c r="O630" s="244">
        <v>0</v>
      </c>
      <c r="P630" s="244">
        <v>0</v>
      </c>
      <c r="Q630" s="244">
        <v>0</v>
      </c>
      <c r="R630" s="244">
        <v>0</v>
      </c>
      <c r="S630" s="244">
        <v>0</v>
      </c>
      <c r="T630" s="244">
        <v>0</v>
      </c>
      <c r="U630" s="244">
        <v>0</v>
      </c>
      <c r="V630" s="244" t="s">
        <v>226</v>
      </c>
      <c r="W630" s="244" t="s">
        <v>226</v>
      </c>
      <c r="X630" s="244" t="s">
        <v>226</v>
      </c>
      <c r="Y630" s="244" t="s">
        <v>226</v>
      </c>
      <c r="Z630" s="244">
        <v>0</v>
      </c>
      <c r="AA630" s="244">
        <v>0</v>
      </c>
      <c r="AB630" s="244">
        <v>0</v>
      </c>
      <c r="AC630" s="244">
        <v>0</v>
      </c>
      <c r="AD630" s="244">
        <v>0</v>
      </c>
      <c r="AE630" s="244">
        <v>0</v>
      </c>
      <c r="AF630" s="244">
        <v>0</v>
      </c>
      <c r="AG630" s="244">
        <v>0</v>
      </c>
      <c r="AH630" s="244">
        <v>0</v>
      </c>
      <c r="AI630" s="244">
        <v>0</v>
      </c>
      <c r="AJ630" s="244">
        <v>0</v>
      </c>
      <c r="AK630" s="244">
        <v>0</v>
      </c>
      <c r="AL630" s="244">
        <v>0</v>
      </c>
      <c r="AM630" s="244">
        <v>3.8748223465931289</v>
      </c>
      <c r="AN630" s="244">
        <v>0</v>
      </c>
      <c r="AO630" s="244">
        <v>0.68717223405838013</v>
      </c>
      <c r="AP630" s="244">
        <v>2.9968996047973633</v>
      </c>
      <c r="AQ630" s="244">
        <v>7.558894157409668</v>
      </c>
      <c r="AR630" s="244">
        <v>0</v>
      </c>
      <c r="AS630" s="228">
        <v>9999</v>
      </c>
      <c r="AT630" s="244">
        <v>3.8748223465931289</v>
      </c>
      <c r="AU630" s="244">
        <v>0.18299005925655365</v>
      </c>
      <c r="AV630" s="244">
        <v>0.7054712176322937</v>
      </c>
      <c r="AW630" s="244">
        <v>2.9968996047973633</v>
      </c>
      <c r="AX630" s="244">
        <v>7.7601833343505859</v>
      </c>
      <c r="AY630" s="244">
        <v>0</v>
      </c>
      <c r="AZ630" s="228">
        <v>9999</v>
      </c>
      <c r="BA630" s="244">
        <v>3.8748223465931289</v>
      </c>
      <c r="BB630" s="244">
        <v>0.18299005925655365</v>
      </c>
      <c r="BC630" s="244">
        <v>0.7054712176322937</v>
      </c>
      <c r="BD630" s="244">
        <v>2.9968996047973633</v>
      </c>
      <c r="BE630" s="244">
        <v>7.7601833343505859</v>
      </c>
      <c r="BF630" s="244">
        <v>0</v>
      </c>
      <c r="BG630" s="244">
        <v>-55.747806549072266</v>
      </c>
      <c r="BH630" s="228">
        <v>9999</v>
      </c>
      <c r="BI630" s="244">
        <v>0</v>
      </c>
      <c r="BJ630" s="244">
        <v>0</v>
      </c>
      <c r="BK630" s="244">
        <v>0</v>
      </c>
      <c r="BL630" s="244">
        <v>0</v>
      </c>
      <c r="BM630" s="244">
        <v>0</v>
      </c>
      <c r="BN630" s="244">
        <v>3.8748223465931289</v>
      </c>
      <c r="BO630" s="244">
        <v>0</v>
      </c>
      <c r="BP630" s="244">
        <v>0.18299005925655365</v>
      </c>
      <c r="BQ630" s="244">
        <v>0</v>
      </c>
      <c r="BR630" s="244">
        <v>0</v>
      </c>
      <c r="BS630" s="244">
        <v>0</v>
      </c>
      <c r="BT630" s="244">
        <v>2.9968996047973633</v>
      </c>
      <c r="BU630" s="244">
        <v>0</v>
      </c>
      <c r="BV630" s="244">
        <v>0</v>
      </c>
      <c r="BW630" s="244">
        <v>0.7054712176322937</v>
      </c>
      <c r="BX630" s="244">
        <v>0</v>
      </c>
      <c r="BY630" s="244"/>
      <c r="BZ630" s="244">
        <v>0</v>
      </c>
      <c r="CA630" s="244">
        <v>0</v>
      </c>
      <c r="CB630" s="244">
        <v>7.7601833343505859</v>
      </c>
      <c r="CC630" s="244">
        <v>0</v>
      </c>
      <c r="CD630" s="228">
        <v>9999</v>
      </c>
      <c r="CE630" s="244">
        <v>-55.747806549072266</v>
      </c>
      <c r="CF630" s="244">
        <v>4.2409561131214711E-2</v>
      </c>
      <c r="CG630" s="244">
        <v>0</v>
      </c>
      <c r="CH630" s="244">
        <v>4.2409561131214711E-2</v>
      </c>
      <c r="CI630" s="244">
        <v>2.0817353669480786E-3</v>
      </c>
      <c r="CJ630" s="244">
        <v>0</v>
      </c>
      <c r="CK630" s="244">
        <v>2.0817353669480786E-3</v>
      </c>
      <c r="CL630" s="244"/>
      <c r="CM630" s="244">
        <v>0</v>
      </c>
      <c r="CN630" s="244" t="s">
        <v>605</v>
      </c>
      <c r="CO630" s="244">
        <v>0</v>
      </c>
      <c r="CP630" s="244">
        <v>0</v>
      </c>
      <c r="CQ630" s="244">
        <v>0</v>
      </c>
      <c r="CR630" s="244">
        <v>0</v>
      </c>
      <c r="CS630" s="244">
        <v>0</v>
      </c>
      <c r="CT630" s="244">
        <v>0</v>
      </c>
      <c r="CU630" s="244">
        <v>0</v>
      </c>
      <c r="CV630" s="244">
        <v>9999</v>
      </c>
      <c r="CW630" s="228">
        <v>9999</v>
      </c>
    </row>
    <row r="631" spans="1:101">
      <c r="A631" s="221" t="s">
        <v>551</v>
      </c>
      <c r="B631" s="221" t="s">
        <v>604</v>
      </c>
      <c r="C631" s="244">
        <v>10</v>
      </c>
      <c r="D631" s="244">
        <v>5.1276455631010327</v>
      </c>
      <c r="E631" s="244">
        <v>0</v>
      </c>
      <c r="F631" s="244">
        <v>0</v>
      </c>
      <c r="G631" s="244">
        <v>0</v>
      </c>
      <c r="H631" s="244">
        <v>0</v>
      </c>
      <c r="I631" s="244" t="s">
        <v>605</v>
      </c>
      <c r="J631" s="244">
        <v>1</v>
      </c>
      <c r="K631" s="244">
        <v>0.63999998569488525</v>
      </c>
      <c r="L631" s="244">
        <v>5.5925323324968463</v>
      </c>
      <c r="M631" s="244">
        <v>4.0858681313693523E-4</v>
      </c>
      <c r="N631" s="244">
        <v>6.3841691007837653E-4</v>
      </c>
      <c r="O631" s="244">
        <v>0</v>
      </c>
      <c r="P631" s="244">
        <v>0</v>
      </c>
      <c r="Q631" s="244">
        <v>0</v>
      </c>
      <c r="R631" s="244">
        <v>0</v>
      </c>
      <c r="S631" s="244">
        <v>0</v>
      </c>
      <c r="T631" s="244">
        <v>0</v>
      </c>
      <c r="U631" s="244">
        <v>0</v>
      </c>
      <c r="V631" s="244" t="s">
        <v>226</v>
      </c>
      <c r="W631" s="244" t="s">
        <v>226</v>
      </c>
      <c r="X631" s="244" t="s">
        <v>226</v>
      </c>
      <c r="Y631" s="244" t="s">
        <v>226</v>
      </c>
      <c r="Z631" s="244">
        <v>0</v>
      </c>
      <c r="AA631" s="244">
        <v>0</v>
      </c>
      <c r="AB631" s="244">
        <v>0</v>
      </c>
      <c r="AC631" s="244">
        <v>0</v>
      </c>
      <c r="AD631" s="244">
        <v>0</v>
      </c>
      <c r="AE631" s="244">
        <v>0</v>
      </c>
      <c r="AF631" s="244">
        <v>0</v>
      </c>
      <c r="AG631" s="244">
        <v>0</v>
      </c>
      <c r="AH631" s="244">
        <v>0</v>
      </c>
      <c r="AI631" s="244">
        <v>0</v>
      </c>
      <c r="AJ631" s="244">
        <v>0</v>
      </c>
      <c r="AK631" s="244">
        <v>0</v>
      </c>
      <c r="AL631" s="244">
        <v>0</v>
      </c>
      <c r="AM631" s="244">
        <v>3.8748223465931289</v>
      </c>
      <c r="AN631" s="244">
        <v>0</v>
      </c>
      <c r="AO631" s="244">
        <v>0.68717223405838013</v>
      </c>
      <c r="AP631" s="244">
        <v>2.9968996047973633</v>
      </c>
      <c r="AQ631" s="244">
        <v>7.558894157409668</v>
      </c>
      <c r="AR631" s="244">
        <v>0</v>
      </c>
      <c r="AS631" s="228">
        <v>9999</v>
      </c>
      <c r="AT631" s="244">
        <v>3.8748223465931289</v>
      </c>
      <c r="AU631" s="244">
        <v>0.18299005925655365</v>
      </c>
      <c r="AV631" s="244">
        <v>0.7054712176322937</v>
      </c>
      <c r="AW631" s="244">
        <v>2.9968996047973633</v>
      </c>
      <c r="AX631" s="244">
        <v>7.7601833343505859</v>
      </c>
      <c r="AY631" s="244">
        <v>0</v>
      </c>
      <c r="AZ631" s="228">
        <v>9999</v>
      </c>
      <c r="BA631" s="244">
        <v>3.8748223465931289</v>
      </c>
      <c r="BB631" s="244">
        <v>0.18299005925655365</v>
      </c>
      <c r="BC631" s="244">
        <v>0.7054712176322937</v>
      </c>
      <c r="BD631" s="244">
        <v>2.9968996047973633</v>
      </c>
      <c r="BE631" s="244">
        <v>7.7601833343505859</v>
      </c>
      <c r="BF631" s="244">
        <v>0</v>
      </c>
      <c r="BG631" s="244">
        <v>-55.747806549072266</v>
      </c>
      <c r="BH631" s="228">
        <v>9999</v>
      </c>
      <c r="BI631" s="244">
        <v>0</v>
      </c>
      <c r="BJ631" s="244">
        <v>0</v>
      </c>
      <c r="BK631" s="244">
        <v>0</v>
      </c>
      <c r="BL631" s="244">
        <v>0</v>
      </c>
      <c r="BM631" s="244">
        <v>0</v>
      </c>
      <c r="BN631" s="244">
        <v>3.8748223465931289</v>
      </c>
      <c r="BO631" s="244">
        <v>0</v>
      </c>
      <c r="BP631" s="244">
        <v>0.18299005925655365</v>
      </c>
      <c r="BQ631" s="244">
        <v>0</v>
      </c>
      <c r="BR631" s="244">
        <v>0</v>
      </c>
      <c r="BS631" s="244">
        <v>0</v>
      </c>
      <c r="BT631" s="244">
        <v>2.9968996047973633</v>
      </c>
      <c r="BU631" s="244">
        <v>0</v>
      </c>
      <c r="BV631" s="244">
        <v>0</v>
      </c>
      <c r="BW631" s="244">
        <v>0.7054712176322937</v>
      </c>
      <c r="BX631" s="244">
        <v>0</v>
      </c>
      <c r="BY631" s="244"/>
      <c r="BZ631" s="244">
        <v>0</v>
      </c>
      <c r="CA631" s="244">
        <v>0</v>
      </c>
      <c r="CB631" s="244">
        <v>7.7601833343505859</v>
      </c>
      <c r="CC631" s="244">
        <v>0</v>
      </c>
      <c r="CD631" s="228">
        <v>9999</v>
      </c>
      <c r="CE631" s="244">
        <v>-55.747806549072266</v>
      </c>
      <c r="CF631" s="244">
        <v>4.2409561131214711E-2</v>
      </c>
      <c r="CG631" s="244">
        <v>0</v>
      </c>
      <c r="CH631" s="244">
        <v>4.2409561131214711E-2</v>
      </c>
      <c r="CI631" s="244">
        <v>2.0817353669480786E-3</v>
      </c>
      <c r="CJ631" s="244">
        <v>0</v>
      </c>
      <c r="CK631" s="244">
        <v>2.0817353669480786E-3</v>
      </c>
      <c r="CL631" s="244"/>
      <c r="CM631" s="244">
        <v>0</v>
      </c>
      <c r="CN631" s="244" t="s">
        <v>605</v>
      </c>
      <c r="CO631" s="244">
        <v>0</v>
      </c>
      <c r="CP631" s="244">
        <v>0</v>
      </c>
      <c r="CQ631" s="244">
        <v>0</v>
      </c>
      <c r="CR631" s="244">
        <v>0</v>
      </c>
      <c r="CS631" s="244">
        <v>0</v>
      </c>
      <c r="CT631" s="244">
        <v>0</v>
      </c>
      <c r="CU631" s="244">
        <v>0</v>
      </c>
      <c r="CV631" s="244">
        <v>9999</v>
      </c>
      <c r="CW631" s="228">
        <v>9999</v>
      </c>
    </row>
    <row r="632" spans="1:101">
      <c r="A632" s="221" t="s">
        <v>552</v>
      </c>
      <c r="B632" s="221" t="s">
        <v>604</v>
      </c>
      <c r="C632" s="244">
        <v>10</v>
      </c>
      <c r="D632" s="244">
        <v>5.1276455631010327</v>
      </c>
      <c r="E632" s="244">
        <v>0</v>
      </c>
      <c r="F632" s="244">
        <v>0</v>
      </c>
      <c r="G632" s="244">
        <v>0</v>
      </c>
      <c r="H632" s="244">
        <v>0</v>
      </c>
      <c r="I632" s="244" t="s">
        <v>605</v>
      </c>
      <c r="J632" s="244">
        <v>1</v>
      </c>
      <c r="K632" s="244">
        <v>0.63999998569488525</v>
      </c>
      <c r="L632" s="244">
        <v>5.5925323324968463</v>
      </c>
      <c r="M632" s="244">
        <v>4.0858681313693523E-4</v>
      </c>
      <c r="N632" s="244">
        <v>6.3841691007837653E-4</v>
      </c>
      <c r="O632" s="244">
        <v>0</v>
      </c>
      <c r="P632" s="244">
        <v>0</v>
      </c>
      <c r="Q632" s="244">
        <v>0</v>
      </c>
      <c r="R632" s="244">
        <v>0</v>
      </c>
      <c r="S632" s="244">
        <v>0</v>
      </c>
      <c r="T632" s="244">
        <v>0</v>
      </c>
      <c r="U632" s="244">
        <v>0</v>
      </c>
      <c r="V632" s="244" t="s">
        <v>226</v>
      </c>
      <c r="W632" s="244" t="s">
        <v>226</v>
      </c>
      <c r="X632" s="244" t="s">
        <v>226</v>
      </c>
      <c r="Y632" s="244" t="s">
        <v>226</v>
      </c>
      <c r="Z632" s="244">
        <v>0</v>
      </c>
      <c r="AA632" s="244">
        <v>0</v>
      </c>
      <c r="AB632" s="244">
        <v>0</v>
      </c>
      <c r="AC632" s="244">
        <v>0</v>
      </c>
      <c r="AD632" s="244">
        <v>0</v>
      </c>
      <c r="AE632" s="244">
        <v>0</v>
      </c>
      <c r="AF632" s="244">
        <v>0</v>
      </c>
      <c r="AG632" s="244">
        <v>0</v>
      </c>
      <c r="AH632" s="244">
        <v>0</v>
      </c>
      <c r="AI632" s="244">
        <v>0</v>
      </c>
      <c r="AJ632" s="244">
        <v>0</v>
      </c>
      <c r="AK632" s="244">
        <v>0</v>
      </c>
      <c r="AL632" s="244">
        <v>0</v>
      </c>
      <c r="AM632" s="244">
        <v>3.8748223465931289</v>
      </c>
      <c r="AN632" s="244">
        <v>0</v>
      </c>
      <c r="AO632" s="244">
        <v>0.68717223405838013</v>
      </c>
      <c r="AP632" s="244">
        <v>2.9968996047973633</v>
      </c>
      <c r="AQ632" s="244">
        <v>7.558894157409668</v>
      </c>
      <c r="AR632" s="244">
        <v>0</v>
      </c>
      <c r="AS632" s="228">
        <v>9999</v>
      </c>
      <c r="AT632" s="244">
        <v>3.8748223465931289</v>
      </c>
      <c r="AU632" s="244">
        <v>0.18299005925655365</v>
      </c>
      <c r="AV632" s="244">
        <v>0.7054712176322937</v>
      </c>
      <c r="AW632" s="244">
        <v>2.9968996047973633</v>
      </c>
      <c r="AX632" s="244">
        <v>7.7601833343505859</v>
      </c>
      <c r="AY632" s="244">
        <v>0</v>
      </c>
      <c r="AZ632" s="228">
        <v>9999</v>
      </c>
      <c r="BA632" s="244">
        <v>3.8748223465931289</v>
      </c>
      <c r="BB632" s="244">
        <v>0.18299005925655365</v>
      </c>
      <c r="BC632" s="244">
        <v>0.7054712176322937</v>
      </c>
      <c r="BD632" s="244">
        <v>2.9968996047973633</v>
      </c>
      <c r="BE632" s="244">
        <v>7.7601833343505859</v>
      </c>
      <c r="BF632" s="244">
        <v>0</v>
      </c>
      <c r="BG632" s="244">
        <v>-55.747806549072266</v>
      </c>
      <c r="BH632" s="228">
        <v>9999</v>
      </c>
      <c r="BI632" s="244">
        <v>0</v>
      </c>
      <c r="BJ632" s="244">
        <v>0</v>
      </c>
      <c r="BK632" s="244">
        <v>0</v>
      </c>
      <c r="BL632" s="244">
        <v>0</v>
      </c>
      <c r="BM632" s="244">
        <v>0</v>
      </c>
      <c r="BN632" s="244">
        <v>3.8748223465931289</v>
      </c>
      <c r="BO632" s="244">
        <v>0</v>
      </c>
      <c r="BP632" s="244">
        <v>0.18299005925655365</v>
      </c>
      <c r="BQ632" s="244">
        <v>0</v>
      </c>
      <c r="BR632" s="244">
        <v>0</v>
      </c>
      <c r="BS632" s="244">
        <v>0</v>
      </c>
      <c r="BT632" s="244">
        <v>2.9968996047973633</v>
      </c>
      <c r="BU632" s="244">
        <v>0</v>
      </c>
      <c r="BV632" s="244">
        <v>0</v>
      </c>
      <c r="BW632" s="244">
        <v>0.7054712176322937</v>
      </c>
      <c r="BX632" s="244">
        <v>0</v>
      </c>
      <c r="BY632" s="244"/>
      <c r="BZ632" s="244">
        <v>0</v>
      </c>
      <c r="CA632" s="244">
        <v>0</v>
      </c>
      <c r="CB632" s="244">
        <v>7.7601833343505859</v>
      </c>
      <c r="CC632" s="244">
        <v>0</v>
      </c>
      <c r="CD632" s="228">
        <v>9999</v>
      </c>
      <c r="CE632" s="244">
        <v>-55.747806549072266</v>
      </c>
      <c r="CF632" s="244">
        <v>4.2409561131214711E-2</v>
      </c>
      <c r="CG632" s="244">
        <v>0</v>
      </c>
      <c r="CH632" s="244">
        <v>4.2409561131214711E-2</v>
      </c>
      <c r="CI632" s="244">
        <v>2.0817353669480786E-3</v>
      </c>
      <c r="CJ632" s="244">
        <v>0</v>
      </c>
      <c r="CK632" s="244">
        <v>2.0817353669480786E-3</v>
      </c>
      <c r="CL632" s="244"/>
      <c r="CM632" s="244">
        <v>0</v>
      </c>
      <c r="CN632" s="244" t="s">
        <v>605</v>
      </c>
      <c r="CO632" s="244">
        <v>0</v>
      </c>
      <c r="CP632" s="244">
        <v>0</v>
      </c>
      <c r="CQ632" s="244">
        <v>0</v>
      </c>
      <c r="CR632" s="244">
        <v>0</v>
      </c>
      <c r="CS632" s="244">
        <v>0</v>
      </c>
      <c r="CT632" s="244">
        <v>0</v>
      </c>
      <c r="CU632" s="244">
        <v>0</v>
      </c>
      <c r="CV632" s="244">
        <v>9999</v>
      </c>
      <c r="CW632" s="228">
        <v>9999</v>
      </c>
    </row>
    <row r="633" spans="1:101">
      <c r="A633" s="221" t="s">
        <v>553</v>
      </c>
      <c r="B633" s="221" t="s">
        <v>604</v>
      </c>
      <c r="C633" s="244">
        <v>10</v>
      </c>
      <c r="D633" s="244">
        <v>5.4080636798331234</v>
      </c>
      <c r="E633" s="244">
        <v>0</v>
      </c>
      <c r="F633" s="244">
        <v>0</v>
      </c>
      <c r="G633" s="244">
        <v>0</v>
      </c>
      <c r="H633" s="244">
        <v>0</v>
      </c>
      <c r="I633" s="244" t="s">
        <v>605</v>
      </c>
      <c r="J633" s="244">
        <v>1</v>
      </c>
      <c r="K633" s="244">
        <v>0.63999998569488525</v>
      </c>
      <c r="L633" s="244">
        <v>5.8983739444302667</v>
      </c>
      <c r="M633" s="244">
        <v>4.3093139538541436E-4</v>
      </c>
      <c r="N633" s="244">
        <v>6.7333033075556159E-4</v>
      </c>
      <c r="O633" s="244">
        <v>0</v>
      </c>
      <c r="P633" s="244">
        <v>0</v>
      </c>
      <c r="Q633" s="244">
        <v>0</v>
      </c>
      <c r="R633" s="244">
        <v>0</v>
      </c>
      <c r="S633" s="244">
        <v>0</v>
      </c>
      <c r="T633" s="244">
        <v>0</v>
      </c>
      <c r="U633" s="244">
        <v>0</v>
      </c>
      <c r="V633" s="244" t="s">
        <v>226</v>
      </c>
      <c r="W633" s="244" t="s">
        <v>226</v>
      </c>
      <c r="X633" s="244" t="s">
        <v>226</v>
      </c>
      <c r="Y633" s="244" t="s">
        <v>226</v>
      </c>
      <c r="Z633" s="244">
        <v>0</v>
      </c>
      <c r="AA633" s="244">
        <v>0</v>
      </c>
      <c r="AB633" s="244">
        <v>0</v>
      </c>
      <c r="AC633" s="244">
        <v>0</v>
      </c>
      <c r="AD633" s="244">
        <v>0</v>
      </c>
      <c r="AE633" s="244">
        <v>0</v>
      </c>
      <c r="AF633" s="244">
        <v>0</v>
      </c>
      <c r="AG633" s="244">
        <v>0</v>
      </c>
      <c r="AH633" s="244">
        <v>0</v>
      </c>
      <c r="AI633" s="244">
        <v>0</v>
      </c>
      <c r="AJ633" s="244">
        <v>0</v>
      </c>
      <c r="AK633" s="244">
        <v>0</v>
      </c>
      <c r="AL633" s="244">
        <v>0</v>
      </c>
      <c r="AM633" s="244">
        <v>4.08672669367244</v>
      </c>
      <c r="AN633" s="244">
        <v>0</v>
      </c>
      <c r="AO633" s="244">
        <v>0.72475194931030273</v>
      </c>
      <c r="AP633" s="244">
        <v>3.1607925891876221</v>
      </c>
      <c r="AQ633" s="244">
        <v>7.9722714424133301</v>
      </c>
      <c r="AR633" s="244">
        <v>0</v>
      </c>
      <c r="AS633" s="228">
        <v>9999</v>
      </c>
      <c r="AT633" s="244">
        <v>4.08672669367244</v>
      </c>
      <c r="AU633" s="244">
        <v>0.19299733638763428</v>
      </c>
      <c r="AV633" s="244">
        <v>0.74405169486999512</v>
      </c>
      <c r="AW633" s="244">
        <v>3.1607925891876221</v>
      </c>
      <c r="AX633" s="244">
        <v>8.1845684051513672</v>
      </c>
      <c r="AY633" s="244">
        <v>0</v>
      </c>
      <c r="AZ633" s="228">
        <v>9999</v>
      </c>
      <c r="BA633" s="244">
        <v>4.08672669367244</v>
      </c>
      <c r="BB633" s="244">
        <v>0.19299733638763428</v>
      </c>
      <c r="BC633" s="244">
        <v>0.74405169486999512</v>
      </c>
      <c r="BD633" s="244">
        <v>3.1607925891876221</v>
      </c>
      <c r="BE633" s="244">
        <v>8.1845684051513672</v>
      </c>
      <c r="BF633" s="244">
        <v>0</v>
      </c>
      <c r="BG633" s="244">
        <v>-55.747806549072266</v>
      </c>
      <c r="BH633" s="228">
        <v>9999</v>
      </c>
      <c r="BI633" s="244">
        <v>0</v>
      </c>
      <c r="BJ633" s="244">
        <v>0</v>
      </c>
      <c r="BK633" s="244">
        <v>0</v>
      </c>
      <c r="BL633" s="244">
        <v>0</v>
      </c>
      <c r="BM633" s="244">
        <v>0</v>
      </c>
      <c r="BN633" s="244">
        <v>4.08672669367244</v>
      </c>
      <c r="BO633" s="244">
        <v>0</v>
      </c>
      <c r="BP633" s="244">
        <v>0.19299733638763428</v>
      </c>
      <c r="BQ633" s="244">
        <v>0</v>
      </c>
      <c r="BR633" s="244">
        <v>0</v>
      </c>
      <c r="BS633" s="244">
        <v>0</v>
      </c>
      <c r="BT633" s="244">
        <v>3.1607925891876221</v>
      </c>
      <c r="BU633" s="244">
        <v>0</v>
      </c>
      <c r="BV633" s="244">
        <v>0</v>
      </c>
      <c r="BW633" s="244">
        <v>0.74405169486999512</v>
      </c>
      <c r="BX633" s="244">
        <v>0</v>
      </c>
      <c r="BY633" s="244"/>
      <c r="BZ633" s="244">
        <v>0</v>
      </c>
      <c r="CA633" s="244">
        <v>0</v>
      </c>
      <c r="CB633" s="244">
        <v>8.1845684051513672</v>
      </c>
      <c r="CC633" s="244">
        <v>0</v>
      </c>
      <c r="CD633" s="228">
        <v>9999</v>
      </c>
      <c r="CE633" s="244">
        <v>-55.747806549072266</v>
      </c>
      <c r="CF633" s="244">
        <v>4.4728834005578096E-2</v>
      </c>
      <c r="CG633" s="244">
        <v>0</v>
      </c>
      <c r="CH633" s="244">
        <v>4.4728834005578096E-2</v>
      </c>
      <c r="CI633" s="244">
        <v>2.1955802698280492E-3</v>
      </c>
      <c r="CJ633" s="244">
        <v>0</v>
      </c>
      <c r="CK633" s="244">
        <v>2.1955802698280492E-3</v>
      </c>
      <c r="CL633" s="244"/>
      <c r="CM633" s="244">
        <v>0</v>
      </c>
      <c r="CN633" s="244" t="s">
        <v>605</v>
      </c>
      <c r="CO633" s="244">
        <v>0</v>
      </c>
      <c r="CP633" s="244">
        <v>0</v>
      </c>
      <c r="CQ633" s="244">
        <v>0</v>
      </c>
      <c r="CR633" s="244">
        <v>0</v>
      </c>
      <c r="CS633" s="244">
        <v>0</v>
      </c>
      <c r="CT633" s="244">
        <v>0</v>
      </c>
      <c r="CU633" s="244">
        <v>0</v>
      </c>
      <c r="CV633" s="244">
        <v>9999</v>
      </c>
      <c r="CW633" s="228">
        <v>9999</v>
      </c>
    </row>
    <row r="634" spans="1:101">
      <c r="A634" s="221" t="s">
        <v>554</v>
      </c>
      <c r="B634" s="221" t="s">
        <v>604</v>
      </c>
      <c r="C634" s="244">
        <v>10</v>
      </c>
      <c r="D634" s="244">
        <v>5.4080636798331234</v>
      </c>
      <c r="E634" s="244">
        <v>0</v>
      </c>
      <c r="F634" s="244">
        <v>0</v>
      </c>
      <c r="G634" s="244">
        <v>0</v>
      </c>
      <c r="H634" s="244">
        <v>0</v>
      </c>
      <c r="I634" s="244" t="s">
        <v>605</v>
      </c>
      <c r="J634" s="244">
        <v>1</v>
      </c>
      <c r="K634" s="244">
        <v>0.63999998569488525</v>
      </c>
      <c r="L634" s="244">
        <v>5.8983739444302667</v>
      </c>
      <c r="M634" s="244">
        <v>4.3093139538541436E-4</v>
      </c>
      <c r="N634" s="244">
        <v>6.7333033075556159E-4</v>
      </c>
      <c r="O634" s="244">
        <v>0</v>
      </c>
      <c r="P634" s="244">
        <v>0</v>
      </c>
      <c r="Q634" s="244">
        <v>0</v>
      </c>
      <c r="R634" s="244">
        <v>0</v>
      </c>
      <c r="S634" s="244">
        <v>0</v>
      </c>
      <c r="T634" s="244">
        <v>0</v>
      </c>
      <c r="U634" s="244">
        <v>0</v>
      </c>
      <c r="V634" s="244" t="s">
        <v>226</v>
      </c>
      <c r="W634" s="244" t="s">
        <v>226</v>
      </c>
      <c r="X634" s="244" t="s">
        <v>226</v>
      </c>
      <c r="Y634" s="244" t="s">
        <v>226</v>
      </c>
      <c r="Z634" s="244">
        <v>0</v>
      </c>
      <c r="AA634" s="244">
        <v>0</v>
      </c>
      <c r="AB634" s="244">
        <v>0</v>
      </c>
      <c r="AC634" s="244">
        <v>0</v>
      </c>
      <c r="AD634" s="244">
        <v>0</v>
      </c>
      <c r="AE634" s="244">
        <v>0</v>
      </c>
      <c r="AF634" s="244">
        <v>0</v>
      </c>
      <c r="AG634" s="244">
        <v>0</v>
      </c>
      <c r="AH634" s="244">
        <v>0</v>
      </c>
      <c r="AI634" s="244">
        <v>0</v>
      </c>
      <c r="AJ634" s="244">
        <v>0</v>
      </c>
      <c r="AK634" s="244">
        <v>0</v>
      </c>
      <c r="AL634" s="244">
        <v>0</v>
      </c>
      <c r="AM634" s="244">
        <v>4.08672669367244</v>
      </c>
      <c r="AN634" s="244">
        <v>0</v>
      </c>
      <c r="AO634" s="244">
        <v>0.72475194931030273</v>
      </c>
      <c r="AP634" s="244">
        <v>3.1607925891876221</v>
      </c>
      <c r="AQ634" s="244">
        <v>7.9722714424133301</v>
      </c>
      <c r="AR634" s="244">
        <v>0</v>
      </c>
      <c r="AS634" s="228">
        <v>9999</v>
      </c>
      <c r="AT634" s="244">
        <v>4.08672669367244</v>
      </c>
      <c r="AU634" s="244">
        <v>0.19299733638763428</v>
      </c>
      <c r="AV634" s="244">
        <v>0.74405169486999512</v>
      </c>
      <c r="AW634" s="244">
        <v>3.1607925891876221</v>
      </c>
      <c r="AX634" s="244">
        <v>8.1845684051513672</v>
      </c>
      <c r="AY634" s="244">
        <v>0</v>
      </c>
      <c r="AZ634" s="228">
        <v>9999</v>
      </c>
      <c r="BA634" s="244">
        <v>4.08672669367244</v>
      </c>
      <c r="BB634" s="244">
        <v>0.19299733638763428</v>
      </c>
      <c r="BC634" s="244">
        <v>0.74405169486999512</v>
      </c>
      <c r="BD634" s="244">
        <v>3.1607925891876221</v>
      </c>
      <c r="BE634" s="244">
        <v>8.1845684051513672</v>
      </c>
      <c r="BF634" s="244">
        <v>0</v>
      </c>
      <c r="BG634" s="244">
        <v>-55.747806549072266</v>
      </c>
      <c r="BH634" s="228">
        <v>9999</v>
      </c>
      <c r="BI634" s="244">
        <v>0</v>
      </c>
      <c r="BJ634" s="244">
        <v>0</v>
      </c>
      <c r="BK634" s="244">
        <v>0</v>
      </c>
      <c r="BL634" s="244">
        <v>0</v>
      </c>
      <c r="BM634" s="244">
        <v>0</v>
      </c>
      <c r="BN634" s="244">
        <v>4.08672669367244</v>
      </c>
      <c r="BO634" s="244">
        <v>0</v>
      </c>
      <c r="BP634" s="244">
        <v>0.19299733638763428</v>
      </c>
      <c r="BQ634" s="244">
        <v>0</v>
      </c>
      <c r="BR634" s="244">
        <v>0</v>
      </c>
      <c r="BS634" s="244">
        <v>0</v>
      </c>
      <c r="BT634" s="244">
        <v>3.1607925891876221</v>
      </c>
      <c r="BU634" s="244">
        <v>0</v>
      </c>
      <c r="BV634" s="244">
        <v>0</v>
      </c>
      <c r="BW634" s="244">
        <v>0.74405169486999512</v>
      </c>
      <c r="BX634" s="244">
        <v>0</v>
      </c>
      <c r="BY634" s="244"/>
      <c r="BZ634" s="244">
        <v>0</v>
      </c>
      <c r="CA634" s="244">
        <v>0</v>
      </c>
      <c r="CB634" s="244">
        <v>8.1845684051513672</v>
      </c>
      <c r="CC634" s="244">
        <v>0</v>
      </c>
      <c r="CD634" s="228">
        <v>9999</v>
      </c>
      <c r="CE634" s="244">
        <v>-55.747806549072266</v>
      </c>
      <c r="CF634" s="244">
        <v>4.4728834005578096E-2</v>
      </c>
      <c r="CG634" s="244">
        <v>0</v>
      </c>
      <c r="CH634" s="244">
        <v>4.4728834005578096E-2</v>
      </c>
      <c r="CI634" s="244">
        <v>2.1955802698280492E-3</v>
      </c>
      <c r="CJ634" s="244">
        <v>0</v>
      </c>
      <c r="CK634" s="244">
        <v>2.1955802698280492E-3</v>
      </c>
      <c r="CL634" s="244"/>
      <c r="CM634" s="244">
        <v>0</v>
      </c>
      <c r="CN634" s="244" t="s">
        <v>605</v>
      </c>
      <c r="CO634" s="244">
        <v>0</v>
      </c>
      <c r="CP634" s="244">
        <v>0</v>
      </c>
      <c r="CQ634" s="244">
        <v>0</v>
      </c>
      <c r="CR634" s="244">
        <v>0</v>
      </c>
      <c r="CS634" s="244">
        <v>0</v>
      </c>
      <c r="CT634" s="244">
        <v>0</v>
      </c>
      <c r="CU634" s="244">
        <v>0</v>
      </c>
      <c r="CV634" s="244">
        <v>9999</v>
      </c>
      <c r="CW634" s="228">
        <v>9999</v>
      </c>
    </row>
    <row r="635" spans="1:101">
      <c r="A635" s="221" t="s">
        <v>555</v>
      </c>
      <c r="B635" s="221" t="s">
        <v>604</v>
      </c>
      <c r="C635" s="244">
        <v>10</v>
      </c>
      <c r="D635" s="244">
        <v>5.4080636798331234</v>
      </c>
      <c r="E635" s="244">
        <v>0</v>
      </c>
      <c r="F635" s="244">
        <v>0</v>
      </c>
      <c r="G635" s="244">
        <v>0</v>
      </c>
      <c r="H635" s="244">
        <v>0</v>
      </c>
      <c r="I635" s="244" t="s">
        <v>605</v>
      </c>
      <c r="J635" s="244">
        <v>1</v>
      </c>
      <c r="K635" s="244">
        <v>0.63999998569488525</v>
      </c>
      <c r="L635" s="244">
        <v>5.8983739444302667</v>
      </c>
      <c r="M635" s="244">
        <v>4.3093139538541436E-4</v>
      </c>
      <c r="N635" s="244">
        <v>6.7333033075556159E-4</v>
      </c>
      <c r="O635" s="244">
        <v>0</v>
      </c>
      <c r="P635" s="244">
        <v>0</v>
      </c>
      <c r="Q635" s="244">
        <v>0</v>
      </c>
      <c r="R635" s="244">
        <v>0</v>
      </c>
      <c r="S635" s="244">
        <v>0</v>
      </c>
      <c r="T635" s="244">
        <v>0</v>
      </c>
      <c r="U635" s="244">
        <v>0</v>
      </c>
      <c r="V635" s="244" t="s">
        <v>226</v>
      </c>
      <c r="W635" s="244" t="s">
        <v>226</v>
      </c>
      <c r="X635" s="244" t="s">
        <v>226</v>
      </c>
      <c r="Y635" s="244" t="s">
        <v>226</v>
      </c>
      <c r="Z635" s="244">
        <v>0</v>
      </c>
      <c r="AA635" s="244">
        <v>0</v>
      </c>
      <c r="AB635" s="244">
        <v>0</v>
      </c>
      <c r="AC635" s="244">
        <v>0</v>
      </c>
      <c r="AD635" s="244">
        <v>0</v>
      </c>
      <c r="AE635" s="244">
        <v>0</v>
      </c>
      <c r="AF635" s="244">
        <v>0</v>
      </c>
      <c r="AG635" s="244">
        <v>0</v>
      </c>
      <c r="AH635" s="244">
        <v>0</v>
      </c>
      <c r="AI635" s="244">
        <v>0</v>
      </c>
      <c r="AJ635" s="244">
        <v>0</v>
      </c>
      <c r="AK635" s="244">
        <v>0</v>
      </c>
      <c r="AL635" s="244">
        <v>0</v>
      </c>
      <c r="AM635" s="244">
        <v>4.08672669367244</v>
      </c>
      <c r="AN635" s="244">
        <v>0</v>
      </c>
      <c r="AO635" s="244">
        <v>0.72475194931030273</v>
      </c>
      <c r="AP635" s="244">
        <v>3.1607925891876221</v>
      </c>
      <c r="AQ635" s="244">
        <v>7.9722714424133301</v>
      </c>
      <c r="AR635" s="244">
        <v>0</v>
      </c>
      <c r="AS635" s="228">
        <v>9999</v>
      </c>
      <c r="AT635" s="244">
        <v>4.08672669367244</v>
      </c>
      <c r="AU635" s="244">
        <v>0.19299733638763428</v>
      </c>
      <c r="AV635" s="244">
        <v>0.74405169486999512</v>
      </c>
      <c r="AW635" s="244">
        <v>3.1607925891876221</v>
      </c>
      <c r="AX635" s="244">
        <v>8.1845684051513672</v>
      </c>
      <c r="AY635" s="244">
        <v>0</v>
      </c>
      <c r="AZ635" s="228">
        <v>9999</v>
      </c>
      <c r="BA635" s="244">
        <v>4.08672669367244</v>
      </c>
      <c r="BB635" s="244">
        <v>0.19299733638763428</v>
      </c>
      <c r="BC635" s="244">
        <v>0.74405169486999512</v>
      </c>
      <c r="BD635" s="244">
        <v>3.1607925891876221</v>
      </c>
      <c r="BE635" s="244">
        <v>8.1845684051513672</v>
      </c>
      <c r="BF635" s="244">
        <v>0</v>
      </c>
      <c r="BG635" s="244">
        <v>-55.747806549072266</v>
      </c>
      <c r="BH635" s="228">
        <v>9999</v>
      </c>
      <c r="BI635" s="244">
        <v>0</v>
      </c>
      <c r="BJ635" s="244">
        <v>0</v>
      </c>
      <c r="BK635" s="244">
        <v>0</v>
      </c>
      <c r="BL635" s="244">
        <v>0</v>
      </c>
      <c r="BM635" s="244">
        <v>0</v>
      </c>
      <c r="BN635" s="244">
        <v>4.08672669367244</v>
      </c>
      <c r="BO635" s="244">
        <v>0</v>
      </c>
      <c r="BP635" s="244">
        <v>0.19299733638763428</v>
      </c>
      <c r="BQ635" s="244">
        <v>0</v>
      </c>
      <c r="BR635" s="244">
        <v>0</v>
      </c>
      <c r="BS635" s="244">
        <v>0</v>
      </c>
      <c r="BT635" s="244">
        <v>3.1607925891876221</v>
      </c>
      <c r="BU635" s="244">
        <v>0</v>
      </c>
      <c r="BV635" s="244">
        <v>0</v>
      </c>
      <c r="BW635" s="244">
        <v>0.74405169486999512</v>
      </c>
      <c r="BX635" s="244">
        <v>0</v>
      </c>
      <c r="BY635" s="244"/>
      <c r="BZ635" s="244">
        <v>0</v>
      </c>
      <c r="CA635" s="244">
        <v>0</v>
      </c>
      <c r="CB635" s="244">
        <v>8.1845684051513672</v>
      </c>
      <c r="CC635" s="244">
        <v>0</v>
      </c>
      <c r="CD635" s="228">
        <v>9999</v>
      </c>
      <c r="CE635" s="244">
        <v>-55.747806549072266</v>
      </c>
      <c r="CF635" s="244">
        <v>4.4728834005578096E-2</v>
      </c>
      <c r="CG635" s="244">
        <v>0</v>
      </c>
      <c r="CH635" s="244">
        <v>4.4728834005578096E-2</v>
      </c>
      <c r="CI635" s="244">
        <v>2.1955802698280492E-3</v>
      </c>
      <c r="CJ635" s="244">
        <v>0</v>
      </c>
      <c r="CK635" s="244">
        <v>2.1955802698280492E-3</v>
      </c>
      <c r="CL635" s="244"/>
      <c r="CM635" s="244">
        <v>0</v>
      </c>
      <c r="CN635" s="244" t="s">
        <v>605</v>
      </c>
      <c r="CO635" s="244">
        <v>0</v>
      </c>
      <c r="CP635" s="244">
        <v>0</v>
      </c>
      <c r="CQ635" s="244">
        <v>0</v>
      </c>
      <c r="CR635" s="244">
        <v>0</v>
      </c>
      <c r="CS635" s="244">
        <v>0</v>
      </c>
      <c r="CT635" s="244">
        <v>0</v>
      </c>
      <c r="CU635" s="244">
        <v>0</v>
      </c>
      <c r="CV635" s="244">
        <v>9999</v>
      </c>
      <c r="CW635" s="228">
        <v>9999</v>
      </c>
    </row>
    <row r="636" spans="1:101">
      <c r="A636" s="221" t="s">
        <v>556</v>
      </c>
      <c r="B636" s="221" t="s">
        <v>604</v>
      </c>
      <c r="C636" s="244">
        <v>10</v>
      </c>
      <c r="D636" s="244">
        <v>7.8517072684984566</v>
      </c>
      <c r="E636" s="244">
        <v>0</v>
      </c>
      <c r="F636" s="244">
        <v>0</v>
      </c>
      <c r="G636" s="244">
        <v>0</v>
      </c>
      <c r="H636" s="244">
        <v>0</v>
      </c>
      <c r="I636" s="244" t="s">
        <v>605</v>
      </c>
      <c r="J636" s="244">
        <v>1</v>
      </c>
      <c r="K636" s="244">
        <v>0.63999998569488525</v>
      </c>
      <c r="L636" s="244">
        <v>8.5635651341357928</v>
      </c>
      <c r="M636" s="244">
        <v>6.2564853578805923E-4</v>
      </c>
      <c r="N636" s="244">
        <v>9.7757589537650347E-4</v>
      </c>
      <c r="O636" s="244">
        <v>0</v>
      </c>
      <c r="P636" s="244">
        <v>0</v>
      </c>
      <c r="Q636" s="244">
        <v>0</v>
      </c>
      <c r="R636" s="244">
        <v>0</v>
      </c>
      <c r="S636" s="244">
        <v>0</v>
      </c>
      <c r="T636" s="244">
        <v>0</v>
      </c>
      <c r="U636" s="244">
        <v>0</v>
      </c>
      <c r="V636" s="244" t="s">
        <v>226</v>
      </c>
      <c r="W636" s="244" t="s">
        <v>226</v>
      </c>
      <c r="X636" s="244" t="s">
        <v>226</v>
      </c>
      <c r="Y636" s="244" t="s">
        <v>226</v>
      </c>
      <c r="Z636" s="244">
        <v>0</v>
      </c>
      <c r="AA636" s="244">
        <v>0</v>
      </c>
      <c r="AB636" s="244">
        <v>0</v>
      </c>
      <c r="AC636" s="244">
        <v>0</v>
      </c>
      <c r="AD636" s="244">
        <v>0</v>
      </c>
      <c r="AE636" s="244">
        <v>0</v>
      </c>
      <c r="AF636" s="244">
        <v>0</v>
      </c>
      <c r="AG636" s="244">
        <v>0</v>
      </c>
      <c r="AH636" s="244">
        <v>0</v>
      </c>
      <c r="AI636" s="244">
        <v>0</v>
      </c>
      <c r="AJ636" s="244">
        <v>0</v>
      </c>
      <c r="AK636" s="244">
        <v>0</v>
      </c>
      <c r="AL636" s="244">
        <v>0</v>
      </c>
      <c r="AM636" s="244">
        <v>5.933321718220733</v>
      </c>
      <c r="AN636" s="244">
        <v>0</v>
      </c>
      <c r="AO636" s="244">
        <v>1.0522325038909912</v>
      </c>
      <c r="AP636" s="244">
        <v>4.5890026092529297</v>
      </c>
      <c r="AQ636" s="244">
        <v>11.574557304382324</v>
      </c>
      <c r="AR636" s="244">
        <v>0</v>
      </c>
      <c r="AS636" s="228">
        <v>9999</v>
      </c>
      <c r="AT636" s="244">
        <v>5.933321718220733</v>
      </c>
      <c r="AU636" s="244">
        <v>0.28020349144935608</v>
      </c>
      <c r="AV636" s="244">
        <v>1.0802527666091919</v>
      </c>
      <c r="AW636" s="244">
        <v>4.5890026092529297</v>
      </c>
      <c r="AX636" s="244">
        <v>11.882781028747559</v>
      </c>
      <c r="AY636" s="244">
        <v>0</v>
      </c>
      <c r="AZ636" s="228">
        <v>9999</v>
      </c>
      <c r="BA636" s="244">
        <v>5.933321718220733</v>
      </c>
      <c r="BB636" s="244">
        <v>0.28020349144935608</v>
      </c>
      <c r="BC636" s="244">
        <v>1.0802527666091919</v>
      </c>
      <c r="BD636" s="244">
        <v>4.5890026092529297</v>
      </c>
      <c r="BE636" s="244">
        <v>11.882781028747559</v>
      </c>
      <c r="BF636" s="244">
        <v>0</v>
      </c>
      <c r="BG636" s="244">
        <v>-55.747806549072266</v>
      </c>
      <c r="BH636" s="228">
        <v>9999</v>
      </c>
      <c r="BI636" s="244">
        <v>0</v>
      </c>
      <c r="BJ636" s="244">
        <v>0</v>
      </c>
      <c r="BK636" s="244">
        <v>0</v>
      </c>
      <c r="BL636" s="244">
        <v>0</v>
      </c>
      <c r="BM636" s="244">
        <v>0</v>
      </c>
      <c r="BN636" s="244">
        <v>5.933321718220733</v>
      </c>
      <c r="BO636" s="244">
        <v>0</v>
      </c>
      <c r="BP636" s="244">
        <v>0.28020349144935608</v>
      </c>
      <c r="BQ636" s="244">
        <v>0</v>
      </c>
      <c r="BR636" s="244">
        <v>0</v>
      </c>
      <c r="BS636" s="244">
        <v>0</v>
      </c>
      <c r="BT636" s="244">
        <v>4.5890026092529297</v>
      </c>
      <c r="BU636" s="244">
        <v>0</v>
      </c>
      <c r="BV636" s="244">
        <v>0</v>
      </c>
      <c r="BW636" s="244">
        <v>1.0802527666091919</v>
      </c>
      <c r="BX636" s="244">
        <v>0</v>
      </c>
      <c r="BY636" s="244"/>
      <c r="BZ636" s="244">
        <v>0</v>
      </c>
      <c r="CA636" s="244">
        <v>0</v>
      </c>
      <c r="CB636" s="244">
        <v>11.882781028747559</v>
      </c>
      <c r="CC636" s="244">
        <v>0</v>
      </c>
      <c r="CD636" s="228">
        <v>9999</v>
      </c>
      <c r="CE636" s="244">
        <v>-55.747806549072266</v>
      </c>
      <c r="CF636" s="244">
        <v>6.4939640482172489E-2</v>
      </c>
      <c r="CG636" s="244">
        <v>0</v>
      </c>
      <c r="CH636" s="244">
        <v>6.4939640482172489E-2</v>
      </c>
      <c r="CI636" s="244">
        <v>3.187657280639244E-3</v>
      </c>
      <c r="CJ636" s="244">
        <v>0</v>
      </c>
      <c r="CK636" s="244">
        <v>3.187657280639244E-3</v>
      </c>
      <c r="CL636" s="244"/>
      <c r="CM636" s="244">
        <v>0</v>
      </c>
      <c r="CN636" s="244" t="s">
        <v>605</v>
      </c>
      <c r="CO636" s="244">
        <v>0</v>
      </c>
      <c r="CP636" s="244">
        <v>0</v>
      </c>
      <c r="CQ636" s="244">
        <v>0</v>
      </c>
      <c r="CR636" s="244">
        <v>0</v>
      </c>
      <c r="CS636" s="244">
        <v>0</v>
      </c>
      <c r="CT636" s="244">
        <v>0</v>
      </c>
      <c r="CU636" s="244">
        <v>0</v>
      </c>
      <c r="CV636" s="244">
        <v>9999</v>
      </c>
      <c r="CW636" s="228">
        <v>9999</v>
      </c>
    </row>
    <row r="637" spans="1:101">
      <c r="A637" s="221" t="s">
        <v>557</v>
      </c>
      <c r="B637" s="221" t="s">
        <v>604</v>
      </c>
      <c r="C637" s="244">
        <v>10</v>
      </c>
      <c r="D637" s="244">
        <v>7.8517072684984566</v>
      </c>
      <c r="E637" s="244">
        <v>0</v>
      </c>
      <c r="F637" s="244">
        <v>0</v>
      </c>
      <c r="G637" s="244">
        <v>0</v>
      </c>
      <c r="H637" s="244">
        <v>0</v>
      </c>
      <c r="I637" s="244" t="s">
        <v>605</v>
      </c>
      <c r="J637" s="244">
        <v>1</v>
      </c>
      <c r="K637" s="244">
        <v>0.63999998569488525</v>
      </c>
      <c r="L637" s="244">
        <v>8.5635651341357928</v>
      </c>
      <c r="M637" s="244">
        <v>6.2564853578805923E-4</v>
      </c>
      <c r="N637" s="244">
        <v>9.7757589537650347E-4</v>
      </c>
      <c r="O637" s="244">
        <v>0</v>
      </c>
      <c r="P637" s="244">
        <v>0</v>
      </c>
      <c r="Q637" s="244">
        <v>0</v>
      </c>
      <c r="R637" s="244">
        <v>0</v>
      </c>
      <c r="S637" s="244">
        <v>0</v>
      </c>
      <c r="T637" s="244">
        <v>0</v>
      </c>
      <c r="U637" s="244">
        <v>0</v>
      </c>
      <c r="V637" s="244" t="s">
        <v>226</v>
      </c>
      <c r="W637" s="244" t="s">
        <v>226</v>
      </c>
      <c r="X637" s="244" t="s">
        <v>226</v>
      </c>
      <c r="Y637" s="244" t="s">
        <v>226</v>
      </c>
      <c r="Z637" s="244">
        <v>0</v>
      </c>
      <c r="AA637" s="244">
        <v>0</v>
      </c>
      <c r="AB637" s="244">
        <v>0</v>
      </c>
      <c r="AC637" s="244">
        <v>0</v>
      </c>
      <c r="AD637" s="244">
        <v>0</v>
      </c>
      <c r="AE637" s="244">
        <v>0</v>
      </c>
      <c r="AF637" s="244">
        <v>0</v>
      </c>
      <c r="AG637" s="244">
        <v>0</v>
      </c>
      <c r="AH637" s="244">
        <v>0</v>
      </c>
      <c r="AI637" s="244">
        <v>0</v>
      </c>
      <c r="AJ637" s="244">
        <v>0</v>
      </c>
      <c r="AK637" s="244">
        <v>0</v>
      </c>
      <c r="AL637" s="244">
        <v>0</v>
      </c>
      <c r="AM637" s="244">
        <v>5.933321718220733</v>
      </c>
      <c r="AN637" s="244">
        <v>0</v>
      </c>
      <c r="AO637" s="244">
        <v>1.0522325038909912</v>
      </c>
      <c r="AP637" s="244">
        <v>4.5890026092529297</v>
      </c>
      <c r="AQ637" s="244">
        <v>11.574557304382324</v>
      </c>
      <c r="AR637" s="244">
        <v>0</v>
      </c>
      <c r="AS637" s="228">
        <v>9999</v>
      </c>
      <c r="AT637" s="244">
        <v>5.933321718220733</v>
      </c>
      <c r="AU637" s="244">
        <v>0.28020349144935608</v>
      </c>
      <c r="AV637" s="244">
        <v>1.0802527666091919</v>
      </c>
      <c r="AW637" s="244">
        <v>4.5890026092529297</v>
      </c>
      <c r="AX637" s="244">
        <v>11.882781028747559</v>
      </c>
      <c r="AY637" s="244">
        <v>0</v>
      </c>
      <c r="AZ637" s="228">
        <v>9999</v>
      </c>
      <c r="BA637" s="244">
        <v>5.933321718220733</v>
      </c>
      <c r="BB637" s="244">
        <v>0.28020349144935608</v>
      </c>
      <c r="BC637" s="244">
        <v>1.0802527666091919</v>
      </c>
      <c r="BD637" s="244">
        <v>4.5890026092529297</v>
      </c>
      <c r="BE637" s="244">
        <v>11.882781028747559</v>
      </c>
      <c r="BF637" s="244">
        <v>0</v>
      </c>
      <c r="BG637" s="244">
        <v>-55.747806549072266</v>
      </c>
      <c r="BH637" s="228">
        <v>9999</v>
      </c>
      <c r="BI637" s="244">
        <v>0</v>
      </c>
      <c r="BJ637" s="244">
        <v>0</v>
      </c>
      <c r="BK637" s="244">
        <v>0</v>
      </c>
      <c r="BL637" s="244">
        <v>0</v>
      </c>
      <c r="BM637" s="244">
        <v>0</v>
      </c>
      <c r="BN637" s="244">
        <v>5.933321718220733</v>
      </c>
      <c r="BO637" s="244">
        <v>0</v>
      </c>
      <c r="BP637" s="244">
        <v>0.28020349144935608</v>
      </c>
      <c r="BQ637" s="244">
        <v>0</v>
      </c>
      <c r="BR637" s="244">
        <v>0</v>
      </c>
      <c r="BS637" s="244">
        <v>0</v>
      </c>
      <c r="BT637" s="244">
        <v>4.5890026092529297</v>
      </c>
      <c r="BU637" s="244">
        <v>0</v>
      </c>
      <c r="BV637" s="244">
        <v>0</v>
      </c>
      <c r="BW637" s="244">
        <v>1.0802527666091919</v>
      </c>
      <c r="BX637" s="244">
        <v>0</v>
      </c>
      <c r="BY637" s="244"/>
      <c r="BZ637" s="244">
        <v>0</v>
      </c>
      <c r="CA637" s="244">
        <v>0</v>
      </c>
      <c r="CB637" s="244">
        <v>11.882781028747559</v>
      </c>
      <c r="CC637" s="244">
        <v>0</v>
      </c>
      <c r="CD637" s="228">
        <v>9999</v>
      </c>
      <c r="CE637" s="244">
        <v>-55.747806549072266</v>
      </c>
      <c r="CF637" s="244">
        <v>6.4939640482172489E-2</v>
      </c>
      <c r="CG637" s="244">
        <v>0</v>
      </c>
      <c r="CH637" s="244">
        <v>6.4939640482172489E-2</v>
      </c>
      <c r="CI637" s="244">
        <v>3.187657280639244E-3</v>
      </c>
      <c r="CJ637" s="244">
        <v>0</v>
      </c>
      <c r="CK637" s="244">
        <v>3.187657280639244E-3</v>
      </c>
      <c r="CL637" s="244"/>
      <c r="CM637" s="244">
        <v>0</v>
      </c>
      <c r="CN637" s="244" t="s">
        <v>605</v>
      </c>
      <c r="CO637" s="244">
        <v>0</v>
      </c>
      <c r="CP637" s="244">
        <v>0</v>
      </c>
      <c r="CQ637" s="244">
        <v>0</v>
      </c>
      <c r="CR637" s="244">
        <v>0</v>
      </c>
      <c r="CS637" s="244">
        <v>0</v>
      </c>
      <c r="CT637" s="244">
        <v>0</v>
      </c>
      <c r="CU637" s="244">
        <v>0</v>
      </c>
      <c r="CV637" s="244">
        <v>9999</v>
      </c>
      <c r="CW637" s="228">
        <v>9999</v>
      </c>
    </row>
    <row r="638" spans="1:101">
      <c r="A638" s="221" t="s">
        <v>558</v>
      </c>
      <c r="B638" s="221" t="s">
        <v>604</v>
      </c>
      <c r="C638" s="244">
        <v>10</v>
      </c>
      <c r="D638" s="244">
        <v>7.8517072684984566</v>
      </c>
      <c r="E638" s="244">
        <v>0</v>
      </c>
      <c r="F638" s="244">
        <v>0</v>
      </c>
      <c r="G638" s="244">
        <v>0</v>
      </c>
      <c r="H638" s="244">
        <v>0</v>
      </c>
      <c r="I638" s="244" t="s">
        <v>605</v>
      </c>
      <c r="J638" s="244">
        <v>1</v>
      </c>
      <c r="K638" s="244">
        <v>0.63999998569488525</v>
      </c>
      <c r="L638" s="244">
        <v>8.5635651341357928</v>
      </c>
      <c r="M638" s="244">
        <v>6.2564853578805923E-4</v>
      </c>
      <c r="N638" s="244">
        <v>9.7757589537650347E-4</v>
      </c>
      <c r="O638" s="244">
        <v>0</v>
      </c>
      <c r="P638" s="244">
        <v>0</v>
      </c>
      <c r="Q638" s="244">
        <v>0</v>
      </c>
      <c r="R638" s="244">
        <v>0</v>
      </c>
      <c r="S638" s="244">
        <v>0</v>
      </c>
      <c r="T638" s="244">
        <v>0</v>
      </c>
      <c r="U638" s="244">
        <v>0</v>
      </c>
      <c r="V638" s="244" t="s">
        <v>226</v>
      </c>
      <c r="W638" s="244" t="s">
        <v>226</v>
      </c>
      <c r="X638" s="244" t="s">
        <v>226</v>
      </c>
      <c r="Y638" s="244" t="s">
        <v>226</v>
      </c>
      <c r="Z638" s="244">
        <v>0</v>
      </c>
      <c r="AA638" s="244">
        <v>0</v>
      </c>
      <c r="AB638" s="244">
        <v>0</v>
      </c>
      <c r="AC638" s="244">
        <v>0</v>
      </c>
      <c r="AD638" s="244">
        <v>0</v>
      </c>
      <c r="AE638" s="244">
        <v>0</v>
      </c>
      <c r="AF638" s="244">
        <v>0</v>
      </c>
      <c r="AG638" s="244">
        <v>0</v>
      </c>
      <c r="AH638" s="244">
        <v>0</v>
      </c>
      <c r="AI638" s="244">
        <v>0</v>
      </c>
      <c r="AJ638" s="244">
        <v>0</v>
      </c>
      <c r="AK638" s="244">
        <v>0</v>
      </c>
      <c r="AL638" s="244">
        <v>0</v>
      </c>
      <c r="AM638" s="244">
        <v>5.933321718220733</v>
      </c>
      <c r="AN638" s="244">
        <v>0</v>
      </c>
      <c r="AO638" s="244">
        <v>1.0522325038909912</v>
      </c>
      <c r="AP638" s="244">
        <v>4.5890026092529297</v>
      </c>
      <c r="AQ638" s="244">
        <v>11.574557304382324</v>
      </c>
      <c r="AR638" s="244">
        <v>0</v>
      </c>
      <c r="AS638" s="228">
        <v>9999</v>
      </c>
      <c r="AT638" s="244">
        <v>5.933321718220733</v>
      </c>
      <c r="AU638" s="244">
        <v>0.28020349144935608</v>
      </c>
      <c r="AV638" s="244">
        <v>1.0802527666091919</v>
      </c>
      <c r="AW638" s="244">
        <v>4.5890026092529297</v>
      </c>
      <c r="AX638" s="244">
        <v>11.882781028747559</v>
      </c>
      <c r="AY638" s="244">
        <v>0</v>
      </c>
      <c r="AZ638" s="228">
        <v>9999</v>
      </c>
      <c r="BA638" s="244">
        <v>5.933321718220733</v>
      </c>
      <c r="BB638" s="244">
        <v>0.28020349144935608</v>
      </c>
      <c r="BC638" s="244">
        <v>1.0802527666091919</v>
      </c>
      <c r="BD638" s="244">
        <v>4.5890026092529297</v>
      </c>
      <c r="BE638" s="244">
        <v>11.882781028747559</v>
      </c>
      <c r="BF638" s="244">
        <v>0</v>
      </c>
      <c r="BG638" s="244">
        <v>-55.747806549072266</v>
      </c>
      <c r="BH638" s="228">
        <v>9999</v>
      </c>
      <c r="BI638" s="244">
        <v>0</v>
      </c>
      <c r="BJ638" s="244">
        <v>0</v>
      </c>
      <c r="BK638" s="244">
        <v>0</v>
      </c>
      <c r="BL638" s="244">
        <v>0</v>
      </c>
      <c r="BM638" s="244">
        <v>0</v>
      </c>
      <c r="BN638" s="244">
        <v>5.933321718220733</v>
      </c>
      <c r="BO638" s="244">
        <v>0</v>
      </c>
      <c r="BP638" s="244">
        <v>0.28020349144935608</v>
      </c>
      <c r="BQ638" s="244">
        <v>0</v>
      </c>
      <c r="BR638" s="244">
        <v>0</v>
      </c>
      <c r="BS638" s="244">
        <v>0</v>
      </c>
      <c r="BT638" s="244">
        <v>4.5890026092529297</v>
      </c>
      <c r="BU638" s="244">
        <v>0</v>
      </c>
      <c r="BV638" s="244">
        <v>0</v>
      </c>
      <c r="BW638" s="244">
        <v>1.0802527666091919</v>
      </c>
      <c r="BX638" s="244">
        <v>0</v>
      </c>
      <c r="BY638" s="244"/>
      <c r="BZ638" s="244">
        <v>0</v>
      </c>
      <c r="CA638" s="244">
        <v>0</v>
      </c>
      <c r="CB638" s="244">
        <v>11.882781028747559</v>
      </c>
      <c r="CC638" s="244">
        <v>0</v>
      </c>
      <c r="CD638" s="228">
        <v>9999</v>
      </c>
      <c r="CE638" s="244">
        <v>-55.747806549072266</v>
      </c>
      <c r="CF638" s="244">
        <v>6.4939640482172489E-2</v>
      </c>
      <c r="CG638" s="244">
        <v>0</v>
      </c>
      <c r="CH638" s="244">
        <v>6.4939640482172489E-2</v>
      </c>
      <c r="CI638" s="244">
        <v>3.187657280639244E-3</v>
      </c>
      <c r="CJ638" s="244">
        <v>0</v>
      </c>
      <c r="CK638" s="244">
        <v>3.187657280639244E-3</v>
      </c>
      <c r="CL638" s="244"/>
      <c r="CM638" s="244">
        <v>0</v>
      </c>
      <c r="CN638" s="244" t="s">
        <v>605</v>
      </c>
      <c r="CO638" s="244">
        <v>0</v>
      </c>
      <c r="CP638" s="244">
        <v>0</v>
      </c>
      <c r="CQ638" s="244">
        <v>0</v>
      </c>
      <c r="CR638" s="244">
        <v>0</v>
      </c>
      <c r="CS638" s="244">
        <v>0</v>
      </c>
      <c r="CT638" s="244">
        <v>0</v>
      </c>
      <c r="CU638" s="244">
        <v>0</v>
      </c>
      <c r="CV638" s="244">
        <v>9999</v>
      </c>
      <c r="CW638" s="228">
        <v>9999</v>
      </c>
    </row>
    <row r="639" spans="1:101">
      <c r="A639" s="221" t="s">
        <v>559</v>
      </c>
      <c r="B639" s="221" t="s">
        <v>604</v>
      </c>
      <c r="C639" s="244">
        <v>10</v>
      </c>
      <c r="D639" s="244">
        <v>5.768601258488661</v>
      </c>
      <c r="E639" s="244">
        <v>0</v>
      </c>
      <c r="F639" s="244">
        <v>0</v>
      </c>
      <c r="G639" s="244">
        <v>0</v>
      </c>
      <c r="H639" s="244">
        <v>0</v>
      </c>
      <c r="I639" s="244" t="s">
        <v>605</v>
      </c>
      <c r="J639" s="244">
        <v>1</v>
      </c>
      <c r="K639" s="244">
        <v>0.63999998569488525</v>
      </c>
      <c r="L639" s="244">
        <v>6.2915988740589501</v>
      </c>
      <c r="M639" s="244">
        <v>4.5966016477905214E-4</v>
      </c>
      <c r="N639" s="244">
        <v>7.1821903111413121E-4</v>
      </c>
      <c r="O639" s="244">
        <v>0</v>
      </c>
      <c r="P639" s="244">
        <v>0</v>
      </c>
      <c r="Q639" s="244">
        <v>0</v>
      </c>
      <c r="R639" s="244">
        <v>0</v>
      </c>
      <c r="S639" s="244">
        <v>0</v>
      </c>
      <c r="T639" s="244">
        <v>0</v>
      </c>
      <c r="U639" s="244">
        <v>0</v>
      </c>
      <c r="V639" s="244" t="s">
        <v>226</v>
      </c>
      <c r="W639" s="244" t="s">
        <v>226</v>
      </c>
      <c r="X639" s="244" t="s">
        <v>226</v>
      </c>
      <c r="Y639" s="244" t="s">
        <v>226</v>
      </c>
      <c r="Z639" s="244">
        <v>0</v>
      </c>
      <c r="AA639" s="244">
        <v>0</v>
      </c>
      <c r="AB639" s="244">
        <v>0</v>
      </c>
      <c r="AC639" s="244">
        <v>0</v>
      </c>
      <c r="AD639" s="244">
        <v>0</v>
      </c>
      <c r="AE639" s="244">
        <v>0</v>
      </c>
      <c r="AF639" s="244">
        <v>0</v>
      </c>
      <c r="AG639" s="244">
        <v>0</v>
      </c>
      <c r="AH639" s="244">
        <v>0</v>
      </c>
      <c r="AI639" s="244">
        <v>0</v>
      </c>
      <c r="AJ639" s="244">
        <v>0</v>
      </c>
      <c r="AK639" s="244">
        <v>0</v>
      </c>
      <c r="AL639" s="244">
        <v>0</v>
      </c>
      <c r="AM639" s="244">
        <v>4.3591751399172676</v>
      </c>
      <c r="AN639" s="244">
        <v>0</v>
      </c>
      <c r="AO639" s="244">
        <v>0.77306878566741943</v>
      </c>
      <c r="AP639" s="244">
        <v>3.3715124130249023</v>
      </c>
      <c r="AQ639" s="244">
        <v>8.5037565231323242</v>
      </c>
      <c r="AR639" s="244">
        <v>0</v>
      </c>
      <c r="AS639" s="228">
        <v>9999</v>
      </c>
      <c r="AT639" s="244">
        <v>4.3591751399172676</v>
      </c>
      <c r="AU639" s="244">
        <v>0.20586381852626801</v>
      </c>
      <c r="AV639" s="244">
        <v>0.7936551570892334</v>
      </c>
      <c r="AW639" s="244">
        <v>3.3715124130249023</v>
      </c>
      <c r="AX639" s="244">
        <v>8.7302064895629883</v>
      </c>
      <c r="AY639" s="244">
        <v>0</v>
      </c>
      <c r="AZ639" s="228">
        <v>9999</v>
      </c>
      <c r="BA639" s="244">
        <v>4.3591751399172676</v>
      </c>
      <c r="BB639" s="244">
        <v>0.20586381852626801</v>
      </c>
      <c r="BC639" s="244">
        <v>0.7936551570892334</v>
      </c>
      <c r="BD639" s="244">
        <v>3.3715124130249023</v>
      </c>
      <c r="BE639" s="244">
        <v>8.7302064895629883</v>
      </c>
      <c r="BF639" s="244">
        <v>0</v>
      </c>
      <c r="BG639" s="244">
        <v>-55.747810363769531</v>
      </c>
      <c r="BH639" s="228">
        <v>9999</v>
      </c>
      <c r="BI639" s="244">
        <v>0</v>
      </c>
      <c r="BJ639" s="244">
        <v>0</v>
      </c>
      <c r="BK639" s="244">
        <v>0</v>
      </c>
      <c r="BL639" s="244">
        <v>0</v>
      </c>
      <c r="BM639" s="244">
        <v>0</v>
      </c>
      <c r="BN639" s="244">
        <v>4.3591751399172676</v>
      </c>
      <c r="BO639" s="244">
        <v>0</v>
      </c>
      <c r="BP639" s="244">
        <v>0.20586381852626801</v>
      </c>
      <c r="BQ639" s="244">
        <v>0</v>
      </c>
      <c r="BR639" s="244">
        <v>0</v>
      </c>
      <c r="BS639" s="244">
        <v>0</v>
      </c>
      <c r="BT639" s="244">
        <v>3.3715124130249023</v>
      </c>
      <c r="BU639" s="244">
        <v>0</v>
      </c>
      <c r="BV639" s="244">
        <v>0</v>
      </c>
      <c r="BW639" s="244">
        <v>0.7936551570892334</v>
      </c>
      <c r="BX639" s="244">
        <v>0</v>
      </c>
      <c r="BY639" s="244"/>
      <c r="BZ639" s="244">
        <v>0</v>
      </c>
      <c r="CA639" s="244">
        <v>0</v>
      </c>
      <c r="CB639" s="244">
        <v>8.7302064895629883</v>
      </c>
      <c r="CC639" s="244">
        <v>0</v>
      </c>
      <c r="CD639" s="228">
        <v>9999</v>
      </c>
      <c r="CE639" s="244">
        <v>-55.747810363769531</v>
      </c>
      <c r="CF639" s="244">
        <v>4.7710756272616554E-2</v>
      </c>
      <c r="CG639" s="244">
        <v>0</v>
      </c>
      <c r="CH639" s="244">
        <v>4.7710756272616554E-2</v>
      </c>
      <c r="CI639" s="244">
        <v>2.3419522878165861E-3</v>
      </c>
      <c r="CJ639" s="244">
        <v>0</v>
      </c>
      <c r="CK639" s="244">
        <v>2.3419522878165861E-3</v>
      </c>
      <c r="CL639" s="244"/>
      <c r="CM639" s="244">
        <v>0</v>
      </c>
      <c r="CN639" s="244" t="s">
        <v>605</v>
      </c>
      <c r="CO639" s="244">
        <v>0</v>
      </c>
      <c r="CP639" s="244">
        <v>0</v>
      </c>
      <c r="CQ639" s="244">
        <v>0</v>
      </c>
      <c r="CR639" s="244">
        <v>0</v>
      </c>
      <c r="CS639" s="244">
        <v>0</v>
      </c>
      <c r="CT639" s="244">
        <v>0</v>
      </c>
      <c r="CU639" s="244">
        <v>0</v>
      </c>
      <c r="CV639" s="244">
        <v>9999</v>
      </c>
      <c r="CW639" s="228">
        <v>9999</v>
      </c>
    </row>
    <row r="640" spans="1:101">
      <c r="A640" s="221" t="s">
        <v>560</v>
      </c>
      <c r="B640" s="221" t="s">
        <v>604</v>
      </c>
      <c r="C640" s="244">
        <v>10</v>
      </c>
      <c r="D640" s="244">
        <v>5.768601258488661</v>
      </c>
      <c r="E640" s="244">
        <v>0</v>
      </c>
      <c r="F640" s="244">
        <v>0</v>
      </c>
      <c r="G640" s="244">
        <v>0</v>
      </c>
      <c r="H640" s="244">
        <v>0</v>
      </c>
      <c r="I640" s="244" t="s">
        <v>605</v>
      </c>
      <c r="J640" s="244">
        <v>1</v>
      </c>
      <c r="K640" s="244">
        <v>0.63999998569488525</v>
      </c>
      <c r="L640" s="244">
        <v>6.2915988740589501</v>
      </c>
      <c r="M640" s="244">
        <v>4.5966016477905214E-4</v>
      </c>
      <c r="N640" s="244">
        <v>7.1821903111413121E-4</v>
      </c>
      <c r="O640" s="244">
        <v>0</v>
      </c>
      <c r="P640" s="244">
        <v>0</v>
      </c>
      <c r="Q640" s="244">
        <v>0</v>
      </c>
      <c r="R640" s="244">
        <v>0</v>
      </c>
      <c r="S640" s="244">
        <v>0</v>
      </c>
      <c r="T640" s="244">
        <v>0</v>
      </c>
      <c r="U640" s="244">
        <v>0</v>
      </c>
      <c r="V640" s="244" t="s">
        <v>226</v>
      </c>
      <c r="W640" s="244" t="s">
        <v>226</v>
      </c>
      <c r="X640" s="244" t="s">
        <v>226</v>
      </c>
      <c r="Y640" s="244" t="s">
        <v>226</v>
      </c>
      <c r="Z640" s="244">
        <v>0</v>
      </c>
      <c r="AA640" s="244">
        <v>0</v>
      </c>
      <c r="AB640" s="244">
        <v>0</v>
      </c>
      <c r="AC640" s="244">
        <v>0</v>
      </c>
      <c r="AD640" s="244">
        <v>0</v>
      </c>
      <c r="AE640" s="244">
        <v>0</v>
      </c>
      <c r="AF640" s="244">
        <v>0</v>
      </c>
      <c r="AG640" s="244">
        <v>0</v>
      </c>
      <c r="AH640" s="244">
        <v>0</v>
      </c>
      <c r="AI640" s="244">
        <v>0</v>
      </c>
      <c r="AJ640" s="244">
        <v>0</v>
      </c>
      <c r="AK640" s="244">
        <v>0</v>
      </c>
      <c r="AL640" s="244">
        <v>0</v>
      </c>
      <c r="AM640" s="244">
        <v>4.3591751399172676</v>
      </c>
      <c r="AN640" s="244">
        <v>0</v>
      </c>
      <c r="AO640" s="244">
        <v>0.77306878566741943</v>
      </c>
      <c r="AP640" s="244">
        <v>3.3715124130249023</v>
      </c>
      <c r="AQ640" s="244">
        <v>8.5037565231323242</v>
      </c>
      <c r="AR640" s="244">
        <v>0</v>
      </c>
      <c r="AS640" s="228">
        <v>9999</v>
      </c>
      <c r="AT640" s="244">
        <v>4.3591751399172676</v>
      </c>
      <c r="AU640" s="244">
        <v>0.20586381852626801</v>
      </c>
      <c r="AV640" s="244">
        <v>0.7936551570892334</v>
      </c>
      <c r="AW640" s="244">
        <v>3.3715124130249023</v>
      </c>
      <c r="AX640" s="244">
        <v>8.7302064895629883</v>
      </c>
      <c r="AY640" s="244">
        <v>0</v>
      </c>
      <c r="AZ640" s="228">
        <v>9999</v>
      </c>
      <c r="BA640" s="244">
        <v>4.3591751399172676</v>
      </c>
      <c r="BB640" s="244">
        <v>0.20586381852626801</v>
      </c>
      <c r="BC640" s="244">
        <v>0.7936551570892334</v>
      </c>
      <c r="BD640" s="244">
        <v>3.3715124130249023</v>
      </c>
      <c r="BE640" s="244">
        <v>8.7302064895629883</v>
      </c>
      <c r="BF640" s="244">
        <v>0</v>
      </c>
      <c r="BG640" s="244">
        <v>-55.747810363769531</v>
      </c>
      <c r="BH640" s="228">
        <v>9999</v>
      </c>
      <c r="BI640" s="244">
        <v>0</v>
      </c>
      <c r="BJ640" s="244">
        <v>0</v>
      </c>
      <c r="BK640" s="244">
        <v>0</v>
      </c>
      <c r="BL640" s="244">
        <v>0</v>
      </c>
      <c r="BM640" s="244">
        <v>0</v>
      </c>
      <c r="BN640" s="244">
        <v>4.3591751399172676</v>
      </c>
      <c r="BO640" s="244">
        <v>0</v>
      </c>
      <c r="BP640" s="244">
        <v>0.20586381852626801</v>
      </c>
      <c r="BQ640" s="244">
        <v>0</v>
      </c>
      <c r="BR640" s="244">
        <v>0</v>
      </c>
      <c r="BS640" s="244">
        <v>0</v>
      </c>
      <c r="BT640" s="244">
        <v>3.3715124130249023</v>
      </c>
      <c r="BU640" s="244">
        <v>0</v>
      </c>
      <c r="BV640" s="244">
        <v>0</v>
      </c>
      <c r="BW640" s="244">
        <v>0.7936551570892334</v>
      </c>
      <c r="BX640" s="244">
        <v>0</v>
      </c>
      <c r="BY640" s="244"/>
      <c r="BZ640" s="244">
        <v>0</v>
      </c>
      <c r="CA640" s="244">
        <v>0</v>
      </c>
      <c r="CB640" s="244">
        <v>8.7302064895629883</v>
      </c>
      <c r="CC640" s="244">
        <v>0</v>
      </c>
      <c r="CD640" s="228">
        <v>9999</v>
      </c>
      <c r="CE640" s="244">
        <v>-55.747810363769531</v>
      </c>
      <c r="CF640" s="244">
        <v>4.7710756272616554E-2</v>
      </c>
      <c r="CG640" s="244">
        <v>0</v>
      </c>
      <c r="CH640" s="244">
        <v>4.7710756272616554E-2</v>
      </c>
      <c r="CI640" s="244">
        <v>2.3419522878165861E-3</v>
      </c>
      <c r="CJ640" s="244">
        <v>0</v>
      </c>
      <c r="CK640" s="244">
        <v>2.3419522878165861E-3</v>
      </c>
      <c r="CL640" s="244"/>
      <c r="CM640" s="244">
        <v>0</v>
      </c>
      <c r="CN640" s="244" t="s">
        <v>605</v>
      </c>
      <c r="CO640" s="244">
        <v>0</v>
      </c>
      <c r="CP640" s="244">
        <v>0</v>
      </c>
      <c r="CQ640" s="244">
        <v>0</v>
      </c>
      <c r="CR640" s="244">
        <v>0</v>
      </c>
      <c r="CS640" s="244">
        <v>0</v>
      </c>
      <c r="CT640" s="244">
        <v>0</v>
      </c>
      <c r="CU640" s="244">
        <v>0</v>
      </c>
      <c r="CV640" s="244">
        <v>9999</v>
      </c>
      <c r="CW640" s="228">
        <v>9999</v>
      </c>
    </row>
    <row r="641" spans="1:101">
      <c r="A641" s="221" t="s">
        <v>561</v>
      </c>
      <c r="B641" s="221" t="s">
        <v>604</v>
      </c>
      <c r="C641" s="244">
        <v>10</v>
      </c>
      <c r="D641" s="244">
        <v>5.768601258488661</v>
      </c>
      <c r="E641" s="244">
        <v>0</v>
      </c>
      <c r="F641" s="244">
        <v>0</v>
      </c>
      <c r="G641" s="244">
        <v>0</v>
      </c>
      <c r="H641" s="244">
        <v>0</v>
      </c>
      <c r="I641" s="244" t="s">
        <v>605</v>
      </c>
      <c r="J641" s="244">
        <v>1</v>
      </c>
      <c r="K641" s="244">
        <v>0.63999998569488525</v>
      </c>
      <c r="L641" s="244">
        <v>6.2915988740589501</v>
      </c>
      <c r="M641" s="244">
        <v>4.5966016477905214E-4</v>
      </c>
      <c r="N641" s="244">
        <v>7.1821903111413121E-4</v>
      </c>
      <c r="O641" s="244">
        <v>0</v>
      </c>
      <c r="P641" s="244">
        <v>0</v>
      </c>
      <c r="Q641" s="244">
        <v>0</v>
      </c>
      <c r="R641" s="244">
        <v>0</v>
      </c>
      <c r="S641" s="244">
        <v>0</v>
      </c>
      <c r="T641" s="244">
        <v>0</v>
      </c>
      <c r="U641" s="244">
        <v>0</v>
      </c>
      <c r="V641" s="244" t="s">
        <v>226</v>
      </c>
      <c r="W641" s="244" t="s">
        <v>226</v>
      </c>
      <c r="X641" s="244" t="s">
        <v>226</v>
      </c>
      <c r="Y641" s="244" t="s">
        <v>226</v>
      </c>
      <c r="Z641" s="244">
        <v>0</v>
      </c>
      <c r="AA641" s="244">
        <v>0</v>
      </c>
      <c r="AB641" s="244">
        <v>0</v>
      </c>
      <c r="AC641" s="244">
        <v>0</v>
      </c>
      <c r="AD641" s="244">
        <v>0</v>
      </c>
      <c r="AE641" s="244">
        <v>0</v>
      </c>
      <c r="AF641" s="244">
        <v>0</v>
      </c>
      <c r="AG641" s="244">
        <v>0</v>
      </c>
      <c r="AH641" s="244">
        <v>0</v>
      </c>
      <c r="AI641" s="244">
        <v>0</v>
      </c>
      <c r="AJ641" s="244">
        <v>0</v>
      </c>
      <c r="AK641" s="244">
        <v>0</v>
      </c>
      <c r="AL641" s="244">
        <v>0</v>
      </c>
      <c r="AM641" s="244">
        <v>4.3591751399172676</v>
      </c>
      <c r="AN641" s="244">
        <v>0</v>
      </c>
      <c r="AO641" s="244">
        <v>0.77306878566741943</v>
      </c>
      <c r="AP641" s="244">
        <v>3.3715124130249023</v>
      </c>
      <c r="AQ641" s="244">
        <v>8.5037565231323242</v>
      </c>
      <c r="AR641" s="244">
        <v>0</v>
      </c>
      <c r="AS641" s="228">
        <v>9999</v>
      </c>
      <c r="AT641" s="244">
        <v>4.3591751399172676</v>
      </c>
      <c r="AU641" s="244">
        <v>0.20586381852626801</v>
      </c>
      <c r="AV641" s="244">
        <v>0.7936551570892334</v>
      </c>
      <c r="AW641" s="244">
        <v>3.3715124130249023</v>
      </c>
      <c r="AX641" s="244">
        <v>8.7302064895629883</v>
      </c>
      <c r="AY641" s="244">
        <v>0</v>
      </c>
      <c r="AZ641" s="228">
        <v>9999</v>
      </c>
      <c r="BA641" s="244">
        <v>4.3591751399172676</v>
      </c>
      <c r="BB641" s="244">
        <v>0.20586381852626801</v>
      </c>
      <c r="BC641" s="244">
        <v>0.7936551570892334</v>
      </c>
      <c r="BD641" s="244">
        <v>3.3715124130249023</v>
      </c>
      <c r="BE641" s="244">
        <v>8.7302064895629883</v>
      </c>
      <c r="BF641" s="244">
        <v>0</v>
      </c>
      <c r="BG641" s="244">
        <v>-55.747810363769531</v>
      </c>
      <c r="BH641" s="228">
        <v>9999</v>
      </c>
      <c r="BI641" s="244">
        <v>0</v>
      </c>
      <c r="BJ641" s="244">
        <v>0</v>
      </c>
      <c r="BK641" s="244">
        <v>0</v>
      </c>
      <c r="BL641" s="244">
        <v>0</v>
      </c>
      <c r="BM641" s="244">
        <v>0</v>
      </c>
      <c r="BN641" s="244">
        <v>4.3591751399172676</v>
      </c>
      <c r="BO641" s="244">
        <v>0</v>
      </c>
      <c r="BP641" s="244">
        <v>0.20586381852626801</v>
      </c>
      <c r="BQ641" s="244">
        <v>0</v>
      </c>
      <c r="BR641" s="244">
        <v>0</v>
      </c>
      <c r="BS641" s="244">
        <v>0</v>
      </c>
      <c r="BT641" s="244">
        <v>3.3715124130249023</v>
      </c>
      <c r="BU641" s="244">
        <v>0</v>
      </c>
      <c r="BV641" s="244">
        <v>0</v>
      </c>
      <c r="BW641" s="244">
        <v>0.7936551570892334</v>
      </c>
      <c r="BX641" s="244">
        <v>0</v>
      </c>
      <c r="BY641" s="244"/>
      <c r="BZ641" s="244">
        <v>0</v>
      </c>
      <c r="CA641" s="244">
        <v>0</v>
      </c>
      <c r="CB641" s="244">
        <v>8.7302064895629883</v>
      </c>
      <c r="CC641" s="244">
        <v>0</v>
      </c>
      <c r="CD641" s="228">
        <v>9999</v>
      </c>
      <c r="CE641" s="244">
        <v>-55.747810363769531</v>
      </c>
      <c r="CF641" s="244">
        <v>4.7710756272616554E-2</v>
      </c>
      <c r="CG641" s="244">
        <v>0</v>
      </c>
      <c r="CH641" s="244">
        <v>4.7710756272616554E-2</v>
      </c>
      <c r="CI641" s="244">
        <v>2.3419522878165861E-3</v>
      </c>
      <c r="CJ641" s="244">
        <v>0</v>
      </c>
      <c r="CK641" s="244">
        <v>2.3419522878165861E-3</v>
      </c>
      <c r="CL641" s="244"/>
      <c r="CM641" s="244">
        <v>0</v>
      </c>
      <c r="CN641" s="244" t="s">
        <v>605</v>
      </c>
      <c r="CO641" s="244">
        <v>0</v>
      </c>
      <c r="CP641" s="244">
        <v>0</v>
      </c>
      <c r="CQ641" s="244">
        <v>0</v>
      </c>
      <c r="CR641" s="244">
        <v>0</v>
      </c>
      <c r="CS641" s="244">
        <v>0</v>
      </c>
      <c r="CT641" s="244">
        <v>0</v>
      </c>
      <c r="CU641" s="244">
        <v>0</v>
      </c>
      <c r="CV641" s="244">
        <v>9999</v>
      </c>
      <c r="CW641" s="228">
        <v>9999</v>
      </c>
    </row>
    <row r="642" spans="1:101">
      <c r="A642" s="221" t="s">
        <v>562</v>
      </c>
      <c r="B642" s="221" t="s">
        <v>604</v>
      </c>
      <c r="C642" s="244">
        <v>10</v>
      </c>
      <c r="D642" s="244">
        <v>6.4896764157997477</v>
      </c>
      <c r="E642" s="244">
        <v>0</v>
      </c>
      <c r="F642" s="244">
        <v>0</v>
      </c>
      <c r="G642" s="244">
        <v>0</v>
      </c>
      <c r="H642" s="244">
        <v>0</v>
      </c>
      <c r="I642" s="244" t="s">
        <v>605</v>
      </c>
      <c r="J642" s="244">
        <v>1</v>
      </c>
      <c r="K642" s="244">
        <v>0.63999998569488525</v>
      </c>
      <c r="L642" s="244">
        <v>7.0780487333163196</v>
      </c>
      <c r="M642" s="244">
        <v>5.1711773267015815E-4</v>
      </c>
      <c r="N642" s="244">
        <v>8.0799643183127046E-4</v>
      </c>
      <c r="O642" s="244">
        <v>0</v>
      </c>
      <c r="P642" s="244">
        <v>0</v>
      </c>
      <c r="Q642" s="244">
        <v>0</v>
      </c>
      <c r="R642" s="244">
        <v>0</v>
      </c>
      <c r="S642" s="244">
        <v>0</v>
      </c>
      <c r="T642" s="244">
        <v>0</v>
      </c>
      <c r="U642" s="244">
        <v>0</v>
      </c>
      <c r="V642" s="244" t="s">
        <v>226</v>
      </c>
      <c r="W642" s="244" t="s">
        <v>226</v>
      </c>
      <c r="X642" s="244" t="s">
        <v>226</v>
      </c>
      <c r="Y642" s="244" t="s">
        <v>226</v>
      </c>
      <c r="Z642" s="244">
        <v>0</v>
      </c>
      <c r="AA642" s="244">
        <v>0</v>
      </c>
      <c r="AB642" s="244">
        <v>0</v>
      </c>
      <c r="AC642" s="244">
        <v>0</v>
      </c>
      <c r="AD642" s="244">
        <v>0</v>
      </c>
      <c r="AE642" s="244">
        <v>0</v>
      </c>
      <c r="AF642" s="244">
        <v>0</v>
      </c>
      <c r="AG642" s="244">
        <v>0</v>
      </c>
      <c r="AH642" s="244">
        <v>0</v>
      </c>
      <c r="AI642" s="244">
        <v>0</v>
      </c>
      <c r="AJ642" s="244">
        <v>0</v>
      </c>
      <c r="AK642" s="244">
        <v>0</v>
      </c>
      <c r="AL642" s="244">
        <v>0</v>
      </c>
      <c r="AM642" s="244">
        <v>4.9040720324069316</v>
      </c>
      <c r="AN642" s="244">
        <v>0</v>
      </c>
      <c r="AO642" s="244">
        <v>0.86970233917236328</v>
      </c>
      <c r="AP642" s="244">
        <v>3.7929511070251465</v>
      </c>
      <c r="AQ642" s="244">
        <v>9.5667257308959961</v>
      </c>
      <c r="AR642" s="244">
        <v>0</v>
      </c>
      <c r="AS642" s="228">
        <v>9999</v>
      </c>
      <c r="AT642" s="244">
        <v>4.9040720324069316</v>
      </c>
      <c r="AU642" s="244">
        <v>0.23159679770469666</v>
      </c>
      <c r="AV642" s="244">
        <v>0.89286202192306519</v>
      </c>
      <c r="AW642" s="244">
        <v>3.7929511070251465</v>
      </c>
      <c r="AX642" s="244">
        <v>9.8214817047119141</v>
      </c>
      <c r="AY642" s="244">
        <v>0</v>
      </c>
      <c r="AZ642" s="228">
        <v>9999</v>
      </c>
      <c r="BA642" s="244">
        <v>4.9040720324069316</v>
      </c>
      <c r="BB642" s="244">
        <v>0.23159679770469666</v>
      </c>
      <c r="BC642" s="244">
        <v>0.89286202192306519</v>
      </c>
      <c r="BD642" s="244">
        <v>3.7929511070251465</v>
      </c>
      <c r="BE642" s="244">
        <v>9.8214817047119141</v>
      </c>
      <c r="BF642" s="244">
        <v>0</v>
      </c>
      <c r="BG642" s="244">
        <v>-55.747806549072266</v>
      </c>
      <c r="BH642" s="228">
        <v>9999</v>
      </c>
      <c r="BI642" s="244">
        <v>0</v>
      </c>
      <c r="BJ642" s="244">
        <v>0</v>
      </c>
      <c r="BK642" s="244">
        <v>0</v>
      </c>
      <c r="BL642" s="244">
        <v>0</v>
      </c>
      <c r="BM642" s="244">
        <v>0</v>
      </c>
      <c r="BN642" s="244">
        <v>4.9040720324069316</v>
      </c>
      <c r="BO642" s="244">
        <v>0</v>
      </c>
      <c r="BP642" s="244">
        <v>0.23159679770469666</v>
      </c>
      <c r="BQ642" s="244">
        <v>0</v>
      </c>
      <c r="BR642" s="244">
        <v>0</v>
      </c>
      <c r="BS642" s="244">
        <v>0</v>
      </c>
      <c r="BT642" s="244">
        <v>3.7929511070251465</v>
      </c>
      <c r="BU642" s="244">
        <v>0</v>
      </c>
      <c r="BV642" s="244">
        <v>0</v>
      </c>
      <c r="BW642" s="244">
        <v>0.89286202192306519</v>
      </c>
      <c r="BX642" s="244">
        <v>0</v>
      </c>
      <c r="BY642" s="244"/>
      <c r="BZ642" s="244">
        <v>0</v>
      </c>
      <c r="CA642" s="244">
        <v>0</v>
      </c>
      <c r="CB642" s="244">
        <v>9.8214817047119141</v>
      </c>
      <c r="CC642" s="244">
        <v>0</v>
      </c>
      <c r="CD642" s="228">
        <v>9999</v>
      </c>
      <c r="CE642" s="244">
        <v>-55.747806549072266</v>
      </c>
      <c r="CF642" s="244">
        <v>5.3674600806693659E-2</v>
      </c>
      <c r="CG642" s="244">
        <v>0</v>
      </c>
      <c r="CH642" s="244">
        <v>5.3674600806693659E-2</v>
      </c>
      <c r="CI642" s="244">
        <v>2.6346963237936605E-3</v>
      </c>
      <c r="CJ642" s="244">
        <v>0</v>
      </c>
      <c r="CK642" s="244">
        <v>2.6346963237936605E-3</v>
      </c>
      <c r="CL642" s="244"/>
      <c r="CM642" s="244">
        <v>0</v>
      </c>
      <c r="CN642" s="244" t="s">
        <v>605</v>
      </c>
      <c r="CO642" s="244">
        <v>0</v>
      </c>
      <c r="CP642" s="244">
        <v>0</v>
      </c>
      <c r="CQ642" s="244">
        <v>0</v>
      </c>
      <c r="CR642" s="244">
        <v>0</v>
      </c>
      <c r="CS642" s="244">
        <v>0</v>
      </c>
      <c r="CT642" s="244">
        <v>0</v>
      </c>
      <c r="CU642" s="244">
        <v>0</v>
      </c>
      <c r="CV642" s="244">
        <v>9999</v>
      </c>
      <c r="CW642" s="228">
        <v>9999</v>
      </c>
    </row>
    <row r="643" spans="1:101">
      <c r="A643" s="221" t="s">
        <v>563</v>
      </c>
      <c r="B643" s="221" t="s">
        <v>604</v>
      </c>
      <c r="C643" s="244">
        <v>10</v>
      </c>
      <c r="D643" s="244">
        <v>6.4896764157997477</v>
      </c>
      <c r="E643" s="244">
        <v>0</v>
      </c>
      <c r="F643" s="244">
        <v>0</v>
      </c>
      <c r="G643" s="244">
        <v>0</v>
      </c>
      <c r="H643" s="244">
        <v>0</v>
      </c>
      <c r="I643" s="244" t="s">
        <v>605</v>
      </c>
      <c r="J643" s="244">
        <v>1</v>
      </c>
      <c r="K643" s="244">
        <v>0.63999998569488525</v>
      </c>
      <c r="L643" s="244">
        <v>7.0780487333163196</v>
      </c>
      <c r="M643" s="244">
        <v>5.1711773267015815E-4</v>
      </c>
      <c r="N643" s="244">
        <v>8.0799643183127046E-4</v>
      </c>
      <c r="O643" s="244">
        <v>0</v>
      </c>
      <c r="P643" s="244">
        <v>0</v>
      </c>
      <c r="Q643" s="244">
        <v>0</v>
      </c>
      <c r="R643" s="244">
        <v>0</v>
      </c>
      <c r="S643" s="244">
        <v>0</v>
      </c>
      <c r="T643" s="244">
        <v>0</v>
      </c>
      <c r="U643" s="244">
        <v>0</v>
      </c>
      <c r="V643" s="244" t="s">
        <v>226</v>
      </c>
      <c r="W643" s="244" t="s">
        <v>226</v>
      </c>
      <c r="X643" s="244" t="s">
        <v>226</v>
      </c>
      <c r="Y643" s="244" t="s">
        <v>226</v>
      </c>
      <c r="Z643" s="244">
        <v>0</v>
      </c>
      <c r="AA643" s="244">
        <v>0</v>
      </c>
      <c r="AB643" s="244">
        <v>0</v>
      </c>
      <c r="AC643" s="244">
        <v>0</v>
      </c>
      <c r="AD643" s="244">
        <v>0</v>
      </c>
      <c r="AE643" s="244">
        <v>0</v>
      </c>
      <c r="AF643" s="244">
        <v>0</v>
      </c>
      <c r="AG643" s="244">
        <v>0</v>
      </c>
      <c r="AH643" s="244">
        <v>0</v>
      </c>
      <c r="AI643" s="244">
        <v>0</v>
      </c>
      <c r="AJ643" s="244">
        <v>0</v>
      </c>
      <c r="AK643" s="244">
        <v>0</v>
      </c>
      <c r="AL643" s="244">
        <v>0</v>
      </c>
      <c r="AM643" s="244">
        <v>4.9040720324069316</v>
      </c>
      <c r="AN643" s="244">
        <v>0</v>
      </c>
      <c r="AO643" s="244">
        <v>0.86970233917236328</v>
      </c>
      <c r="AP643" s="244">
        <v>3.7929511070251465</v>
      </c>
      <c r="AQ643" s="244">
        <v>9.5667257308959961</v>
      </c>
      <c r="AR643" s="244">
        <v>0</v>
      </c>
      <c r="AS643" s="228">
        <v>9999</v>
      </c>
      <c r="AT643" s="244">
        <v>4.9040720324069316</v>
      </c>
      <c r="AU643" s="244">
        <v>0.23159679770469666</v>
      </c>
      <c r="AV643" s="244">
        <v>0.89286202192306519</v>
      </c>
      <c r="AW643" s="244">
        <v>3.7929511070251465</v>
      </c>
      <c r="AX643" s="244">
        <v>9.8214817047119141</v>
      </c>
      <c r="AY643" s="244">
        <v>0</v>
      </c>
      <c r="AZ643" s="228">
        <v>9999</v>
      </c>
      <c r="BA643" s="244">
        <v>4.9040720324069316</v>
      </c>
      <c r="BB643" s="244">
        <v>0.23159679770469666</v>
      </c>
      <c r="BC643" s="244">
        <v>0.89286202192306519</v>
      </c>
      <c r="BD643" s="244">
        <v>3.7929511070251465</v>
      </c>
      <c r="BE643" s="244">
        <v>9.8214817047119141</v>
      </c>
      <c r="BF643" s="244">
        <v>0</v>
      </c>
      <c r="BG643" s="244">
        <v>-55.747806549072266</v>
      </c>
      <c r="BH643" s="228">
        <v>9999</v>
      </c>
      <c r="BI643" s="244">
        <v>0</v>
      </c>
      <c r="BJ643" s="244">
        <v>0</v>
      </c>
      <c r="BK643" s="244">
        <v>0</v>
      </c>
      <c r="BL643" s="244">
        <v>0</v>
      </c>
      <c r="BM643" s="244">
        <v>0</v>
      </c>
      <c r="BN643" s="244">
        <v>4.9040720324069316</v>
      </c>
      <c r="BO643" s="244">
        <v>0</v>
      </c>
      <c r="BP643" s="244">
        <v>0.23159679770469666</v>
      </c>
      <c r="BQ643" s="244">
        <v>0</v>
      </c>
      <c r="BR643" s="244">
        <v>0</v>
      </c>
      <c r="BS643" s="244">
        <v>0</v>
      </c>
      <c r="BT643" s="244">
        <v>3.7929511070251465</v>
      </c>
      <c r="BU643" s="244">
        <v>0</v>
      </c>
      <c r="BV643" s="244">
        <v>0</v>
      </c>
      <c r="BW643" s="244">
        <v>0.89286202192306519</v>
      </c>
      <c r="BX643" s="244">
        <v>0</v>
      </c>
      <c r="BY643" s="244"/>
      <c r="BZ643" s="244">
        <v>0</v>
      </c>
      <c r="CA643" s="244">
        <v>0</v>
      </c>
      <c r="CB643" s="244">
        <v>9.8214817047119141</v>
      </c>
      <c r="CC643" s="244">
        <v>0</v>
      </c>
      <c r="CD643" s="228">
        <v>9999</v>
      </c>
      <c r="CE643" s="244">
        <v>-55.747806549072266</v>
      </c>
      <c r="CF643" s="244">
        <v>5.3674600806693659E-2</v>
      </c>
      <c r="CG643" s="244">
        <v>0</v>
      </c>
      <c r="CH643" s="244">
        <v>5.3674600806693659E-2</v>
      </c>
      <c r="CI643" s="244">
        <v>2.6346963237936605E-3</v>
      </c>
      <c r="CJ643" s="244">
        <v>0</v>
      </c>
      <c r="CK643" s="244">
        <v>2.6346963237936605E-3</v>
      </c>
      <c r="CL643" s="244"/>
      <c r="CM643" s="244">
        <v>0</v>
      </c>
      <c r="CN643" s="244" t="s">
        <v>605</v>
      </c>
      <c r="CO643" s="244">
        <v>0</v>
      </c>
      <c r="CP643" s="244">
        <v>0</v>
      </c>
      <c r="CQ643" s="244">
        <v>0</v>
      </c>
      <c r="CR643" s="244">
        <v>0</v>
      </c>
      <c r="CS643" s="244">
        <v>0</v>
      </c>
      <c r="CT643" s="244">
        <v>0</v>
      </c>
      <c r="CU643" s="244">
        <v>0</v>
      </c>
      <c r="CV643" s="244">
        <v>9999</v>
      </c>
      <c r="CW643" s="228">
        <v>9999</v>
      </c>
    </row>
    <row r="644" spans="1:101">
      <c r="A644" s="221" t="s">
        <v>564</v>
      </c>
      <c r="B644" s="221" t="s">
        <v>604</v>
      </c>
      <c r="C644" s="244">
        <v>10</v>
      </c>
      <c r="D644" s="244">
        <v>6.4896764157997477</v>
      </c>
      <c r="E644" s="244">
        <v>0</v>
      </c>
      <c r="F644" s="244">
        <v>0</v>
      </c>
      <c r="G644" s="244">
        <v>0</v>
      </c>
      <c r="H644" s="244">
        <v>0</v>
      </c>
      <c r="I644" s="244" t="s">
        <v>605</v>
      </c>
      <c r="J644" s="244">
        <v>1</v>
      </c>
      <c r="K644" s="244">
        <v>0.63999998569488525</v>
      </c>
      <c r="L644" s="244">
        <v>7.0780487333163196</v>
      </c>
      <c r="M644" s="244">
        <v>5.1711773267015815E-4</v>
      </c>
      <c r="N644" s="244">
        <v>8.0799643183127046E-4</v>
      </c>
      <c r="O644" s="244">
        <v>0</v>
      </c>
      <c r="P644" s="244">
        <v>0</v>
      </c>
      <c r="Q644" s="244">
        <v>0</v>
      </c>
      <c r="R644" s="244">
        <v>0</v>
      </c>
      <c r="S644" s="244">
        <v>0</v>
      </c>
      <c r="T644" s="244">
        <v>0</v>
      </c>
      <c r="U644" s="244">
        <v>0</v>
      </c>
      <c r="V644" s="244" t="s">
        <v>226</v>
      </c>
      <c r="W644" s="244" t="s">
        <v>226</v>
      </c>
      <c r="X644" s="244" t="s">
        <v>226</v>
      </c>
      <c r="Y644" s="244" t="s">
        <v>226</v>
      </c>
      <c r="Z644" s="244">
        <v>0</v>
      </c>
      <c r="AA644" s="244">
        <v>0</v>
      </c>
      <c r="AB644" s="244">
        <v>0</v>
      </c>
      <c r="AC644" s="244">
        <v>0</v>
      </c>
      <c r="AD644" s="244">
        <v>0</v>
      </c>
      <c r="AE644" s="244">
        <v>0</v>
      </c>
      <c r="AF644" s="244">
        <v>0</v>
      </c>
      <c r="AG644" s="244">
        <v>0</v>
      </c>
      <c r="AH644" s="244">
        <v>0</v>
      </c>
      <c r="AI644" s="244">
        <v>0</v>
      </c>
      <c r="AJ644" s="244">
        <v>0</v>
      </c>
      <c r="AK644" s="244">
        <v>0</v>
      </c>
      <c r="AL644" s="244">
        <v>0</v>
      </c>
      <c r="AM644" s="244">
        <v>4.9040720324069316</v>
      </c>
      <c r="AN644" s="244">
        <v>0</v>
      </c>
      <c r="AO644" s="244">
        <v>0.86970233917236328</v>
      </c>
      <c r="AP644" s="244">
        <v>3.7929511070251465</v>
      </c>
      <c r="AQ644" s="244">
        <v>9.5667257308959961</v>
      </c>
      <c r="AR644" s="244">
        <v>0</v>
      </c>
      <c r="AS644" s="228">
        <v>9999</v>
      </c>
      <c r="AT644" s="244">
        <v>4.9040720324069316</v>
      </c>
      <c r="AU644" s="244">
        <v>0.23159679770469666</v>
      </c>
      <c r="AV644" s="244">
        <v>0.89286202192306519</v>
      </c>
      <c r="AW644" s="244">
        <v>3.7929511070251465</v>
      </c>
      <c r="AX644" s="244">
        <v>9.8214817047119141</v>
      </c>
      <c r="AY644" s="244">
        <v>0</v>
      </c>
      <c r="AZ644" s="228">
        <v>9999</v>
      </c>
      <c r="BA644" s="244">
        <v>4.9040720324069316</v>
      </c>
      <c r="BB644" s="244">
        <v>0.23159679770469666</v>
      </c>
      <c r="BC644" s="244">
        <v>0.89286202192306519</v>
      </c>
      <c r="BD644" s="244">
        <v>3.7929511070251465</v>
      </c>
      <c r="BE644" s="244">
        <v>9.8214817047119141</v>
      </c>
      <c r="BF644" s="244">
        <v>0</v>
      </c>
      <c r="BG644" s="244">
        <v>-55.747806549072266</v>
      </c>
      <c r="BH644" s="228">
        <v>9999</v>
      </c>
      <c r="BI644" s="244">
        <v>0</v>
      </c>
      <c r="BJ644" s="244">
        <v>0</v>
      </c>
      <c r="BK644" s="244">
        <v>0</v>
      </c>
      <c r="BL644" s="244">
        <v>0</v>
      </c>
      <c r="BM644" s="244">
        <v>0</v>
      </c>
      <c r="BN644" s="244">
        <v>4.9040720324069316</v>
      </c>
      <c r="BO644" s="244">
        <v>0</v>
      </c>
      <c r="BP644" s="244">
        <v>0.23159679770469666</v>
      </c>
      <c r="BQ644" s="244">
        <v>0</v>
      </c>
      <c r="BR644" s="244">
        <v>0</v>
      </c>
      <c r="BS644" s="244">
        <v>0</v>
      </c>
      <c r="BT644" s="244">
        <v>3.7929511070251465</v>
      </c>
      <c r="BU644" s="244">
        <v>0</v>
      </c>
      <c r="BV644" s="244">
        <v>0</v>
      </c>
      <c r="BW644" s="244">
        <v>0.89286202192306519</v>
      </c>
      <c r="BX644" s="244">
        <v>0</v>
      </c>
      <c r="BY644" s="244"/>
      <c r="BZ644" s="244">
        <v>0</v>
      </c>
      <c r="CA644" s="244">
        <v>0</v>
      </c>
      <c r="CB644" s="244">
        <v>9.8214817047119141</v>
      </c>
      <c r="CC644" s="244">
        <v>0</v>
      </c>
      <c r="CD644" s="228">
        <v>9999</v>
      </c>
      <c r="CE644" s="244">
        <v>-55.747806549072266</v>
      </c>
      <c r="CF644" s="244">
        <v>5.3674600806693659E-2</v>
      </c>
      <c r="CG644" s="244">
        <v>0</v>
      </c>
      <c r="CH644" s="244">
        <v>5.3674600806693659E-2</v>
      </c>
      <c r="CI644" s="244">
        <v>2.6346963237936605E-3</v>
      </c>
      <c r="CJ644" s="244">
        <v>0</v>
      </c>
      <c r="CK644" s="244">
        <v>2.6346963237936605E-3</v>
      </c>
      <c r="CL644" s="244"/>
      <c r="CM644" s="244">
        <v>0</v>
      </c>
      <c r="CN644" s="244" t="s">
        <v>605</v>
      </c>
      <c r="CO644" s="244">
        <v>0</v>
      </c>
      <c r="CP644" s="244">
        <v>0</v>
      </c>
      <c r="CQ644" s="244">
        <v>0</v>
      </c>
      <c r="CR644" s="244">
        <v>0</v>
      </c>
      <c r="CS644" s="244">
        <v>0</v>
      </c>
      <c r="CT644" s="244">
        <v>0</v>
      </c>
      <c r="CU644" s="244">
        <v>0</v>
      </c>
      <c r="CV644" s="244">
        <v>9999</v>
      </c>
      <c r="CW644" s="228">
        <v>9999</v>
      </c>
    </row>
    <row r="645" spans="1:101">
      <c r="A645" s="221" t="s">
        <v>565</v>
      </c>
      <c r="B645" s="221" t="s">
        <v>604</v>
      </c>
      <c r="C645" s="244">
        <v>10</v>
      </c>
      <c r="D645" s="244">
        <v>10.095052202355159</v>
      </c>
      <c r="E645" s="244">
        <v>0</v>
      </c>
      <c r="F645" s="244">
        <v>0</v>
      </c>
      <c r="G645" s="244">
        <v>0</v>
      </c>
      <c r="H645" s="244">
        <v>0</v>
      </c>
      <c r="I645" s="244" t="s">
        <v>605</v>
      </c>
      <c r="J645" s="244">
        <v>1</v>
      </c>
      <c r="K645" s="244">
        <v>0.63999998569488525</v>
      </c>
      <c r="L645" s="244">
        <v>11.010298029603167</v>
      </c>
      <c r="M645" s="244">
        <v>8.04405368398875E-4</v>
      </c>
      <c r="N645" s="244">
        <v>1.2568833772093058E-3</v>
      </c>
      <c r="O645" s="244">
        <v>0</v>
      </c>
      <c r="P645" s="244">
        <v>0</v>
      </c>
      <c r="Q645" s="244">
        <v>0</v>
      </c>
      <c r="R645" s="244">
        <v>0</v>
      </c>
      <c r="S645" s="244">
        <v>0</v>
      </c>
      <c r="T645" s="244">
        <v>0</v>
      </c>
      <c r="U645" s="244">
        <v>0</v>
      </c>
      <c r="V645" s="244" t="s">
        <v>226</v>
      </c>
      <c r="W645" s="244" t="s">
        <v>226</v>
      </c>
      <c r="X645" s="244" t="s">
        <v>226</v>
      </c>
      <c r="Y645" s="244" t="s">
        <v>226</v>
      </c>
      <c r="Z645" s="244">
        <v>0</v>
      </c>
      <c r="AA645" s="244">
        <v>0</v>
      </c>
      <c r="AB645" s="244">
        <v>0</v>
      </c>
      <c r="AC645" s="244">
        <v>0</v>
      </c>
      <c r="AD645" s="244">
        <v>0</v>
      </c>
      <c r="AE645" s="244">
        <v>0</v>
      </c>
      <c r="AF645" s="244">
        <v>0</v>
      </c>
      <c r="AG645" s="244">
        <v>0</v>
      </c>
      <c r="AH645" s="244">
        <v>0</v>
      </c>
      <c r="AI645" s="244">
        <v>0</v>
      </c>
      <c r="AJ645" s="244">
        <v>0</v>
      </c>
      <c r="AK645" s="244">
        <v>0</v>
      </c>
      <c r="AL645" s="244">
        <v>0</v>
      </c>
      <c r="AM645" s="244">
        <v>7.6285564948552356</v>
      </c>
      <c r="AN645" s="244">
        <v>0</v>
      </c>
      <c r="AO645" s="244">
        <v>1.3528702259063721</v>
      </c>
      <c r="AP645" s="244">
        <v>5.9001460075378418</v>
      </c>
      <c r="AQ645" s="244">
        <v>14.881572723388672</v>
      </c>
      <c r="AR645" s="244">
        <v>0</v>
      </c>
      <c r="AS645" s="228">
        <v>9999</v>
      </c>
      <c r="AT645" s="244">
        <v>7.6285564948552356</v>
      </c>
      <c r="AU645" s="244">
        <v>0.36026167869567871</v>
      </c>
      <c r="AV645" s="244">
        <v>1.3888964653015137</v>
      </c>
      <c r="AW645" s="244">
        <v>5.9001460075378418</v>
      </c>
      <c r="AX645" s="244">
        <v>15.277860641479492</v>
      </c>
      <c r="AY645" s="244">
        <v>0</v>
      </c>
      <c r="AZ645" s="228">
        <v>9999</v>
      </c>
      <c r="BA645" s="244">
        <v>7.6285564948552356</v>
      </c>
      <c r="BB645" s="244">
        <v>0.36026167869567871</v>
      </c>
      <c r="BC645" s="244">
        <v>1.3888964653015137</v>
      </c>
      <c r="BD645" s="244">
        <v>5.9001460075378418</v>
      </c>
      <c r="BE645" s="244">
        <v>15.277860641479492</v>
      </c>
      <c r="BF645" s="244">
        <v>0</v>
      </c>
      <c r="BG645" s="244">
        <v>-55.747802734375</v>
      </c>
      <c r="BH645" s="228">
        <v>9999</v>
      </c>
      <c r="BI645" s="244">
        <v>0</v>
      </c>
      <c r="BJ645" s="244">
        <v>0</v>
      </c>
      <c r="BK645" s="244">
        <v>0</v>
      </c>
      <c r="BL645" s="244">
        <v>0</v>
      </c>
      <c r="BM645" s="244">
        <v>0</v>
      </c>
      <c r="BN645" s="244">
        <v>7.6285564948552356</v>
      </c>
      <c r="BO645" s="244">
        <v>0</v>
      </c>
      <c r="BP645" s="244">
        <v>0.36026167869567871</v>
      </c>
      <c r="BQ645" s="244">
        <v>0</v>
      </c>
      <c r="BR645" s="244">
        <v>0</v>
      </c>
      <c r="BS645" s="244">
        <v>0</v>
      </c>
      <c r="BT645" s="244">
        <v>5.9001460075378418</v>
      </c>
      <c r="BU645" s="244">
        <v>0</v>
      </c>
      <c r="BV645" s="244">
        <v>0</v>
      </c>
      <c r="BW645" s="244">
        <v>1.3888964653015137</v>
      </c>
      <c r="BX645" s="244">
        <v>0</v>
      </c>
      <c r="BY645" s="244"/>
      <c r="BZ645" s="244">
        <v>0</v>
      </c>
      <c r="CA645" s="244">
        <v>0</v>
      </c>
      <c r="CB645" s="244">
        <v>15.277860641479492</v>
      </c>
      <c r="CC645" s="244">
        <v>0</v>
      </c>
      <c r="CD645" s="228">
        <v>9999</v>
      </c>
      <c r="CE645" s="244">
        <v>-55.747802734375</v>
      </c>
      <c r="CF645" s="244">
        <v>8.3493823477079121E-2</v>
      </c>
      <c r="CG645" s="244">
        <v>0</v>
      </c>
      <c r="CH645" s="244">
        <v>8.3493823477079121E-2</v>
      </c>
      <c r="CI645" s="244">
        <v>4.0984165036790287E-3</v>
      </c>
      <c r="CJ645" s="244">
        <v>0</v>
      </c>
      <c r="CK645" s="244">
        <v>4.0984165036790287E-3</v>
      </c>
      <c r="CL645" s="244"/>
      <c r="CM645" s="244">
        <v>0</v>
      </c>
      <c r="CN645" s="244" t="s">
        <v>605</v>
      </c>
      <c r="CO645" s="244">
        <v>0</v>
      </c>
      <c r="CP645" s="244">
        <v>0</v>
      </c>
      <c r="CQ645" s="244">
        <v>0</v>
      </c>
      <c r="CR645" s="244">
        <v>0</v>
      </c>
      <c r="CS645" s="244">
        <v>0</v>
      </c>
      <c r="CT645" s="244">
        <v>0</v>
      </c>
      <c r="CU645" s="244">
        <v>0</v>
      </c>
      <c r="CV645" s="244">
        <v>9999</v>
      </c>
      <c r="CW645" s="228">
        <v>9999</v>
      </c>
    </row>
    <row r="646" spans="1:101">
      <c r="A646" s="221" t="s">
        <v>566</v>
      </c>
      <c r="B646" s="221" t="s">
        <v>604</v>
      </c>
      <c r="C646" s="244">
        <v>10</v>
      </c>
      <c r="D646" s="244">
        <v>10.095052202355159</v>
      </c>
      <c r="E646" s="244">
        <v>0</v>
      </c>
      <c r="F646" s="244">
        <v>0</v>
      </c>
      <c r="G646" s="244">
        <v>0</v>
      </c>
      <c r="H646" s="244">
        <v>0</v>
      </c>
      <c r="I646" s="244" t="s">
        <v>605</v>
      </c>
      <c r="J646" s="244">
        <v>1</v>
      </c>
      <c r="K646" s="244">
        <v>0.63999998569488525</v>
      </c>
      <c r="L646" s="244">
        <v>11.010298029603167</v>
      </c>
      <c r="M646" s="244">
        <v>8.04405368398875E-4</v>
      </c>
      <c r="N646" s="244">
        <v>1.2568833772093058E-3</v>
      </c>
      <c r="O646" s="244">
        <v>0</v>
      </c>
      <c r="P646" s="244">
        <v>0</v>
      </c>
      <c r="Q646" s="244">
        <v>0</v>
      </c>
      <c r="R646" s="244">
        <v>0</v>
      </c>
      <c r="S646" s="244">
        <v>0</v>
      </c>
      <c r="T646" s="244">
        <v>0</v>
      </c>
      <c r="U646" s="244">
        <v>0</v>
      </c>
      <c r="V646" s="244" t="s">
        <v>226</v>
      </c>
      <c r="W646" s="244" t="s">
        <v>226</v>
      </c>
      <c r="X646" s="244" t="s">
        <v>226</v>
      </c>
      <c r="Y646" s="244" t="s">
        <v>226</v>
      </c>
      <c r="Z646" s="244">
        <v>0</v>
      </c>
      <c r="AA646" s="244">
        <v>0</v>
      </c>
      <c r="AB646" s="244">
        <v>0</v>
      </c>
      <c r="AC646" s="244">
        <v>0</v>
      </c>
      <c r="AD646" s="244">
        <v>0</v>
      </c>
      <c r="AE646" s="244">
        <v>0</v>
      </c>
      <c r="AF646" s="244">
        <v>0</v>
      </c>
      <c r="AG646" s="244">
        <v>0</v>
      </c>
      <c r="AH646" s="244">
        <v>0</v>
      </c>
      <c r="AI646" s="244">
        <v>0</v>
      </c>
      <c r="AJ646" s="244">
        <v>0</v>
      </c>
      <c r="AK646" s="244">
        <v>0</v>
      </c>
      <c r="AL646" s="244">
        <v>0</v>
      </c>
      <c r="AM646" s="244">
        <v>7.6285564948552356</v>
      </c>
      <c r="AN646" s="244">
        <v>0</v>
      </c>
      <c r="AO646" s="244">
        <v>1.3528702259063721</v>
      </c>
      <c r="AP646" s="244">
        <v>5.9001460075378418</v>
      </c>
      <c r="AQ646" s="244">
        <v>14.881572723388672</v>
      </c>
      <c r="AR646" s="244">
        <v>0</v>
      </c>
      <c r="AS646" s="228">
        <v>9999</v>
      </c>
      <c r="AT646" s="244">
        <v>7.6285564948552356</v>
      </c>
      <c r="AU646" s="244">
        <v>0.36026167869567871</v>
      </c>
      <c r="AV646" s="244">
        <v>1.3888964653015137</v>
      </c>
      <c r="AW646" s="244">
        <v>5.9001460075378418</v>
      </c>
      <c r="AX646" s="244">
        <v>15.277860641479492</v>
      </c>
      <c r="AY646" s="244">
        <v>0</v>
      </c>
      <c r="AZ646" s="228">
        <v>9999</v>
      </c>
      <c r="BA646" s="244">
        <v>7.6285564948552356</v>
      </c>
      <c r="BB646" s="244">
        <v>0.36026167869567871</v>
      </c>
      <c r="BC646" s="244">
        <v>1.3888964653015137</v>
      </c>
      <c r="BD646" s="244">
        <v>5.9001460075378418</v>
      </c>
      <c r="BE646" s="244">
        <v>15.277860641479492</v>
      </c>
      <c r="BF646" s="244">
        <v>0</v>
      </c>
      <c r="BG646" s="244">
        <v>-55.747802734375</v>
      </c>
      <c r="BH646" s="228">
        <v>9999</v>
      </c>
      <c r="BI646" s="244">
        <v>0</v>
      </c>
      <c r="BJ646" s="244">
        <v>0</v>
      </c>
      <c r="BK646" s="244">
        <v>0</v>
      </c>
      <c r="BL646" s="244">
        <v>0</v>
      </c>
      <c r="BM646" s="244">
        <v>0</v>
      </c>
      <c r="BN646" s="244">
        <v>7.6285564948552356</v>
      </c>
      <c r="BO646" s="244">
        <v>0</v>
      </c>
      <c r="BP646" s="244">
        <v>0.36026167869567871</v>
      </c>
      <c r="BQ646" s="244">
        <v>0</v>
      </c>
      <c r="BR646" s="244">
        <v>0</v>
      </c>
      <c r="BS646" s="244">
        <v>0</v>
      </c>
      <c r="BT646" s="244">
        <v>5.9001460075378418</v>
      </c>
      <c r="BU646" s="244">
        <v>0</v>
      </c>
      <c r="BV646" s="244">
        <v>0</v>
      </c>
      <c r="BW646" s="244">
        <v>1.3888964653015137</v>
      </c>
      <c r="BX646" s="244">
        <v>0</v>
      </c>
      <c r="BY646" s="244"/>
      <c r="BZ646" s="244">
        <v>0</v>
      </c>
      <c r="CA646" s="244">
        <v>0</v>
      </c>
      <c r="CB646" s="244">
        <v>15.277860641479492</v>
      </c>
      <c r="CC646" s="244">
        <v>0</v>
      </c>
      <c r="CD646" s="228">
        <v>9999</v>
      </c>
      <c r="CE646" s="244">
        <v>-55.747802734375</v>
      </c>
      <c r="CF646" s="244">
        <v>8.3493823477079121E-2</v>
      </c>
      <c r="CG646" s="244">
        <v>0</v>
      </c>
      <c r="CH646" s="244">
        <v>8.3493823477079121E-2</v>
      </c>
      <c r="CI646" s="244">
        <v>4.0984165036790287E-3</v>
      </c>
      <c r="CJ646" s="244">
        <v>0</v>
      </c>
      <c r="CK646" s="244">
        <v>4.0984165036790287E-3</v>
      </c>
      <c r="CL646" s="244"/>
      <c r="CM646" s="244">
        <v>0</v>
      </c>
      <c r="CN646" s="244" t="s">
        <v>605</v>
      </c>
      <c r="CO646" s="244">
        <v>0</v>
      </c>
      <c r="CP646" s="244">
        <v>0</v>
      </c>
      <c r="CQ646" s="244">
        <v>0</v>
      </c>
      <c r="CR646" s="244">
        <v>0</v>
      </c>
      <c r="CS646" s="244">
        <v>0</v>
      </c>
      <c r="CT646" s="244">
        <v>0</v>
      </c>
      <c r="CU646" s="244">
        <v>0</v>
      </c>
      <c r="CV646" s="244">
        <v>9999</v>
      </c>
      <c r="CW646" s="228">
        <v>9999</v>
      </c>
    </row>
    <row r="647" spans="1:101">
      <c r="A647" s="221" t="s">
        <v>567</v>
      </c>
      <c r="B647" s="221" t="s">
        <v>604</v>
      </c>
      <c r="C647" s="244">
        <v>10</v>
      </c>
      <c r="D647" s="244">
        <v>10.095052202355159</v>
      </c>
      <c r="E647" s="244">
        <v>0</v>
      </c>
      <c r="F647" s="244">
        <v>0</v>
      </c>
      <c r="G647" s="244">
        <v>0</v>
      </c>
      <c r="H647" s="244">
        <v>0</v>
      </c>
      <c r="I647" s="244" t="s">
        <v>605</v>
      </c>
      <c r="J647" s="244">
        <v>1</v>
      </c>
      <c r="K647" s="244">
        <v>0.63999998569488525</v>
      </c>
      <c r="L647" s="244">
        <v>11.010298029603167</v>
      </c>
      <c r="M647" s="244">
        <v>8.04405368398875E-4</v>
      </c>
      <c r="N647" s="244">
        <v>1.2568833772093058E-3</v>
      </c>
      <c r="O647" s="244">
        <v>0</v>
      </c>
      <c r="P647" s="244">
        <v>0</v>
      </c>
      <c r="Q647" s="244">
        <v>0</v>
      </c>
      <c r="R647" s="244">
        <v>0</v>
      </c>
      <c r="S647" s="244">
        <v>0</v>
      </c>
      <c r="T647" s="244">
        <v>0</v>
      </c>
      <c r="U647" s="244">
        <v>0</v>
      </c>
      <c r="V647" s="244" t="s">
        <v>226</v>
      </c>
      <c r="W647" s="244" t="s">
        <v>226</v>
      </c>
      <c r="X647" s="244" t="s">
        <v>226</v>
      </c>
      <c r="Y647" s="244" t="s">
        <v>226</v>
      </c>
      <c r="Z647" s="244">
        <v>0</v>
      </c>
      <c r="AA647" s="244">
        <v>0</v>
      </c>
      <c r="AB647" s="244">
        <v>0</v>
      </c>
      <c r="AC647" s="244">
        <v>0</v>
      </c>
      <c r="AD647" s="244">
        <v>0</v>
      </c>
      <c r="AE647" s="244">
        <v>0</v>
      </c>
      <c r="AF647" s="244">
        <v>0</v>
      </c>
      <c r="AG647" s="244">
        <v>0</v>
      </c>
      <c r="AH647" s="244">
        <v>0</v>
      </c>
      <c r="AI647" s="244">
        <v>0</v>
      </c>
      <c r="AJ647" s="244">
        <v>0</v>
      </c>
      <c r="AK647" s="244">
        <v>0</v>
      </c>
      <c r="AL647" s="244">
        <v>0</v>
      </c>
      <c r="AM647" s="244">
        <v>7.6285564948552356</v>
      </c>
      <c r="AN647" s="244">
        <v>0</v>
      </c>
      <c r="AO647" s="244">
        <v>1.3528702259063721</v>
      </c>
      <c r="AP647" s="244">
        <v>5.9001460075378418</v>
      </c>
      <c r="AQ647" s="244">
        <v>14.881572723388672</v>
      </c>
      <c r="AR647" s="244">
        <v>0</v>
      </c>
      <c r="AS647" s="228">
        <v>9999</v>
      </c>
      <c r="AT647" s="244">
        <v>7.6285564948552356</v>
      </c>
      <c r="AU647" s="244">
        <v>0.36026167869567871</v>
      </c>
      <c r="AV647" s="244">
        <v>1.3888964653015137</v>
      </c>
      <c r="AW647" s="244">
        <v>5.9001460075378418</v>
      </c>
      <c r="AX647" s="244">
        <v>15.277860641479492</v>
      </c>
      <c r="AY647" s="244">
        <v>0</v>
      </c>
      <c r="AZ647" s="228">
        <v>9999</v>
      </c>
      <c r="BA647" s="244">
        <v>7.6285564948552356</v>
      </c>
      <c r="BB647" s="244">
        <v>0.36026167869567871</v>
      </c>
      <c r="BC647" s="244">
        <v>1.3888964653015137</v>
      </c>
      <c r="BD647" s="244">
        <v>5.9001460075378418</v>
      </c>
      <c r="BE647" s="244">
        <v>15.277860641479492</v>
      </c>
      <c r="BF647" s="244">
        <v>0</v>
      </c>
      <c r="BG647" s="244">
        <v>-55.747802734375</v>
      </c>
      <c r="BH647" s="228">
        <v>9999</v>
      </c>
      <c r="BI647" s="244">
        <v>0</v>
      </c>
      <c r="BJ647" s="244">
        <v>0</v>
      </c>
      <c r="BK647" s="244">
        <v>0</v>
      </c>
      <c r="BL647" s="244">
        <v>0</v>
      </c>
      <c r="BM647" s="244">
        <v>0</v>
      </c>
      <c r="BN647" s="244">
        <v>7.6285564948552356</v>
      </c>
      <c r="BO647" s="244">
        <v>0</v>
      </c>
      <c r="BP647" s="244">
        <v>0.36026167869567871</v>
      </c>
      <c r="BQ647" s="244">
        <v>0</v>
      </c>
      <c r="BR647" s="244">
        <v>0</v>
      </c>
      <c r="BS647" s="244">
        <v>0</v>
      </c>
      <c r="BT647" s="244">
        <v>5.9001460075378418</v>
      </c>
      <c r="BU647" s="244">
        <v>0</v>
      </c>
      <c r="BV647" s="244">
        <v>0</v>
      </c>
      <c r="BW647" s="244">
        <v>1.3888964653015137</v>
      </c>
      <c r="BX647" s="244">
        <v>0</v>
      </c>
      <c r="BY647" s="244"/>
      <c r="BZ647" s="244">
        <v>0</v>
      </c>
      <c r="CA647" s="244">
        <v>0</v>
      </c>
      <c r="CB647" s="244">
        <v>15.277860641479492</v>
      </c>
      <c r="CC647" s="244">
        <v>0</v>
      </c>
      <c r="CD647" s="228">
        <v>9999</v>
      </c>
      <c r="CE647" s="244">
        <v>-55.747802734375</v>
      </c>
      <c r="CF647" s="244">
        <v>8.3493823477079121E-2</v>
      </c>
      <c r="CG647" s="244">
        <v>0</v>
      </c>
      <c r="CH647" s="244">
        <v>8.3493823477079121E-2</v>
      </c>
      <c r="CI647" s="244">
        <v>4.0984165036790287E-3</v>
      </c>
      <c r="CJ647" s="244">
        <v>0</v>
      </c>
      <c r="CK647" s="244">
        <v>4.0984165036790287E-3</v>
      </c>
      <c r="CL647" s="244"/>
      <c r="CM647" s="244">
        <v>0</v>
      </c>
      <c r="CN647" s="244" t="s">
        <v>605</v>
      </c>
      <c r="CO647" s="244">
        <v>0</v>
      </c>
      <c r="CP647" s="244">
        <v>0</v>
      </c>
      <c r="CQ647" s="244">
        <v>0</v>
      </c>
      <c r="CR647" s="244">
        <v>0</v>
      </c>
      <c r="CS647" s="244">
        <v>0</v>
      </c>
      <c r="CT647" s="244">
        <v>0</v>
      </c>
      <c r="CU647" s="244">
        <v>0</v>
      </c>
      <c r="CV647" s="244">
        <v>9999</v>
      </c>
      <c r="CW647" s="228">
        <v>9999</v>
      </c>
    </row>
    <row r="648" spans="1:101">
      <c r="A648" s="221" t="s">
        <v>568</v>
      </c>
      <c r="B648" s="221" t="s">
        <v>604</v>
      </c>
      <c r="C648" s="244">
        <v>10</v>
      </c>
      <c r="D648" s="244">
        <v>3.8457341723257739</v>
      </c>
      <c r="E648" s="244">
        <v>0</v>
      </c>
      <c r="F648" s="244">
        <v>0</v>
      </c>
      <c r="G648" s="244">
        <v>0</v>
      </c>
      <c r="H648" s="244">
        <v>0</v>
      </c>
      <c r="I648" s="244" t="s">
        <v>605</v>
      </c>
      <c r="J648" s="244">
        <v>1</v>
      </c>
      <c r="K648" s="244">
        <v>0.63999998569488525</v>
      </c>
      <c r="L648" s="244">
        <v>4.1943992493726334</v>
      </c>
      <c r="M648" s="244">
        <v>3.0644010985270143E-4</v>
      </c>
      <c r="N648" s="244">
        <v>4.7881269711069763E-4</v>
      </c>
      <c r="O648" s="244">
        <v>0</v>
      </c>
      <c r="P648" s="244">
        <v>0</v>
      </c>
      <c r="Q648" s="244">
        <v>0</v>
      </c>
      <c r="R648" s="244">
        <v>0</v>
      </c>
      <c r="S648" s="244">
        <v>0</v>
      </c>
      <c r="T648" s="244">
        <v>0</v>
      </c>
      <c r="U648" s="244">
        <v>0</v>
      </c>
      <c r="V648" s="244" t="s">
        <v>226</v>
      </c>
      <c r="W648" s="244" t="s">
        <v>226</v>
      </c>
      <c r="X648" s="244" t="s">
        <v>226</v>
      </c>
      <c r="Y648" s="244" t="s">
        <v>226</v>
      </c>
      <c r="Z648" s="244">
        <v>0</v>
      </c>
      <c r="AA648" s="244">
        <v>0</v>
      </c>
      <c r="AB648" s="244">
        <v>0</v>
      </c>
      <c r="AC648" s="244">
        <v>0</v>
      </c>
      <c r="AD648" s="244">
        <v>0</v>
      </c>
      <c r="AE648" s="244">
        <v>0</v>
      </c>
      <c r="AF648" s="244">
        <v>0</v>
      </c>
      <c r="AG648" s="244">
        <v>0</v>
      </c>
      <c r="AH648" s="244">
        <v>0</v>
      </c>
      <c r="AI648" s="244">
        <v>0</v>
      </c>
      <c r="AJ648" s="244">
        <v>0</v>
      </c>
      <c r="AK648" s="244">
        <v>0</v>
      </c>
      <c r="AL648" s="244">
        <v>0</v>
      </c>
      <c r="AM648" s="244">
        <v>2.9061167599448496</v>
      </c>
      <c r="AN648" s="244">
        <v>0</v>
      </c>
      <c r="AO648" s="244">
        <v>0.51537913084030151</v>
      </c>
      <c r="AP648" s="244">
        <v>2.2476747035980225</v>
      </c>
      <c r="AQ648" s="244">
        <v>5.6691703796386719</v>
      </c>
      <c r="AR648" s="244">
        <v>0</v>
      </c>
      <c r="AS648" s="228">
        <v>9999</v>
      </c>
      <c r="AT648" s="244">
        <v>2.9061167599448496</v>
      </c>
      <c r="AU648" s="244">
        <v>0.13724254071712494</v>
      </c>
      <c r="AV648" s="244">
        <v>0.52910339832305908</v>
      </c>
      <c r="AW648" s="244">
        <v>2.2476747035980225</v>
      </c>
      <c r="AX648" s="244">
        <v>5.8201375007629395</v>
      </c>
      <c r="AY648" s="244">
        <v>0</v>
      </c>
      <c r="AZ648" s="228">
        <v>9999</v>
      </c>
      <c r="BA648" s="244">
        <v>2.9061167599448496</v>
      </c>
      <c r="BB648" s="244">
        <v>0.13724254071712494</v>
      </c>
      <c r="BC648" s="244">
        <v>0.52910339832305908</v>
      </c>
      <c r="BD648" s="244">
        <v>2.2476747035980225</v>
      </c>
      <c r="BE648" s="244">
        <v>5.8201375007629395</v>
      </c>
      <c r="BF648" s="244">
        <v>0</v>
      </c>
      <c r="BG648" s="244">
        <v>-55.747802734375</v>
      </c>
      <c r="BH648" s="228">
        <v>9999</v>
      </c>
      <c r="BI648" s="244">
        <v>0</v>
      </c>
      <c r="BJ648" s="244">
        <v>0</v>
      </c>
      <c r="BK648" s="244">
        <v>0</v>
      </c>
      <c r="BL648" s="244">
        <v>0</v>
      </c>
      <c r="BM648" s="244">
        <v>0</v>
      </c>
      <c r="BN648" s="244">
        <v>2.9061167599448496</v>
      </c>
      <c r="BO648" s="244">
        <v>0</v>
      </c>
      <c r="BP648" s="244">
        <v>0.13724254071712494</v>
      </c>
      <c r="BQ648" s="244">
        <v>0</v>
      </c>
      <c r="BR648" s="244">
        <v>0</v>
      </c>
      <c r="BS648" s="244">
        <v>0</v>
      </c>
      <c r="BT648" s="244">
        <v>2.2476747035980225</v>
      </c>
      <c r="BU648" s="244">
        <v>0</v>
      </c>
      <c r="BV648" s="244">
        <v>0</v>
      </c>
      <c r="BW648" s="244">
        <v>0.52910339832305908</v>
      </c>
      <c r="BX648" s="244">
        <v>0</v>
      </c>
      <c r="BY648" s="244"/>
      <c r="BZ648" s="244">
        <v>0</v>
      </c>
      <c r="CA648" s="244">
        <v>0</v>
      </c>
      <c r="CB648" s="244">
        <v>5.8201375007629395</v>
      </c>
      <c r="CC648" s="244">
        <v>0</v>
      </c>
      <c r="CD648" s="228">
        <v>9999</v>
      </c>
      <c r="CE648" s="244">
        <v>-55.747802734375</v>
      </c>
      <c r="CF648" s="244">
        <v>3.1807170848411066E-2</v>
      </c>
      <c r="CG648" s="244">
        <v>0</v>
      </c>
      <c r="CH648" s="244">
        <v>3.1807170848411066E-2</v>
      </c>
      <c r="CI648" s="244">
        <v>1.5613015252110573E-3</v>
      </c>
      <c r="CJ648" s="244">
        <v>0</v>
      </c>
      <c r="CK648" s="244">
        <v>1.5613015252110573E-3</v>
      </c>
      <c r="CL648" s="244"/>
      <c r="CM648" s="244">
        <v>0</v>
      </c>
      <c r="CN648" s="244" t="s">
        <v>605</v>
      </c>
      <c r="CO648" s="244">
        <v>0</v>
      </c>
      <c r="CP648" s="244">
        <v>0</v>
      </c>
      <c r="CQ648" s="244">
        <v>0</v>
      </c>
      <c r="CR648" s="244">
        <v>0</v>
      </c>
      <c r="CS648" s="244">
        <v>0</v>
      </c>
      <c r="CT648" s="244">
        <v>0</v>
      </c>
      <c r="CU648" s="244">
        <v>0</v>
      </c>
      <c r="CV648" s="244">
        <v>9999</v>
      </c>
      <c r="CW648" s="228">
        <v>9999</v>
      </c>
    </row>
    <row r="649" spans="1:101">
      <c r="A649" s="221" t="s">
        <v>569</v>
      </c>
      <c r="B649" s="221" t="s">
        <v>604</v>
      </c>
      <c r="C649" s="244">
        <v>10</v>
      </c>
      <c r="D649" s="244">
        <v>3.8457341723257739</v>
      </c>
      <c r="E649" s="244">
        <v>0</v>
      </c>
      <c r="F649" s="244">
        <v>0</v>
      </c>
      <c r="G649" s="244">
        <v>0</v>
      </c>
      <c r="H649" s="244">
        <v>0</v>
      </c>
      <c r="I649" s="244" t="s">
        <v>605</v>
      </c>
      <c r="J649" s="244">
        <v>1</v>
      </c>
      <c r="K649" s="244">
        <v>0.63999998569488525</v>
      </c>
      <c r="L649" s="244">
        <v>4.1943992493726334</v>
      </c>
      <c r="M649" s="244">
        <v>3.0644010985270143E-4</v>
      </c>
      <c r="N649" s="244">
        <v>4.7881269711069763E-4</v>
      </c>
      <c r="O649" s="244">
        <v>0</v>
      </c>
      <c r="P649" s="244">
        <v>0</v>
      </c>
      <c r="Q649" s="244">
        <v>0</v>
      </c>
      <c r="R649" s="244">
        <v>0</v>
      </c>
      <c r="S649" s="244">
        <v>0</v>
      </c>
      <c r="T649" s="244">
        <v>0</v>
      </c>
      <c r="U649" s="244">
        <v>0</v>
      </c>
      <c r="V649" s="244" t="s">
        <v>226</v>
      </c>
      <c r="W649" s="244" t="s">
        <v>226</v>
      </c>
      <c r="X649" s="244" t="s">
        <v>226</v>
      </c>
      <c r="Y649" s="244" t="s">
        <v>226</v>
      </c>
      <c r="Z649" s="244">
        <v>0</v>
      </c>
      <c r="AA649" s="244">
        <v>0</v>
      </c>
      <c r="AB649" s="244">
        <v>0</v>
      </c>
      <c r="AC649" s="244">
        <v>0</v>
      </c>
      <c r="AD649" s="244">
        <v>0</v>
      </c>
      <c r="AE649" s="244">
        <v>0</v>
      </c>
      <c r="AF649" s="244">
        <v>0</v>
      </c>
      <c r="AG649" s="244">
        <v>0</v>
      </c>
      <c r="AH649" s="244">
        <v>0</v>
      </c>
      <c r="AI649" s="244">
        <v>0</v>
      </c>
      <c r="AJ649" s="244">
        <v>0</v>
      </c>
      <c r="AK649" s="244">
        <v>0</v>
      </c>
      <c r="AL649" s="244">
        <v>0</v>
      </c>
      <c r="AM649" s="244">
        <v>2.9061167599448496</v>
      </c>
      <c r="AN649" s="244">
        <v>0</v>
      </c>
      <c r="AO649" s="244">
        <v>0.51537913084030151</v>
      </c>
      <c r="AP649" s="244">
        <v>2.2476747035980225</v>
      </c>
      <c r="AQ649" s="244">
        <v>5.6691703796386719</v>
      </c>
      <c r="AR649" s="244">
        <v>0</v>
      </c>
      <c r="AS649" s="228">
        <v>9999</v>
      </c>
      <c r="AT649" s="244">
        <v>2.9061167599448496</v>
      </c>
      <c r="AU649" s="244">
        <v>0.13724254071712494</v>
      </c>
      <c r="AV649" s="244">
        <v>0.52910339832305908</v>
      </c>
      <c r="AW649" s="244">
        <v>2.2476747035980225</v>
      </c>
      <c r="AX649" s="244">
        <v>5.8201375007629395</v>
      </c>
      <c r="AY649" s="244">
        <v>0</v>
      </c>
      <c r="AZ649" s="228">
        <v>9999</v>
      </c>
      <c r="BA649" s="244">
        <v>2.9061167599448496</v>
      </c>
      <c r="BB649" s="244">
        <v>0.13724254071712494</v>
      </c>
      <c r="BC649" s="244">
        <v>0.52910339832305908</v>
      </c>
      <c r="BD649" s="244">
        <v>2.2476747035980225</v>
      </c>
      <c r="BE649" s="244">
        <v>5.8201375007629395</v>
      </c>
      <c r="BF649" s="244">
        <v>0</v>
      </c>
      <c r="BG649" s="244">
        <v>-55.747802734375</v>
      </c>
      <c r="BH649" s="228">
        <v>9999</v>
      </c>
      <c r="BI649" s="244">
        <v>0</v>
      </c>
      <c r="BJ649" s="244">
        <v>0</v>
      </c>
      <c r="BK649" s="244">
        <v>0</v>
      </c>
      <c r="BL649" s="244">
        <v>0</v>
      </c>
      <c r="BM649" s="244">
        <v>0</v>
      </c>
      <c r="BN649" s="244">
        <v>2.9061167599448496</v>
      </c>
      <c r="BO649" s="244">
        <v>0</v>
      </c>
      <c r="BP649" s="244">
        <v>0.13724254071712494</v>
      </c>
      <c r="BQ649" s="244">
        <v>0</v>
      </c>
      <c r="BR649" s="244">
        <v>0</v>
      </c>
      <c r="BS649" s="244">
        <v>0</v>
      </c>
      <c r="BT649" s="244">
        <v>2.2476747035980225</v>
      </c>
      <c r="BU649" s="244">
        <v>0</v>
      </c>
      <c r="BV649" s="244">
        <v>0</v>
      </c>
      <c r="BW649" s="244">
        <v>0.52910339832305908</v>
      </c>
      <c r="BX649" s="244">
        <v>0</v>
      </c>
      <c r="BY649" s="244"/>
      <c r="BZ649" s="244">
        <v>0</v>
      </c>
      <c r="CA649" s="244">
        <v>0</v>
      </c>
      <c r="CB649" s="244">
        <v>5.8201375007629395</v>
      </c>
      <c r="CC649" s="244">
        <v>0</v>
      </c>
      <c r="CD649" s="228">
        <v>9999</v>
      </c>
      <c r="CE649" s="244">
        <v>-55.747802734375</v>
      </c>
      <c r="CF649" s="244">
        <v>3.1807170848411066E-2</v>
      </c>
      <c r="CG649" s="244">
        <v>0</v>
      </c>
      <c r="CH649" s="244">
        <v>3.1807170848411066E-2</v>
      </c>
      <c r="CI649" s="244">
        <v>1.5613015252110573E-3</v>
      </c>
      <c r="CJ649" s="244">
        <v>0</v>
      </c>
      <c r="CK649" s="244">
        <v>1.5613015252110573E-3</v>
      </c>
      <c r="CL649" s="244"/>
      <c r="CM649" s="244">
        <v>0</v>
      </c>
      <c r="CN649" s="244" t="s">
        <v>605</v>
      </c>
      <c r="CO649" s="244">
        <v>0</v>
      </c>
      <c r="CP649" s="244">
        <v>0</v>
      </c>
      <c r="CQ649" s="244">
        <v>0</v>
      </c>
      <c r="CR649" s="244">
        <v>0</v>
      </c>
      <c r="CS649" s="244">
        <v>0</v>
      </c>
      <c r="CT649" s="244">
        <v>0</v>
      </c>
      <c r="CU649" s="244">
        <v>0</v>
      </c>
      <c r="CV649" s="244">
        <v>9999</v>
      </c>
      <c r="CW649" s="228">
        <v>9999</v>
      </c>
    </row>
    <row r="650" spans="1:101">
      <c r="A650" s="221" t="s">
        <v>570</v>
      </c>
      <c r="B650" s="221" t="s">
        <v>604</v>
      </c>
      <c r="C650" s="244">
        <v>10</v>
      </c>
      <c r="D650" s="244">
        <v>3.8457341723257739</v>
      </c>
      <c r="E650" s="244">
        <v>0</v>
      </c>
      <c r="F650" s="244">
        <v>0</v>
      </c>
      <c r="G650" s="244">
        <v>0</v>
      </c>
      <c r="H650" s="244">
        <v>0</v>
      </c>
      <c r="I650" s="244" t="s">
        <v>605</v>
      </c>
      <c r="J650" s="244">
        <v>1</v>
      </c>
      <c r="K650" s="244">
        <v>0.63999998569488525</v>
      </c>
      <c r="L650" s="244">
        <v>4.1943992493726334</v>
      </c>
      <c r="M650" s="244">
        <v>3.0644010985270143E-4</v>
      </c>
      <c r="N650" s="244">
        <v>4.7881269711069763E-4</v>
      </c>
      <c r="O650" s="244">
        <v>0</v>
      </c>
      <c r="P650" s="244">
        <v>0</v>
      </c>
      <c r="Q650" s="244">
        <v>0</v>
      </c>
      <c r="R650" s="244">
        <v>0</v>
      </c>
      <c r="S650" s="244">
        <v>0</v>
      </c>
      <c r="T650" s="244">
        <v>0</v>
      </c>
      <c r="U650" s="244">
        <v>0</v>
      </c>
      <c r="V650" s="244" t="s">
        <v>226</v>
      </c>
      <c r="W650" s="244" t="s">
        <v>226</v>
      </c>
      <c r="X650" s="244" t="s">
        <v>226</v>
      </c>
      <c r="Y650" s="244" t="s">
        <v>226</v>
      </c>
      <c r="Z650" s="244">
        <v>0</v>
      </c>
      <c r="AA650" s="244">
        <v>0</v>
      </c>
      <c r="AB650" s="244">
        <v>0</v>
      </c>
      <c r="AC650" s="244">
        <v>0</v>
      </c>
      <c r="AD650" s="244">
        <v>0</v>
      </c>
      <c r="AE650" s="244">
        <v>0</v>
      </c>
      <c r="AF650" s="244">
        <v>0</v>
      </c>
      <c r="AG650" s="244">
        <v>0</v>
      </c>
      <c r="AH650" s="244">
        <v>0</v>
      </c>
      <c r="AI650" s="244">
        <v>0</v>
      </c>
      <c r="AJ650" s="244">
        <v>0</v>
      </c>
      <c r="AK650" s="244">
        <v>0</v>
      </c>
      <c r="AL650" s="244">
        <v>0</v>
      </c>
      <c r="AM650" s="244">
        <v>2.9061167599448496</v>
      </c>
      <c r="AN650" s="244">
        <v>0</v>
      </c>
      <c r="AO650" s="244">
        <v>0.51537913084030151</v>
      </c>
      <c r="AP650" s="244">
        <v>2.2476747035980225</v>
      </c>
      <c r="AQ650" s="244">
        <v>5.6691703796386719</v>
      </c>
      <c r="AR650" s="244">
        <v>0</v>
      </c>
      <c r="AS650" s="228">
        <v>9999</v>
      </c>
      <c r="AT650" s="244">
        <v>2.9061167599448496</v>
      </c>
      <c r="AU650" s="244">
        <v>0.13724254071712494</v>
      </c>
      <c r="AV650" s="244">
        <v>0.52910339832305908</v>
      </c>
      <c r="AW650" s="244">
        <v>2.2476747035980225</v>
      </c>
      <c r="AX650" s="244">
        <v>5.8201375007629395</v>
      </c>
      <c r="AY650" s="244">
        <v>0</v>
      </c>
      <c r="AZ650" s="228">
        <v>9999</v>
      </c>
      <c r="BA650" s="244">
        <v>2.9061167599448496</v>
      </c>
      <c r="BB650" s="244">
        <v>0.13724254071712494</v>
      </c>
      <c r="BC650" s="244">
        <v>0.52910339832305908</v>
      </c>
      <c r="BD650" s="244">
        <v>2.2476747035980225</v>
      </c>
      <c r="BE650" s="244">
        <v>5.8201375007629395</v>
      </c>
      <c r="BF650" s="244">
        <v>0</v>
      </c>
      <c r="BG650" s="244">
        <v>-55.747802734375</v>
      </c>
      <c r="BH650" s="228">
        <v>9999</v>
      </c>
      <c r="BI650" s="244">
        <v>0</v>
      </c>
      <c r="BJ650" s="244">
        <v>0</v>
      </c>
      <c r="BK650" s="244">
        <v>0</v>
      </c>
      <c r="BL650" s="244">
        <v>0</v>
      </c>
      <c r="BM650" s="244">
        <v>0</v>
      </c>
      <c r="BN650" s="244">
        <v>2.9061167599448496</v>
      </c>
      <c r="BO650" s="244">
        <v>0</v>
      </c>
      <c r="BP650" s="244">
        <v>0.13724254071712494</v>
      </c>
      <c r="BQ650" s="244">
        <v>0</v>
      </c>
      <c r="BR650" s="244">
        <v>0</v>
      </c>
      <c r="BS650" s="244">
        <v>0</v>
      </c>
      <c r="BT650" s="244">
        <v>2.2476747035980225</v>
      </c>
      <c r="BU650" s="244">
        <v>0</v>
      </c>
      <c r="BV650" s="244">
        <v>0</v>
      </c>
      <c r="BW650" s="244">
        <v>0.52910339832305908</v>
      </c>
      <c r="BX650" s="244">
        <v>0</v>
      </c>
      <c r="BY650" s="244"/>
      <c r="BZ650" s="244">
        <v>0</v>
      </c>
      <c r="CA650" s="244">
        <v>0</v>
      </c>
      <c r="CB650" s="244">
        <v>5.8201375007629395</v>
      </c>
      <c r="CC650" s="244">
        <v>0</v>
      </c>
      <c r="CD650" s="228">
        <v>9999</v>
      </c>
      <c r="CE650" s="244">
        <v>-55.747802734375</v>
      </c>
      <c r="CF650" s="244">
        <v>3.1807170848411066E-2</v>
      </c>
      <c r="CG650" s="244">
        <v>0</v>
      </c>
      <c r="CH650" s="244">
        <v>3.1807170848411066E-2</v>
      </c>
      <c r="CI650" s="244">
        <v>1.5613015252110573E-3</v>
      </c>
      <c r="CJ650" s="244">
        <v>0</v>
      </c>
      <c r="CK650" s="244">
        <v>1.5613015252110573E-3</v>
      </c>
      <c r="CL650" s="244"/>
      <c r="CM650" s="244">
        <v>0</v>
      </c>
      <c r="CN650" s="244" t="s">
        <v>605</v>
      </c>
      <c r="CO650" s="244">
        <v>0</v>
      </c>
      <c r="CP650" s="244">
        <v>0</v>
      </c>
      <c r="CQ650" s="244">
        <v>0</v>
      </c>
      <c r="CR650" s="244">
        <v>0</v>
      </c>
      <c r="CS650" s="244">
        <v>0</v>
      </c>
      <c r="CT650" s="244">
        <v>0</v>
      </c>
      <c r="CU650" s="244">
        <v>0</v>
      </c>
      <c r="CV650" s="244">
        <v>9999</v>
      </c>
      <c r="CW650" s="228">
        <v>9999</v>
      </c>
    </row>
    <row r="651" spans="1:101">
      <c r="A651" s="221" t="s">
        <v>571</v>
      </c>
      <c r="B651" s="221" t="s">
        <v>604</v>
      </c>
      <c r="C651" s="244">
        <v>10</v>
      </c>
      <c r="D651" s="244">
        <v>4.3264509438664982</v>
      </c>
      <c r="E651" s="244">
        <v>0</v>
      </c>
      <c r="F651" s="244">
        <v>0</v>
      </c>
      <c r="G651" s="244">
        <v>0</v>
      </c>
      <c r="H651" s="244">
        <v>0</v>
      </c>
      <c r="I651" s="244" t="s">
        <v>605</v>
      </c>
      <c r="J651" s="244">
        <v>1</v>
      </c>
      <c r="K651" s="244">
        <v>0.63999998569488525</v>
      </c>
      <c r="L651" s="244">
        <v>4.7186991555442148</v>
      </c>
      <c r="M651" s="244">
        <v>3.4474514541216195E-4</v>
      </c>
      <c r="N651" s="244">
        <v>5.3866428788751364E-4</v>
      </c>
      <c r="O651" s="244">
        <v>0</v>
      </c>
      <c r="P651" s="244">
        <v>0</v>
      </c>
      <c r="Q651" s="244">
        <v>0</v>
      </c>
      <c r="R651" s="244">
        <v>0</v>
      </c>
      <c r="S651" s="244">
        <v>0</v>
      </c>
      <c r="T651" s="244">
        <v>0</v>
      </c>
      <c r="U651" s="244">
        <v>0</v>
      </c>
      <c r="V651" s="244" t="s">
        <v>226</v>
      </c>
      <c r="W651" s="244" t="s">
        <v>226</v>
      </c>
      <c r="X651" s="244" t="s">
        <v>226</v>
      </c>
      <c r="Y651" s="244" t="s">
        <v>226</v>
      </c>
      <c r="Z651" s="244">
        <v>0</v>
      </c>
      <c r="AA651" s="244">
        <v>0</v>
      </c>
      <c r="AB651" s="244">
        <v>0</v>
      </c>
      <c r="AC651" s="244">
        <v>0</v>
      </c>
      <c r="AD651" s="244">
        <v>0</v>
      </c>
      <c r="AE651" s="244">
        <v>0</v>
      </c>
      <c r="AF651" s="244">
        <v>0</v>
      </c>
      <c r="AG651" s="244">
        <v>0</v>
      </c>
      <c r="AH651" s="244">
        <v>0</v>
      </c>
      <c r="AI651" s="244">
        <v>0</v>
      </c>
      <c r="AJ651" s="244">
        <v>0</v>
      </c>
      <c r="AK651" s="244">
        <v>0</v>
      </c>
      <c r="AL651" s="244">
        <v>0</v>
      </c>
      <c r="AM651" s="244">
        <v>3.2693813549379556</v>
      </c>
      <c r="AN651" s="244">
        <v>0</v>
      </c>
      <c r="AO651" s="244">
        <v>0.57980155944824219</v>
      </c>
      <c r="AP651" s="244">
        <v>2.5286343097686768</v>
      </c>
      <c r="AQ651" s="244">
        <v>6.3778171539306641</v>
      </c>
      <c r="AR651" s="244">
        <v>0</v>
      </c>
      <c r="AS651" s="228">
        <v>9999</v>
      </c>
      <c r="AT651" s="244">
        <v>3.2693813549379556</v>
      </c>
      <c r="AU651" s="244">
        <v>0.15439788997173309</v>
      </c>
      <c r="AV651" s="244">
        <v>0.59524136781692505</v>
      </c>
      <c r="AW651" s="244">
        <v>2.5286343097686768</v>
      </c>
      <c r="AX651" s="244">
        <v>6.5476551055908203</v>
      </c>
      <c r="AY651" s="244">
        <v>0</v>
      </c>
      <c r="AZ651" s="228">
        <v>9999</v>
      </c>
      <c r="BA651" s="244">
        <v>3.2693813549379556</v>
      </c>
      <c r="BB651" s="244">
        <v>0.15439788997173309</v>
      </c>
      <c r="BC651" s="244">
        <v>0.59524136781692505</v>
      </c>
      <c r="BD651" s="244">
        <v>2.5286343097686768</v>
      </c>
      <c r="BE651" s="244">
        <v>6.5476551055908203</v>
      </c>
      <c r="BF651" s="244">
        <v>0</v>
      </c>
      <c r="BG651" s="244">
        <v>-55.747810363769531</v>
      </c>
      <c r="BH651" s="228">
        <v>9999</v>
      </c>
      <c r="BI651" s="244">
        <v>0</v>
      </c>
      <c r="BJ651" s="244">
        <v>0</v>
      </c>
      <c r="BK651" s="244">
        <v>0</v>
      </c>
      <c r="BL651" s="244">
        <v>0</v>
      </c>
      <c r="BM651" s="244">
        <v>0</v>
      </c>
      <c r="BN651" s="244">
        <v>3.2693813549379556</v>
      </c>
      <c r="BO651" s="244">
        <v>0</v>
      </c>
      <c r="BP651" s="244">
        <v>0.15439788997173309</v>
      </c>
      <c r="BQ651" s="244">
        <v>0</v>
      </c>
      <c r="BR651" s="244">
        <v>0</v>
      </c>
      <c r="BS651" s="244">
        <v>0</v>
      </c>
      <c r="BT651" s="244">
        <v>2.5286343097686768</v>
      </c>
      <c r="BU651" s="244">
        <v>0</v>
      </c>
      <c r="BV651" s="244">
        <v>0</v>
      </c>
      <c r="BW651" s="244">
        <v>0.59524136781692505</v>
      </c>
      <c r="BX651" s="244">
        <v>0</v>
      </c>
      <c r="BY651" s="244"/>
      <c r="BZ651" s="244">
        <v>0</v>
      </c>
      <c r="CA651" s="244">
        <v>0</v>
      </c>
      <c r="CB651" s="244">
        <v>6.5476551055908203</v>
      </c>
      <c r="CC651" s="244">
        <v>0</v>
      </c>
      <c r="CD651" s="228">
        <v>9999</v>
      </c>
      <c r="CE651" s="244">
        <v>-55.747810363769531</v>
      </c>
      <c r="CF651" s="244">
        <v>3.57830672044624E-2</v>
      </c>
      <c r="CG651" s="244">
        <v>0</v>
      </c>
      <c r="CH651" s="244">
        <v>3.57830672044624E-2</v>
      </c>
      <c r="CI651" s="244">
        <v>1.7564642158624407E-3</v>
      </c>
      <c r="CJ651" s="244">
        <v>0</v>
      </c>
      <c r="CK651" s="244">
        <v>1.7564642158624407E-3</v>
      </c>
      <c r="CL651" s="244"/>
      <c r="CM651" s="244">
        <v>0</v>
      </c>
      <c r="CN651" s="244" t="s">
        <v>605</v>
      </c>
      <c r="CO651" s="244">
        <v>0</v>
      </c>
      <c r="CP651" s="244">
        <v>0</v>
      </c>
      <c r="CQ651" s="244">
        <v>0</v>
      </c>
      <c r="CR651" s="244">
        <v>0</v>
      </c>
      <c r="CS651" s="244">
        <v>0</v>
      </c>
      <c r="CT651" s="244">
        <v>0</v>
      </c>
      <c r="CU651" s="244">
        <v>0</v>
      </c>
      <c r="CV651" s="244">
        <v>9999</v>
      </c>
      <c r="CW651" s="228">
        <v>9999</v>
      </c>
    </row>
    <row r="652" spans="1:101">
      <c r="A652" s="221" t="s">
        <v>572</v>
      </c>
      <c r="B652" s="221" t="s">
        <v>604</v>
      </c>
      <c r="C652" s="244">
        <v>10</v>
      </c>
      <c r="D652" s="244">
        <v>4.3264509438664982</v>
      </c>
      <c r="E652" s="244">
        <v>0</v>
      </c>
      <c r="F652" s="244">
        <v>0</v>
      </c>
      <c r="G652" s="244">
        <v>0</v>
      </c>
      <c r="H652" s="244">
        <v>0</v>
      </c>
      <c r="I652" s="244" t="s">
        <v>605</v>
      </c>
      <c r="J652" s="244">
        <v>1</v>
      </c>
      <c r="K652" s="244">
        <v>0.63999998569488525</v>
      </c>
      <c r="L652" s="244">
        <v>4.7186991555442148</v>
      </c>
      <c r="M652" s="244">
        <v>3.4474514541216195E-4</v>
      </c>
      <c r="N652" s="244">
        <v>5.3866428788751364E-4</v>
      </c>
      <c r="O652" s="244">
        <v>0</v>
      </c>
      <c r="P652" s="244">
        <v>0</v>
      </c>
      <c r="Q652" s="244">
        <v>0</v>
      </c>
      <c r="R652" s="244">
        <v>0</v>
      </c>
      <c r="S652" s="244">
        <v>0</v>
      </c>
      <c r="T652" s="244">
        <v>0</v>
      </c>
      <c r="U652" s="244">
        <v>0</v>
      </c>
      <c r="V652" s="244" t="s">
        <v>226</v>
      </c>
      <c r="W652" s="244" t="s">
        <v>226</v>
      </c>
      <c r="X652" s="244" t="s">
        <v>226</v>
      </c>
      <c r="Y652" s="244" t="s">
        <v>226</v>
      </c>
      <c r="Z652" s="244">
        <v>0</v>
      </c>
      <c r="AA652" s="244">
        <v>0</v>
      </c>
      <c r="AB652" s="244">
        <v>0</v>
      </c>
      <c r="AC652" s="244">
        <v>0</v>
      </c>
      <c r="AD652" s="244">
        <v>0</v>
      </c>
      <c r="AE652" s="244">
        <v>0</v>
      </c>
      <c r="AF652" s="244">
        <v>0</v>
      </c>
      <c r="AG652" s="244">
        <v>0</v>
      </c>
      <c r="AH652" s="244">
        <v>0</v>
      </c>
      <c r="AI652" s="244">
        <v>0</v>
      </c>
      <c r="AJ652" s="244">
        <v>0</v>
      </c>
      <c r="AK652" s="244">
        <v>0</v>
      </c>
      <c r="AL652" s="244">
        <v>0</v>
      </c>
      <c r="AM652" s="244">
        <v>3.2693813549379556</v>
      </c>
      <c r="AN652" s="244">
        <v>0</v>
      </c>
      <c r="AO652" s="244">
        <v>0.57980155944824219</v>
      </c>
      <c r="AP652" s="244">
        <v>2.5286343097686768</v>
      </c>
      <c r="AQ652" s="244">
        <v>6.3778171539306641</v>
      </c>
      <c r="AR652" s="244">
        <v>0</v>
      </c>
      <c r="AS652" s="228">
        <v>9999</v>
      </c>
      <c r="AT652" s="244">
        <v>3.2693813549379556</v>
      </c>
      <c r="AU652" s="244">
        <v>0.15439788997173309</v>
      </c>
      <c r="AV652" s="244">
        <v>0.59524136781692505</v>
      </c>
      <c r="AW652" s="244">
        <v>2.5286343097686768</v>
      </c>
      <c r="AX652" s="244">
        <v>6.5476551055908203</v>
      </c>
      <c r="AY652" s="244">
        <v>0</v>
      </c>
      <c r="AZ652" s="228">
        <v>9999</v>
      </c>
      <c r="BA652" s="244">
        <v>3.2693813549379556</v>
      </c>
      <c r="BB652" s="244">
        <v>0.15439788997173309</v>
      </c>
      <c r="BC652" s="244">
        <v>0.59524136781692505</v>
      </c>
      <c r="BD652" s="244">
        <v>2.5286343097686768</v>
      </c>
      <c r="BE652" s="244">
        <v>6.5476551055908203</v>
      </c>
      <c r="BF652" s="244">
        <v>0</v>
      </c>
      <c r="BG652" s="244">
        <v>-55.747810363769531</v>
      </c>
      <c r="BH652" s="228">
        <v>9999</v>
      </c>
      <c r="BI652" s="244">
        <v>0</v>
      </c>
      <c r="BJ652" s="244">
        <v>0</v>
      </c>
      <c r="BK652" s="244">
        <v>0</v>
      </c>
      <c r="BL652" s="244">
        <v>0</v>
      </c>
      <c r="BM652" s="244">
        <v>0</v>
      </c>
      <c r="BN652" s="244">
        <v>3.2693813549379556</v>
      </c>
      <c r="BO652" s="244">
        <v>0</v>
      </c>
      <c r="BP652" s="244">
        <v>0.15439788997173309</v>
      </c>
      <c r="BQ652" s="244">
        <v>0</v>
      </c>
      <c r="BR652" s="244">
        <v>0</v>
      </c>
      <c r="BS652" s="244">
        <v>0</v>
      </c>
      <c r="BT652" s="244">
        <v>2.5286343097686768</v>
      </c>
      <c r="BU652" s="244">
        <v>0</v>
      </c>
      <c r="BV652" s="244">
        <v>0</v>
      </c>
      <c r="BW652" s="244">
        <v>0.59524136781692505</v>
      </c>
      <c r="BX652" s="244">
        <v>0</v>
      </c>
      <c r="BY652" s="244"/>
      <c r="BZ652" s="244">
        <v>0</v>
      </c>
      <c r="CA652" s="244">
        <v>0</v>
      </c>
      <c r="CB652" s="244">
        <v>6.5476551055908203</v>
      </c>
      <c r="CC652" s="244">
        <v>0</v>
      </c>
      <c r="CD652" s="228">
        <v>9999</v>
      </c>
      <c r="CE652" s="244">
        <v>-55.747810363769531</v>
      </c>
      <c r="CF652" s="244">
        <v>3.57830672044624E-2</v>
      </c>
      <c r="CG652" s="244">
        <v>0</v>
      </c>
      <c r="CH652" s="244">
        <v>3.57830672044624E-2</v>
      </c>
      <c r="CI652" s="244">
        <v>1.7564642158624407E-3</v>
      </c>
      <c r="CJ652" s="244">
        <v>0</v>
      </c>
      <c r="CK652" s="244">
        <v>1.7564642158624407E-3</v>
      </c>
      <c r="CL652" s="244"/>
      <c r="CM652" s="244">
        <v>0</v>
      </c>
      <c r="CN652" s="244" t="s">
        <v>605</v>
      </c>
      <c r="CO652" s="244">
        <v>0</v>
      </c>
      <c r="CP652" s="244">
        <v>0</v>
      </c>
      <c r="CQ652" s="244">
        <v>0</v>
      </c>
      <c r="CR652" s="244">
        <v>0</v>
      </c>
      <c r="CS652" s="244">
        <v>0</v>
      </c>
      <c r="CT652" s="244">
        <v>0</v>
      </c>
      <c r="CU652" s="244">
        <v>0</v>
      </c>
      <c r="CV652" s="244">
        <v>9999</v>
      </c>
      <c r="CW652" s="228">
        <v>9999</v>
      </c>
    </row>
    <row r="653" spans="1:101">
      <c r="A653" s="221" t="s">
        <v>573</v>
      </c>
      <c r="B653" s="221" t="s">
        <v>604</v>
      </c>
      <c r="C653" s="244">
        <v>10</v>
      </c>
      <c r="D653" s="244">
        <v>4.3264509438664982</v>
      </c>
      <c r="E653" s="244">
        <v>0</v>
      </c>
      <c r="F653" s="244">
        <v>0</v>
      </c>
      <c r="G653" s="244">
        <v>0</v>
      </c>
      <c r="H653" s="244">
        <v>0</v>
      </c>
      <c r="I653" s="244" t="s">
        <v>605</v>
      </c>
      <c r="J653" s="244">
        <v>1</v>
      </c>
      <c r="K653" s="244">
        <v>0.63999998569488525</v>
      </c>
      <c r="L653" s="244">
        <v>4.7186991555442148</v>
      </c>
      <c r="M653" s="244">
        <v>3.4474514541216195E-4</v>
      </c>
      <c r="N653" s="244">
        <v>5.3866428788751364E-4</v>
      </c>
      <c r="O653" s="244">
        <v>0</v>
      </c>
      <c r="P653" s="244">
        <v>0</v>
      </c>
      <c r="Q653" s="244">
        <v>0</v>
      </c>
      <c r="R653" s="244">
        <v>0</v>
      </c>
      <c r="S653" s="244">
        <v>0</v>
      </c>
      <c r="T653" s="244">
        <v>0</v>
      </c>
      <c r="U653" s="244">
        <v>0</v>
      </c>
      <c r="V653" s="244" t="s">
        <v>226</v>
      </c>
      <c r="W653" s="244" t="s">
        <v>226</v>
      </c>
      <c r="X653" s="244" t="s">
        <v>226</v>
      </c>
      <c r="Y653" s="244" t="s">
        <v>226</v>
      </c>
      <c r="Z653" s="244">
        <v>0</v>
      </c>
      <c r="AA653" s="244">
        <v>0</v>
      </c>
      <c r="AB653" s="244">
        <v>0</v>
      </c>
      <c r="AC653" s="244">
        <v>0</v>
      </c>
      <c r="AD653" s="244">
        <v>0</v>
      </c>
      <c r="AE653" s="244">
        <v>0</v>
      </c>
      <c r="AF653" s="244">
        <v>0</v>
      </c>
      <c r="AG653" s="244">
        <v>0</v>
      </c>
      <c r="AH653" s="244">
        <v>0</v>
      </c>
      <c r="AI653" s="244">
        <v>0</v>
      </c>
      <c r="AJ653" s="244">
        <v>0</v>
      </c>
      <c r="AK653" s="244">
        <v>0</v>
      </c>
      <c r="AL653" s="244">
        <v>0</v>
      </c>
      <c r="AM653" s="244">
        <v>3.2693813549379556</v>
      </c>
      <c r="AN653" s="244">
        <v>0</v>
      </c>
      <c r="AO653" s="244">
        <v>0.57980155944824219</v>
      </c>
      <c r="AP653" s="244">
        <v>2.5286343097686768</v>
      </c>
      <c r="AQ653" s="244">
        <v>6.3778171539306641</v>
      </c>
      <c r="AR653" s="244">
        <v>0</v>
      </c>
      <c r="AS653" s="228">
        <v>9999</v>
      </c>
      <c r="AT653" s="244">
        <v>3.2693813549379556</v>
      </c>
      <c r="AU653" s="244">
        <v>0.15439788997173309</v>
      </c>
      <c r="AV653" s="244">
        <v>0.59524136781692505</v>
      </c>
      <c r="AW653" s="244">
        <v>2.5286343097686768</v>
      </c>
      <c r="AX653" s="244">
        <v>6.5476551055908203</v>
      </c>
      <c r="AY653" s="244">
        <v>0</v>
      </c>
      <c r="AZ653" s="228">
        <v>9999</v>
      </c>
      <c r="BA653" s="244">
        <v>3.2693813549379556</v>
      </c>
      <c r="BB653" s="244">
        <v>0.15439788997173309</v>
      </c>
      <c r="BC653" s="244">
        <v>0.59524136781692505</v>
      </c>
      <c r="BD653" s="244">
        <v>2.5286343097686768</v>
      </c>
      <c r="BE653" s="244">
        <v>6.5476551055908203</v>
      </c>
      <c r="BF653" s="244">
        <v>0</v>
      </c>
      <c r="BG653" s="244">
        <v>-55.747810363769531</v>
      </c>
      <c r="BH653" s="228">
        <v>9999</v>
      </c>
      <c r="BI653" s="244">
        <v>0</v>
      </c>
      <c r="BJ653" s="244">
        <v>0</v>
      </c>
      <c r="BK653" s="244">
        <v>0</v>
      </c>
      <c r="BL653" s="244">
        <v>0</v>
      </c>
      <c r="BM653" s="244">
        <v>0</v>
      </c>
      <c r="BN653" s="244">
        <v>3.2693813549379556</v>
      </c>
      <c r="BO653" s="244">
        <v>0</v>
      </c>
      <c r="BP653" s="244">
        <v>0.15439788997173309</v>
      </c>
      <c r="BQ653" s="244">
        <v>0</v>
      </c>
      <c r="BR653" s="244">
        <v>0</v>
      </c>
      <c r="BS653" s="244">
        <v>0</v>
      </c>
      <c r="BT653" s="244">
        <v>2.5286343097686768</v>
      </c>
      <c r="BU653" s="244">
        <v>0</v>
      </c>
      <c r="BV653" s="244">
        <v>0</v>
      </c>
      <c r="BW653" s="244">
        <v>0.59524136781692505</v>
      </c>
      <c r="BX653" s="244">
        <v>0</v>
      </c>
      <c r="BY653" s="244"/>
      <c r="BZ653" s="244">
        <v>0</v>
      </c>
      <c r="CA653" s="244">
        <v>0</v>
      </c>
      <c r="CB653" s="244">
        <v>6.5476551055908203</v>
      </c>
      <c r="CC653" s="244">
        <v>0</v>
      </c>
      <c r="CD653" s="228">
        <v>9999</v>
      </c>
      <c r="CE653" s="244">
        <v>-55.747810363769531</v>
      </c>
      <c r="CF653" s="244">
        <v>3.57830672044624E-2</v>
      </c>
      <c r="CG653" s="244">
        <v>0</v>
      </c>
      <c r="CH653" s="244">
        <v>3.57830672044624E-2</v>
      </c>
      <c r="CI653" s="244">
        <v>1.7564642158624407E-3</v>
      </c>
      <c r="CJ653" s="244">
        <v>0</v>
      </c>
      <c r="CK653" s="244">
        <v>1.7564642158624407E-3</v>
      </c>
      <c r="CL653" s="244"/>
      <c r="CM653" s="244">
        <v>0</v>
      </c>
      <c r="CN653" s="244" t="s">
        <v>605</v>
      </c>
      <c r="CO653" s="244">
        <v>0</v>
      </c>
      <c r="CP653" s="244">
        <v>0</v>
      </c>
      <c r="CQ653" s="244">
        <v>0</v>
      </c>
      <c r="CR653" s="244">
        <v>0</v>
      </c>
      <c r="CS653" s="244">
        <v>0</v>
      </c>
      <c r="CT653" s="244">
        <v>0</v>
      </c>
      <c r="CU653" s="244">
        <v>0</v>
      </c>
      <c r="CV653" s="244">
        <v>9999</v>
      </c>
      <c r="CW653" s="228">
        <v>9999</v>
      </c>
    </row>
    <row r="654" spans="1:101">
      <c r="A654" s="221" t="s">
        <v>574</v>
      </c>
      <c r="B654" s="221" t="s">
        <v>604</v>
      </c>
      <c r="C654" s="244">
        <v>10</v>
      </c>
      <c r="D654" s="244">
        <v>6.7300348015701053</v>
      </c>
      <c r="E654" s="244">
        <v>0</v>
      </c>
      <c r="F654" s="244">
        <v>0</v>
      </c>
      <c r="G654" s="244">
        <v>0</v>
      </c>
      <c r="H654" s="244">
        <v>0</v>
      </c>
      <c r="I654" s="244" t="s">
        <v>605</v>
      </c>
      <c r="J654" s="244">
        <v>1</v>
      </c>
      <c r="K654" s="244">
        <v>0.63999998569488525</v>
      </c>
      <c r="L654" s="244">
        <v>7.3401986864021094</v>
      </c>
      <c r="M654" s="244">
        <v>5.3627020679414272E-4</v>
      </c>
      <c r="N654" s="244">
        <v>8.3792221266776323E-4</v>
      </c>
      <c r="O654" s="244">
        <v>0</v>
      </c>
      <c r="P654" s="244">
        <v>0</v>
      </c>
      <c r="Q654" s="244">
        <v>0</v>
      </c>
      <c r="R654" s="244">
        <v>0</v>
      </c>
      <c r="S654" s="244">
        <v>0</v>
      </c>
      <c r="T654" s="244">
        <v>0</v>
      </c>
      <c r="U654" s="244">
        <v>0</v>
      </c>
      <c r="V654" s="244" t="s">
        <v>226</v>
      </c>
      <c r="W654" s="244" t="s">
        <v>226</v>
      </c>
      <c r="X654" s="244" t="s">
        <v>226</v>
      </c>
      <c r="Y654" s="244" t="s">
        <v>226</v>
      </c>
      <c r="Z654" s="244">
        <v>0</v>
      </c>
      <c r="AA654" s="244">
        <v>0</v>
      </c>
      <c r="AB654" s="244">
        <v>0</v>
      </c>
      <c r="AC654" s="244">
        <v>0</v>
      </c>
      <c r="AD654" s="244">
        <v>0</v>
      </c>
      <c r="AE654" s="244">
        <v>0</v>
      </c>
      <c r="AF654" s="244">
        <v>0</v>
      </c>
      <c r="AG654" s="244">
        <v>0</v>
      </c>
      <c r="AH654" s="244">
        <v>0</v>
      </c>
      <c r="AI654" s="244">
        <v>0</v>
      </c>
      <c r="AJ654" s="244">
        <v>0</v>
      </c>
      <c r="AK654" s="244">
        <v>0</v>
      </c>
      <c r="AL654" s="244">
        <v>0</v>
      </c>
      <c r="AM654" s="244">
        <v>5.0857043299034732</v>
      </c>
      <c r="AN654" s="244">
        <v>0</v>
      </c>
      <c r="AO654" s="244">
        <v>0.90191352367401123</v>
      </c>
      <c r="AP654" s="244">
        <v>3.9334309101104736</v>
      </c>
      <c r="AQ654" s="244">
        <v>9.9210491180419922</v>
      </c>
      <c r="AR654" s="244">
        <v>0</v>
      </c>
      <c r="AS654" s="228">
        <v>9999</v>
      </c>
      <c r="AT654" s="244">
        <v>5.0857043299034732</v>
      </c>
      <c r="AU654" s="244">
        <v>0.24017441272735596</v>
      </c>
      <c r="AV654" s="244">
        <v>0.92593097686767578</v>
      </c>
      <c r="AW654" s="244">
        <v>3.9334309101104736</v>
      </c>
      <c r="AX654" s="244">
        <v>10.185240745544434</v>
      </c>
      <c r="AY654" s="244">
        <v>0</v>
      </c>
      <c r="AZ654" s="228">
        <v>9999</v>
      </c>
      <c r="BA654" s="244">
        <v>5.0857043299034732</v>
      </c>
      <c r="BB654" s="244">
        <v>0.24017441272735596</v>
      </c>
      <c r="BC654" s="244">
        <v>0.92593097686767578</v>
      </c>
      <c r="BD654" s="244">
        <v>3.9334309101104736</v>
      </c>
      <c r="BE654" s="244">
        <v>10.185240745544434</v>
      </c>
      <c r="BF654" s="244">
        <v>0</v>
      </c>
      <c r="BG654" s="244">
        <v>-55.747806549072266</v>
      </c>
      <c r="BH654" s="228">
        <v>9999</v>
      </c>
      <c r="BI654" s="244">
        <v>0</v>
      </c>
      <c r="BJ654" s="244">
        <v>0</v>
      </c>
      <c r="BK654" s="244">
        <v>0</v>
      </c>
      <c r="BL654" s="244">
        <v>0</v>
      </c>
      <c r="BM654" s="244">
        <v>0</v>
      </c>
      <c r="BN654" s="244">
        <v>5.0857043299034732</v>
      </c>
      <c r="BO654" s="244">
        <v>0</v>
      </c>
      <c r="BP654" s="244">
        <v>0.24017441272735596</v>
      </c>
      <c r="BQ654" s="244">
        <v>0</v>
      </c>
      <c r="BR654" s="244">
        <v>0</v>
      </c>
      <c r="BS654" s="244">
        <v>0</v>
      </c>
      <c r="BT654" s="244">
        <v>3.9334309101104736</v>
      </c>
      <c r="BU654" s="244">
        <v>0</v>
      </c>
      <c r="BV654" s="244">
        <v>0</v>
      </c>
      <c r="BW654" s="244">
        <v>0.92593097686767578</v>
      </c>
      <c r="BX654" s="244">
        <v>0</v>
      </c>
      <c r="BY654" s="244"/>
      <c r="BZ654" s="244">
        <v>0</v>
      </c>
      <c r="CA654" s="244">
        <v>0</v>
      </c>
      <c r="CB654" s="244">
        <v>10.185240745544434</v>
      </c>
      <c r="CC654" s="244">
        <v>0</v>
      </c>
      <c r="CD654" s="228">
        <v>9999</v>
      </c>
      <c r="CE654" s="244">
        <v>-55.747806549072266</v>
      </c>
      <c r="CF654" s="244">
        <v>5.5662548984719437E-2</v>
      </c>
      <c r="CG654" s="244">
        <v>0</v>
      </c>
      <c r="CH654" s="244">
        <v>5.5662548984719437E-2</v>
      </c>
      <c r="CI654" s="244">
        <v>2.7322776691193528E-3</v>
      </c>
      <c r="CJ654" s="244">
        <v>0</v>
      </c>
      <c r="CK654" s="244">
        <v>2.7322776691193528E-3</v>
      </c>
      <c r="CL654" s="244"/>
      <c r="CM654" s="244">
        <v>0</v>
      </c>
      <c r="CN654" s="244" t="s">
        <v>605</v>
      </c>
      <c r="CO654" s="244">
        <v>0</v>
      </c>
      <c r="CP654" s="244">
        <v>0</v>
      </c>
      <c r="CQ654" s="244">
        <v>0</v>
      </c>
      <c r="CR654" s="244">
        <v>0</v>
      </c>
      <c r="CS654" s="244">
        <v>0</v>
      </c>
      <c r="CT654" s="244">
        <v>0</v>
      </c>
      <c r="CU654" s="244">
        <v>0</v>
      </c>
      <c r="CV654" s="244">
        <v>9999</v>
      </c>
      <c r="CW654" s="228">
        <v>9999</v>
      </c>
    </row>
    <row r="655" spans="1:101">
      <c r="A655" s="221" t="s">
        <v>575</v>
      </c>
      <c r="B655" s="221" t="s">
        <v>604</v>
      </c>
      <c r="C655" s="244">
        <v>10</v>
      </c>
      <c r="D655" s="244">
        <v>6.7300348015701053</v>
      </c>
      <c r="E655" s="244">
        <v>0</v>
      </c>
      <c r="F655" s="244">
        <v>0</v>
      </c>
      <c r="G655" s="244">
        <v>0</v>
      </c>
      <c r="H655" s="244">
        <v>0</v>
      </c>
      <c r="I655" s="244" t="s">
        <v>605</v>
      </c>
      <c r="J655" s="244">
        <v>1</v>
      </c>
      <c r="K655" s="244">
        <v>0.63999998569488525</v>
      </c>
      <c r="L655" s="244">
        <v>7.3401986864021094</v>
      </c>
      <c r="M655" s="244">
        <v>5.3627020679414272E-4</v>
      </c>
      <c r="N655" s="244">
        <v>8.3792221266776323E-4</v>
      </c>
      <c r="O655" s="244">
        <v>0</v>
      </c>
      <c r="P655" s="244">
        <v>0</v>
      </c>
      <c r="Q655" s="244">
        <v>0</v>
      </c>
      <c r="R655" s="244">
        <v>0</v>
      </c>
      <c r="S655" s="244">
        <v>0</v>
      </c>
      <c r="T655" s="244">
        <v>0</v>
      </c>
      <c r="U655" s="244">
        <v>0</v>
      </c>
      <c r="V655" s="244" t="s">
        <v>226</v>
      </c>
      <c r="W655" s="244" t="s">
        <v>226</v>
      </c>
      <c r="X655" s="244" t="s">
        <v>226</v>
      </c>
      <c r="Y655" s="244" t="s">
        <v>226</v>
      </c>
      <c r="Z655" s="244">
        <v>0</v>
      </c>
      <c r="AA655" s="244">
        <v>0</v>
      </c>
      <c r="AB655" s="244">
        <v>0</v>
      </c>
      <c r="AC655" s="244">
        <v>0</v>
      </c>
      <c r="AD655" s="244">
        <v>0</v>
      </c>
      <c r="AE655" s="244">
        <v>0</v>
      </c>
      <c r="AF655" s="244">
        <v>0</v>
      </c>
      <c r="AG655" s="244">
        <v>0</v>
      </c>
      <c r="AH655" s="244">
        <v>0</v>
      </c>
      <c r="AI655" s="244">
        <v>0</v>
      </c>
      <c r="AJ655" s="244">
        <v>0</v>
      </c>
      <c r="AK655" s="244">
        <v>0</v>
      </c>
      <c r="AL655" s="244">
        <v>0</v>
      </c>
      <c r="AM655" s="244">
        <v>5.0857043299034732</v>
      </c>
      <c r="AN655" s="244">
        <v>0</v>
      </c>
      <c r="AO655" s="244">
        <v>0.90191352367401123</v>
      </c>
      <c r="AP655" s="244">
        <v>3.9334309101104736</v>
      </c>
      <c r="AQ655" s="244">
        <v>9.9210491180419922</v>
      </c>
      <c r="AR655" s="244">
        <v>0</v>
      </c>
      <c r="AS655" s="228">
        <v>9999</v>
      </c>
      <c r="AT655" s="244">
        <v>5.0857043299034732</v>
      </c>
      <c r="AU655" s="244">
        <v>0.24017441272735596</v>
      </c>
      <c r="AV655" s="244">
        <v>0.92593097686767578</v>
      </c>
      <c r="AW655" s="244">
        <v>3.9334309101104736</v>
      </c>
      <c r="AX655" s="244">
        <v>10.185240745544434</v>
      </c>
      <c r="AY655" s="244">
        <v>0</v>
      </c>
      <c r="AZ655" s="228">
        <v>9999</v>
      </c>
      <c r="BA655" s="244">
        <v>5.0857043299034732</v>
      </c>
      <c r="BB655" s="244">
        <v>0.24017441272735596</v>
      </c>
      <c r="BC655" s="244">
        <v>0.92593097686767578</v>
      </c>
      <c r="BD655" s="244">
        <v>3.9334309101104736</v>
      </c>
      <c r="BE655" s="244">
        <v>10.185240745544434</v>
      </c>
      <c r="BF655" s="244">
        <v>0</v>
      </c>
      <c r="BG655" s="244">
        <v>-55.747806549072266</v>
      </c>
      <c r="BH655" s="228">
        <v>9999</v>
      </c>
      <c r="BI655" s="244">
        <v>0</v>
      </c>
      <c r="BJ655" s="244">
        <v>0</v>
      </c>
      <c r="BK655" s="244">
        <v>0</v>
      </c>
      <c r="BL655" s="244">
        <v>0</v>
      </c>
      <c r="BM655" s="244">
        <v>0</v>
      </c>
      <c r="BN655" s="244">
        <v>5.0857043299034732</v>
      </c>
      <c r="BO655" s="244">
        <v>0</v>
      </c>
      <c r="BP655" s="244">
        <v>0.24017441272735596</v>
      </c>
      <c r="BQ655" s="244">
        <v>0</v>
      </c>
      <c r="BR655" s="244">
        <v>0</v>
      </c>
      <c r="BS655" s="244">
        <v>0</v>
      </c>
      <c r="BT655" s="244">
        <v>3.9334309101104736</v>
      </c>
      <c r="BU655" s="244">
        <v>0</v>
      </c>
      <c r="BV655" s="244">
        <v>0</v>
      </c>
      <c r="BW655" s="244">
        <v>0.92593097686767578</v>
      </c>
      <c r="BX655" s="244">
        <v>0</v>
      </c>
      <c r="BY655" s="244"/>
      <c r="BZ655" s="244">
        <v>0</v>
      </c>
      <c r="CA655" s="244">
        <v>0</v>
      </c>
      <c r="CB655" s="244">
        <v>10.185240745544434</v>
      </c>
      <c r="CC655" s="244">
        <v>0</v>
      </c>
      <c r="CD655" s="228">
        <v>9999</v>
      </c>
      <c r="CE655" s="244">
        <v>-55.747806549072266</v>
      </c>
      <c r="CF655" s="244">
        <v>5.5662548984719437E-2</v>
      </c>
      <c r="CG655" s="244">
        <v>0</v>
      </c>
      <c r="CH655" s="244">
        <v>5.5662548984719437E-2</v>
      </c>
      <c r="CI655" s="244">
        <v>2.7322776691193528E-3</v>
      </c>
      <c r="CJ655" s="244">
        <v>0</v>
      </c>
      <c r="CK655" s="244">
        <v>2.7322776691193528E-3</v>
      </c>
      <c r="CL655" s="244"/>
      <c r="CM655" s="244">
        <v>0</v>
      </c>
      <c r="CN655" s="244" t="s">
        <v>605</v>
      </c>
      <c r="CO655" s="244">
        <v>0</v>
      </c>
      <c r="CP655" s="244">
        <v>0</v>
      </c>
      <c r="CQ655" s="244">
        <v>0</v>
      </c>
      <c r="CR655" s="244">
        <v>0</v>
      </c>
      <c r="CS655" s="244">
        <v>0</v>
      </c>
      <c r="CT655" s="244">
        <v>0</v>
      </c>
      <c r="CU655" s="244">
        <v>0</v>
      </c>
      <c r="CV655" s="244">
        <v>9999</v>
      </c>
      <c r="CW655" s="228">
        <v>9999</v>
      </c>
    </row>
    <row r="656" spans="1:101">
      <c r="A656" s="221" t="s">
        <v>576</v>
      </c>
      <c r="B656" s="221" t="s">
        <v>604</v>
      </c>
      <c r="C656" s="244">
        <v>10</v>
      </c>
      <c r="D656" s="244">
        <v>6.7300348015701053</v>
      </c>
      <c r="E656" s="244">
        <v>0</v>
      </c>
      <c r="F656" s="244">
        <v>0</v>
      </c>
      <c r="G656" s="244">
        <v>0</v>
      </c>
      <c r="H656" s="244">
        <v>0</v>
      </c>
      <c r="I656" s="244" t="s">
        <v>605</v>
      </c>
      <c r="J656" s="244">
        <v>1</v>
      </c>
      <c r="K656" s="244">
        <v>0.63999998569488525</v>
      </c>
      <c r="L656" s="244">
        <v>7.3401986864021094</v>
      </c>
      <c r="M656" s="244">
        <v>5.3627020679414272E-4</v>
      </c>
      <c r="N656" s="244">
        <v>8.3792221266776323E-4</v>
      </c>
      <c r="O656" s="244">
        <v>0</v>
      </c>
      <c r="P656" s="244">
        <v>0</v>
      </c>
      <c r="Q656" s="244">
        <v>0</v>
      </c>
      <c r="R656" s="244">
        <v>0</v>
      </c>
      <c r="S656" s="244">
        <v>0</v>
      </c>
      <c r="T656" s="244">
        <v>0</v>
      </c>
      <c r="U656" s="244">
        <v>0</v>
      </c>
      <c r="V656" s="244" t="s">
        <v>226</v>
      </c>
      <c r="W656" s="244" t="s">
        <v>226</v>
      </c>
      <c r="X656" s="244" t="s">
        <v>226</v>
      </c>
      <c r="Y656" s="244" t="s">
        <v>226</v>
      </c>
      <c r="Z656" s="244">
        <v>0</v>
      </c>
      <c r="AA656" s="244">
        <v>0</v>
      </c>
      <c r="AB656" s="244">
        <v>0</v>
      </c>
      <c r="AC656" s="244">
        <v>0</v>
      </c>
      <c r="AD656" s="244">
        <v>0</v>
      </c>
      <c r="AE656" s="244">
        <v>0</v>
      </c>
      <c r="AF656" s="244">
        <v>0</v>
      </c>
      <c r="AG656" s="244">
        <v>0</v>
      </c>
      <c r="AH656" s="244">
        <v>0</v>
      </c>
      <c r="AI656" s="244">
        <v>0</v>
      </c>
      <c r="AJ656" s="244">
        <v>0</v>
      </c>
      <c r="AK656" s="244">
        <v>0</v>
      </c>
      <c r="AL656" s="244">
        <v>0</v>
      </c>
      <c r="AM656" s="244">
        <v>5.0857043299034732</v>
      </c>
      <c r="AN656" s="244">
        <v>0</v>
      </c>
      <c r="AO656" s="244">
        <v>0.90191352367401123</v>
      </c>
      <c r="AP656" s="244">
        <v>3.9334309101104736</v>
      </c>
      <c r="AQ656" s="244">
        <v>9.9210491180419922</v>
      </c>
      <c r="AR656" s="244">
        <v>0</v>
      </c>
      <c r="AS656" s="228">
        <v>9999</v>
      </c>
      <c r="AT656" s="244">
        <v>5.0857043299034732</v>
      </c>
      <c r="AU656" s="244">
        <v>0.24017441272735596</v>
      </c>
      <c r="AV656" s="244">
        <v>0.92593097686767578</v>
      </c>
      <c r="AW656" s="244">
        <v>3.9334309101104736</v>
      </c>
      <c r="AX656" s="244">
        <v>10.185240745544434</v>
      </c>
      <c r="AY656" s="244">
        <v>0</v>
      </c>
      <c r="AZ656" s="228">
        <v>9999</v>
      </c>
      <c r="BA656" s="244">
        <v>5.0857043299034732</v>
      </c>
      <c r="BB656" s="244">
        <v>0.24017441272735596</v>
      </c>
      <c r="BC656" s="244">
        <v>0.92593097686767578</v>
      </c>
      <c r="BD656" s="244">
        <v>3.9334309101104736</v>
      </c>
      <c r="BE656" s="244">
        <v>10.185240745544434</v>
      </c>
      <c r="BF656" s="244">
        <v>0</v>
      </c>
      <c r="BG656" s="244">
        <v>-55.747806549072266</v>
      </c>
      <c r="BH656" s="228">
        <v>9999</v>
      </c>
      <c r="BI656" s="244">
        <v>0</v>
      </c>
      <c r="BJ656" s="244">
        <v>0</v>
      </c>
      <c r="BK656" s="244">
        <v>0</v>
      </c>
      <c r="BL656" s="244">
        <v>0</v>
      </c>
      <c r="BM656" s="244">
        <v>0</v>
      </c>
      <c r="BN656" s="244">
        <v>5.0857043299034732</v>
      </c>
      <c r="BO656" s="244">
        <v>0</v>
      </c>
      <c r="BP656" s="244">
        <v>0.24017441272735596</v>
      </c>
      <c r="BQ656" s="244">
        <v>0</v>
      </c>
      <c r="BR656" s="244">
        <v>0</v>
      </c>
      <c r="BS656" s="244">
        <v>0</v>
      </c>
      <c r="BT656" s="244">
        <v>3.9334309101104736</v>
      </c>
      <c r="BU656" s="244">
        <v>0</v>
      </c>
      <c r="BV656" s="244">
        <v>0</v>
      </c>
      <c r="BW656" s="244">
        <v>0.92593097686767578</v>
      </c>
      <c r="BX656" s="244">
        <v>0</v>
      </c>
      <c r="BY656" s="244"/>
      <c r="BZ656" s="244">
        <v>0</v>
      </c>
      <c r="CA656" s="244">
        <v>0</v>
      </c>
      <c r="CB656" s="244">
        <v>10.185240745544434</v>
      </c>
      <c r="CC656" s="244">
        <v>0</v>
      </c>
      <c r="CD656" s="228">
        <v>9999</v>
      </c>
      <c r="CE656" s="244">
        <v>-55.747806549072266</v>
      </c>
      <c r="CF656" s="244">
        <v>5.5662548984719437E-2</v>
      </c>
      <c r="CG656" s="244">
        <v>0</v>
      </c>
      <c r="CH656" s="244">
        <v>5.5662548984719437E-2</v>
      </c>
      <c r="CI656" s="244">
        <v>2.7322776691193528E-3</v>
      </c>
      <c r="CJ656" s="244">
        <v>0</v>
      </c>
      <c r="CK656" s="244">
        <v>2.7322776691193528E-3</v>
      </c>
      <c r="CL656" s="244"/>
      <c r="CM656" s="244">
        <v>0</v>
      </c>
      <c r="CN656" s="244" t="s">
        <v>605</v>
      </c>
      <c r="CO656" s="244">
        <v>0</v>
      </c>
      <c r="CP656" s="244">
        <v>0</v>
      </c>
      <c r="CQ656" s="244">
        <v>0</v>
      </c>
      <c r="CR656" s="244">
        <v>0</v>
      </c>
      <c r="CS656" s="244">
        <v>0</v>
      </c>
      <c r="CT656" s="244">
        <v>0</v>
      </c>
      <c r="CU656" s="244">
        <v>0</v>
      </c>
      <c r="CV656" s="244">
        <v>9999</v>
      </c>
      <c r="CW656" s="228">
        <v>9999</v>
      </c>
    </row>
    <row r="657" spans="1:101">
      <c r="A657" s="221" t="s">
        <v>577</v>
      </c>
      <c r="B657" s="221" t="s">
        <v>604</v>
      </c>
      <c r="C657" s="244">
        <v>10</v>
      </c>
      <c r="D657" s="244">
        <v>96.30796050339346</v>
      </c>
      <c r="E657" s="244">
        <v>0</v>
      </c>
      <c r="F657" s="244">
        <v>0</v>
      </c>
      <c r="G657" s="244">
        <v>0</v>
      </c>
      <c r="H657" s="244">
        <v>0</v>
      </c>
      <c r="I657" s="244" t="s">
        <v>605</v>
      </c>
      <c r="J657" s="244">
        <v>1</v>
      </c>
      <c r="K657" s="244">
        <v>0.63999998569488525</v>
      </c>
      <c r="L657" s="244">
        <v>105.03951109021777</v>
      </c>
      <c r="M657" s="244">
        <v>7.6741194352507591E-3</v>
      </c>
      <c r="N657" s="244">
        <v>1.1990811675786972E-2</v>
      </c>
      <c r="O657" s="244">
        <v>0</v>
      </c>
      <c r="P657" s="244">
        <v>0</v>
      </c>
      <c r="Q657" s="244">
        <v>0</v>
      </c>
      <c r="R657" s="244">
        <v>0</v>
      </c>
      <c r="S657" s="244">
        <v>0</v>
      </c>
      <c r="T657" s="244">
        <v>0</v>
      </c>
      <c r="U657" s="244">
        <v>0</v>
      </c>
      <c r="V657" s="244" t="s">
        <v>226</v>
      </c>
      <c r="W657" s="244" t="s">
        <v>226</v>
      </c>
      <c r="X657" s="244" t="s">
        <v>226</v>
      </c>
      <c r="Y657" s="244" t="s">
        <v>226</v>
      </c>
      <c r="Z657" s="244">
        <v>0</v>
      </c>
      <c r="AA657" s="244">
        <v>0</v>
      </c>
      <c r="AB657" s="244">
        <v>0</v>
      </c>
      <c r="AC657" s="244">
        <v>0</v>
      </c>
      <c r="AD657" s="244">
        <v>0</v>
      </c>
      <c r="AE657" s="244">
        <v>0</v>
      </c>
      <c r="AF657" s="244">
        <v>0</v>
      </c>
      <c r="AG657" s="244">
        <v>0</v>
      </c>
      <c r="AH657" s="244">
        <v>0</v>
      </c>
      <c r="AI657" s="244">
        <v>0</v>
      </c>
      <c r="AJ657" s="244">
        <v>0</v>
      </c>
      <c r="AK657" s="244">
        <v>0</v>
      </c>
      <c r="AL657" s="244">
        <v>0</v>
      </c>
      <c r="AM657" s="244">
        <v>72.777307425217714</v>
      </c>
      <c r="AN657" s="244">
        <v>0</v>
      </c>
      <c r="AO657" s="244">
        <v>12.906538009643555</v>
      </c>
      <c r="AP657" s="244">
        <v>56.288074493408203</v>
      </c>
      <c r="AQ657" s="244">
        <v>141.971923828125</v>
      </c>
      <c r="AR657" s="244">
        <v>0</v>
      </c>
      <c r="AS657" s="228">
        <v>9999</v>
      </c>
      <c r="AT657" s="244">
        <v>72.777307425217714</v>
      </c>
      <c r="AU657" s="244">
        <v>3.4369373321533203</v>
      </c>
      <c r="AV657" s="244">
        <v>13.250231742858887</v>
      </c>
      <c r="AW657" s="244">
        <v>56.288074493408203</v>
      </c>
      <c r="AX657" s="244">
        <v>145.75254821777344</v>
      </c>
      <c r="AY657" s="244">
        <v>0</v>
      </c>
      <c r="AZ657" s="228">
        <v>9999</v>
      </c>
      <c r="BA657" s="244">
        <v>72.777307425217714</v>
      </c>
      <c r="BB657" s="244">
        <v>3.4369373321533203</v>
      </c>
      <c r="BC657" s="244">
        <v>13.250231742858887</v>
      </c>
      <c r="BD657" s="244">
        <v>56.288074493408203</v>
      </c>
      <c r="BE657" s="244">
        <v>145.75254821777344</v>
      </c>
      <c r="BF657" s="244">
        <v>0</v>
      </c>
      <c r="BG657" s="244">
        <v>-55.747806549072266</v>
      </c>
      <c r="BH657" s="228">
        <v>9999</v>
      </c>
      <c r="BI657" s="244">
        <v>0</v>
      </c>
      <c r="BJ657" s="244">
        <v>0</v>
      </c>
      <c r="BK657" s="244">
        <v>0</v>
      </c>
      <c r="BL657" s="244">
        <v>0</v>
      </c>
      <c r="BM657" s="244">
        <v>0</v>
      </c>
      <c r="BN657" s="244">
        <v>72.777307425217714</v>
      </c>
      <c r="BO657" s="244">
        <v>0</v>
      </c>
      <c r="BP657" s="244">
        <v>3.4369373321533203</v>
      </c>
      <c r="BQ657" s="244">
        <v>0</v>
      </c>
      <c r="BR657" s="244">
        <v>0</v>
      </c>
      <c r="BS657" s="244">
        <v>0</v>
      </c>
      <c r="BT657" s="244">
        <v>56.288074493408203</v>
      </c>
      <c r="BU657" s="244">
        <v>0</v>
      </c>
      <c r="BV657" s="244">
        <v>0</v>
      </c>
      <c r="BW657" s="244">
        <v>13.250231742858887</v>
      </c>
      <c r="BX657" s="244">
        <v>0</v>
      </c>
      <c r="BY657" s="244"/>
      <c r="BZ657" s="244">
        <v>0</v>
      </c>
      <c r="CA657" s="244">
        <v>0</v>
      </c>
      <c r="CB657" s="244">
        <v>145.75254821777344</v>
      </c>
      <c r="CC657" s="244">
        <v>0</v>
      </c>
      <c r="CD657" s="228">
        <v>9999</v>
      </c>
      <c r="CE657" s="244">
        <v>-55.747806549072266</v>
      </c>
      <c r="CF657" s="244">
        <v>0.79654069067932642</v>
      </c>
      <c r="CG657" s="244">
        <v>0</v>
      </c>
      <c r="CH657" s="244">
        <v>0.79654069067932642</v>
      </c>
      <c r="CI657" s="244">
        <v>3.90993653971091E-2</v>
      </c>
      <c r="CJ657" s="244">
        <v>0</v>
      </c>
      <c r="CK657" s="244">
        <v>3.90993653971091E-2</v>
      </c>
      <c r="CL657" s="244"/>
      <c r="CM657" s="244">
        <v>0</v>
      </c>
      <c r="CN657" s="244" t="s">
        <v>605</v>
      </c>
      <c r="CO657" s="244">
        <v>0</v>
      </c>
      <c r="CP657" s="244">
        <v>0</v>
      </c>
      <c r="CQ657" s="244">
        <v>0</v>
      </c>
      <c r="CR657" s="244">
        <v>0</v>
      </c>
      <c r="CS657" s="244">
        <v>0</v>
      </c>
      <c r="CT657" s="244">
        <v>0</v>
      </c>
      <c r="CU657" s="244">
        <v>0</v>
      </c>
      <c r="CV657" s="244">
        <v>9999</v>
      </c>
      <c r="CW657" s="228">
        <v>9999</v>
      </c>
    </row>
    <row r="658" spans="1:101">
      <c r="A658" s="221" t="s">
        <v>578</v>
      </c>
      <c r="B658" s="221" t="s">
        <v>604</v>
      </c>
      <c r="C658" s="244">
        <v>10</v>
      </c>
      <c r="D658" s="244">
        <v>96.30796050339346</v>
      </c>
      <c r="E658" s="244">
        <v>0</v>
      </c>
      <c r="F658" s="244">
        <v>0</v>
      </c>
      <c r="G658" s="244">
        <v>0</v>
      </c>
      <c r="H658" s="244">
        <v>0</v>
      </c>
      <c r="I658" s="244" t="s">
        <v>605</v>
      </c>
      <c r="J658" s="244">
        <v>1</v>
      </c>
      <c r="K658" s="244">
        <v>0.63999998569488525</v>
      </c>
      <c r="L658" s="244">
        <v>105.03951109021777</v>
      </c>
      <c r="M658" s="244">
        <v>7.6741194352507591E-3</v>
      </c>
      <c r="N658" s="244">
        <v>1.1990811675786972E-2</v>
      </c>
      <c r="O658" s="244">
        <v>0</v>
      </c>
      <c r="P658" s="244">
        <v>0</v>
      </c>
      <c r="Q658" s="244">
        <v>0</v>
      </c>
      <c r="R658" s="244">
        <v>0</v>
      </c>
      <c r="S658" s="244">
        <v>0</v>
      </c>
      <c r="T658" s="244">
        <v>0</v>
      </c>
      <c r="U658" s="244">
        <v>0</v>
      </c>
      <c r="V658" s="244" t="s">
        <v>226</v>
      </c>
      <c r="W658" s="244" t="s">
        <v>226</v>
      </c>
      <c r="X658" s="244" t="s">
        <v>226</v>
      </c>
      <c r="Y658" s="244" t="s">
        <v>226</v>
      </c>
      <c r="Z658" s="244">
        <v>0</v>
      </c>
      <c r="AA658" s="244">
        <v>0</v>
      </c>
      <c r="AB658" s="244">
        <v>0</v>
      </c>
      <c r="AC658" s="244">
        <v>0</v>
      </c>
      <c r="AD658" s="244">
        <v>0</v>
      </c>
      <c r="AE658" s="244">
        <v>0</v>
      </c>
      <c r="AF658" s="244">
        <v>0</v>
      </c>
      <c r="AG658" s="244">
        <v>0</v>
      </c>
      <c r="AH658" s="244">
        <v>0</v>
      </c>
      <c r="AI658" s="244">
        <v>0</v>
      </c>
      <c r="AJ658" s="244">
        <v>0</v>
      </c>
      <c r="AK658" s="244">
        <v>0</v>
      </c>
      <c r="AL658" s="244">
        <v>0</v>
      </c>
      <c r="AM658" s="244">
        <v>72.777307425217714</v>
      </c>
      <c r="AN658" s="244">
        <v>0</v>
      </c>
      <c r="AO658" s="244">
        <v>12.906538009643555</v>
      </c>
      <c r="AP658" s="244">
        <v>56.288074493408203</v>
      </c>
      <c r="AQ658" s="244">
        <v>141.971923828125</v>
      </c>
      <c r="AR658" s="244">
        <v>0</v>
      </c>
      <c r="AS658" s="228">
        <v>9999</v>
      </c>
      <c r="AT658" s="244">
        <v>72.777307425217714</v>
      </c>
      <c r="AU658" s="244">
        <v>3.4369373321533203</v>
      </c>
      <c r="AV658" s="244">
        <v>13.250231742858887</v>
      </c>
      <c r="AW658" s="244">
        <v>56.288074493408203</v>
      </c>
      <c r="AX658" s="244">
        <v>145.75254821777344</v>
      </c>
      <c r="AY658" s="244">
        <v>0</v>
      </c>
      <c r="AZ658" s="228">
        <v>9999</v>
      </c>
      <c r="BA658" s="244">
        <v>72.777307425217714</v>
      </c>
      <c r="BB658" s="244">
        <v>3.4369373321533203</v>
      </c>
      <c r="BC658" s="244">
        <v>13.250231742858887</v>
      </c>
      <c r="BD658" s="244">
        <v>56.288074493408203</v>
      </c>
      <c r="BE658" s="244">
        <v>145.75254821777344</v>
      </c>
      <c r="BF658" s="244">
        <v>0</v>
      </c>
      <c r="BG658" s="244">
        <v>-55.747806549072266</v>
      </c>
      <c r="BH658" s="228">
        <v>9999</v>
      </c>
      <c r="BI658" s="244">
        <v>0</v>
      </c>
      <c r="BJ658" s="244">
        <v>0</v>
      </c>
      <c r="BK658" s="244">
        <v>0</v>
      </c>
      <c r="BL658" s="244">
        <v>0</v>
      </c>
      <c r="BM658" s="244">
        <v>0</v>
      </c>
      <c r="BN658" s="244">
        <v>72.777307425217714</v>
      </c>
      <c r="BO658" s="244">
        <v>0</v>
      </c>
      <c r="BP658" s="244">
        <v>3.4369373321533203</v>
      </c>
      <c r="BQ658" s="244">
        <v>0</v>
      </c>
      <c r="BR658" s="244">
        <v>0</v>
      </c>
      <c r="BS658" s="244">
        <v>0</v>
      </c>
      <c r="BT658" s="244">
        <v>56.288074493408203</v>
      </c>
      <c r="BU658" s="244">
        <v>0</v>
      </c>
      <c r="BV658" s="244">
        <v>0</v>
      </c>
      <c r="BW658" s="244">
        <v>13.250231742858887</v>
      </c>
      <c r="BX658" s="244">
        <v>0</v>
      </c>
      <c r="BY658" s="244"/>
      <c r="BZ658" s="244">
        <v>0</v>
      </c>
      <c r="CA658" s="244">
        <v>0</v>
      </c>
      <c r="CB658" s="244">
        <v>145.75254821777344</v>
      </c>
      <c r="CC658" s="244">
        <v>0</v>
      </c>
      <c r="CD658" s="228">
        <v>9999</v>
      </c>
      <c r="CE658" s="244">
        <v>-55.747806549072266</v>
      </c>
      <c r="CF658" s="244">
        <v>0.79654069067932642</v>
      </c>
      <c r="CG658" s="244">
        <v>0</v>
      </c>
      <c r="CH658" s="244">
        <v>0.79654069067932642</v>
      </c>
      <c r="CI658" s="244">
        <v>3.90993653971091E-2</v>
      </c>
      <c r="CJ658" s="244">
        <v>0</v>
      </c>
      <c r="CK658" s="244">
        <v>3.90993653971091E-2</v>
      </c>
      <c r="CL658" s="244"/>
      <c r="CM658" s="244">
        <v>0</v>
      </c>
      <c r="CN658" s="244" t="s">
        <v>605</v>
      </c>
      <c r="CO658" s="244">
        <v>0</v>
      </c>
      <c r="CP658" s="244">
        <v>0</v>
      </c>
      <c r="CQ658" s="244">
        <v>0</v>
      </c>
      <c r="CR658" s="244">
        <v>0</v>
      </c>
      <c r="CS658" s="244">
        <v>0</v>
      </c>
      <c r="CT658" s="244">
        <v>0</v>
      </c>
      <c r="CU658" s="244">
        <v>0</v>
      </c>
      <c r="CV658" s="244">
        <v>9999</v>
      </c>
      <c r="CW658" s="228">
        <v>9999</v>
      </c>
    </row>
    <row r="659" spans="1:101">
      <c r="A659" s="221" t="s">
        <v>579</v>
      </c>
      <c r="B659" s="221" t="s">
        <v>604</v>
      </c>
      <c r="C659" s="244">
        <v>10</v>
      </c>
      <c r="D659" s="244">
        <v>96.30796050339346</v>
      </c>
      <c r="E659" s="244">
        <v>0</v>
      </c>
      <c r="F659" s="244">
        <v>0</v>
      </c>
      <c r="G659" s="244">
        <v>0</v>
      </c>
      <c r="H659" s="244">
        <v>0</v>
      </c>
      <c r="I659" s="244" t="s">
        <v>605</v>
      </c>
      <c r="J659" s="244">
        <v>1</v>
      </c>
      <c r="K659" s="244">
        <v>0.63999998569488525</v>
      </c>
      <c r="L659" s="244">
        <v>105.03951109021777</v>
      </c>
      <c r="M659" s="244">
        <v>7.6741194352507591E-3</v>
      </c>
      <c r="N659" s="244">
        <v>1.1990811675786972E-2</v>
      </c>
      <c r="O659" s="244">
        <v>0</v>
      </c>
      <c r="P659" s="244">
        <v>0</v>
      </c>
      <c r="Q659" s="244">
        <v>0</v>
      </c>
      <c r="R659" s="244">
        <v>0</v>
      </c>
      <c r="S659" s="244">
        <v>0</v>
      </c>
      <c r="T659" s="244">
        <v>0</v>
      </c>
      <c r="U659" s="244">
        <v>0</v>
      </c>
      <c r="V659" s="244" t="s">
        <v>226</v>
      </c>
      <c r="W659" s="244" t="s">
        <v>226</v>
      </c>
      <c r="X659" s="244" t="s">
        <v>226</v>
      </c>
      <c r="Y659" s="244" t="s">
        <v>226</v>
      </c>
      <c r="Z659" s="244">
        <v>0</v>
      </c>
      <c r="AA659" s="244">
        <v>0</v>
      </c>
      <c r="AB659" s="244">
        <v>0</v>
      </c>
      <c r="AC659" s="244">
        <v>0</v>
      </c>
      <c r="AD659" s="244">
        <v>0</v>
      </c>
      <c r="AE659" s="244">
        <v>0</v>
      </c>
      <c r="AF659" s="244">
        <v>0</v>
      </c>
      <c r="AG659" s="244">
        <v>0</v>
      </c>
      <c r="AH659" s="244">
        <v>0</v>
      </c>
      <c r="AI659" s="244">
        <v>0</v>
      </c>
      <c r="AJ659" s="244">
        <v>0</v>
      </c>
      <c r="AK659" s="244">
        <v>0</v>
      </c>
      <c r="AL659" s="244">
        <v>0</v>
      </c>
      <c r="AM659" s="244">
        <v>72.777307425217714</v>
      </c>
      <c r="AN659" s="244">
        <v>0</v>
      </c>
      <c r="AO659" s="244">
        <v>12.906538009643555</v>
      </c>
      <c r="AP659" s="244">
        <v>56.288074493408203</v>
      </c>
      <c r="AQ659" s="244">
        <v>141.971923828125</v>
      </c>
      <c r="AR659" s="244">
        <v>0</v>
      </c>
      <c r="AS659" s="228">
        <v>9999</v>
      </c>
      <c r="AT659" s="244">
        <v>72.777307425217714</v>
      </c>
      <c r="AU659" s="244">
        <v>3.4369373321533203</v>
      </c>
      <c r="AV659" s="244">
        <v>13.250231742858887</v>
      </c>
      <c r="AW659" s="244">
        <v>56.288074493408203</v>
      </c>
      <c r="AX659" s="244">
        <v>145.75254821777344</v>
      </c>
      <c r="AY659" s="244">
        <v>0</v>
      </c>
      <c r="AZ659" s="228">
        <v>9999</v>
      </c>
      <c r="BA659" s="244">
        <v>72.777307425217714</v>
      </c>
      <c r="BB659" s="244">
        <v>3.4369373321533203</v>
      </c>
      <c r="BC659" s="244">
        <v>13.250231742858887</v>
      </c>
      <c r="BD659" s="244">
        <v>56.288074493408203</v>
      </c>
      <c r="BE659" s="244">
        <v>145.75254821777344</v>
      </c>
      <c r="BF659" s="244">
        <v>0</v>
      </c>
      <c r="BG659" s="244">
        <v>-55.747806549072266</v>
      </c>
      <c r="BH659" s="228">
        <v>9999</v>
      </c>
      <c r="BI659" s="244">
        <v>0</v>
      </c>
      <c r="BJ659" s="244">
        <v>0</v>
      </c>
      <c r="BK659" s="244">
        <v>0</v>
      </c>
      <c r="BL659" s="244">
        <v>0</v>
      </c>
      <c r="BM659" s="244">
        <v>0</v>
      </c>
      <c r="BN659" s="244">
        <v>72.777307425217714</v>
      </c>
      <c r="BO659" s="244">
        <v>0</v>
      </c>
      <c r="BP659" s="244">
        <v>3.4369373321533203</v>
      </c>
      <c r="BQ659" s="244">
        <v>0</v>
      </c>
      <c r="BR659" s="244">
        <v>0</v>
      </c>
      <c r="BS659" s="244">
        <v>0</v>
      </c>
      <c r="BT659" s="244">
        <v>56.288074493408203</v>
      </c>
      <c r="BU659" s="244">
        <v>0</v>
      </c>
      <c r="BV659" s="244">
        <v>0</v>
      </c>
      <c r="BW659" s="244">
        <v>13.250231742858887</v>
      </c>
      <c r="BX659" s="244">
        <v>0</v>
      </c>
      <c r="BY659" s="244"/>
      <c r="BZ659" s="244">
        <v>0</v>
      </c>
      <c r="CA659" s="244">
        <v>0</v>
      </c>
      <c r="CB659" s="244">
        <v>145.75254821777344</v>
      </c>
      <c r="CC659" s="244">
        <v>0</v>
      </c>
      <c r="CD659" s="228">
        <v>9999</v>
      </c>
      <c r="CE659" s="244">
        <v>-55.747806549072266</v>
      </c>
      <c r="CF659" s="244">
        <v>0.79654069067932642</v>
      </c>
      <c r="CG659" s="244">
        <v>0</v>
      </c>
      <c r="CH659" s="244">
        <v>0.79654069067932642</v>
      </c>
      <c r="CI659" s="244">
        <v>3.90993653971091E-2</v>
      </c>
      <c r="CJ659" s="244">
        <v>0</v>
      </c>
      <c r="CK659" s="244">
        <v>3.90993653971091E-2</v>
      </c>
      <c r="CL659" s="244"/>
      <c r="CM659" s="244">
        <v>0</v>
      </c>
      <c r="CN659" s="244" t="s">
        <v>605</v>
      </c>
      <c r="CO659" s="244">
        <v>0</v>
      </c>
      <c r="CP659" s="244">
        <v>0</v>
      </c>
      <c r="CQ659" s="244">
        <v>0</v>
      </c>
      <c r="CR659" s="244">
        <v>0</v>
      </c>
      <c r="CS659" s="244">
        <v>0</v>
      </c>
      <c r="CT659" s="244">
        <v>0</v>
      </c>
      <c r="CU659" s="244">
        <v>0</v>
      </c>
      <c r="CV659" s="244">
        <v>9999</v>
      </c>
      <c r="CW659" s="228">
        <v>9999</v>
      </c>
    </row>
    <row r="660" spans="1:101">
      <c r="A660" s="221" t="s">
        <v>580</v>
      </c>
      <c r="B660" s="221" t="s">
        <v>604</v>
      </c>
      <c r="C660" s="244">
        <v>10</v>
      </c>
      <c r="D660" s="244">
        <v>101.57480209342276</v>
      </c>
      <c r="E660" s="244">
        <v>0</v>
      </c>
      <c r="F660" s="244">
        <v>0</v>
      </c>
      <c r="G660" s="244">
        <v>0</v>
      </c>
      <c r="H660" s="244">
        <v>0</v>
      </c>
      <c r="I660" s="244" t="s">
        <v>605</v>
      </c>
      <c r="J660" s="244">
        <v>1</v>
      </c>
      <c r="K660" s="244">
        <v>0.63999998569488525</v>
      </c>
      <c r="L660" s="244">
        <v>110.7838593529641</v>
      </c>
      <c r="M660" s="244">
        <v>8.0937976017594337E-3</v>
      </c>
      <c r="N660" s="244">
        <v>1.2646559625864029E-2</v>
      </c>
      <c r="O660" s="244">
        <v>0</v>
      </c>
      <c r="P660" s="244">
        <v>0</v>
      </c>
      <c r="Q660" s="244">
        <v>0</v>
      </c>
      <c r="R660" s="244">
        <v>0</v>
      </c>
      <c r="S660" s="244">
        <v>0</v>
      </c>
      <c r="T660" s="244">
        <v>0</v>
      </c>
      <c r="U660" s="244">
        <v>0</v>
      </c>
      <c r="V660" s="244" t="s">
        <v>226</v>
      </c>
      <c r="W660" s="244" t="s">
        <v>226</v>
      </c>
      <c r="X660" s="244" t="s">
        <v>226</v>
      </c>
      <c r="Y660" s="244" t="s">
        <v>226</v>
      </c>
      <c r="Z660" s="244">
        <v>0</v>
      </c>
      <c r="AA660" s="244">
        <v>0</v>
      </c>
      <c r="AB660" s="244">
        <v>0</v>
      </c>
      <c r="AC660" s="244">
        <v>0</v>
      </c>
      <c r="AD660" s="244">
        <v>0</v>
      </c>
      <c r="AE660" s="244">
        <v>0</v>
      </c>
      <c r="AF660" s="244">
        <v>0</v>
      </c>
      <c r="AG660" s="244">
        <v>0</v>
      </c>
      <c r="AH660" s="244">
        <v>0</v>
      </c>
      <c r="AI660" s="244">
        <v>0</v>
      </c>
      <c r="AJ660" s="244">
        <v>0</v>
      </c>
      <c r="AK660" s="244">
        <v>0</v>
      </c>
      <c r="AL660" s="244">
        <v>0</v>
      </c>
      <c r="AM660" s="244">
        <v>76.757316425034389</v>
      </c>
      <c r="AN660" s="244">
        <v>0</v>
      </c>
      <c r="AO660" s="244">
        <v>13.612364768981934</v>
      </c>
      <c r="AP660" s="244">
        <v>59.366325378417969</v>
      </c>
      <c r="AQ660" s="244">
        <v>149.73600769042969</v>
      </c>
      <c r="AR660" s="244">
        <v>0</v>
      </c>
      <c r="AS660" s="228">
        <v>9999</v>
      </c>
      <c r="AT660" s="244">
        <v>76.757316425034389</v>
      </c>
      <c r="AU660" s="244">
        <v>3.6248958110809326</v>
      </c>
      <c r="AV660" s="244">
        <v>13.974853515625</v>
      </c>
      <c r="AW660" s="244">
        <v>59.366325378417969</v>
      </c>
      <c r="AX660" s="244">
        <v>153.723388671875</v>
      </c>
      <c r="AY660" s="244">
        <v>0</v>
      </c>
      <c r="AZ660" s="228">
        <v>9999</v>
      </c>
      <c r="BA660" s="244">
        <v>76.757316425034389</v>
      </c>
      <c r="BB660" s="244">
        <v>3.6248958110809326</v>
      </c>
      <c r="BC660" s="244">
        <v>13.974853515625</v>
      </c>
      <c r="BD660" s="244">
        <v>59.366325378417969</v>
      </c>
      <c r="BE660" s="244">
        <v>153.723388671875</v>
      </c>
      <c r="BF660" s="244">
        <v>0</v>
      </c>
      <c r="BG660" s="244">
        <v>-55.747802734375</v>
      </c>
      <c r="BH660" s="228">
        <v>9999</v>
      </c>
      <c r="BI660" s="244">
        <v>0</v>
      </c>
      <c r="BJ660" s="244">
        <v>0</v>
      </c>
      <c r="BK660" s="244">
        <v>0</v>
      </c>
      <c r="BL660" s="244">
        <v>0</v>
      </c>
      <c r="BM660" s="244">
        <v>0</v>
      </c>
      <c r="BN660" s="244">
        <v>76.757316425034389</v>
      </c>
      <c r="BO660" s="244">
        <v>0</v>
      </c>
      <c r="BP660" s="244">
        <v>3.6248958110809326</v>
      </c>
      <c r="BQ660" s="244">
        <v>0</v>
      </c>
      <c r="BR660" s="244">
        <v>0</v>
      </c>
      <c r="BS660" s="244">
        <v>0</v>
      </c>
      <c r="BT660" s="244">
        <v>59.366325378417969</v>
      </c>
      <c r="BU660" s="244">
        <v>0</v>
      </c>
      <c r="BV660" s="244">
        <v>0</v>
      </c>
      <c r="BW660" s="244">
        <v>13.974853515625</v>
      </c>
      <c r="BX660" s="244">
        <v>0</v>
      </c>
      <c r="BY660" s="244"/>
      <c r="BZ660" s="244">
        <v>0</v>
      </c>
      <c r="CA660" s="244">
        <v>0</v>
      </c>
      <c r="CB660" s="244">
        <v>153.723388671875</v>
      </c>
      <c r="CC660" s="244">
        <v>0</v>
      </c>
      <c r="CD660" s="228">
        <v>9999</v>
      </c>
      <c r="CE660" s="244">
        <v>-55.747802734375</v>
      </c>
      <c r="CF660" s="244">
        <v>0.84010150970085185</v>
      </c>
      <c r="CG660" s="244">
        <v>0</v>
      </c>
      <c r="CH660" s="244">
        <v>0.84010150970085185</v>
      </c>
      <c r="CI660" s="244">
        <v>4.1237611942263538E-2</v>
      </c>
      <c r="CJ660" s="244">
        <v>0</v>
      </c>
      <c r="CK660" s="244">
        <v>4.1237611942263538E-2</v>
      </c>
      <c r="CL660" s="244"/>
      <c r="CM660" s="244">
        <v>0</v>
      </c>
      <c r="CN660" s="244" t="s">
        <v>605</v>
      </c>
      <c r="CO660" s="244">
        <v>0</v>
      </c>
      <c r="CP660" s="244">
        <v>0</v>
      </c>
      <c r="CQ660" s="244">
        <v>0</v>
      </c>
      <c r="CR660" s="244">
        <v>0</v>
      </c>
      <c r="CS660" s="244">
        <v>0</v>
      </c>
      <c r="CT660" s="244">
        <v>0</v>
      </c>
      <c r="CU660" s="244">
        <v>0</v>
      </c>
      <c r="CV660" s="244">
        <v>9999</v>
      </c>
      <c r="CW660" s="228">
        <v>9999</v>
      </c>
    </row>
    <row r="661" spans="1:101">
      <c r="A661" s="221" t="s">
        <v>581</v>
      </c>
      <c r="B661" s="221" t="s">
        <v>604</v>
      </c>
      <c r="C661" s="244">
        <v>10</v>
      </c>
      <c r="D661" s="244">
        <v>101.57480209342276</v>
      </c>
      <c r="E661" s="244">
        <v>0</v>
      </c>
      <c r="F661" s="244">
        <v>0</v>
      </c>
      <c r="G661" s="244">
        <v>0</v>
      </c>
      <c r="H661" s="244">
        <v>0</v>
      </c>
      <c r="I661" s="244" t="s">
        <v>605</v>
      </c>
      <c r="J661" s="244">
        <v>1</v>
      </c>
      <c r="K661" s="244">
        <v>0.63999998569488525</v>
      </c>
      <c r="L661" s="244">
        <v>110.7838593529641</v>
      </c>
      <c r="M661" s="244">
        <v>8.0937976017594337E-3</v>
      </c>
      <c r="N661" s="244">
        <v>1.2646559625864029E-2</v>
      </c>
      <c r="O661" s="244">
        <v>0</v>
      </c>
      <c r="P661" s="244">
        <v>0</v>
      </c>
      <c r="Q661" s="244">
        <v>0</v>
      </c>
      <c r="R661" s="244">
        <v>0</v>
      </c>
      <c r="S661" s="244">
        <v>0</v>
      </c>
      <c r="T661" s="244">
        <v>0</v>
      </c>
      <c r="U661" s="244">
        <v>0</v>
      </c>
      <c r="V661" s="244" t="s">
        <v>226</v>
      </c>
      <c r="W661" s="244" t="s">
        <v>226</v>
      </c>
      <c r="X661" s="244" t="s">
        <v>226</v>
      </c>
      <c r="Y661" s="244" t="s">
        <v>226</v>
      </c>
      <c r="Z661" s="244">
        <v>0</v>
      </c>
      <c r="AA661" s="244">
        <v>0</v>
      </c>
      <c r="AB661" s="244">
        <v>0</v>
      </c>
      <c r="AC661" s="244">
        <v>0</v>
      </c>
      <c r="AD661" s="244">
        <v>0</v>
      </c>
      <c r="AE661" s="244">
        <v>0</v>
      </c>
      <c r="AF661" s="244">
        <v>0</v>
      </c>
      <c r="AG661" s="244">
        <v>0</v>
      </c>
      <c r="AH661" s="244">
        <v>0</v>
      </c>
      <c r="AI661" s="244">
        <v>0</v>
      </c>
      <c r="AJ661" s="244">
        <v>0</v>
      </c>
      <c r="AK661" s="244">
        <v>0</v>
      </c>
      <c r="AL661" s="244">
        <v>0</v>
      </c>
      <c r="AM661" s="244">
        <v>76.757316425034389</v>
      </c>
      <c r="AN661" s="244">
        <v>0</v>
      </c>
      <c r="AO661" s="244">
        <v>13.612364768981934</v>
      </c>
      <c r="AP661" s="244">
        <v>59.366325378417969</v>
      </c>
      <c r="AQ661" s="244">
        <v>149.73600769042969</v>
      </c>
      <c r="AR661" s="244">
        <v>0</v>
      </c>
      <c r="AS661" s="228">
        <v>9999</v>
      </c>
      <c r="AT661" s="244">
        <v>76.757316425034389</v>
      </c>
      <c r="AU661" s="244">
        <v>3.6248958110809326</v>
      </c>
      <c r="AV661" s="244">
        <v>13.974853515625</v>
      </c>
      <c r="AW661" s="244">
        <v>59.366325378417969</v>
      </c>
      <c r="AX661" s="244">
        <v>153.723388671875</v>
      </c>
      <c r="AY661" s="244">
        <v>0</v>
      </c>
      <c r="AZ661" s="228">
        <v>9999</v>
      </c>
      <c r="BA661" s="244">
        <v>76.757316425034389</v>
      </c>
      <c r="BB661" s="244">
        <v>3.6248958110809326</v>
      </c>
      <c r="BC661" s="244">
        <v>13.974853515625</v>
      </c>
      <c r="BD661" s="244">
        <v>59.366325378417969</v>
      </c>
      <c r="BE661" s="244">
        <v>153.723388671875</v>
      </c>
      <c r="BF661" s="244">
        <v>0</v>
      </c>
      <c r="BG661" s="244">
        <v>-55.747802734375</v>
      </c>
      <c r="BH661" s="228">
        <v>9999</v>
      </c>
      <c r="BI661" s="244">
        <v>0</v>
      </c>
      <c r="BJ661" s="244">
        <v>0</v>
      </c>
      <c r="BK661" s="244">
        <v>0</v>
      </c>
      <c r="BL661" s="244">
        <v>0</v>
      </c>
      <c r="BM661" s="244">
        <v>0</v>
      </c>
      <c r="BN661" s="244">
        <v>76.757316425034389</v>
      </c>
      <c r="BO661" s="244">
        <v>0</v>
      </c>
      <c r="BP661" s="244">
        <v>3.6248958110809326</v>
      </c>
      <c r="BQ661" s="244">
        <v>0</v>
      </c>
      <c r="BR661" s="244">
        <v>0</v>
      </c>
      <c r="BS661" s="244">
        <v>0</v>
      </c>
      <c r="BT661" s="244">
        <v>59.366325378417969</v>
      </c>
      <c r="BU661" s="244">
        <v>0</v>
      </c>
      <c r="BV661" s="244">
        <v>0</v>
      </c>
      <c r="BW661" s="244">
        <v>13.974853515625</v>
      </c>
      <c r="BX661" s="244">
        <v>0</v>
      </c>
      <c r="BY661" s="244"/>
      <c r="BZ661" s="244">
        <v>0</v>
      </c>
      <c r="CA661" s="244">
        <v>0</v>
      </c>
      <c r="CB661" s="244">
        <v>153.723388671875</v>
      </c>
      <c r="CC661" s="244">
        <v>0</v>
      </c>
      <c r="CD661" s="228">
        <v>9999</v>
      </c>
      <c r="CE661" s="244">
        <v>-55.747802734375</v>
      </c>
      <c r="CF661" s="244">
        <v>0.84010150970085185</v>
      </c>
      <c r="CG661" s="244">
        <v>0</v>
      </c>
      <c r="CH661" s="244">
        <v>0.84010150970085185</v>
      </c>
      <c r="CI661" s="244">
        <v>4.1237611942263538E-2</v>
      </c>
      <c r="CJ661" s="244">
        <v>0</v>
      </c>
      <c r="CK661" s="244">
        <v>4.1237611942263538E-2</v>
      </c>
      <c r="CL661" s="244"/>
      <c r="CM661" s="244">
        <v>0</v>
      </c>
      <c r="CN661" s="244" t="s">
        <v>605</v>
      </c>
      <c r="CO661" s="244">
        <v>0</v>
      </c>
      <c r="CP661" s="244">
        <v>0</v>
      </c>
      <c r="CQ661" s="244">
        <v>0</v>
      </c>
      <c r="CR661" s="244">
        <v>0</v>
      </c>
      <c r="CS661" s="244">
        <v>0</v>
      </c>
      <c r="CT661" s="244">
        <v>0</v>
      </c>
      <c r="CU661" s="244">
        <v>0</v>
      </c>
      <c r="CV661" s="244">
        <v>9999</v>
      </c>
      <c r="CW661" s="228">
        <v>9999</v>
      </c>
    </row>
    <row r="662" spans="1:101">
      <c r="A662" s="221" t="s">
        <v>582</v>
      </c>
      <c r="B662" s="221" t="s">
        <v>604</v>
      </c>
      <c r="C662" s="244">
        <v>10</v>
      </c>
      <c r="D662" s="244">
        <v>101.57480209342276</v>
      </c>
      <c r="E662" s="244">
        <v>0</v>
      </c>
      <c r="F662" s="244">
        <v>0</v>
      </c>
      <c r="G662" s="244">
        <v>0</v>
      </c>
      <c r="H662" s="244">
        <v>0</v>
      </c>
      <c r="I662" s="244" t="s">
        <v>605</v>
      </c>
      <c r="J662" s="244">
        <v>1</v>
      </c>
      <c r="K662" s="244">
        <v>0.63999998569488525</v>
      </c>
      <c r="L662" s="244">
        <v>110.7838593529641</v>
      </c>
      <c r="M662" s="244">
        <v>8.0937976017594337E-3</v>
      </c>
      <c r="N662" s="244">
        <v>1.2646559625864029E-2</v>
      </c>
      <c r="O662" s="244">
        <v>0</v>
      </c>
      <c r="P662" s="244">
        <v>0</v>
      </c>
      <c r="Q662" s="244">
        <v>0</v>
      </c>
      <c r="R662" s="244">
        <v>0</v>
      </c>
      <c r="S662" s="244">
        <v>0</v>
      </c>
      <c r="T662" s="244">
        <v>0</v>
      </c>
      <c r="U662" s="244">
        <v>0</v>
      </c>
      <c r="V662" s="244" t="s">
        <v>226</v>
      </c>
      <c r="W662" s="244" t="s">
        <v>226</v>
      </c>
      <c r="X662" s="244" t="s">
        <v>226</v>
      </c>
      <c r="Y662" s="244" t="s">
        <v>226</v>
      </c>
      <c r="Z662" s="244">
        <v>0</v>
      </c>
      <c r="AA662" s="244">
        <v>0</v>
      </c>
      <c r="AB662" s="244">
        <v>0</v>
      </c>
      <c r="AC662" s="244">
        <v>0</v>
      </c>
      <c r="AD662" s="244">
        <v>0</v>
      </c>
      <c r="AE662" s="244">
        <v>0</v>
      </c>
      <c r="AF662" s="244">
        <v>0</v>
      </c>
      <c r="AG662" s="244">
        <v>0</v>
      </c>
      <c r="AH662" s="244">
        <v>0</v>
      </c>
      <c r="AI662" s="244">
        <v>0</v>
      </c>
      <c r="AJ662" s="244">
        <v>0</v>
      </c>
      <c r="AK662" s="244">
        <v>0</v>
      </c>
      <c r="AL662" s="244">
        <v>0</v>
      </c>
      <c r="AM662" s="244">
        <v>76.757316425034389</v>
      </c>
      <c r="AN662" s="244">
        <v>0</v>
      </c>
      <c r="AO662" s="244">
        <v>13.612364768981934</v>
      </c>
      <c r="AP662" s="244">
        <v>59.366325378417969</v>
      </c>
      <c r="AQ662" s="244">
        <v>149.73600769042969</v>
      </c>
      <c r="AR662" s="244">
        <v>0</v>
      </c>
      <c r="AS662" s="228">
        <v>9999</v>
      </c>
      <c r="AT662" s="244">
        <v>76.757316425034389</v>
      </c>
      <c r="AU662" s="244">
        <v>3.6248958110809326</v>
      </c>
      <c r="AV662" s="244">
        <v>13.974853515625</v>
      </c>
      <c r="AW662" s="244">
        <v>59.366325378417969</v>
      </c>
      <c r="AX662" s="244">
        <v>153.723388671875</v>
      </c>
      <c r="AY662" s="244">
        <v>0</v>
      </c>
      <c r="AZ662" s="228">
        <v>9999</v>
      </c>
      <c r="BA662" s="244">
        <v>76.757316425034389</v>
      </c>
      <c r="BB662" s="244">
        <v>3.6248958110809326</v>
      </c>
      <c r="BC662" s="244">
        <v>13.974853515625</v>
      </c>
      <c r="BD662" s="244">
        <v>59.366325378417969</v>
      </c>
      <c r="BE662" s="244">
        <v>153.723388671875</v>
      </c>
      <c r="BF662" s="244">
        <v>0</v>
      </c>
      <c r="BG662" s="244">
        <v>-55.747802734375</v>
      </c>
      <c r="BH662" s="228">
        <v>9999</v>
      </c>
      <c r="BI662" s="244">
        <v>0</v>
      </c>
      <c r="BJ662" s="244">
        <v>0</v>
      </c>
      <c r="BK662" s="244">
        <v>0</v>
      </c>
      <c r="BL662" s="244">
        <v>0</v>
      </c>
      <c r="BM662" s="244">
        <v>0</v>
      </c>
      <c r="BN662" s="244">
        <v>76.757316425034389</v>
      </c>
      <c r="BO662" s="244">
        <v>0</v>
      </c>
      <c r="BP662" s="244">
        <v>3.6248958110809326</v>
      </c>
      <c r="BQ662" s="244">
        <v>0</v>
      </c>
      <c r="BR662" s="244">
        <v>0</v>
      </c>
      <c r="BS662" s="244">
        <v>0</v>
      </c>
      <c r="BT662" s="244">
        <v>59.366325378417969</v>
      </c>
      <c r="BU662" s="244">
        <v>0</v>
      </c>
      <c r="BV662" s="244">
        <v>0</v>
      </c>
      <c r="BW662" s="244">
        <v>13.974853515625</v>
      </c>
      <c r="BX662" s="244">
        <v>0</v>
      </c>
      <c r="BY662" s="244"/>
      <c r="BZ662" s="244">
        <v>0</v>
      </c>
      <c r="CA662" s="244">
        <v>0</v>
      </c>
      <c r="CB662" s="244">
        <v>153.723388671875</v>
      </c>
      <c r="CC662" s="244">
        <v>0</v>
      </c>
      <c r="CD662" s="228">
        <v>9999</v>
      </c>
      <c r="CE662" s="244">
        <v>-55.747802734375</v>
      </c>
      <c r="CF662" s="244">
        <v>0.84010150970085185</v>
      </c>
      <c r="CG662" s="244">
        <v>0</v>
      </c>
      <c r="CH662" s="244">
        <v>0.84010150970085185</v>
      </c>
      <c r="CI662" s="244">
        <v>4.1237611942263538E-2</v>
      </c>
      <c r="CJ662" s="244">
        <v>0</v>
      </c>
      <c r="CK662" s="244">
        <v>4.1237611942263538E-2</v>
      </c>
      <c r="CL662" s="244"/>
      <c r="CM662" s="244">
        <v>0</v>
      </c>
      <c r="CN662" s="244" t="s">
        <v>605</v>
      </c>
      <c r="CO662" s="244">
        <v>0</v>
      </c>
      <c r="CP662" s="244">
        <v>0</v>
      </c>
      <c r="CQ662" s="244">
        <v>0</v>
      </c>
      <c r="CR662" s="244">
        <v>0</v>
      </c>
      <c r="CS662" s="244">
        <v>0</v>
      </c>
      <c r="CT662" s="244">
        <v>0</v>
      </c>
      <c r="CU662" s="244">
        <v>0</v>
      </c>
      <c r="CV662" s="244">
        <v>9999</v>
      </c>
      <c r="CW662" s="228">
        <v>9999</v>
      </c>
    </row>
    <row r="663" spans="1:101">
      <c r="A663" s="221" t="s">
        <v>583</v>
      </c>
      <c r="B663" s="221" t="s">
        <v>604</v>
      </c>
      <c r="C663" s="244">
        <v>10</v>
      </c>
      <c r="D663" s="244">
        <v>147.47156452082115</v>
      </c>
      <c r="E663" s="244">
        <v>0</v>
      </c>
      <c r="F663" s="244">
        <v>0</v>
      </c>
      <c r="G663" s="244">
        <v>0</v>
      </c>
      <c r="H663" s="244">
        <v>0</v>
      </c>
      <c r="I663" s="244" t="s">
        <v>605</v>
      </c>
      <c r="J663" s="244">
        <v>1</v>
      </c>
      <c r="K663" s="244">
        <v>0.63999998569488525</v>
      </c>
      <c r="L663" s="244">
        <v>160.84175135689594</v>
      </c>
      <c r="M663" s="244">
        <v>1.1750996112823486E-2</v>
      </c>
      <c r="N663" s="244">
        <v>1.8360931426286697E-2</v>
      </c>
      <c r="O663" s="244">
        <v>0</v>
      </c>
      <c r="P663" s="244">
        <v>0</v>
      </c>
      <c r="Q663" s="244">
        <v>0</v>
      </c>
      <c r="R663" s="244">
        <v>0</v>
      </c>
      <c r="S663" s="244">
        <v>0</v>
      </c>
      <c r="T663" s="244">
        <v>0</v>
      </c>
      <c r="U663" s="244">
        <v>0</v>
      </c>
      <c r="V663" s="244" t="s">
        <v>226</v>
      </c>
      <c r="W663" s="244" t="s">
        <v>226</v>
      </c>
      <c r="X663" s="244" t="s">
        <v>226</v>
      </c>
      <c r="Y663" s="244" t="s">
        <v>226</v>
      </c>
      <c r="Z663" s="244">
        <v>0</v>
      </c>
      <c r="AA663" s="244">
        <v>0</v>
      </c>
      <c r="AB663" s="244">
        <v>0</v>
      </c>
      <c r="AC663" s="244">
        <v>0</v>
      </c>
      <c r="AD663" s="244">
        <v>0</v>
      </c>
      <c r="AE663" s="244">
        <v>0</v>
      </c>
      <c r="AF663" s="244">
        <v>0</v>
      </c>
      <c r="AG663" s="244">
        <v>0</v>
      </c>
      <c r="AH663" s="244">
        <v>0</v>
      </c>
      <c r="AI663" s="244">
        <v>0</v>
      </c>
      <c r="AJ663" s="244">
        <v>0</v>
      </c>
      <c r="AK663" s="244">
        <v>0</v>
      </c>
      <c r="AL663" s="244">
        <v>0</v>
      </c>
      <c r="AM663" s="244">
        <v>111.44025199486465</v>
      </c>
      <c r="AN663" s="244">
        <v>0</v>
      </c>
      <c r="AO663" s="244">
        <v>19.763137817382812</v>
      </c>
      <c r="AP663" s="244">
        <v>86.191116333007812</v>
      </c>
      <c r="AQ663" s="244">
        <v>217.39450073242187</v>
      </c>
      <c r="AR663" s="244">
        <v>0</v>
      </c>
      <c r="AS663" s="228">
        <v>9999</v>
      </c>
      <c r="AT663" s="244">
        <v>111.44025199486465</v>
      </c>
      <c r="AU663" s="244">
        <v>5.2628116607666016</v>
      </c>
      <c r="AV663" s="244">
        <v>20.289419174194336</v>
      </c>
      <c r="AW663" s="244">
        <v>86.191116333007812</v>
      </c>
      <c r="AX663" s="244">
        <v>223.18359375</v>
      </c>
      <c r="AY663" s="244">
        <v>0</v>
      </c>
      <c r="AZ663" s="228">
        <v>9999</v>
      </c>
      <c r="BA663" s="244">
        <v>111.44025199486465</v>
      </c>
      <c r="BB663" s="244">
        <v>5.2628116607666016</v>
      </c>
      <c r="BC663" s="244">
        <v>20.289419174194336</v>
      </c>
      <c r="BD663" s="244">
        <v>86.191116333007812</v>
      </c>
      <c r="BE663" s="244">
        <v>223.18359375</v>
      </c>
      <c r="BF663" s="244">
        <v>0</v>
      </c>
      <c r="BG663" s="244">
        <v>-55.747806549072266</v>
      </c>
      <c r="BH663" s="228">
        <v>9999</v>
      </c>
      <c r="BI663" s="244">
        <v>0</v>
      </c>
      <c r="BJ663" s="244">
        <v>0</v>
      </c>
      <c r="BK663" s="244">
        <v>0</v>
      </c>
      <c r="BL663" s="244">
        <v>0</v>
      </c>
      <c r="BM663" s="244">
        <v>0</v>
      </c>
      <c r="BN663" s="244">
        <v>111.44025199486465</v>
      </c>
      <c r="BO663" s="244">
        <v>0</v>
      </c>
      <c r="BP663" s="244">
        <v>5.2628116607666016</v>
      </c>
      <c r="BQ663" s="244">
        <v>0</v>
      </c>
      <c r="BR663" s="244">
        <v>0</v>
      </c>
      <c r="BS663" s="244">
        <v>0</v>
      </c>
      <c r="BT663" s="244">
        <v>86.191116333007812</v>
      </c>
      <c r="BU663" s="244">
        <v>0</v>
      </c>
      <c r="BV663" s="244">
        <v>0</v>
      </c>
      <c r="BW663" s="244">
        <v>20.289419174194336</v>
      </c>
      <c r="BX663" s="244">
        <v>0</v>
      </c>
      <c r="BY663" s="244"/>
      <c r="BZ663" s="244">
        <v>0</v>
      </c>
      <c r="CA663" s="244">
        <v>0</v>
      </c>
      <c r="CB663" s="244">
        <v>223.18359375</v>
      </c>
      <c r="CC663" s="244">
        <v>0</v>
      </c>
      <c r="CD663" s="228">
        <v>9999</v>
      </c>
      <c r="CE663" s="244">
        <v>-55.747806549072266</v>
      </c>
      <c r="CF663" s="244">
        <v>1.2197029326027176</v>
      </c>
      <c r="CG663" s="244">
        <v>0</v>
      </c>
      <c r="CH663" s="244">
        <v>1.2197029326027176</v>
      </c>
      <c r="CI663" s="244">
        <v>5.9870903264323365E-2</v>
      </c>
      <c r="CJ663" s="244">
        <v>0</v>
      </c>
      <c r="CK663" s="244">
        <v>5.9870903264323365E-2</v>
      </c>
      <c r="CL663" s="244"/>
      <c r="CM663" s="244">
        <v>0</v>
      </c>
      <c r="CN663" s="244" t="s">
        <v>605</v>
      </c>
      <c r="CO663" s="244">
        <v>0</v>
      </c>
      <c r="CP663" s="244">
        <v>0</v>
      </c>
      <c r="CQ663" s="244">
        <v>0</v>
      </c>
      <c r="CR663" s="244">
        <v>0</v>
      </c>
      <c r="CS663" s="244">
        <v>0</v>
      </c>
      <c r="CT663" s="244">
        <v>0</v>
      </c>
      <c r="CU663" s="244">
        <v>0</v>
      </c>
      <c r="CV663" s="244">
        <v>9999</v>
      </c>
      <c r="CW663" s="228">
        <v>9999</v>
      </c>
    </row>
    <row r="664" spans="1:101">
      <c r="A664" s="221" t="s">
        <v>584</v>
      </c>
      <c r="B664" s="221" t="s">
        <v>604</v>
      </c>
      <c r="C664" s="244">
        <v>10</v>
      </c>
      <c r="D664" s="244">
        <v>147.47156452082115</v>
      </c>
      <c r="E664" s="244">
        <v>0</v>
      </c>
      <c r="F664" s="244">
        <v>0</v>
      </c>
      <c r="G664" s="244">
        <v>0</v>
      </c>
      <c r="H664" s="244">
        <v>0</v>
      </c>
      <c r="I664" s="244" t="s">
        <v>605</v>
      </c>
      <c r="J664" s="244">
        <v>1</v>
      </c>
      <c r="K664" s="244">
        <v>0.63999998569488525</v>
      </c>
      <c r="L664" s="244">
        <v>160.84175135689594</v>
      </c>
      <c r="M664" s="244">
        <v>1.1750996112823486E-2</v>
      </c>
      <c r="N664" s="244">
        <v>1.8360931426286697E-2</v>
      </c>
      <c r="O664" s="244">
        <v>0</v>
      </c>
      <c r="P664" s="244">
        <v>0</v>
      </c>
      <c r="Q664" s="244">
        <v>0</v>
      </c>
      <c r="R664" s="244">
        <v>0</v>
      </c>
      <c r="S664" s="244">
        <v>0</v>
      </c>
      <c r="T664" s="244">
        <v>0</v>
      </c>
      <c r="U664" s="244">
        <v>0</v>
      </c>
      <c r="V664" s="244" t="s">
        <v>226</v>
      </c>
      <c r="W664" s="244" t="s">
        <v>226</v>
      </c>
      <c r="X664" s="244" t="s">
        <v>226</v>
      </c>
      <c r="Y664" s="244" t="s">
        <v>226</v>
      </c>
      <c r="Z664" s="244">
        <v>0</v>
      </c>
      <c r="AA664" s="244">
        <v>0</v>
      </c>
      <c r="AB664" s="244">
        <v>0</v>
      </c>
      <c r="AC664" s="244">
        <v>0</v>
      </c>
      <c r="AD664" s="244">
        <v>0</v>
      </c>
      <c r="AE664" s="244">
        <v>0</v>
      </c>
      <c r="AF664" s="244">
        <v>0</v>
      </c>
      <c r="AG664" s="244">
        <v>0</v>
      </c>
      <c r="AH664" s="244">
        <v>0</v>
      </c>
      <c r="AI664" s="244">
        <v>0</v>
      </c>
      <c r="AJ664" s="244">
        <v>0</v>
      </c>
      <c r="AK664" s="244">
        <v>0</v>
      </c>
      <c r="AL664" s="244">
        <v>0</v>
      </c>
      <c r="AM664" s="244">
        <v>111.44025199486465</v>
      </c>
      <c r="AN664" s="244">
        <v>0</v>
      </c>
      <c r="AO664" s="244">
        <v>19.763137817382812</v>
      </c>
      <c r="AP664" s="244">
        <v>86.191116333007812</v>
      </c>
      <c r="AQ664" s="244">
        <v>217.39450073242187</v>
      </c>
      <c r="AR664" s="244">
        <v>0</v>
      </c>
      <c r="AS664" s="228">
        <v>9999</v>
      </c>
      <c r="AT664" s="244">
        <v>111.44025199486465</v>
      </c>
      <c r="AU664" s="244">
        <v>5.2628116607666016</v>
      </c>
      <c r="AV664" s="244">
        <v>20.289419174194336</v>
      </c>
      <c r="AW664" s="244">
        <v>86.191116333007812</v>
      </c>
      <c r="AX664" s="244">
        <v>223.18359375</v>
      </c>
      <c r="AY664" s="244">
        <v>0</v>
      </c>
      <c r="AZ664" s="228">
        <v>9999</v>
      </c>
      <c r="BA664" s="244">
        <v>111.44025199486465</v>
      </c>
      <c r="BB664" s="244">
        <v>5.2628116607666016</v>
      </c>
      <c r="BC664" s="244">
        <v>20.289419174194336</v>
      </c>
      <c r="BD664" s="244">
        <v>86.191116333007812</v>
      </c>
      <c r="BE664" s="244">
        <v>223.18359375</v>
      </c>
      <c r="BF664" s="244">
        <v>0</v>
      </c>
      <c r="BG664" s="244">
        <v>-55.747806549072266</v>
      </c>
      <c r="BH664" s="228">
        <v>9999</v>
      </c>
      <c r="BI664" s="244">
        <v>0</v>
      </c>
      <c r="BJ664" s="244">
        <v>0</v>
      </c>
      <c r="BK664" s="244">
        <v>0</v>
      </c>
      <c r="BL664" s="244">
        <v>0</v>
      </c>
      <c r="BM664" s="244">
        <v>0</v>
      </c>
      <c r="BN664" s="244">
        <v>111.44025199486465</v>
      </c>
      <c r="BO664" s="244">
        <v>0</v>
      </c>
      <c r="BP664" s="244">
        <v>5.2628116607666016</v>
      </c>
      <c r="BQ664" s="244">
        <v>0</v>
      </c>
      <c r="BR664" s="244">
        <v>0</v>
      </c>
      <c r="BS664" s="244">
        <v>0</v>
      </c>
      <c r="BT664" s="244">
        <v>86.191116333007812</v>
      </c>
      <c r="BU664" s="244">
        <v>0</v>
      </c>
      <c r="BV664" s="244">
        <v>0</v>
      </c>
      <c r="BW664" s="244">
        <v>20.289419174194336</v>
      </c>
      <c r="BX664" s="244">
        <v>0</v>
      </c>
      <c r="BY664" s="244"/>
      <c r="BZ664" s="244">
        <v>0</v>
      </c>
      <c r="CA664" s="244">
        <v>0</v>
      </c>
      <c r="CB664" s="244">
        <v>223.18359375</v>
      </c>
      <c r="CC664" s="244">
        <v>0</v>
      </c>
      <c r="CD664" s="228">
        <v>9999</v>
      </c>
      <c r="CE664" s="244">
        <v>-55.747806549072266</v>
      </c>
      <c r="CF664" s="244">
        <v>1.2197029326027176</v>
      </c>
      <c r="CG664" s="244">
        <v>0</v>
      </c>
      <c r="CH664" s="244">
        <v>1.2197029326027176</v>
      </c>
      <c r="CI664" s="244">
        <v>5.9870903264323365E-2</v>
      </c>
      <c r="CJ664" s="244">
        <v>0</v>
      </c>
      <c r="CK664" s="244">
        <v>5.9870903264323365E-2</v>
      </c>
      <c r="CL664" s="244"/>
      <c r="CM664" s="244">
        <v>0</v>
      </c>
      <c r="CN664" s="244" t="s">
        <v>605</v>
      </c>
      <c r="CO664" s="244">
        <v>0</v>
      </c>
      <c r="CP664" s="244">
        <v>0</v>
      </c>
      <c r="CQ664" s="244">
        <v>0</v>
      </c>
      <c r="CR664" s="244">
        <v>0</v>
      </c>
      <c r="CS664" s="244">
        <v>0</v>
      </c>
      <c r="CT664" s="244">
        <v>0</v>
      </c>
      <c r="CU664" s="244">
        <v>0</v>
      </c>
      <c r="CV664" s="244">
        <v>9999</v>
      </c>
      <c r="CW664" s="228">
        <v>9999</v>
      </c>
    </row>
    <row r="665" spans="1:101">
      <c r="A665" s="221" t="s">
        <v>585</v>
      </c>
      <c r="B665" s="221" t="s">
        <v>604</v>
      </c>
      <c r="C665" s="244">
        <v>10</v>
      </c>
      <c r="D665" s="244">
        <v>147.47156452082115</v>
      </c>
      <c r="E665" s="244">
        <v>0</v>
      </c>
      <c r="F665" s="244">
        <v>0</v>
      </c>
      <c r="G665" s="244">
        <v>0</v>
      </c>
      <c r="H665" s="244">
        <v>0</v>
      </c>
      <c r="I665" s="244" t="s">
        <v>605</v>
      </c>
      <c r="J665" s="244">
        <v>1</v>
      </c>
      <c r="K665" s="244">
        <v>0.63999998569488525</v>
      </c>
      <c r="L665" s="244">
        <v>160.84175135689594</v>
      </c>
      <c r="M665" s="244">
        <v>1.1750996112823486E-2</v>
      </c>
      <c r="N665" s="244">
        <v>1.8360931426286697E-2</v>
      </c>
      <c r="O665" s="244">
        <v>0</v>
      </c>
      <c r="P665" s="244">
        <v>0</v>
      </c>
      <c r="Q665" s="244">
        <v>0</v>
      </c>
      <c r="R665" s="244">
        <v>0</v>
      </c>
      <c r="S665" s="244">
        <v>0</v>
      </c>
      <c r="T665" s="244">
        <v>0</v>
      </c>
      <c r="U665" s="244">
        <v>0</v>
      </c>
      <c r="V665" s="244" t="s">
        <v>226</v>
      </c>
      <c r="W665" s="244" t="s">
        <v>226</v>
      </c>
      <c r="X665" s="244" t="s">
        <v>226</v>
      </c>
      <c r="Y665" s="244" t="s">
        <v>226</v>
      </c>
      <c r="Z665" s="244">
        <v>0</v>
      </c>
      <c r="AA665" s="244">
        <v>0</v>
      </c>
      <c r="AB665" s="244">
        <v>0</v>
      </c>
      <c r="AC665" s="244">
        <v>0</v>
      </c>
      <c r="AD665" s="244">
        <v>0</v>
      </c>
      <c r="AE665" s="244">
        <v>0</v>
      </c>
      <c r="AF665" s="244">
        <v>0</v>
      </c>
      <c r="AG665" s="244">
        <v>0</v>
      </c>
      <c r="AH665" s="244">
        <v>0</v>
      </c>
      <c r="AI665" s="244">
        <v>0</v>
      </c>
      <c r="AJ665" s="244">
        <v>0</v>
      </c>
      <c r="AK665" s="244">
        <v>0</v>
      </c>
      <c r="AL665" s="244">
        <v>0</v>
      </c>
      <c r="AM665" s="244">
        <v>111.44025199486465</v>
      </c>
      <c r="AN665" s="244">
        <v>0</v>
      </c>
      <c r="AO665" s="244">
        <v>19.763137817382812</v>
      </c>
      <c r="AP665" s="244">
        <v>86.191116333007812</v>
      </c>
      <c r="AQ665" s="244">
        <v>217.39450073242187</v>
      </c>
      <c r="AR665" s="244">
        <v>0</v>
      </c>
      <c r="AS665" s="228">
        <v>9999</v>
      </c>
      <c r="AT665" s="244">
        <v>111.44025199486465</v>
      </c>
      <c r="AU665" s="244">
        <v>5.2628116607666016</v>
      </c>
      <c r="AV665" s="244">
        <v>20.289419174194336</v>
      </c>
      <c r="AW665" s="244">
        <v>86.191116333007812</v>
      </c>
      <c r="AX665" s="244">
        <v>223.18359375</v>
      </c>
      <c r="AY665" s="244">
        <v>0</v>
      </c>
      <c r="AZ665" s="228">
        <v>9999</v>
      </c>
      <c r="BA665" s="244">
        <v>111.44025199486465</v>
      </c>
      <c r="BB665" s="244">
        <v>5.2628116607666016</v>
      </c>
      <c r="BC665" s="244">
        <v>20.289419174194336</v>
      </c>
      <c r="BD665" s="244">
        <v>86.191116333007812</v>
      </c>
      <c r="BE665" s="244">
        <v>223.18359375</v>
      </c>
      <c r="BF665" s="244">
        <v>0</v>
      </c>
      <c r="BG665" s="244">
        <v>-55.747806549072266</v>
      </c>
      <c r="BH665" s="228">
        <v>9999</v>
      </c>
      <c r="BI665" s="244">
        <v>0</v>
      </c>
      <c r="BJ665" s="244">
        <v>0</v>
      </c>
      <c r="BK665" s="244">
        <v>0</v>
      </c>
      <c r="BL665" s="244">
        <v>0</v>
      </c>
      <c r="BM665" s="244">
        <v>0</v>
      </c>
      <c r="BN665" s="244">
        <v>111.44025199486465</v>
      </c>
      <c r="BO665" s="244">
        <v>0</v>
      </c>
      <c r="BP665" s="244">
        <v>5.2628116607666016</v>
      </c>
      <c r="BQ665" s="244">
        <v>0</v>
      </c>
      <c r="BR665" s="244">
        <v>0</v>
      </c>
      <c r="BS665" s="244">
        <v>0</v>
      </c>
      <c r="BT665" s="244">
        <v>86.191116333007812</v>
      </c>
      <c r="BU665" s="244">
        <v>0</v>
      </c>
      <c r="BV665" s="244">
        <v>0</v>
      </c>
      <c r="BW665" s="244">
        <v>20.289419174194336</v>
      </c>
      <c r="BX665" s="244">
        <v>0</v>
      </c>
      <c r="BY665" s="244"/>
      <c r="BZ665" s="244">
        <v>0</v>
      </c>
      <c r="CA665" s="244">
        <v>0</v>
      </c>
      <c r="CB665" s="244">
        <v>223.18359375</v>
      </c>
      <c r="CC665" s="244">
        <v>0</v>
      </c>
      <c r="CD665" s="228">
        <v>9999</v>
      </c>
      <c r="CE665" s="244">
        <v>-55.747806549072266</v>
      </c>
      <c r="CF665" s="244">
        <v>1.2197029326027176</v>
      </c>
      <c r="CG665" s="244">
        <v>0</v>
      </c>
      <c r="CH665" s="244">
        <v>1.2197029326027176</v>
      </c>
      <c r="CI665" s="244">
        <v>5.9870903264323365E-2</v>
      </c>
      <c r="CJ665" s="244">
        <v>0</v>
      </c>
      <c r="CK665" s="244">
        <v>5.9870903264323365E-2</v>
      </c>
      <c r="CL665" s="244"/>
      <c r="CM665" s="244">
        <v>0</v>
      </c>
      <c r="CN665" s="244" t="s">
        <v>605</v>
      </c>
      <c r="CO665" s="244">
        <v>0</v>
      </c>
      <c r="CP665" s="244">
        <v>0</v>
      </c>
      <c r="CQ665" s="244">
        <v>0</v>
      </c>
      <c r="CR665" s="244">
        <v>0</v>
      </c>
      <c r="CS665" s="244">
        <v>0</v>
      </c>
      <c r="CT665" s="244">
        <v>0</v>
      </c>
      <c r="CU665" s="244">
        <v>0</v>
      </c>
      <c r="CV665" s="244">
        <v>9999</v>
      </c>
      <c r="CW665" s="228">
        <v>9999</v>
      </c>
    </row>
    <row r="666" spans="1:101">
      <c r="A666" s="221" t="s">
        <v>586</v>
      </c>
      <c r="B666" s="221" t="s">
        <v>604</v>
      </c>
      <c r="C666" s="244">
        <v>10</v>
      </c>
      <c r="D666" s="244">
        <v>108.34645556631763</v>
      </c>
      <c r="E666" s="244">
        <v>0</v>
      </c>
      <c r="F666" s="244">
        <v>0</v>
      </c>
      <c r="G666" s="244">
        <v>0</v>
      </c>
      <c r="H666" s="244">
        <v>0</v>
      </c>
      <c r="I666" s="244" t="s">
        <v>605</v>
      </c>
      <c r="J666" s="244">
        <v>1</v>
      </c>
      <c r="K666" s="244">
        <v>0.63999998569488525</v>
      </c>
      <c r="L666" s="244">
        <v>118.16944997649505</v>
      </c>
      <c r="M666" s="244">
        <v>8.6333844810724258E-3</v>
      </c>
      <c r="N666" s="244">
        <v>1.3489663600921631E-2</v>
      </c>
      <c r="O666" s="244">
        <v>0</v>
      </c>
      <c r="P666" s="244">
        <v>0</v>
      </c>
      <c r="Q666" s="244">
        <v>0</v>
      </c>
      <c r="R666" s="244">
        <v>0</v>
      </c>
      <c r="S666" s="244">
        <v>0</v>
      </c>
      <c r="T666" s="244">
        <v>0</v>
      </c>
      <c r="U666" s="244">
        <v>0</v>
      </c>
      <c r="V666" s="244" t="s">
        <v>226</v>
      </c>
      <c r="W666" s="244" t="s">
        <v>226</v>
      </c>
      <c r="X666" s="244" t="s">
        <v>226</v>
      </c>
      <c r="Y666" s="244" t="s">
        <v>226</v>
      </c>
      <c r="Z666" s="244">
        <v>0</v>
      </c>
      <c r="AA666" s="244">
        <v>0</v>
      </c>
      <c r="AB666" s="244">
        <v>0</v>
      </c>
      <c r="AC666" s="244">
        <v>0</v>
      </c>
      <c r="AD666" s="244">
        <v>0</v>
      </c>
      <c r="AE666" s="244">
        <v>0</v>
      </c>
      <c r="AF666" s="244">
        <v>0</v>
      </c>
      <c r="AG666" s="244">
        <v>0</v>
      </c>
      <c r="AH666" s="244">
        <v>0</v>
      </c>
      <c r="AI666" s="244">
        <v>0</v>
      </c>
      <c r="AJ666" s="244">
        <v>0</v>
      </c>
      <c r="AK666" s="244">
        <v>0</v>
      </c>
      <c r="AL666" s="244">
        <v>0</v>
      </c>
      <c r="AM666" s="244">
        <v>81.874470853369999</v>
      </c>
      <c r="AN666" s="244">
        <v>0</v>
      </c>
      <c r="AO666" s="244">
        <v>14.519855499267578</v>
      </c>
      <c r="AP666" s="244">
        <v>63.324081420898437</v>
      </c>
      <c r="AQ666" s="244">
        <v>159.71841430664062</v>
      </c>
      <c r="AR666" s="244">
        <v>0</v>
      </c>
      <c r="AS666" s="228">
        <v>9999</v>
      </c>
      <c r="AT666" s="244">
        <v>81.874470853369999</v>
      </c>
      <c r="AU666" s="244">
        <v>3.8665556907653809</v>
      </c>
      <c r="AV666" s="244">
        <v>14.906511306762695</v>
      </c>
      <c r="AW666" s="244">
        <v>63.324081420898437</v>
      </c>
      <c r="AX666" s="244">
        <v>163.97161865234375</v>
      </c>
      <c r="AY666" s="244">
        <v>0</v>
      </c>
      <c r="AZ666" s="228">
        <v>9999</v>
      </c>
      <c r="BA666" s="244">
        <v>81.874470853369999</v>
      </c>
      <c r="BB666" s="244">
        <v>3.8665556907653809</v>
      </c>
      <c r="BC666" s="244">
        <v>14.906511306762695</v>
      </c>
      <c r="BD666" s="244">
        <v>63.324081420898437</v>
      </c>
      <c r="BE666" s="244">
        <v>163.97161865234375</v>
      </c>
      <c r="BF666" s="244">
        <v>0</v>
      </c>
      <c r="BG666" s="244">
        <v>-55.747806549072266</v>
      </c>
      <c r="BH666" s="228">
        <v>9999</v>
      </c>
      <c r="BI666" s="244">
        <v>0</v>
      </c>
      <c r="BJ666" s="244">
        <v>0</v>
      </c>
      <c r="BK666" s="244">
        <v>0</v>
      </c>
      <c r="BL666" s="244">
        <v>0</v>
      </c>
      <c r="BM666" s="244">
        <v>0</v>
      </c>
      <c r="BN666" s="244">
        <v>81.874470853369999</v>
      </c>
      <c r="BO666" s="244">
        <v>0</v>
      </c>
      <c r="BP666" s="244">
        <v>3.8665556907653809</v>
      </c>
      <c r="BQ666" s="244">
        <v>0</v>
      </c>
      <c r="BR666" s="244">
        <v>0</v>
      </c>
      <c r="BS666" s="244">
        <v>0</v>
      </c>
      <c r="BT666" s="244">
        <v>63.324081420898437</v>
      </c>
      <c r="BU666" s="244">
        <v>0</v>
      </c>
      <c r="BV666" s="244">
        <v>0</v>
      </c>
      <c r="BW666" s="244">
        <v>14.906511306762695</v>
      </c>
      <c r="BX666" s="244">
        <v>0</v>
      </c>
      <c r="BY666" s="244"/>
      <c r="BZ666" s="244">
        <v>0</v>
      </c>
      <c r="CA666" s="244">
        <v>0</v>
      </c>
      <c r="CB666" s="244">
        <v>163.97161865234375</v>
      </c>
      <c r="CC666" s="244">
        <v>0</v>
      </c>
      <c r="CD666" s="228">
        <v>9999</v>
      </c>
      <c r="CE666" s="244">
        <v>-55.747806549072266</v>
      </c>
      <c r="CF666" s="244">
        <v>0.89610827701424167</v>
      </c>
      <c r="CG666" s="244">
        <v>0</v>
      </c>
      <c r="CH666" s="244">
        <v>0.89610827701424167</v>
      </c>
      <c r="CI666" s="244">
        <v>4.3986786071747809E-2</v>
      </c>
      <c r="CJ666" s="244">
        <v>0</v>
      </c>
      <c r="CK666" s="244">
        <v>4.3986786071747809E-2</v>
      </c>
      <c r="CL666" s="244"/>
      <c r="CM666" s="244">
        <v>0</v>
      </c>
      <c r="CN666" s="244" t="s">
        <v>605</v>
      </c>
      <c r="CO666" s="244">
        <v>0</v>
      </c>
      <c r="CP666" s="244">
        <v>0</v>
      </c>
      <c r="CQ666" s="244">
        <v>0</v>
      </c>
      <c r="CR666" s="244">
        <v>0</v>
      </c>
      <c r="CS666" s="244">
        <v>0</v>
      </c>
      <c r="CT666" s="244">
        <v>0</v>
      </c>
      <c r="CU666" s="244">
        <v>0</v>
      </c>
      <c r="CV666" s="244">
        <v>9999</v>
      </c>
      <c r="CW666" s="228">
        <v>9999</v>
      </c>
    </row>
    <row r="667" spans="1:101">
      <c r="A667" s="221" t="s">
        <v>587</v>
      </c>
      <c r="B667" s="221" t="s">
        <v>604</v>
      </c>
      <c r="C667" s="244">
        <v>10</v>
      </c>
      <c r="D667" s="244">
        <v>108.34645556631763</v>
      </c>
      <c r="E667" s="244">
        <v>0</v>
      </c>
      <c r="F667" s="244">
        <v>0</v>
      </c>
      <c r="G667" s="244">
        <v>0</v>
      </c>
      <c r="H667" s="244">
        <v>0</v>
      </c>
      <c r="I667" s="244" t="s">
        <v>605</v>
      </c>
      <c r="J667" s="244">
        <v>1</v>
      </c>
      <c r="K667" s="244">
        <v>0.63999998569488525</v>
      </c>
      <c r="L667" s="244">
        <v>118.16944997649505</v>
      </c>
      <c r="M667" s="244">
        <v>8.6333844810724258E-3</v>
      </c>
      <c r="N667" s="244">
        <v>1.3489663600921631E-2</v>
      </c>
      <c r="O667" s="244">
        <v>0</v>
      </c>
      <c r="P667" s="244">
        <v>0</v>
      </c>
      <c r="Q667" s="244">
        <v>0</v>
      </c>
      <c r="R667" s="244">
        <v>0</v>
      </c>
      <c r="S667" s="244">
        <v>0</v>
      </c>
      <c r="T667" s="244">
        <v>0</v>
      </c>
      <c r="U667" s="244">
        <v>0</v>
      </c>
      <c r="V667" s="244" t="s">
        <v>226</v>
      </c>
      <c r="W667" s="244" t="s">
        <v>226</v>
      </c>
      <c r="X667" s="244" t="s">
        <v>226</v>
      </c>
      <c r="Y667" s="244" t="s">
        <v>226</v>
      </c>
      <c r="Z667" s="244">
        <v>0</v>
      </c>
      <c r="AA667" s="244">
        <v>0</v>
      </c>
      <c r="AB667" s="244">
        <v>0</v>
      </c>
      <c r="AC667" s="244">
        <v>0</v>
      </c>
      <c r="AD667" s="244">
        <v>0</v>
      </c>
      <c r="AE667" s="244">
        <v>0</v>
      </c>
      <c r="AF667" s="244">
        <v>0</v>
      </c>
      <c r="AG667" s="244">
        <v>0</v>
      </c>
      <c r="AH667" s="244">
        <v>0</v>
      </c>
      <c r="AI667" s="244">
        <v>0</v>
      </c>
      <c r="AJ667" s="244">
        <v>0</v>
      </c>
      <c r="AK667" s="244">
        <v>0</v>
      </c>
      <c r="AL667" s="244">
        <v>0</v>
      </c>
      <c r="AM667" s="244">
        <v>81.874470853369999</v>
      </c>
      <c r="AN667" s="244">
        <v>0</v>
      </c>
      <c r="AO667" s="244">
        <v>14.519855499267578</v>
      </c>
      <c r="AP667" s="244">
        <v>63.324081420898437</v>
      </c>
      <c r="AQ667" s="244">
        <v>159.71841430664062</v>
      </c>
      <c r="AR667" s="244">
        <v>0</v>
      </c>
      <c r="AS667" s="228">
        <v>9999</v>
      </c>
      <c r="AT667" s="244">
        <v>81.874470853369999</v>
      </c>
      <c r="AU667" s="244">
        <v>3.8665556907653809</v>
      </c>
      <c r="AV667" s="244">
        <v>14.906511306762695</v>
      </c>
      <c r="AW667" s="244">
        <v>63.324081420898437</v>
      </c>
      <c r="AX667" s="244">
        <v>163.97161865234375</v>
      </c>
      <c r="AY667" s="244">
        <v>0</v>
      </c>
      <c r="AZ667" s="228">
        <v>9999</v>
      </c>
      <c r="BA667" s="244">
        <v>81.874470853369999</v>
      </c>
      <c r="BB667" s="244">
        <v>3.8665556907653809</v>
      </c>
      <c r="BC667" s="244">
        <v>14.906511306762695</v>
      </c>
      <c r="BD667" s="244">
        <v>63.324081420898437</v>
      </c>
      <c r="BE667" s="244">
        <v>163.97161865234375</v>
      </c>
      <c r="BF667" s="244">
        <v>0</v>
      </c>
      <c r="BG667" s="244">
        <v>-55.747806549072266</v>
      </c>
      <c r="BH667" s="228">
        <v>9999</v>
      </c>
      <c r="BI667" s="244">
        <v>0</v>
      </c>
      <c r="BJ667" s="244">
        <v>0</v>
      </c>
      <c r="BK667" s="244">
        <v>0</v>
      </c>
      <c r="BL667" s="244">
        <v>0</v>
      </c>
      <c r="BM667" s="244">
        <v>0</v>
      </c>
      <c r="BN667" s="244">
        <v>81.874470853369999</v>
      </c>
      <c r="BO667" s="244">
        <v>0</v>
      </c>
      <c r="BP667" s="244">
        <v>3.8665556907653809</v>
      </c>
      <c r="BQ667" s="244">
        <v>0</v>
      </c>
      <c r="BR667" s="244">
        <v>0</v>
      </c>
      <c r="BS667" s="244">
        <v>0</v>
      </c>
      <c r="BT667" s="244">
        <v>63.324081420898437</v>
      </c>
      <c r="BU667" s="244">
        <v>0</v>
      </c>
      <c r="BV667" s="244">
        <v>0</v>
      </c>
      <c r="BW667" s="244">
        <v>14.906511306762695</v>
      </c>
      <c r="BX667" s="244">
        <v>0</v>
      </c>
      <c r="BY667" s="244"/>
      <c r="BZ667" s="244">
        <v>0</v>
      </c>
      <c r="CA667" s="244">
        <v>0</v>
      </c>
      <c r="CB667" s="244">
        <v>163.97161865234375</v>
      </c>
      <c r="CC667" s="244">
        <v>0</v>
      </c>
      <c r="CD667" s="228">
        <v>9999</v>
      </c>
      <c r="CE667" s="244">
        <v>-55.747806549072266</v>
      </c>
      <c r="CF667" s="244">
        <v>0.89610827701424167</v>
      </c>
      <c r="CG667" s="244">
        <v>0</v>
      </c>
      <c r="CH667" s="244">
        <v>0.89610827701424167</v>
      </c>
      <c r="CI667" s="244">
        <v>4.3986786071747809E-2</v>
      </c>
      <c r="CJ667" s="244">
        <v>0</v>
      </c>
      <c r="CK667" s="244">
        <v>4.3986786071747809E-2</v>
      </c>
      <c r="CL667" s="244"/>
      <c r="CM667" s="244">
        <v>0</v>
      </c>
      <c r="CN667" s="244" t="s">
        <v>605</v>
      </c>
      <c r="CO667" s="244">
        <v>0</v>
      </c>
      <c r="CP667" s="244">
        <v>0</v>
      </c>
      <c r="CQ667" s="244">
        <v>0</v>
      </c>
      <c r="CR667" s="244">
        <v>0</v>
      </c>
      <c r="CS667" s="244">
        <v>0</v>
      </c>
      <c r="CT667" s="244">
        <v>0</v>
      </c>
      <c r="CU667" s="244">
        <v>0</v>
      </c>
      <c r="CV667" s="244">
        <v>9999</v>
      </c>
      <c r="CW667" s="228">
        <v>9999</v>
      </c>
    </row>
    <row r="668" spans="1:101">
      <c r="A668" s="221" t="s">
        <v>588</v>
      </c>
      <c r="B668" s="221" t="s">
        <v>604</v>
      </c>
      <c r="C668" s="244">
        <v>10</v>
      </c>
      <c r="D668" s="244">
        <v>108.34645556631763</v>
      </c>
      <c r="E668" s="244">
        <v>0</v>
      </c>
      <c r="F668" s="244">
        <v>0</v>
      </c>
      <c r="G668" s="244">
        <v>0</v>
      </c>
      <c r="H668" s="244">
        <v>0</v>
      </c>
      <c r="I668" s="244" t="s">
        <v>605</v>
      </c>
      <c r="J668" s="244">
        <v>1</v>
      </c>
      <c r="K668" s="244">
        <v>0.63999998569488525</v>
      </c>
      <c r="L668" s="244">
        <v>118.16944997649505</v>
      </c>
      <c r="M668" s="244">
        <v>8.6333844810724258E-3</v>
      </c>
      <c r="N668" s="244">
        <v>1.3489663600921631E-2</v>
      </c>
      <c r="O668" s="244">
        <v>0</v>
      </c>
      <c r="P668" s="244">
        <v>0</v>
      </c>
      <c r="Q668" s="244">
        <v>0</v>
      </c>
      <c r="R668" s="244">
        <v>0</v>
      </c>
      <c r="S668" s="244">
        <v>0</v>
      </c>
      <c r="T668" s="244">
        <v>0</v>
      </c>
      <c r="U668" s="244">
        <v>0</v>
      </c>
      <c r="V668" s="244" t="s">
        <v>226</v>
      </c>
      <c r="W668" s="244" t="s">
        <v>226</v>
      </c>
      <c r="X668" s="244" t="s">
        <v>226</v>
      </c>
      <c r="Y668" s="244" t="s">
        <v>226</v>
      </c>
      <c r="Z668" s="244">
        <v>0</v>
      </c>
      <c r="AA668" s="244">
        <v>0</v>
      </c>
      <c r="AB668" s="244">
        <v>0</v>
      </c>
      <c r="AC668" s="244">
        <v>0</v>
      </c>
      <c r="AD668" s="244">
        <v>0</v>
      </c>
      <c r="AE668" s="244">
        <v>0</v>
      </c>
      <c r="AF668" s="244">
        <v>0</v>
      </c>
      <c r="AG668" s="244">
        <v>0</v>
      </c>
      <c r="AH668" s="244">
        <v>0</v>
      </c>
      <c r="AI668" s="244">
        <v>0</v>
      </c>
      <c r="AJ668" s="244">
        <v>0</v>
      </c>
      <c r="AK668" s="244">
        <v>0</v>
      </c>
      <c r="AL668" s="244">
        <v>0</v>
      </c>
      <c r="AM668" s="244">
        <v>81.874470853369999</v>
      </c>
      <c r="AN668" s="244">
        <v>0</v>
      </c>
      <c r="AO668" s="244">
        <v>14.519855499267578</v>
      </c>
      <c r="AP668" s="244">
        <v>63.324081420898437</v>
      </c>
      <c r="AQ668" s="244">
        <v>159.71841430664062</v>
      </c>
      <c r="AR668" s="244">
        <v>0</v>
      </c>
      <c r="AS668" s="228">
        <v>9999</v>
      </c>
      <c r="AT668" s="244">
        <v>81.874470853369999</v>
      </c>
      <c r="AU668" s="244">
        <v>3.8665556907653809</v>
      </c>
      <c r="AV668" s="244">
        <v>14.906511306762695</v>
      </c>
      <c r="AW668" s="244">
        <v>63.324081420898437</v>
      </c>
      <c r="AX668" s="244">
        <v>163.97161865234375</v>
      </c>
      <c r="AY668" s="244">
        <v>0</v>
      </c>
      <c r="AZ668" s="228">
        <v>9999</v>
      </c>
      <c r="BA668" s="244">
        <v>81.874470853369999</v>
      </c>
      <c r="BB668" s="244">
        <v>3.8665556907653809</v>
      </c>
      <c r="BC668" s="244">
        <v>14.906511306762695</v>
      </c>
      <c r="BD668" s="244">
        <v>63.324081420898437</v>
      </c>
      <c r="BE668" s="244">
        <v>163.97161865234375</v>
      </c>
      <c r="BF668" s="244">
        <v>0</v>
      </c>
      <c r="BG668" s="244">
        <v>-55.747806549072266</v>
      </c>
      <c r="BH668" s="228">
        <v>9999</v>
      </c>
      <c r="BI668" s="244">
        <v>0</v>
      </c>
      <c r="BJ668" s="244">
        <v>0</v>
      </c>
      <c r="BK668" s="244">
        <v>0</v>
      </c>
      <c r="BL668" s="244">
        <v>0</v>
      </c>
      <c r="BM668" s="244">
        <v>0</v>
      </c>
      <c r="BN668" s="244">
        <v>81.874470853369999</v>
      </c>
      <c r="BO668" s="244">
        <v>0</v>
      </c>
      <c r="BP668" s="244">
        <v>3.8665556907653809</v>
      </c>
      <c r="BQ668" s="244">
        <v>0</v>
      </c>
      <c r="BR668" s="244">
        <v>0</v>
      </c>
      <c r="BS668" s="244">
        <v>0</v>
      </c>
      <c r="BT668" s="244">
        <v>63.324081420898437</v>
      </c>
      <c r="BU668" s="244">
        <v>0</v>
      </c>
      <c r="BV668" s="244">
        <v>0</v>
      </c>
      <c r="BW668" s="244">
        <v>14.906511306762695</v>
      </c>
      <c r="BX668" s="244">
        <v>0</v>
      </c>
      <c r="BY668" s="244"/>
      <c r="BZ668" s="244">
        <v>0</v>
      </c>
      <c r="CA668" s="244">
        <v>0</v>
      </c>
      <c r="CB668" s="244">
        <v>163.97161865234375</v>
      </c>
      <c r="CC668" s="244">
        <v>0</v>
      </c>
      <c r="CD668" s="228">
        <v>9999</v>
      </c>
      <c r="CE668" s="244">
        <v>-55.747806549072266</v>
      </c>
      <c r="CF668" s="244">
        <v>0.89610827701424167</v>
      </c>
      <c r="CG668" s="244">
        <v>0</v>
      </c>
      <c r="CH668" s="244">
        <v>0.89610827701424167</v>
      </c>
      <c r="CI668" s="244">
        <v>4.3986786071747809E-2</v>
      </c>
      <c r="CJ668" s="244">
        <v>0</v>
      </c>
      <c r="CK668" s="244">
        <v>4.3986786071747809E-2</v>
      </c>
      <c r="CL668" s="244"/>
      <c r="CM668" s="244">
        <v>0</v>
      </c>
      <c r="CN668" s="244" t="s">
        <v>605</v>
      </c>
      <c r="CO668" s="244">
        <v>0</v>
      </c>
      <c r="CP668" s="244">
        <v>0</v>
      </c>
      <c r="CQ668" s="244">
        <v>0</v>
      </c>
      <c r="CR668" s="244">
        <v>0</v>
      </c>
      <c r="CS668" s="244">
        <v>0</v>
      </c>
      <c r="CT668" s="244">
        <v>0</v>
      </c>
      <c r="CU668" s="244">
        <v>0</v>
      </c>
      <c r="CV668" s="244">
        <v>9999</v>
      </c>
      <c r="CW668" s="228">
        <v>9999</v>
      </c>
    </row>
    <row r="669" spans="1:101">
      <c r="A669" s="221" t="s">
        <v>589</v>
      </c>
      <c r="B669" s="221" t="s">
        <v>604</v>
      </c>
      <c r="C669" s="244">
        <v>10</v>
      </c>
      <c r="D669" s="244">
        <v>121.88976251210731</v>
      </c>
      <c r="E669" s="244">
        <v>0</v>
      </c>
      <c r="F669" s="244">
        <v>0</v>
      </c>
      <c r="G669" s="244">
        <v>0</v>
      </c>
      <c r="H669" s="244">
        <v>0</v>
      </c>
      <c r="I669" s="244" t="s">
        <v>605</v>
      </c>
      <c r="J669" s="244">
        <v>1</v>
      </c>
      <c r="K669" s="244">
        <v>0.63999998569488525</v>
      </c>
      <c r="L669" s="244">
        <v>132.94063122355684</v>
      </c>
      <c r="M669" s="244">
        <v>9.7125573083758354E-3</v>
      </c>
      <c r="N669" s="244">
        <v>1.5175871551036835E-2</v>
      </c>
      <c r="O669" s="244">
        <v>0</v>
      </c>
      <c r="P669" s="244">
        <v>0</v>
      </c>
      <c r="Q669" s="244">
        <v>0</v>
      </c>
      <c r="R669" s="244">
        <v>0</v>
      </c>
      <c r="S669" s="244">
        <v>0</v>
      </c>
      <c r="T669" s="244">
        <v>0</v>
      </c>
      <c r="U669" s="244">
        <v>0</v>
      </c>
      <c r="V669" s="244" t="s">
        <v>226</v>
      </c>
      <c r="W669" s="244" t="s">
        <v>226</v>
      </c>
      <c r="X669" s="244" t="s">
        <v>226</v>
      </c>
      <c r="Y669" s="244" t="s">
        <v>226</v>
      </c>
      <c r="Z669" s="244">
        <v>0</v>
      </c>
      <c r="AA669" s="244">
        <v>0</v>
      </c>
      <c r="AB669" s="244">
        <v>0</v>
      </c>
      <c r="AC669" s="244">
        <v>0</v>
      </c>
      <c r="AD669" s="244">
        <v>0</v>
      </c>
      <c r="AE669" s="244">
        <v>0</v>
      </c>
      <c r="AF669" s="244">
        <v>0</v>
      </c>
      <c r="AG669" s="244">
        <v>0</v>
      </c>
      <c r="AH669" s="244">
        <v>0</v>
      </c>
      <c r="AI669" s="244">
        <v>0</v>
      </c>
      <c r="AJ669" s="244">
        <v>0</v>
      </c>
      <c r="AK669" s="244">
        <v>0</v>
      </c>
      <c r="AL669" s="244">
        <v>0</v>
      </c>
      <c r="AM669" s="244">
        <v>92.108779710041247</v>
      </c>
      <c r="AN669" s="244">
        <v>0</v>
      </c>
      <c r="AO669" s="244">
        <v>16.334836959838867</v>
      </c>
      <c r="AP669" s="244">
        <v>71.239593505859375</v>
      </c>
      <c r="AQ669" s="244">
        <v>179.68321228027344</v>
      </c>
      <c r="AR669" s="244">
        <v>0</v>
      </c>
      <c r="AS669" s="228">
        <v>9999</v>
      </c>
      <c r="AT669" s="244">
        <v>92.108779710041247</v>
      </c>
      <c r="AU669" s="244">
        <v>4.3498744964599609</v>
      </c>
      <c r="AV669" s="244">
        <v>16.769824981689453</v>
      </c>
      <c r="AW669" s="244">
        <v>71.239593505859375</v>
      </c>
      <c r="AX669" s="244">
        <v>184.46807861328125</v>
      </c>
      <c r="AY669" s="244">
        <v>0</v>
      </c>
      <c r="AZ669" s="228">
        <v>9999</v>
      </c>
      <c r="BA669" s="244">
        <v>92.108779710041247</v>
      </c>
      <c r="BB669" s="244">
        <v>4.3498744964599609</v>
      </c>
      <c r="BC669" s="244">
        <v>16.769824981689453</v>
      </c>
      <c r="BD669" s="244">
        <v>71.239593505859375</v>
      </c>
      <c r="BE669" s="244">
        <v>184.46807861328125</v>
      </c>
      <c r="BF669" s="244">
        <v>0</v>
      </c>
      <c r="BG669" s="244">
        <v>-55.747806549072266</v>
      </c>
      <c r="BH669" s="228">
        <v>9999</v>
      </c>
      <c r="BI669" s="244">
        <v>0</v>
      </c>
      <c r="BJ669" s="244">
        <v>0</v>
      </c>
      <c r="BK669" s="244">
        <v>0</v>
      </c>
      <c r="BL669" s="244">
        <v>0</v>
      </c>
      <c r="BM669" s="244">
        <v>0</v>
      </c>
      <c r="BN669" s="244">
        <v>92.108779710041247</v>
      </c>
      <c r="BO669" s="244">
        <v>0</v>
      </c>
      <c r="BP669" s="244">
        <v>4.3498744964599609</v>
      </c>
      <c r="BQ669" s="244">
        <v>0</v>
      </c>
      <c r="BR669" s="244">
        <v>0</v>
      </c>
      <c r="BS669" s="244">
        <v>0</v>
      </c>
      <c r="BT669" s="244">
        <v>71.239593505859375</v>
      </c>
      <c r="BU669" s="244">
        <v>0</v>
      </c>
      <c r="BV669" s="244">
        <v>0</v>
      </c>
      <c r="BW669" s="244">
        <v>16.769824981689453</v>
      </c>
      <c r="BX669" s="244">
        <v>0</v>
      </c>
      <c r="BY669" s="244"/>
      <c r="BZ669" s="244">
        <v>0</v>
      </c>
      <c r="CA669" s="244">
        <v>0</v>
      </c>
      <c r="CB669" s="244">
        <v>184.46807861328125</v>
      </c>
      <c r="CC669" s="244">
        <v>0</v>
      </c>
      <c r="CD669" s="228">
        <v>9999</v>
      </c>
      <c r="CE669" s="244">
        <v>-55.747806549072266</v>
      </c>
      <c r="CF669" s="244">
        <v>1.0081218116410204</v>
      </c>
      <c r="CG669" s="244">
        <v>0</v>
      </c>
      <c r="CH669" s="244">
        <v>1.0081218116410204</v>
      </c>
      <c r="CI669" s="244">
        <v>4.9485134330716211E-2</v>
      </c>
      <c r="CJ669" s="244">
        <v>0</v>
      </c>
      <c r="CK669" s="244">
        <v>4.9485134330716211E-2</v>
      </c>
      <c r="CL669" s="244"/>
      <c r="CM669" s="244">
        <v>0</v>
      </c>
      <c r="CN669" s="244" t="s">
        <v>605</v>
      </c>
      <c r="CO669" s="244">
        <v>0</v>
      </c>
      <c r="CP669" s="244">
        <v>0</v>
      </c>
      <c r="CQ669" s="244">
        <v>0</v>
      </c>
      <c r="CR669" s="244">
        <v>0</v>
      </c>
      <c r="CS669" s="244">
        <v>0</v>
      </c>
      <c r="CT669" s="244">
        <v>0</v>
      </c>
      <c r="CU669" s="244">
        <v>0</v>
      </c>
      <c r="CV669" s="244">
        <v>9999</v>
      </c>
      <c r="CW669" s="228">
        <v>9999</v>
      </c>
    </row>
    <row r="670" spans="1:101">
      <c r="A670" s="221" t="s">
        <v>590</v>
      </c>
      <c r="B670" s="221" t="s">
        <v>604</v>
      </c>
      <c r="C670" s="244">
        <v>10</v>
      </c>
      <c r="D670" s="244">
        <v>121.88976251210731</v>
      </c>
      <c r="E670" s="244">
        <v>0</v>
      </c>
      <c r="F670" s="244">
        <v>0</v>
      </c>
      <c r="G670" s="244">
        <v>0</v>
      </c>
      <c r="H670" s="244">
        <v>0</v>
      </c>
      <c r="I670" s="244" t="s">
        <v>605</v>
      </c>
      <c r="J670" s="244">
        <v>1</v>
      </c>
      <c r="K670" s="244">
        <v>0.63999998569488525</v>
      </c>
      <c r="L670" s="244">
        <v>132.94063122355684</v>
      </c>
      <c r="M670" s="244">
        <v>9.7125573083758354E-3</v>
      </c>
      <c r="N670" s="244">
        <v>1.5175871551036835E-2</v>
      </c>
      <c r="O670" s="244">
        <v>0</v>
      </c>
      <c r="P670" s="244">
        <v>0</v>
      </c>
      <c r="Q670" s="244">
        <v>0</v>
      </c>
      <c r="R670" s="244">
        <v>0</v>
      </c>
      <c r="S670" s="244">
        <v>0</v>
      </c>
      <c r="T670" s="244">
        <v>0</v>
      </c>
      <c r="U670" s="244">
        <v>0</v>
      </c>
      <c r="V670" s="244" t="s">
        <v>226</v>
      </c>
      <c r="W670" s="244" t="s">
        <v>226</v>
      </c>
      <c r="X670" s="244" t="s">
        <v>226</v>
      </c>
      <c r="Y670" s="244" t="s">
        <v>226</v>
      </c>
      <c r="Z670" s="244">
        <v>0</v>
      </c>
      <c r="AA670" s="244">
        <v>0</v>
      </c>
      <c r="AB670" s="244">
        <v>0</v>
      </c>
      <c r="AC670" s="244">
        <v>0</v>
      </c>
      <c r="AD670" s="244">
        <v>0</v>
      </c>
      <c r="AE670" s="244">
        <v>0</v>
      </c>
      <c r="AF670" s="244">
        <v>0</v>
      </c>
      <c r="AG670" s="244">
        <v>0</v>
      </c>
      <c r="AH670" s="244">
        <v>0</v>
      </c>
      <c r="AI670" s="244">
        <v>0</v>
      </c>
      <c r="AJ670" s="244">
        <v>0</v>
      </c>
      <c r="AK670" s="244">
        <v>0</v>
      </c>
      <c r="AL670" s="244">
        <v>0</v>
      </c>
      <c r="AM670" s="244">
        <v>92.108779710041247</v>
      </c>
      <c r="AN670" s="244">
        <v>0</v>
      </c>
      <c r="AO670" s="244">
        <v>16.334836959838867</v>
      </c>
      <c r="AP670" s="244">
        <v>71.239593505859375</v>
      </c>
      <c r="AQ670" s="244">
        <v>179.68321228027344</v>
      </c>
      <c r="AR670" s="244">
        <v>0</v>
      </c>
      <c r="AS670" s="228">
        <v>9999</v>
      </c>
      <c r="AT670" s="244">
        <v>92.108779710041247</v>
      </c>
      <c r="AU670" s="244">
        <v>4.3498744964599609</v>
      </c>
      <c r="AV670" s="244">
        <v>16.769824981689453</v>
      </c>
      <c r="AW670" s="244">
        <v>71.239593505859375</v>
      </c>
      <c r="AX670" s="244">
        <v>184.46807861328125</v>
      </c>
      <c r="AY670" s="244">
        <v>0</v>
      </c>
      <c r="AZ670" s="228">
        <v>9999</v>
      </c>
      <c r="BA670" s="244">
        <v>92.108779710041247</v>
      </c>
      <c r="BB670" s="244">
        <v>4.3498744964599609</v>
      </c>
      <c r="BC670" s="244">
        <v>16.769824981689453</v>
      </c>
      <c r="BD670" s="244">
        <v>71.239593505859375</v>
      </c>
      <c r="BE670" s="244">
        <v>184.46807861328125</v>
      </c>
      <c r="BF670" s="244">
        <v>0</v>
      </c>
      <c r="BG670" s="244">
        <v>-55.747806549072266</v>
      </c>
      <c r="BH670" s="228">
        <v>9999</v>
      </c>
      <c r="BI670" s="244">
        <v>0</v>
      </c>
      <c r="BJ670" s="244">
        <v>0</v>
      </c>
      <c r="BK670" s="244">
        <v>0</v>
      </c>
      <c r="BL670" s="244">
        <v>0</v>
      </c>
      <c r="BM670" s="244">
        <v>0</v>
      </c>
      <c r="BN670" s="244">
        <v>92.108779710041247</v>
      </c>
      <c r="BO670" s="244">
        <v>0</v>
      </c>
      <c r="BP670" s="244">
        <v>4.3498744964599609</v>
      </c>
      <c r="BQ670" s="244">
        <v>0</v>
      </c>
      <c r="BR670" s="244">
        <v>0</v>
      </c>
      <c r="BS670" s="244">
        <v>0</v>
      </c>
      <c r="BT670" s="244">
        <v>71.239593505859375</v>
      </c>
      <c r="BU670" s="244">
        <v>0</v>
      </c>
      <c r="BV670" s="244">
        <v>0</v>
      </c>
      <c r="BW670" s="244">
        <v>16.769824981689453</v>
      </c>
      <c r="BX670" s="244">
        <v>0</v>
      </c>
      <c r="BY670" s="244"/>
      <c r="BZ670" s="244">
        <v>0</v>
      </c>
      <c r="CA670" s="244">
        <v>0</v>
      </c>
      <c r="CB670" s="244">
        <v>184.46807861328125</v>
      </c>
      <c r="CC670" s="244">
        <v>0</v>
      </c>
      <c r="CD670" s="228">
        <v>9999</v>
      </c>
      <c r="CE670" s="244">
        <v>-55.747806549072266</v>
      </c>
      <c r="CF670" s="244">
        <v>1.0081218116410204</v>
      </c>
      <c r="CG670" s="244">
        <v>0</v>
      </c>
      <c r="CH670" s="244">
        <v>1.0081218116410204</v>
      </c>
      <c r="CI670" s="244">
        <v>4.9485134330716211E-2</v>
      </c>
      <c r="CJ670" s="244">
        <v>0</v>
      </c>
      <c r="CK670" s="244">
        <v>4.9485134330716211E-2</v>
      </c>
      <c r="CL670" s="244"/>
      <c r="CM670" s="244">
        <v>0</v>
      </c>
      <c r="CN670" s="244" t="s">
        <v>605</v>
      </c>
      <c r="CO670" s="244">
        <v>0</v>
      </c>
      <c r="CP670" s="244">
        <v>0</v>
      </c>
      <c r="CQ670" s="244">
        <v>0</v>
      </c>
      <c r="CR670" s="244">
        <v>0</v>
      </c>
      <c r="CS670" s="244">
        <v>0</v>
      </c>
      <c r="CT670" s="244">
        <v>0</v>
      </c>
      <c r="CU670" s="244">
        <v>0</v>
      </c>
      <c r="CV670" s="244">
        <v>9999</v>
      </c>
      <c r="CW670" s="228">
        <v>9999</v>
      </c>
    </row>
    <row r="671" spans="1:101">
      <c r="A671" s="221" t="s">
        <v>591</v>
      </c>
      <c r="B671" s="221" t="s">
        <v>604</v>
      </c>
      <c r="C671" s="244">
        <v>10</v>
      </c>
      <c r="D671" s="244">
        <v>121.88976251210731</v>
      </c>
      <c r="E671" s="244">
        <v>0</v>
      </c>
      <c r="F671" s="244">
        <v>0</v>
      </c>
      <c r="G671" s="244">
        <v>0</v>
      </c>
      <c r="H671" s="244">
        <v>0</v>
      </c>
      <c r="I671" s="244" t="s">
        <v>605</v>
      </c>
      <c r="J671" s="244">
        <v>1</v>
      </c>
      <c r="K671" s="244">
        <v>0.63999998569488525</v>
      </c>
      <c r="L671" s="244">
        <v>132.94063122355684</v>
      </c>
      <c r="M671" s="244">
        <v>9.7125573083758354E-3</v>
      </c>
      <c r="N671" s="244">
        <v>1.5175871551036835E-2</v>
      </c>
      <c r="O671" s="244">
        <v>0</v>
      </c>
      <c r="P671" s="244">
        <v>0</v>
      </c>
      <c r="Q671" s="244">
        <v>0</v>
      </c>
      <c r="R671" s="244">
        <v>0</v>
      </c>
      <c r="S671" s="244">
        <v>0</v>
      </c>
      <c r="T671" s="244">
        <v>0</v>
      </c>
      <c r="U671" s="244">
        <v>0</v>
      </c>
      <c r="V671" s="244" t="s">
        <v>226</v>
      </c>
      <c r="W671" s="244" t="s">
        <v>226</v>
      </c>
      <c r="X671" s="244" t="s">
        <v>226</v>
      </c>
      <c r="Y671" s="244" t="s">
        <v>226</v>
      </c>
      <c r="Z671" s="244">
        <v>0</v>
      </c>
      <c r="AA671" s="244">
        <v>0</v>
      </c>
      <c r="AB671" s="244">
        <v>0</v>
      </c>
      <c r="AC671" s="244">
        <v>0</v>
      </c>
      <c r="AD671" s="244">
        <v>0</v>
      </c>
      <c r="AE671" s="244">
        <v>0</v>
      </c>
      <c r="AF671" s="244">
        <v>0</v>
      </c>
      <c r="AG671" s="244">
        <v>0</v>
      </c>
      <c r="AH671" s="244">
        <v>0</v>
      </c>
      <c r="AI671" s="244">
        <v>0</v>
      </c>
      <c r="AJ671" s="244">
        <v>0</v>
      </c>
      <c r="AK671" s="244">
        <v>0</v>
      </c>
      <c r="AL671" s="244">
        <v>0</v>
      </c>
      <c r="AM671" s="244">
        <v>92.108779710041247</v>
      </c>
      <c r="AN671" s="244">
        <v>0</v>
      </c>
      <c r="AO671" s="244">
        <v>16.334836959838867</v>
      </c>
      <c r="AP671" s="244">
        <v>71.239593505859375</v>
      </c>
      <c r="AQ671" s="244">
        <v>179.68321228027344</v>
      </c>
      <c r="AR671" s="244">
        <v>0</v>
      </c>
      <c r="AS671" s="228">
        <v>9999</v>
      </c>
      <c r="AT671" s="244">
        <v>92.108779710041247</v>
      </c>
      <c r="AU671" s="244">
        <v>4.3498744964599609</v>
      </c>
      <c r="AV671" s="244">
        <v>16.769824981689453</v>
      </c>
      <c r="AW671" s="244">
        <v>71.239593505859375</v>
      </c>
      <c r="AX671" s="244">
        <v>184.46807861328125</v>
      </c>
      <c r="AY671" s="244">
        <v>0</v>
      </c>
      <c r="AZ671" s="228">
        <v>9999</v>
      </c>
      <c r="BA671" s="244">
        <v>92.108779710041247</v>
      </c>
      <c r="BB671" s="244">
        <v>4.3498744964599609</v>
      </c>
      <c r="BC671" s="244">
        <v>16.769824981689453</v>
      </c>
      <c r="BD671" s="244">
        <v>71.239593505859375</v>
      </c>
      <c r="BE671" s="244">
        <v>184.46807861328125</v>
      </c>
      <c r="BF671" s="244">
        <v>0</v>
      </c>
      <c r="BG671" s="244">
        <v>-55.747806549072266</v>
      </c>
      <c r="BH671" s="228">
        <v>9999</v>
      </c>
      <c r="BI671" s="244">
        <v>0</v>
      </c>
      <c r="BJ671" s="244">
        <v>0</v>
      </c>
      <c r="BK671" s="244">
        <v>0</v>
      </c>
      <c r="BL671" s="244">
        <v>0</v>
      </c>
      <c r="BM671" s="244">
        <v>0</v>
      </c>
      <c r="BN671" s="244">
        <v>92.108779710041247</v>
      </c>
      <c r="BO671" s="244">
        <v>0</v>
      </c>
      <c r="BP671" s="244">
        <v>4.3498744964599609</v>
      </c>
      <c r="BQ671" s="244">
        <v>0</v>
      </c>
      <c r="BR671" s="244">
        <v>0</v>
      </c>
      <c r="BS671" s="244">
        <v>0</v>
      </c>
      <c r="BT671" s="244">
        <v>71.239593505859375</v>
      </c>
      <c r="BU671" s="244">
        <v>0</v>
      </c>
      <c r="BV671" s="244">
        <v>0</v>
      </c>
      <c r="BW671" s="244">
        <v>16.769824981689453</v>
      </c>
      <c r="BX671" s="244">
        <v>0</v>
      </c>
      <c r="BY671" s="244"/>
      <c r="BZ671" s="244">
        <v>0</v>
      </c>
      <c r="CA671" s="244">
        <v>0</v>
      </c>
      <c r="CB671" s="244">
        <v>184.46807861328125</v>
      </c>
      <c r="CC671" s="244">
        <v>0</v>
      </c>
      <c r="CD671" s="228">
        <v>9999</v>
      </c>
      <c r="CE671" s="244">
        <v>-55.747806549072266</v>
      </c>
      <c r="CF671" s="244">
        <v>1.0081218116410204</v>
      </c>
      <c r="CG671" s="244">
        <v>0</v>
      </c>
      <c r="CH671" s="244">
        <v>1.0081218116410204</v>
      </c>
      <c r="CI671" s="244">
        <v>4.9485134330716211E-2</v>
      </c>
      <c r="CJ671" s="244">
        <v>0</v>
      </c>
      <c r="CK671" s="244">
        <v>4.9485134330716211E-2</v>
      </c>
      <c r="CL671" s="244"/>
      <c r="CM671" s="244">
        <v>0</v>
      </c>
      <c r="CN671" s="244" t="s">
        <v>605</v>
      </c>
      <c r="CO671" s="244">
        <v>0</v>
      </c>
      <c r="CP671" s="244">
        <v>0</v>
      </c>
      <c r="CQ671" s="244">
        <v>0</v>
      </c>
      <c r="CR671" s="244">
        <v>0</v>
      </c>
      <c r="CS671" s="244">
        <v>0</v>
      </c>
      <c r="CT671" s="244">
        <v>0</v>
      </c>
      <c r="CU671" s="244">
        <v>0</v>
      </c>
      <c r="CV671" s="244">
        <v>9999</v>
      </c>
      <c r="CW671" s="228">
        <v>9999</v>
      </c>
    </row>
    <row r="672" spans="1:101">
      <c r="A672" s="221" t="s">
        <v>592</v>
      </c>
      <c r="B672" s="221" t="s">
        <v>604</v>
      </c>
      <c r="C672" s="244">
        <v>10</v>
      </c>
      <c r="D672" s="244">
        <v>189.60629724105578</v>
      </c>
      <c r="E672" s="244">
        <v>0</v>
      </c>
      <c r="F672" s="244">
        <v>0</v>
      </c>
      <c r="G672" s="244">
        <v>0</v>
      </c>
      <c r="H672" s="244">
        <v>0</v>
      </c>
      <c r="I672" s="244" t="s">
        <v>605</v>
      </c>
      <c r="J672" s="244">
        <v>1</v>
      </c>
      <c r="K672" s="244">
        <v>0.63999998569488525</v>
      </c>
      <c r="L672" s="244">
        <v>206.79653745886625</v>
      </c>
      <c r="M672" s="244">
        <v>1.5108423307538033E-2</v>
      </c>
      <c r="N672" s="244">
        <v>2.3606911301612854E-2</v>
      </c>
      <c r="O672" s="244">
        <v>0</v>
      </c>
      <c r="P672" s="244">
        <v>0</v>
      </c>
      <c r="Q672" s="244">
        <v>0</v>
      </c>
      <c r="R672" s="244">
        <v>0</v>
      </c>
      <c r="S672" s="244">
        <v>0</v>
      </c>
      <c r="T672" s="244">
        <v>0</v>
      </c>
      <c r="U672" s="244">
        <v>0</v>
      </c>
      <c r="V672" s="244" t="s">
        <v>226</v>
      </c>
      <c r="W672" s="244" t="s">
        <v>226</v>
      </c>
      <c r="X672" s="244" t="s">
        <v>226</v>
      </c>
      <c r="Y672" s="244" t="s">
        <v>226</v>
      </c>
      <c r="Z672" s="244">
        <v>0</v>
      </c>
      <c r="AA672" s="244">
        <v>0</v>
      </c>
      <c r="AB672" s="244">
        <v>0</v>
      </c>
      <c r="AC672" s="244">
        <v>0</v>
      </c>
      <c r="AD672" s="244">
        <v>0</v>
      </c>
      <c r="AE672" s="244">
        <v>0</v>
      </c>
      <c r="AF672" s="244">
        <v>0</v>
      </c>
      <c r="AG672" s="244">
        <v>0</v>
      </c>
      <c r="AH672" s="244">
        <v>0</v>
      </c>
      <c r="AI672" s="244">
        <v>0</v>
      </c>
      <c r="AJ672" s="244">
        <v>0</v>
      </c>
      <c r="AK672" s="244">
        <v>0</v>
      </c>
      <c r="AL672" s="244">
        <v>0</v>
      </c>
      <c r="AM672" s="244">
        <v>143.28032399339733</v>
      </c>
      <c r="AN672" s="244">
        <v>0</v>
      </c>
      <c r="AO672" s="244">
        <v>25.409748077392578</v>
      </c>
      <c r="AP672" s="244">
        <v>110.81714630126953</v>
      </c>
      <c r="AQ672" s="244">
        <v>279.50723266601562</v>
      </c>
      <c r="AR672" s="244">
        <v>0</v>
      </c>
      <c r="AS672" s="228">
        <v>9999</v>
      </c>
      <c r="AT672" s="244">
        <v>143.28032399339733</v>
      </c>
      <c r="AU672" s="244">
        <v>6.7664718627929687</v>
      </c>
      <c r="AV672" s="244">
        <v>26.086395263671875</v>
      </c>
      <c r="AW672" s="244">
        <v>110.81714630126953</v>
      </c>
      <c r="AX672" s="244">
        <v>286.95034790039062</v>
      </c>
      <c r="AY672" s="244">
        <v>0</v>
      </c>
      <c r="AZ672" s="228">
        <v>9999</v>
      </c>
      <c r="BA672" s="244">
        <v>143.28032399339733</v>
      </c>
      <c r="BB672" s="244">
        <v>6.7664718627929687</v>
      </c>
      <c r="BC672" s="244">
        <v>26.086395263671875</v>
      </c>
      <c r="BD672" s="244">
        <v>110.81714630126953</v>
      </c>
      <c r="BE672" s="244">
        <v>286.95034790039062</v>
      </c>
      <c r="BF672" s="244">
        <v>0</v>
      </c>
      <c r="BG672" s="244">
        <v>-55.747806549072266</v>
      </c>
      <c r="BH672" s="228">
        <v>9999</v>
      </c>
      <c r="BI672" s="244">
        <v>0</v>
      </c>
      <c r="BJ672" s="244">
        <v>0</v>
      </c>
      <c r="BK672" s="244">
        <v>0</v>
      </c>
      <c r="BL672" s="244">
        <v>0</v>
      </c>
      <c r="BM672" s="244">
        <v>0</v>
      </c>
      <c r="BN672" s="244">
        <v>143.28032399339733</v>
      </c>
      <c r="BO672" s="244">
        <v>0</v>
      </c>
      <c r="BP672" s="244">
        <v>6.7664718627929687</v>
      </c>
      <c r="BQ672" s="244">
        <v>0</v>
      </c>
      <c r="BR672" s="244">
        <v>0</v>
      </c>
      <c r="BS672" s="244">
        <v>0</v>
      </c>
      <c r="BT672" s="244">
        <v>110.81714630126953</v>
      </c>
      <c r="BU672" s="244">
        <v>0</v>
      </c>
      <c r="BV672" s="244">
        <v>0</v>
      </c>
      <c r="BW672" s="244">
        <v>26.086395263671875</v>
      </c>
      <c r="BX672" s="244">
        <v>0</v>
      </c>
      <c r="BY672" s="244"/>
      <c r="BZ672" s="244">
        <v>0</v>
      </c>
      <c r="CA672" s="244">
        <v>0</v>
      </c>
      <c r="CB672" s="244">
        <v>286.95034790039062</v>
      </c>
      <c r="CC672" s="244">
        <v>0</v>
      </c>
      <c r="CD672" s="228">
        <v>9999</v>
      </c>
      <c r="CE672" s="244">
        <v>-55.747806549072266</v>
      </c>
      <c r="CF672" s="244">
        <v>1.5681894847749234</v>
      </c>
      <c r="CG672" s="244">
        <v>0</v>
      </c>
      <c r="CH672" s="244">
        <v>1.5681894847749234</v>
      </c>
      <c r="CI672" s="244">
        <v>7.6976875625558605E-2</v>
      </c>
      <c r="CJ672" s="244">
        <v>0</v>
      </c>
      <c r="CK672" s="244">
        <v>7.6976875625558605E-2</v>
      </c>
      <c r="CL672" s="244"/>
      <c r="CM672" s="244">
        <v>0</v>
      </c>
      <c r="CN672" s="244" t="s">
        <v>605</v>
      </c>
      <c r="CO672" s="244">
        <v>0</v>
      </c>
      <c r="CP672" s="244">
        <v>0</v>
      </c>
      <c r="CQ672" s="244">
        <v>0</v>
      </c>
      <c r="CR672" s="244">
        <v>0</v>
      </c>
      <c r="CS672" s="244">
        <v>0</v>
      </c>
      <c r="CT672" s="244">
        <v>0</v>
      </c>
      <c r="CU672" s="244">
        <v>0</v>
      </c>
      <c r="CV672" s="244">
        <v>9999</v>
      </c>
      <c r="CW672" s="228">
        <v>9999</v>
      </c>
    </row>
    <row r="673" spans="1:101">
      <c r="A673" s="221" t="s">
        <v>593</v>
      </c>
      <c r="B673" s="221" t="s">
        <v>604</v>
      </c>
      <c r="C673" s="244">
        <v>10</v>
      </c>
      <c r="D673" s="244">
        <v>189.60629724105578</v>
      </c>
      <c r="E673" s="244">
        <v>0</v>
      </c>
      <c r="F673" s="244">
        <v>0</v>
      </c>
      <c r="G673" s="244">
        <v>0</v>
      </c>
      <c r="H673" s="244">
        <v>0</v>
      </c>
      <c r="I673" s="244" t="s">
        <v>605</v>
      </c>
      <c r="J673" s="244">
        <v>1</v>
      </c>
      <c r="K673" s="244">
        <v>0.63999998569488525</v>
      </c>
      <c r="L673" s="244">
        <v>206.79653745886625</v>
      </c>
      <c r="M673" s="244">
        <v>1.5108423307538033E-2</v>
      </c>
      <c r="N673" s="244">
        <v>2.3606911301612854E-2</v>
      </c>
      <c r="O673" s="244">
        <v>0</v>
      </c>
      <c r="P673" s="244">
        <v>0</v>
      </c>
      <c r="Q673" s="244">
        <v>0</v>
      </c>
      <c r="R673" s="244">
        <v>0</v>
      </c>
      <c r="S673" s="244">
        <v>0</v>
      </c>
      <c r="T673" s="244">
        <v>0</v>
      </c>
      <c r="U673" s="244">
        <v>0</v>
      </c>
      <c r="V673" s="244" t="s">
        <v>226</v>
      </c>
      <c r="W673" s="244" t="s">
        <v>226</v>
      </c>
      <c r="X673" s="244" t="s">
        <v>226</v>
      </c>
      <c r="Y673" s="244" t="s">
        <v>226</v>
      </c>
      <c r="Z673" s="244">
        <v>0</v>
      </c>
      <c r="AA673" s="244">
        <v>0</v>
      </c>
      <c r="AB673" s="244">
        <v>0</v>
      </c>
      <c r="AC673" s="244">
        <v>0</v>
      </c>
      <c r="AD673" s="244">
        <v>0</v>
      </c>
      <c r="AE673" s="244">
        <v>0</v>
      </c>
      <c r="AF673" s="244">
        <v>0</v>
      </c>
      <c r="AG673" s="244">
        <v>0</v>
      </c>
      <c r="AH673" s="244">
        <v>0</v>
      </c>
      <c r="AI673" s="244">
        <v>0</v>
      </c>
      <c r="AJ673" s="244">
        <v>0</v>
      </c>
      <c r="AK673" s="244">
        <v>0</v>
      </c>
      <c r="AL673" s="244">
        <v>0</v>
      </c>
      <c r="AM673" s="244">
        <v>143.28032399339733</v>
      </c>
      <c r="AN673" s="244">
        <v>0</v>
      </c>
      <c r="AO673" s="244">
        <v>25.409748077392578</v>
      </c>
      <c r="AP673" s="244">
        <v>110.81714630126953</v>
      </c>
      <c r="AQ673" s="244">
        <v>279.50723266601562</v>
      </c>
      <c r="AR673" s="244">
        <v>0</v>
      </c>
      <c r="AS673" s="228">
        <v>9999</v>
      </c>
      <c r="AT673" s="244">
        <v>143.28032399339733</v>
      </c>
      <c r="AU673" s="244">
        <v>6.7664718627929687</v>
      </c>
      <c r="AV673" s="244">
        <v>26.086395263671875</v>
      </c>
      <c r="AW673" s="244">
        <v>110.81714630126953</v>
      </c>
      <c r="AX673" s="244">
        <v>286.95034790039062</v>
      </c>
      <c r="AY673" s="244">
        <v>0</v>
      </c>
      <c r="AZ673" s="228">
        <v>9999</v>
      </c>
      <c r="BA673" s="244">
        <v>143.28032399339733</v>
      </c>
      <c r="BB673" s="244">
        <v>6.7664718627929687</v>
      </c>
      <c r="BC673" s="244">
        <v>26.086395263671875</v>
      </c>
      <c r="BD673" s="244">
        <v>110.81714630126953</v>
      </c>
      <c r="BE673" s="244">
        <v>286.95034790039062</v>
      </c>
      <c r="BF673" s="244">
        <v>0</v>
      </c>
      <c r="BG673" s="244">
        <v>-55.747806549072266</v>
      </c>
      <c r="BH673" s="228">
        <v>9999</v>
      </c>
      <c r="BI673" s="244">
        <v>0</v>
      </c>
      <c r="BJ673" s="244">
        <v>0</v>
      </c>
      <c r="BK673" s="244">
        <v>0</v>
      </c>
      <c r="BL673" s="244">
        <v>0</v>
      </c>
      <c r="BM673" s="244">
        <v>0</v>
      </c>
      <c r="BN673" s="244">
        <v>143.28032399339733</v>
      </c>
      <c r="BO673" s="244">
        <v>0</v>
      </c>
      <c r="BP673" s="244">
        <v>6.7664718627929687</v>
      </c>
      <c r="BQ673" s="244">
        <v>0</v>
      </c>
      <c r="BR673" s="244">
        <v>0</v>
      </c>
      <c r="BS673" s="244">
        <v>0</v>
      </c>
      <c r="BT673" s="244">
        <v>110.81714630126953</v>
      </c>
      <c r="BU673" s="244">
        <v>0</v>
      </c>
      <c r="BV673" s="244">
        <v>0</v>
      </c>
      <c r="BW673" s="244">
        <v>26.086395263671875</v>
      </c>
      <c r="BX673" s="244">
        <v>0</v>
      </c>
      <c r="BY673" s="244"/>
      <c r="BZ673" s="244">
        <v>0</v>
      </c>
      <c r="CA673" s="244">
        <v>0</v>
      </c>
      <c r="CB673" s="244">
        <v>286.95034790039062</v>
      </c>
      <c r="CC673" s="244">
        <v>0</v>
      </c>
      <c r="CD673" s="228">
        <v>9999</v>
      </c>
      <c r="CE673" s="244">
        <v>-55.747806549072266</v>
      </c>
      <c r="CF673" s="244">
        <v>1.5681894847749234</v>
      </c>
      <c r="CG673" s="244">
        <v>0</v>
      </c>
      <c r="CH673" s="244">
        <v>1.5681894847749234</v>
      </c>
      <c r="CI673" s="244">
        <v>7.6976875625558605E-2</v>
      </c>
      <c r="CJ673" s="244">
        <v>0</v>
      </c>
      <c r="CK673" s="244">
        <v>7.6976875625558605E-2</v>
      </c>
      <c r="CL673" s="244"/>
      <c r="CM673" s="244">
        <v>0</v>
      </c>
      <c r="CN673" s="244" t="s">
        <v>605</v>
      </c>
      <c r="CO673" s="244">
        <v>0</v>
      </c>
      <c r="CP673" s="244">
        <v>0</v>
      </c>
      <c r="CQ673" s="244">
        <v>0</v>
      </c>
      <c r="CR673" s="244">
        <v>0</v>
      </c>
      <c r="CS673" s="244">
        <v>0</v>
      </c>
      <c r="CT673" s="244">
        <v>0</v>
      </c>
      <c r="CU673" s="244">
        <v>0</v>
      </c>
      <c r="CV673" s="244">
        <v>9999</v>
      </c>
      <c r="CW673" s="228">
        <v>9999</v>
      </c>
    </row>
    <row r="674" spans="1:101">
      <c r="A674" s="221" t="s">
        <v>594</v>
      </c>
      <c r="B674" s="221" t="s">
        <v>604</v>
      </c>
      <c r="C674" s="244">
        <v>10</v>
      </c>
      <c r="D674" s="244">
        <v>189.60629724105578</v>
      </c>
      <c r="E674" s="244">
        <v>0</v>
      </c>
      <c r="F674" s="244">
        <v>0</v>
      </c>
      <c r="G674" s="244">
        <v>0</v>
      </c>
      <c r="H674" s="244">
        <v>0</v>
      </c>
      <c r="I674" s="244" t="s">
        <v>605</v>
      </c>
      <c r="J674" s="244">
        <v>1</v>
      </c>
      <c r="K674" s="244">
        <v>0.63999998569488525</v>
      </c>
      <c r="L674" s="244">
        <v>206.79653745886625</v>
      </c>
      <c r="M674" s="244">
        <v>1.5108423307538033E-2</v>
      </c>
      <c r="N674" s="244">
        <v>2.3606911301612854E-2</v>
      </c>
      <c r="O674" s="244">
        <v>0</v>
      </c>
      <c r="P674" s="244">
        <v>0</v>
      </c>
      <c r="Q674" s="244">
        <v>0</v>
      </c>
      <c r="R674" s="244">
        <v>0</v>
      </c>
      <c r="S674" s="244">
        <v>0</v>
      </c>
      <c r="T674" s="244">
        <v>0</v>
      </c>
      <c r="U674" s="244">
        <v>0</v>
      </c>
      <c r="V674" s="244" t="s">
        <v>226</v>
      </c>
      <c r="W674" s="244" t="s">
        <v>226</v>
      </c>
      <c r="X674" s="244" t="s">
        <v>226</v>
      </c>
      <c r="Y674" s="244" t="s">
        <v>226</v>
      </c>
      <c r="Z674" s="244">
        <v>0</v>
      </c>
      <c r="AA674" s="244">
        <v>0</v>
      </c>
      <c r="AB674" s="244">
        <v>0</v>
      </c>
      <c r="AC674" s="244">
        <v>0</v>
      </c>
      <c r="AD674" s="244">
        <v>0</v>
      </c>
      <c r="AE674" s="244">
        <v>0</v>
      </c>
      <c r="AF674" s="244">
        <v>0</v>
      </c>
      <c r="AG674" s="244">
        <v>0</v>
      </c>
      <c r="AH674" s="244">
        <v>0</v>
      </c>
      <c r="AI674" s="244">
        <v>0</v>
      </c>
      <c r="AJ674" s="244">
        <v>0</v>
      </c>
      <c r="AK674" s="244">
        <v>0</v>
      </c>
      <c r="AL674" s="244">
        <v>0</v>
      </c>
      <c r="AM674" s="244">
        <v>143.28032399339733</v>
      </c>
      <c r="AN674" s="244">
        <v>0</v>
      </c>
      <c r="AO674" s="244">
        <v>25.409748077392578</v>
      </c>
      <c r="AP674" s="244">
        <v>110.81714630126953</v>
      </c>
      <c r="AQ674" s="244">
        <v>279.50723266601562</v>
      </c>
      <c r="AR674" s="244">
        <v>0</v>
      </c>
      <c r="AS674" s="228">
        <v>9999</v>
      </c>
      <c r="AT674" s="244">
        <v>143.28032399339733</v>
      </c>
      <c r="AU674" s="244">
        <v>6.7664718627929687</v>
      </c>
      <c r="AV674" s="244">
        <v>26.086395263671875</v>
      </c>
      <c r="AW674" s="244">
        <v>110.81714630126953</v>
      </c>
      <c r="AX674" s="244">
        <v>286.95034790039062</v>
      </c>
      <c r="AY674" s="244">
        <v>0</v>
      </c>
      <c r="AZ674" s="228">
        <v>9999</v>
      </c>
      <c r="BA674" s="244">
        <v>143.28032399339733</v>
      </c>
      <c r="BB674" s="244">
        <v>6.7664718627929687</v>
      </c>
      <c r="BC674" s="244">
        <v>26.086395263671875</v>
      </c>
      <c r="BD674" s="244">
        <v>110.81714630126953</v>
      </c>
      <c r="BE674" s="244">
        <v>286.95034790039062</v>
      </c>
      <c r="BF674" s="244">
        <v>0</v>
      </c>
      <c r="BG674" s="244">
        <v>-55.747806549072266</v>
      </c>
      <c r="BH674" s="228">
        <v>9999</v>
      </c>
      <c r="BI674" s="244">
        <v>0</v>
      </c>
      <c r="BJ674" s="244">
        <v>0</v>
      </c>
      <c r="BK674" s="244">
        <v>0</v>
      </c>
      <c r="BL674" s="244">
        <v>0</v>
      </c>
      <c r="BM674" s="244">
        <v>0</v>
      </c>
      <c r="BN674" s="244">
        <v>143.28032399339733</v>
      </c>
      <c r="BO674" s="244">
        <v>0</v>
      </c>
      <c r="BP674" s="244">
        <v>6.7664718627929687</v>
      </c>
      <c r="BQ674" s="244">
        <v>0</v>
      </c>
      <c r="BR674" s="244">
        <v>0</v>
      </c>
      <c r="BS674" s="244">
        <v>0</v>
      </c>
      <c r="BT674" s="244">
        <v>110.81714630126953</v>
      </c>
      <c r="BU674" s="244">
        <v>0</v>
      </c>
      <c r="BV674" s="244">
        <v>0</v>
      </c>
      <c r="BW674" s="244">
        <v>26.086395263671875</v>
      </c>
      <c r="BX674" s="244">
        <v>0</v>
      </c>
      <c r="BY674" s="244"/>
      <c r="BZ674" s="244">
        <v>0</v>
      </c>
      <c r="CA674" s="244">
        <v>0</v>
      </c>
      <c r="CB674" s="244">
        <v>286.95034790039062</v>
      </c>
      <c r="CC674" s="244">
        <v>0</v>
      </c>
      <c r="CD674" s="228">
        <v>9999</v>
      </c>
      <c r="CE674" s="244">
        <v>-55.747806549072266</v>
      </c>
      <c r="CF674" s="244">
        <v>1.5681894847749234</v>
      </c>
      <c r="CG674" s="244">
        <v>0</v>
      </c>
      <c r="CH674" s="244">
        <v>1.5681894847749234</v>
      </c>
      <c r="CI674" s="244">
        <v>7.6976875625558605E-2</v>
      </c>
      <c r="CJ674" s="244">
        <v>0</v>
      </c>
      <c r="CK674" s="244">
        <v>7.6976875625558605E-2</v>
      </c>
      <c r="CL674" s="244"/>
      <c r="CM674" s="244">
        <v>0</v>
      </c>
      <c r="CN674" s="244" t="s">
        <v>605</v>
      </c>
      <c r="CO674" s="244">
        <v>0</v>
      </c>
      <c r="CP674" s="244">
        <v>0</v>
      </c>
      <c r="CQ674" s="244">
        <v>0</v>
      </c>
      <c r="CR674" s="244">
        <v>0</v>
      </c>
      <c r="CS674" s="244">
        <v>0</v>
      </c>
      <c r="CT674" s="244">
        <v>0</v>
      </c>
      <c r="CU674" s="244">
        <v>0</v>
      </c>
      <c r="CV674" s="244">
        <v>9999</v>
      </c>
      <c r="CW674" s="228">
        <v>9999</v>
      </c>
    </row>
    <row r="675" spans="1:101">
      <c r="A675" s="221" t="s">
        <v>595</v>
      </c>
      <c r="B675" s="221" t="s">
        <v>604</v>
      </c>
      <c r="C675" s="244">
        <v>10</v>
      </c>
      <c r="D675" s="244">
        <v>72.230970377545091</v>
      </c>
      <c r="E675" s="244">
        <v>0</v>
      </c>
      <c r="F675" s="244">
        <v>0</v>
      </c>
      <c r="G675" s="244">
        <v>0</v>
      </c>
      <c r="H675" s="244">
        <v>0</v>
      </c>
      <c r="I675" s="244" t="s">
        <v>605</v>
      </c>
      <c r="J675" s="244">
        <v>1</v>
      </c>
      <c r="K675" s="244">
        <v>0.63999998569488525</v>
      </c>
      <c r="L675" s="244">
        <v>78.779633317663354</v>
      </c>
      <c r="M675" s="244">
        <v>5.7555893436074257E-3</v>
      </c>
      <c r="N675" s="244">
        <v>8.993108756840229E-3</v>
      </c>
      <c r="O675" s="244">
        <v>0</v>
      </c>
      <c r="P675" s="244">
        <v>0</v>
      </c>
      <c r="Q675" s="244">
        <v>0</v>
      </c>
      <c r="R675" s="244">
        <v>0</v>
      </c>
      <c r="S675" s="244">
        <v>0</v>
      </c>
      <c r="T675" s="244">
        <v>0</v>
      </c>
      <c r="U675" s="244">
        <v>0</v>
      </c>
      <c r="V675" s="244" t="s">
        <v>226</v>
      </c>
      <c r="W675" s="244" t="s">
        <v>226</v>
      </c>
      <c r="X675" s="244" t="s">
        <v>226</v>
      </c>
      <c r="Y675" s="244" t="s">
        <v>226</v>
      </c>
      <c r="Z675" s="244">
        <v>0</v>
      </c>
      <c r="AA675" s="244">
        <v>0</v>
      </c>
      <c r="AB675" s="244">
        <v>0</v>
      </c>
      <c r="AC675" s="244">
        <v>0</v>
      </c>
      <c r="AD675" s="244">
        <v>0</v>
      </c>
      <c r="AE675" s="244">
        <v>0</v>
      </c>
      <c r="AF675" s="244">
        <v>0</v>
      </c>
      <c r="AG675" s="244">
        <v>0</v>
      </c>
      <c r="AH675" s="244">
        <v>0</v>
      </c>
      <c r="AI675" s="244">
        <v>0</v>
      </c>
      <c r="AJ675" s="244">
        <v>0</v>
      </c>
      <c r="AK675" s="244">
        <v>0</v>
      </c>
      <c r="AL675" s="244">
        <v>0</v>
      </c>
      <c r="AM675" s="244">
        <v>54.582980568913243</v>
      </c>
      <c r="AN675" s="244">
        <v>0</v>
      </c>
      <c r="AO675" s="244">
        <v>9.6799039840698242</v>
      </c>
      <c r="AP675" s="244">
        <v>42.216060638427734</v>
      </c>
      <c r="AQ675" s="244">
        <v>106.47894287109375</v>
      </c>
      <c r="AR675" s="244">
        <v>0</v>
      </c>
      <c r="AS675" s="228">
        <v>9999</v>
      </c>
      <c r="AT675" s="244">
        <v>54.582980568913243</v>
      </c>
      <c r="AU675" s="244">
        <v>2.5777037143707275</v>
      </c>
      <c r="AV675" s="244">
        <v>9.9376745223999023</v>
      </c>
      <c r="AW675" s="244">
        <v>42.216060638427734</v>
      </c>
      <c r="AX675" s="244">
        <v>109.31442260742187</v>
      </c>
      <c r="AY675" s="244">
        <v>0</v>
      </c>
      <c r="AZ675" s="228">
        <v>9999</v>
      </c>
      <c r="BA675" s="244">
        <v>54.582980568913243</v>
      </c>
      <c r="BB675" s="244">
        <v>2.5777037143707275</v>
      </c>
      <c r="BC675" s="244">
        <v>9.9376745223999023</v>
      </c>
      <c r="BD675" s="244">
        <v>42.216060638427734</v>
      </c>
      <c r="BE675" s="244">
        <v>109.31442260742187</v>
      </c>
      <c r="BF675" s="244">
        <v>0</v>
      </c>
      <c r="BG675" s="244">
        <v>-55.747810363769531</v>
      </c>
      <c r="BH675" s="228">
        <v>9999</v>
      </c>
      <c r="BI675" s="244">
        <v>0</v>
      </c>
      <c r="BJ675" s="244">
        <v>0</v>
      </c>
      <c r="BK675" s="244">
        <v>0</v>
      </c>
      <c r="BL675" s="244">
        <v>0</v>
      </c>
      <c r="BM675" s="244">
        <v>0</v>
      </c>
      <c r="BN675" s="244">
        <v>54.582980568913243</v>
      </c>
      <c r="BO675" s="244">
        <v>0</v>
      </c>
      <c r="BP675" s="244">
        <v>2.5777037143707275</v>
      </c>
      <c r="BQ675" s="244">
        <v>0</v>
      </c>
      <c r="BR675" s="244">
        <v>0</v>
      </c>
      <c r="BS675" s="244">
        <v>0</v>
      </c>
      <c r="BT675" s="244">
        <v>42.216060638427734</v>
      </c>
      <c r="BU675" s="244">
        <v>0</v>
      </c>
      <c r="BV675" s="244">
        <v>0</v>
      </c>
      <c r="BW675" s="244">
        <v>9.9376745223999023</v>
      </c>
      <c r="BX675" s="244">
        <v>0</v>
      </c>
      <c r="BY675" s="244"/>
      <c r="BZ675" s="244">
        <v>0</v>
      </c>
      <c r="CA675" s="244">
        <v>0</v>
      </c>
      <c r="CB675" s="244">
        <v>109.31442260742187</v>
      </c>
      <c r="CC675" s="244">
        <v>0</v>
      </c>
      <c r="CD675" s="228">
        <v>9999</v>
      </c>
      <c r="CE675" s="244">
        <v>-55.747810363769531</v>
      </c>
      <c r="CF675" s="244">
        <v>0.5974055180094946</v>
      </c>
      <c r="CG675" s="244">
        <v>0</v>
      </c>
      <c r="CH675" s="244">
        <v>0.5974055180094946</v>
      </c>
      <c r="CI675" s="244">
        <v>2.9324524047831854E-2</v>
      </c>
      <c r="CJ675" s="244">
        <v>0</v>
      </c>
      <c r="CK675" s="244">
        <v>2.9324524047831854E-2</v>
      </c>
      <c r="CL675" s="244"/>
      <c r="CM675" s="244">
        <v>0</v>
      </c>
      <c r="CN675" s="244" t="s">
        <v>605</v>
      </c>
      <c r="CO675" s="244">
        <v>0</v>
      </c>
      <c r="CP675" s="244">
        <v>0</v>
      </c>
      <c r="CQ675" s="244">
        <v>0</v>
      </c>
      <c r="CR675" s="244">
        <v>0</v>
      </c>
      <c r="CS675" s="244">
        <v>0</v>
      </c>
      <c r="CT675" s="244">
        <v>0</v>
      </c>
      <c r="CU675" s="244">
        <v>0</v>
      </c>
      <c r="CV675" s="244">
        <v>9999</v>
      </c>
      <c r="CW675" s="228">
        <v>9999</v>
      </c>
    </row>
    <row r="676" spans="1:101">
      <c r="A676" s="221" t="s">
        <v>596</v>
      </c>
      <c r="B676" s="221" t="s">
        <v>604</v>
      </c>
      <c r="C676" s="244">
        <v>10</v>
      </c>
      <c r="D676" s="244">
        <v>72.230970377545091</v>
      </c>
      <c r="E676" s="244">
        <v>0</v>
      </c>
      <c r="F676" s="244">
        <v>0</v>
      </c>
      <c r="G676" s="244">
        <v>0</v>
      </c>
      <c r="H676" s="244">
        <v>0</v>
      </c>
      <c r="I676" s="244" t="s">
        <v>605</v>
      </c>
      <c r="J676" s="244">
        <v>1</v>
      </c>
      <c r="K676" s="244">
        <v>0.63999998569488525</v>
      </c>
      <c r="L676" s="244">
        <v>78.779633317663354</v>
      </c>
      <c r="M676" s="244">
        <v>5.7555893436074257E-3</v>
      </c>
      <c r="N676" s="244">
        <v>8.993108756840229E-3</v>
      </c>
      <c r="O676" s="244">
        <v>0</v>
      </c>
      <c r="P676" s="244">
        <v>0</v>
      </c>
      <c r="Q676" s="244">
        <v>0</v>
      </c>
      <c r="R676" s="244">
        <v>0</v>
      </c>
      <c r="S676" s="244">
        <v>0</v>
      </c>
      <c r="T676" s="244">
        <v>0</v>
      </c>
      <c r="U676" s="244">
        <v>0</v>
      </c>
      <c r="V676" s="244" t="s">
        <v>226</v>
      </c>
      <c r="W676" s="244" t="s">
        <v>226</v>
      </c>
      <c r="X676" s="244" t="s">
        <v>226</v>
      </c>
      <c r="Y676" s="244" t="s">
        <v>226</v>
      </c>
      <c r="Z676" s="244">
        <v>0</v>
      </c>
      <c r="AA676" s="244">
        <v>0</v>
      </c>
      <c r="AB676" s="244">
        <v>0</v>
      </c>
      <c r="AC676" s="244">
        <v>0</v>
      </c>
      <c r="AD676" s="244">
        <v>0</v>
      </c>
      <c r="AE676" s="244">
        <v>0</v>
      </c>
      <c r="AF676" s="244">
        <v>0</v>
      </c>
      <c r="AG676" s="244">
        <v>0</v>
      </c>
      <c r="AH676" s="244">
        <v>0</v>
      </c>
      <c r="AI676" s="244">
        <v>0</v>
      </c>
      <c r="AJ676" s="244">
        <v>0</v>
      </c>
      <c r="AK676" s="244">
        <v>0</v>
      </c>
      <c r="AL676" s="244">
        <v>0</v>
      </c>
      <c r="AM676" s="244">
        <v>54.582980568913243</v>
      </c>
      <c r="AN676" s="244">
        <v>0</v>
      </c>
      <c r="AO676" s="244">
        <v>9.6799039840698242</v>
      </c>
      <c r="AP676" s="244">
        <v>42.216060638427734</v>
      </c>
      <c r="AQ676" s="244">
        <v>106.47894287109375</v>
      </c>
      <c r="AR676" s="244">
        <v>0</v>
      </c>
      <c r="AS676" s="228">
        <v>9999</v>
      </c>
      <c r="AT676" s="244">
        <v>54.582980568913243</v>
      </c>
      <c r="AU676" s="244">
        <v>2.5777037143707275</v>
      </c>
      <c r="AV676" s="244">
        <v>9.9376745223999023</v>
      </c>
      <c r="AW676" s="244">
        <v>42.216060638427734</v>
      </c>
      <c r="AX676" s="244">
        <v>109.31442260742187</v>
      </c>
      <c r="AY676" s="244">
        <v>0</v>
      </c>
      <c r="AZ676" s="228">
        <v>9999</v>
      </c>
      <c r="BA676" s="244">
        <v>54.582980568913243</v>
      </c>
      <c r="BB676" s="244">
        <v>2.5777037143707275</v>
      </c>
      <c r="BC676" s="244">
        <v>9.9376745223999023</v>
      </c>
      <c r="BD676" s="244">
        <v>42.216060638427734</v>
      </c>
      <c r="BE676" s="244">
        <v>109.31442260742187</v>
      </c>
      <c r="BF676" s="244">
        <v>0</v>
      </c>
      <c r="BG676" s="244">
        <v>-55.747810363769531</v>
      </c>
      <c r="BH676" s="228">
        <v>9999</v>
      </c>
      <c r="BI676" s="244">
        <v>0</v>
      </c>
      <c r="BJ676" s="244">
        <v>0</v>
      </c>
      <c r="BK676" s="244">
        <v>0</v>
      </c>
      <c r="BL676" s="244">
        <v>0</v>
      </c>
      <c r="BM676" s="244">
        <v>0</v>
      </c>
      <c r="BN676" s="244">
        <v>54.582980568913243</v>
      </c>
      <c r="BO676" s="244">
        <v>0</v>
      </c>
      <c r="BP676" s="244">
        <v>2.5777037143707275</v>
      </c>
      <c r="BQ676" s="244">
        <v>0</v>
      </c>
      <c r="BR676" s="244">
        <v>0</v>
      </c>
      <c r="BS676" s="244">
        <v>0</v>
      </c>
      <c r="BT676" s="244">
        <v>42.216060638427734</v>
      </c>
      <c r="BU676" s="244">
        <v>0</v>
      </c>
      <c r="BV676" s="244">
        <v>0</v>
      </c>
      <c r="BW676" s="244">
        <v>9.9376745223999023</v>
      </c>
      <c r="BX676" s="244">
        <v>0</v>
      </c>
      <c r="BY676" s="244"/>
      <c r="BZ676" s="244">
        <v>0</v>
      </c>
      <c r="CA676" s="244">
        <v>0</v>
      </c>
      <c r="CB676" s="244">
        <v>109.31442260742187</v>
      </c>
      <c r="CC676" s="244">
        <v>0</v>
      </c>
      <c r="CD676" s="228">
        <v>9999</v>
      </c>
      <c r="CE676" s="244">
        <v>-55.747810363769531</v>
      </c>
      <c r="CF676" s="244">
        <v>0.5974055180094946</v>
      </c>
      <c r="CG676" s="244">
        <v>0</v>
      </c>
      <c r="CH676" s="244">
        <v>0.5974055180094946</v>
      </c>
      <c r="CI676" s="244">
        <v>2.9324524047831854E-2</v>
      </c>
      <c r="CJ676" s="244">
        <v>0</v>
      </c>
      <c r="CK676" s="244">
        <v>2.9324524047831854E-2</v>
      </c>
      <c r="CL676" s="244"/>
      <c r="CM676" s="244">
        <v>0</v>
      </c>
      <c r="CN676" s="244" t="s">
        <v>605</v>
      </c>
      <c r="CO676" s="244">
        <v>0</v>
      </c>
      <c r="CP676" s="244">
        <v>0</v>
      </c>
      <c r="CQ676" s="244">
        <v>0</v>
      </c>
      <c r="CR676" s="244">
        <v>0</v>
      </c>
      <c r="CS676" s="244">
        <v>0</v>
      </c>
      <c r="CT676" s="244">
        <v>0</v>
      </c>
      <c r="CU676" s="244">
        <v>0</v>
      </c>
      <c r="CV676" s="244">
        <v>9999</v>
      </c>
      <c r="CW676" s="228">
        <v>9999</v>
      </c>
    </row>
    <row r="677" spans="1:101">
      <c r="A677" s="221" t="s">
        <v>597</v>
      </c>
      <c r="B677" s="221" t="s">
        <v>604</v>
      </c>
      <c r="C677" s="244">
        <v>10</v>
      </c>
      <c r="D677" s="244">
        <v>72.230970377545091</v>
      </c>
      <c r="E677" s="244">
        <v>0</v>
      </c>
      <c r="F677" s="244">
        <v>0</v>
      </c>
      <c r="G677" s="244">
        <v>0</v>
      </c>
      <c r="H677" s="244">
        <v>0</v>
      </c>
      <c r="I677" s="244" t="s">
        <v>605</v>
      </c>
      <c r="J677" s="244">
        <v>1</v>
      </c>
      <c r="K677" s="244">
        <v>0.63999998569488525</v>
      </c>
      <c r="L677" s="244">
        <v>78.779633317663354</v>
      </c>
      <c r="M677" s="244">
        <v>5.7555893436074257E-3</v>
      </c>
      <c r="N677" s="244">
        <v>8.993108756840229E-3</v>
      </c>
      <c r="O677" s="244">
        <v>0</v>
      </c>
      <c r="P677" s="244">
        <v>0</v>
      </c>
      <c r="Q677" s="244">
        <v>0</v>
      </c>
      <c r="R677" s="244">
        <v>0</v>
      </c>
      <c r="S677" s="244">
        <v>0</v>
      </c>
      <c r="T677" s="244">
        <v>0</v>
      </c>
      <c r="U677" s="244">
        <v>0</v>
      </c>
      <c r="V677" s="244" t="s">
        <v>226</v>
      </c>
      <c r="W677" s="244" t="s">
        <v>226</v>
      </c>
      <c r="X677" s="244" t="s">
        <v>226</v>
      </c>
      <c r="Y677" s="244" t="s">
        <v>226</v>
      </c>
      <c r="Z677" s="244">
        <v>0</v>
      </c>
      <c r="AA677" s="244">
        <v>0</v>
      </c>
      <c r="AB677" s="244">
        <v>0</v>
      </c>
      <c r="AC677" s="244">
        <v>0</v>
      </c>
      <c r="AD677" s="244">
        <v>0</v>
      </c>
      <c r="AE677" s="244">
        <v>0</v>
      </c>
      <c r="AF677" s="244">
        <v>0</v>
      </c>
      <c r="AG677" s="244">
        <v>0</v>
      </c>
      <c r="AH677" s="244">
        <v>0</v>
      </c>
      <c r="AI677" s="244">
        <v>0</v>
      </c>
      <c r="AJ677" s="244">
        <v>0</v>
      </c>
      <c r="AK677" s="244">
        <v>0</v>
      </c>
      <c r="AL677" s="244">
        <v>0</v>
      </c>
      <c r="AM677" s="244">
        <v>54.582980568913243</v>
      </c>
      <c r="AN677" s="244">
        <v>0</v>
      </c>
      <c r="AO677" s="244">
        <v>9.6799039840698242</v>
      </c>
      <c r="AP677" s="244">
        <v>42.216060638427734</v>
      </c>
      <c r="AQ677" s="244">
        <v>106.47894287109375</v>
      </c>
      <c r="AR677" s="244">
        <v>0</v>
      </c>
      <c r="AS677" s="228">
        <v>9999</v>
      </c>
      <c r="AT677" s="244">
        <v>54.582980568913243</v>
      </c>
      <c r="AU677" s="244">
        <v>2.5777037143707275</v>
      </c>
      <c r="AV677" s="244">
        <v>9.9376745223999023</v>
      </c>
      <c r="AW677" s="244">
        <v>42.216060638427734</v>
      </c>
      <c r="AX677" s="244">
        <v>109.31442260742187</v>
      </c>
      <c r="AY677" s="244">
        <v>0</v>
      </c>
      <c r="AZ677" s="228">
        <v>9999</v>
      </c>
      <c r="BA677" s="244">
        <v>54.582980568913243</v>
      </c>
      <c r="BB677" s="244">
        <v>2.5777037143707275</v>
      </c>
      <c r="BC677" s="244">
        <v>9.9376745223999023</v>
      </c>
      <c r="BD677" s="244">
        <v>42.216060638427734</v>
      </c>
      <c r="BE677" s="244">
        <v>109.31442260742187</v>
      </c>
      <c r="BF677" s="244">
        <v>0</v>
      </c>
      <c r="BG677" s="244">
        <v>-55.747810363769531</v>
      </c>
      <c r="BH677" s="228">
        <v>9999</v>
      </c>
      <c r="BI677" s="244">
        <v>0</v>
      </c>
      <c r="BJ677" s="244">
        <v>0</v>
      </c>
      <c r="BK677" s="244">
        <v>0</v>
      </c>
      <c r="BL677" s="244">
        <v>0</v>
      </c>
      <c r="BM677" s="244">
        <v>0</v>
      </c>
      <c r="BN677" s="244">
        <v>54.582980568913243</v>
      </c>
      <c r="BO677" s="244">
        <v>0</v>
      </c>
      <c r="BP677" s="244">
        <v>2.5777037143707275</v>
      </c>
      <c r="BQ677" s="244">
        <v>0</v>
      </c>
      <c r="BR677" s="244">
        <v>0</v>
      </c>
      <c r="BS677" s="244">
        <v>0</v>
      </c>
      <c r="BT677" s="244">
        <v>42.216060638427734</v>
      </c>
      <c r="BU677" s="244">
        <v>0</v>
      </c>
      <c r="BV677" s="244">
        <v>0</v>
      </c>
      <c r="BW677" s="244">
        <v>9.9376745223999023</v>
      </c>
      <c r="BX677" s="244">
        <v>0</v>
      </c>
      <c r="BY677" s="244"/>
      <c r="BZ677" s="244">
        <v>0</v>
      </c>
      <c r="CA677" s="244">
        <v>0</v>
      </c>
      <c r="CB677" s="244">
        <v>109.31442260742187</v>
      </c>
      <c r="CC677" s="244">
        <v>0</v>
      </c>
      <c r="CD677" s="228">
        <v>9999</v>
      </c>
      <c r="CE677" s="244">
        <v>-55.747810363769531</v>
      </c>
      <c r="CF677" s="244">
        <v>0.5974055180094946</v>
      </c>
      <c r="CG677" s="244">
        <v>0</v>
      </c>
      <c r="CH677" s="244">
        <v>0.5974055180094946</v>
      </c>
      <c r="CI677" s="244">
        <v>2.9324524047831854E-2</v>
      </c>
      <c r="CJ677" s="244">
        <v>0</v>
      </c>
      <c r="CK677" s="244">
        <v>2.9324524047831854E-2</v>
      </c>
      <c r="CL677" s="244"/>
      <c r="CM677" s="244">
        <v>0</v>
      </c>
      <c r="CN677" s="244" t="s">
        <v>605</v>
      </c>
      <c r="CO677" s="244">
        <v>0</v>
      </c>
      <c r="CP677" s="244">
        <v>0</v>
      </c>
      <c r="CQ677" s="244">
        <v>0</v>
      </c>
      <c r="CR677" s="244">
        <v>0</v>
      </c>
      <c r="CS677" s="244">
        <v>0</v>
      </c>
      <c r="CT677" s="244">
        <v>0</v>
      </c>
      <c r="CU677" s="244">
        <v>0</v>
      </c>
      <c r="CV677" s="244">
        <v>9999</v>
      </c>
      <c r="CW677" s="228">
        <v>9999</v>
      </c>
    </row>
    <row r="678" spans="1:101">
      <c r="A678" s="221" t="s">
        <v>598</v>
      </c>
      <c r="B678" s="221" t="s">
        <v>604</v>
      </c>
      <c r="C678" s="244">
        <v>10</v>
      </c>
      <c r="D678" s="244">
        <v>81.259841674738198</v>
      </c>
      <c r="E678" s="244">
        <v>0</v>
      </c>
      <c r="F678" s="244">
        <v>0</v>
      </c>
      <c r="G678" s="244">
        <v>0</v>
      </c>
      <c r="H678" s="244">
        <v>0</v>
      </c>
      <c r="I678" s="244" t="s">
        <v>605</v>
      </c>
      <c r="J678" s="244">
        <v>1</v>
      </c>
      <c r="K678" s="244">
        <v>0.63999998569488525</v>
      </c>
      <c r="L678" s="244">
        <v>88.627087482371252</v>
      </c>
      <c r="M678" s="244">
        <v>6.4750383608043194E-3</v>
      </c>
      <c r="N678" s="244">
        <v>1.0117247700691223E-2</v>
      </c>
      <c r="O678" s="244">
        <v>0</v>
      </c>
      <c r="P678" s="244">
        <v>0</v>
      </c>
      <c r="Q678" s="244">
        <v>0</v>
      </c>
      <c r="R678" s="244">
        <v>0</v>
      </c>
      <c r="S678" s="244">
        <v>0</v>
      </c>
      <c r="T678" s="244">
        <v>0</v>
      </c>
      <c r="U678" s="244">
        <v>0</v>
      </c>
      <c r="V678" s="244" t="s">
        <v>226</v>
      </c>
      <c r="W678" s="244" t="s">
        <v>226</v>
      </c>
      <c r="X678" s="244" t="s">
        <v>226</v>
      </c>
      <c r="Y678" s="244" t="s">
        <v>226</v>
      </c>
      <c r="Z678" s="244">
        <v>0</v>
      </c>
      <c r="AA678" s="244">
        <v>0</v>
      </c>
      <c r="AB678" s="244">
        <v>0</v>
      </c>
      <c r="AC678" s="244">
        <v>0</v>
      </c>
      <c r="AD678" s="244">
        <v>0</v>
      </c>
      <c r="AE678" s="244">
        <v>0</v>
      </c>
      <c r="AF678" s="244">
        <v>0</v>
      </c>
      <c r="AG678" s="244">
        <v>0</v>
      </c>
      <c r="AH678" s="244">
        <v>0</v>
      </c>
      <c r="AI678" s="244">
        <v>0</v>
      </c>
      <c r="AJ678" s="244">
        <v>0</v>
      </c>
      <c r="AK678" s="244">
        <v>0</v>
      </c>
      <c r="AL678" s="244">
        <v>0</v>
      </c>
      <c r="AM678" s="244">
        <v>61.405853140027354</v>
      </c>
      <c r="AN678" s="244">
        <v>0</v>
      </c>
      <c r="AO678" s="244">
        <v>10.889891624450684</v>
      </c>
      <c r="AP678" s="244">
        <v>47.493064880371094</v>
      </c>
      <c r="AQ678" s="244">
        <v>119.78881072998047</v>
      </c>
      <c r="AR678" s="244">
        <v>0</v>
      </c>
      <c r="AS678" s="228">
        <v>9999</v>
      </c>
      <c r="AT678" s="244">
        <v>61.405853140027354</v>
      </c>
      <c r="AU678" s="244">
        <v>2.8999161720275879</v>
      </c>
      <c r="AV678" s="244">
        <v>11.17988395690918</v>
      </c>
      <c r="AW678" s="244">
        <v>47.493064880371094</v>
      </c>
      <c r="AX678" s="244">
        <v>122.97872161865234</v>
      </c>
      <c r="AY678" s="244">
        <v>0</v>
      </c>
      <c r="AZ678" s="228">
        <v>9999</v>
      </c>
      <c r="BA678" s="244">
        <v>61.405853140027354</v>
      </c>
      <c r="BB678" s="244">
        <v>2.8999161720275879</v>
      </c>
      <c r="BC678" s="244">
        <v>11.17988395690918</v>
      </c>
      <c r="BD678" s="244">
        <v>47.493064880371094</v>
      </c>
      <c r="BE678" s="244">
        <v>122.97872161865234</v>
      </c>
      <c r="BF678" s="244">
        <v>0</v>
      </c>
      <c r="BG678" s="244">
        <v>-55.747806549072266</v>
      </c>
      <c r="BH678" s="228">
        <v>9999</v>
      </c>
      <c r="BI678" s="244">
        <v>0</v>
      </c>
      <c r="BJ678" s="244">
        <v>0</v>
      </c>
      <c r="BK678" s="244">
        <v>0</v>
      </c>
      <c r="BL678" s="244">
        <v>0</v>
      </c>
      <c r="BM678" s="244">
        <v>0</v>
      </c>
      <c r="BN678" s="244">
        <v>61.405853140027354</v>
      </c>
      <c r="BO678" s="244">
        <v>0</v>
      </c>
      <c r="BP678" s="244">
        <v>2.8999161720275879</v>
      </c>
      <c r="BQ678" s="244">
        <v>0</v>
      </c>
      <c r="BR678" s="244">
        <v>0</v>
      </c>
      <c r="BS678" s="244">
        <v>0</v>
      </c>
      <c r="BT678" s="244">
        <v>47.493064880371094</v>
      </c>
      <c r="BU678" s="244">
        <v>0</v>
      </c>
      <c r="BV678" s="244">
        <v>0</v>
      </c>
      <c r="BW678" s="244">
        <v>11.17988395690918</v>
      </c>
      <c r="BX678" s="244">
        <v>0</v>
      </c>
      <c r="BY678" s="244"/>
      <c r="BZ678" s="244">
        <v>0</v>
      </c>
      <c r="CA678" s="244">
        <v>0</v>
      </c>
      <c r="CB678" s="244">
        <v>122.97872161865234</v>
      </c>
      <c r="CC678" s="244">
        <v>0</v>
      </c>
      <c r="CD678" s="228">
        <v>9999</v>
      </c>
      <c r="CE678" s="244">
        <v>-55.747806549072266</v>
      </c>
      <c r="CF678" s="244">
        <v>0.67208120776068048</v>
      </c>
      <c r="CG678" s="244">
        <v>0</v>
      </c>
      <c r="CH678" s="244">
        <v>0.67208120776068048</v>
      </c>
      <c r="CI678" s="244">
        <v>3.2990089553810817E-2</v>
      </c>
      <c r="CJ678" s="244">
        <v>0</v>
      </c>
      <c r="CK678" s="244">
        <v>3.2990089553810817E-2</v>
      </c>
      <c r="CL678" s="244"/>
      <c r="CM678" s="244">
        <v>0</v>
      </c>
      <c r="CN678" s="244" t="s">
        <v>605</v>
      </c>
      <c r="CO678" s="244">
        <v>0</v>
      </c>
      <c r="CP678" s="244">
        <v>0</v>
      </c>
      <c r="CQ678" s="244">
        <v>0</v>
      </c>
      <c r="CR678" s="244">
        <v>0</v>
      </c>
      <c r="CS678" s="244">
        <v>0</v>
      </c>
      <c r="CT678" s="244">
        <v>0</v>
      </c>
      <c r="CU678" s="244">
        <v>0</v>
      </c>
      <c r="CV678" s="244">
        <v>9999</v>
      </c>
      <c r="CW678" s="228">
        <v>9999</v>
      </c>
    </row>
    <row r="679" spans="1:101">
      <c r="A679" s="221" t="s">
        <v>599</v>
      </c>
      <c r="B679" s="221" t="s">
        <v>604</v>
      </c>
      <c r="C679" s="244">
        <v>10</v>
      </c>
      <c r="D679" s="244">
        <v>81.259841674738198</v>
      </c>
      <c r="E679" s="244">
        <v>0</v>
      </c>
      <c r="F679" s="244">
        <v>0</v>
      </c>
      <c r="G679" s="244">
        <v>0</v>
      </c>
      <c r="H679" s="244">
        <v>0</v>
      </c>
      <c r="I679" s="244" t="s">
        <v>605</v>
      </c>
      <c r="J679" s="244">
        <v>1</v>
      </c>
      <c r="K679" s="244">
        <v>0.63999998569488525</v>
      </c>
      <c r="L679" s="244">
        <v>88.627087482371252</v>
      </c>
      <c r="M679" s="244">
        <v>6.4750383608043194E-3</v>
      </c>
      <c r="N679" s="244">
        <v>1.0117247700691223E-2</v>
      </c>
      <c r="O679" s="244">
        <v>0</v>
      </c>
      <c r="P679" s="244">
        <v>0</v>
      </c>
      <c r="Q679" s="244">
        <v>0</v>
      </c>
      <c r="R679" s="244">
        <v>0</v>
      </c>
      <c r="S679" s="244">
        <v>0</v>
      </c>
      <c r="T679" s="244">
        <v>0</v>
      </c>
      <c r="U679" s="244">
        <v>0</v>
      </c>
      <c r="V679" s="244" t="s">
        <v>226</v>
      </c>
      <c r="W679" s="244" t="s">
        <v>226</v>
      </c>
      <c r="X679" s="244" t="s">
        <v>226</v>
      </c>
      <c r="Y679" s="244" t="s">
        <v>226</v>
      </c>
      <c r="Z679" s="244">
        <v>0</v>
      </c>
      <c r="AA679" s="244">
        <v>0</v>
      </c>
      <c r="AB679" s="244">
        <v>0</v>
      </c>
      <c r="AC679" s="244">
        <v>0</v>
      </c>
      <c r="AD679" s="244">
        <v>0</v>
      </c>
      <c r="AE679" s="244">
        <v>0</v>
      </c>
      <c r="AF679" s="244">
        <v>0</v>
      </c>
      <c r="AG679" s="244">
        <v>0</v>
      </c>
      <c r="AH679" s="244">
        <v>0</v>
      </c>
      <c r="AI679" s="244">
        <v>0</v>
      </c>
      <c r="AJ679" s="244">
        <v>0</v>
      </c>
      <c r="AK679" s="244">
        <v>0</v>
      </c>
      <c r="AL679" s="244">
        <v>0</v>
      </c>
      <c r="AM679" s="244">
        <v>61.405853140027354</v>
      </c>
      <c r="AN679" s="244">
        <v>0</v>
      </c>
      <c r="AO679" s="244">
        <v>10.889891624450684</v>
      </c>
      <c r="AP679" s="244">
        <v>47.493064880371094</v>
      </c>
      <c r="AQ679" s="244">
        <v>119.78881072998047</v>
      </c>
      <c r="AR679" s="244">
        <v>0</v>
      </c>
      <c r="AS679" s="228">
        <v>9999</v>
      </c>
      <c r="AT679" s="244">
        <v>61.405853140027354</v>
      </c>
      <c r="AU679" s="244">
        <v>2.8999161720275879</v>
      </c>
      <c r="AV679" s="244">
        <v>11.17988395690918</v>
      </c>
      <c r="AW679" s="244">
        <v>47.493064880371094</v>
      </c>
      <c r="AX679" s="244">
        <v>122.97872161865234</v>
      </c>
      <c r="AY679" s="244">
        <v>0</v>
      </c>
      <c r="AZ679" s="228">
        <v>9999</v>
      </c>
      <c r="BA679" s="244">
        <v>61.405853140027354</v>
      </c>
      <c r="BB679" s="244">
        <v>2.8999161720275879</v>
      </c>
      <c r="BC679" s="244">
        <v>11.17988395690918</v>
      </c>
      <c r="BD679" s="244">
        <v>47.493064880371094</v>
      </c>
      <c r="BE679" s="244">
        <v>122.97872161865234</v>
      </c>
      <c r="BF679" s="244">
        <v>0</v>
      </c>
      <c r="BG679" s="244">
        <v>-55.747806549072266</v>
      </c>
      <c r="BH679" s="228">
        <v>9999</v>
      </c>
      <c r="BI679" s="244">
        <v>0</v>
      </c>
      <c r="BJ679" s="244">
        <v>0</v>
      </c>
      <c r="BK679" s="244">
        <v>0</v>
      </c>
      <c r="BL679" s="244">
        <v>0</v>
      </c>
      <c r="BM679" s="244">
        <v>0</v>
      </c>
      <c r="BN679" s="244">
        <v>61.405853140027354</v>
      </c>
      <c r="BO679" s="244">
        <v>0</v>
      </c>
      <c r="BP679" s="244">
        <v>2.8999161720275879</v>
      </c>
      <c r="BQ679" s="244">
        <v>0</v>
      </c>
      <c r="BR679" s="244">
        <v>0</v>
      </c>
      <c r="BS679" s="244">
        <v>0</v>
      </c>
      <c r="BT679" s="244">
        <v>47.493064880371094</v>
      </c>
      <c r="BU679" s="244">
        <v>0</v>
      </c>
      <c r="BV679" s="244">
        <v>0</v>
      </c>
      <c r="BW679" s="244">
        <v>11.17988395690918</v>
      </c>
      <c r="BX679" s="244">
        <v>0</v>
      </c>
      <c r="BY679" s="244"/>
      <c r="BZ679" s="244">
        <v>0</v>
      </c>
      <c r="CA679" s="244">
        <v>0</v>
      </c>
      <c r="CB679" s="244">
        <v>122.97872161865234</v>
      </c>
      <c r="CC679" s="244">
        <v>0</v>
      </c>
      <c r="CD679" s="228">
        <v>9999</v>
      </c>
      <c r="CE679" s="244">
        <v>-55.747806549072266</v>
      </c>
      <c r="CF679" s="244">
        <v>0.67208120776068048</v>
      </c>
      <c r="CG679" s="244">
        <v>0</v>
      </c>
      <c r="CH679" s="244">
        <v>0.67208120776068048</v>
      </c>
      <c r="CI679" s="244">
        <v>3.2990089553810817E-2</v>
      </c>
      <c r="CJ679" s="244">
        <v>0</v>
      </c>
      <c r="CK679" s="244">
        <v>3.2990089553810817E-2</v>
      </c>
      <c r="CL679" s="244"/>
      <c r="CM679" s="244">
        <v>0</v>
      </c>
      <c r="CN679" s="244" t="s">
        <v>605</v>
      </c>
      <c r="CO679" s="244">
        <v>0</v>
      </c>
      <c r="CP679" s="244">
        <v>0</v>
      </c>
      <c r="CQ679" s="244">
        <v>0</v>
      </c>
      <c r="CR679" s="244">
        <v>0</v>
      </c>
      <c r="CS679" s="244">
        <v>0</v>
      </c>
      <c r="CT679" s="244">
        <v>0</v>
      </c>
      <c r="CU679" s="244">
        <v>0</v>
      </c>
      <c r="CV679" s="244">
        <v>9999</v>
      </c>
      <c r="CW679" s="228">
        <v>9999</v>
      </c>
    </row>
    <row r="680" spans="1:101">
      <c r="A680" s="221" t="s">
        <v>600</v>
      </c>
      <c r="B680" s="221" t="s">
        <v>604</v>
      </c>
      <c r="C680" s="244">
        <v>10</v>
      </c>
      <c r="D680" s="244">
        <v>81.259841674738198</v>
      </c>
      <c r="E680" s="244">
        <v>0</v>
      </c>
      <c r="F680" s="244">
        <v>0</v>
      </c>
      <c r="G680" s="244">
        <v>0</v>
      </c>
      <c r="H680" s="244">
        <v>0</v>
      </c>
      <c r="I680" s="244" t="s">
        <v>605</v>
      </c>
      <c r="J680" s="244">
        <v>1</v>
      </c>
      <c r="K680" s="244">
        <v>0.63999998569488525</v>
      </c>
      <c r="L680" s="244">
        <v>88.627087482371252</v>
      </c>
      <c r="M680" s="244">
        <v>6.4750383608043194E-3</v>
      </c>
      <c r="N680" s="244">
        <v>1.0117247700691223E-2</v>
      </c>
      <c r="O680" s="244">
        <v>0</v>
      </c>
      <c r="P680" s="244">
        <v>0</v>
      </c>
      <c r="Q680" s="244">
        <v>0</v>
      </c>
      <c r="R680" s="244">
        <v>0</v>
      </c>
      <c r="S680" s="244">
        <v>0</v>
      </c>
      <c r="T680" s="244">
        <v>0</v>
      </c>
      <c r="U680" s="244">
        <v>0</v>
      </c>
      <c r="V680" s="244" t="s">
        <v>226</v>
      </c>
      <c r="W680" s="244" t="s">
        <v>226</v>
      </c>
      <c r="X680" s="244" t="s">
        <v>226</v>
      </c>
      <c r="Y680" s="244" t="s">
        <v>226</v>
      </c>
      <c r="Z680" s="244">
        <v>0</v>
      </c>
      <c r="AA680" s="244">
        <v>0</v>
      </c>
      <c r="AB680" s="244">
        <v>0</v>
      </c>
      <c r="AC680" s="244">
        <v>0</v>
      </c>
      <c r="AD680" s="244">
        <v>0</v>
      </c>
      <c r="AE680" s="244">
        <v>0</v>
      </c>
      <c r="AF680" s="244">
        <v>0</v>
      </c>
      <c r="AG680" s="244">
        <v>0</v>
      </c>
      <c r="AH680" s="244">
        <v>0</v>
      </c>
      <c r="AI680" s="244">
        <v>0</v>
      </c>
      <c r="AJ680" s="244">
        <v>0</v>
      </c>
      <c r="AK680" s="244">
        <v>0</v>
      </c>
      <c r="AL680" s="244">
        <v>0</v>
      </c>
      <c r="AM680" s="244">
        <v>61.405853140027354</v>
      </c>
      <c r="AN680" s="244">
        <v>0</v>
      </c>
      <c r="AO680" s="244">
        <v>10.889891624450684</v>
      </c>
      <c r="AP680" s="244">
        <v>47.493064880371094</v>
      </c>
      <c r="AQ680" s="244">
        <v>119.78881072998047</v>
      </c>
      <c r="AR680" s="244">
        <v>0</v>
      </c>
      <c r="AS680" s="228">
        <v>9999</v>
      </c>
      <c r="AT680" s="244">
        <v>61.405853140027354</v>
      </c>
      <c r="AU680" s="244">
        <v>2.8999161720275879</v>
      </c>
      <c r="AV680" s="244">
        <v>11.17988395690918</v>
      </c>
      <c r="AW680" s="244">
        <v>47.493064880371094</v>
      </c>
      <c r="AX680" s="244">
        <v>122.97872161865234</v>
      </c>
      <c r="AY680" s="244">
        <v>0</v>
      </c>
      <c r="AZ680" s="228">
        <v>9999</v>
      </c>
      <c r="BA680" s="244">
        <v>61.405853140027354</v>
      </c>
      <c r="BB680" s="244">
        <v>2.8999161720275879</v>
      </c>
      <c r="BC680" s="244">
        <v>11.17988395690918</v>
      </c>
      <c r="BD680" s="244">
        <v>47.493064880371094</v>
      </c>
      <c r="BE680" s="244">
        <v>122.97872161865234</v>
      </c>
      <c r="BF680" s="244">
        <v>0</v>
      </c>
      <c r="BG680" s="244">
        <v>-55.747806549072266</v>
      </c>
      <c r="BH680" s="228">
        <v>9999</v>
      </c>
      <c r="BI680" s="244">
        <v>0</v>
      </c>
      <c r="BJ680" s="244">
        <v>0</v>
      </c>
      <c r="BK680" s="244">
        <v>0</v>
      </c>
      <c r="BL680" s="244">
        <v>0</v>
      </c>
      <c r="BM680" s="244">
        <v>0</v>
      </c>
      <c r="BN680" s="244">
        <v>61.405853140027354</v>
      </c>
      <c r="BO680" s="244">
        <v>0</v>
      </c>
      <c r="BP680" s="244">
        <v>2.8999161720275879</v>
      </c>
      <c r="BQ680" s="244">
        <v>0</v>
      </c>
      <c r="BR680" s="244">
        <v>0</v>
      </c>
      <c r="BS680" s="244">
        <v>0</v>
      </c>
      <c r="BT680" s="244">
        <v>47.493064880371094</v>
      </c>
      <c r="BU680" s="244">
        <v>0</v>
      </c>
      <c r="BV680" s="244">
        <v>0</v>
      </c>
      <c r="BW680" s="244">
        <v>11.17988395690918</v>
      </c>
      <c r="BX680" s="244">
        <v>0</v>
      </c>
      <c r="BY680" s="244"/>
      <c r="BZ680" s="244">
        <v>0</v>
      </c>
      <c r="CA680" s="244">
        <v>0</v>
      </c>
      <c r="CB680" s="244">
        <v>122.97872161865234</v>
      </c>
      <c r="CC680" s="244">
        <v>0</v>
      </c>
      <c r="CD680" s="228">
        <v>9999</v>
      </c>
      <c r="CE680" s="244">
        <v>-55.747806549072266</v>
      </c>
      <c r="CF680" s="244">
        <v>0.67208120776068048</v>
      </c>
      <c r="CG680" s="244">
        <v>0</v>
      </c>
      <c r="CH680" s="244">
        <v>0.67208120776068048</v>
      </c>
      <c r="CI680" s="244">
        <v>3.2990089553810817E-2</v>
      </c>
      <c r="CJ680" s="244">
        <v>0</v>
      </c>
      <c r="CK680" s="244">
        <v>3.2990089553810817E-2</v>
      </c>
      <c r="CL680" s="244"/>
      <c r="CM680" s="244">
        <v>0</v>
      </c>
      <c r="CN680" s="244" t="s">
        <v>605</v>
      </c>
      <c r="CO680" s="244">
        <v>0</v>
      </c>
      <c r="CP680" s="244">
        <v>0</v>
      </c>
      <c r="CQ680" s="244">
        <v>0</v>
      </c>
      <c r="CR680" s="244">
        <v>0</v>
      </c>
      <c r="CS680" s="244">
        <v>0</v>
      </c>
      <c r="CT680" s="244">
        <v>0</v>
      </c>
      <c r="CU680" s="244">
        <v>0</v>
      </c>
      <c r="CV680" s="244">
        <v>9999</v>
      </c>
      <c r="CW680" s="228">
        <v>9999</v>
      </c>
    </row>
    <row r="681" spans="1:101">
      <c r="A681" s="221" t="s">
        <v>601</v>
      </c>
      <c r="B681" s="221" t="s">
        <v>604</v>
      </c>
      <c r="C681" s="244">
        <v>10</v>
      </c>
      <c r="D681" s="244">
        <v>126.40419816070384</v>
      </c>
      <c r="E681" s="244">
        <v>0</v>
      </c>
      <c r="F681" s="244">
        <v>0</v>
      </c>
      <c r="G681" s="244">
        <v>0</v>
      </c>
      <c r="H681" s="244">
        <v>0</v>
      </c>
      <c r="I681" s="244" t="s">
        <v>605</v>
      </c>
      <c r="J681" s="244">
        <v>1</v>
      </c>
      <c r="K681" s="244">
        <v>0.63999998569488525</v>
      </c>
      <c r="L681" s="244">
        <v>137.8643583059108</v>
      </c>
      <c r="M681" s="244">
        <v>1.0072281584143639E-2</v>
      </c>
      <c r="N681" s="244">
        <v>1.573793962597847E-2</v>
      </c>
      <c r="O681" s="244">
        <v>0</v>
      </c>
      <c r="P681" s="244">
        <v>0</v>
      </c>
      <c r="Q681" s="244">
        <v>0</v>
      </c>
      <c r="R681" s="244">
        <v>0</v>
      </c>
      <c r="S681" s="244">
        <v>0</v>
      </c>
      <c r="T681" s="244">
        <v>0</v>
      </c>
      <c r="U681" s="244">
        <v>0</v>
      </c>
      <c r="V681" s="244" t="s">
        <v>226</v>
      </c>
      <c r="W681" s="244" t="s">
        <v>226</v>
      </c>
      <c r="X681" s="244" t="s">
        <v>226</v>
      </c>
      <c r="Y681" s="244" t="s">
        <v>226</v>
      </c>
      <c r="Z681" s="244">
        <v>0</v>
      </c>
      <c r="AA681" s="244">
        <v>0</v>
      </c>
      <c r="AB681" s="244">
        <v>0</v>
      </c>
      <c r="AC681" s="244">
        <v>0</v>
      </c>
      <c r="AD681" s="244">
        <v>0</v>
      </c>
      <c r="AE681" s="244">
        <v>0</v>
      </c>
      <c r="AF681" s="244">
        <v>0</v>
      </c>
      <c r="AG681" s="244">
        <v>0</v>
      </c>
      <c r="AH681" s="244">
        <v>0</v>
      </c>
      <c r="AI681" s="244">
        <v>0</v>
      </c>
      <c r="AJ681" s="244">
        <v>0</v>
      </c>
      <c r="AK681" s="244">
        <v>0</v>
      </c>
      <c r="AL681" s="244">
        <v>0</v>
      </c>
      <c r="AM681" s="244">
        <v>95.520215995598278</v>
      </c>
      <c r="AN681" s="244">
        <v>0</v>
      </c>
      <c r="AO681" s="244">
        <v>16.939830780029297</v>
      </c>
      <c r="AP681" s="244">
        <v>73.878097534179688</v>
      </c>
      <c r="AQ681" s="244">
        <v>186.33815002441406</v>
      </c>
      <c r="AR681" s="244">
        <v>0</v>
      </c>
      <c r="AS681" s="228">
        <v>9999</v>
      </c>
      <c r="AT681" s="244">
        <v>95.520215995598278</v>
      </c>
      <c r="AU681" s="244">
        <v>4.5109810829162598</v>
      </c>
      <c r="AV681" s="244">
        <v>17.39093017578125</v>
      </c>
      <c r="AW681" s="244">
        <v>73.878097534179688</v>
      </c>
      <c r="AX681" s="244">
        <v>191.30023193359375</v>
      </c>
      <c r="AY681" s="244">
        <v>0</v>
      </c>
      <c r="AZ681" s="228">
        <v>9999</v>
      </c>
      <c r="BA681" s="244">
        <v>95.520215995598278</v>
      </c>
      <c r="BB681" s="244">
        <v>4.5109810829162598</v>
      </c>
      <c r="BC681" s="244">
        <v>17.39093017578125</v>
      </c>
      <c r="BD681" s="244">
        <v>73.878097534179688</v>
      </c>
      <c r="BE681" s="244">
        <v>191.30023193359375</v>
      </c>
      <c r="BF681" s="244">
        <v>0</v>
      </c>
      <c r="BG681" s="244">
        <v>-55.747806549072266</v>
      </c>
      <c r="BH681" s="228">
        <v>9999</v>
      </c>
      <c r="BI681" s="244">
        <v>0</v>
      </c>
      <c r="BJ681" s="244">
        <v>0</v>
      </c>
      <c r="BK681" s="244">
        <v>0</v>
      </c>
      <c r="BL681" s="244">
        <v>0</v>
      </c>
      <c r="BM681" s="244">
        <v>0</v>
      </c>
      <c r="BN681" s="244">
        <v>95.520215995598278</v>
      </c>
      <c r="BO681" s="244">
        <v>0</v>
      </c>
      <c r="BP681" s="244">
        <v>4.5109810829162598</v>
      </c>
      <c r="BQ681" s="244">
        <v>0</v>
      </c>
      <c r="BR681" s="244">
        <v>0</v>
      </c>
      <c r="BS681" s="244">
        <v>0</v>
      </c>
      <c r="BT681" s="244">
        <v>73.878097534179688</v>
      </c>
      <c r="BU681" s="244">
        <v>0</v>
      </c>
      <c r="BV681" s="244">
        <v>0</v>
      </c>
      <c r="BW681" s="244">
        <v>17.39093017578125</v>
      </c>
      <c r="BX681" s="244">
        <v>0</v>
      </c>
      <c r="BY681" s="244"/>
      <c r="BZ681" s="244">
        <v>0</v>
      </c>
      <c r="CA681" s="244">
        <v>0</v>
      </c>
      <c r="CB681" s="244">
        <v>191.30023193359375</v>
      </c>
      <c r="CC681" s="244">
        <v>0</v>
      </c>
      <c r="CD681" s="228">
        <v>9999</v>
      </c>
      <c r="CE681" s="244">
        <v>-55.747806549072266</v>
      </c>
      <c r="CF681" s="244">
        <v>1.045459656516613</v>
      </c>
      <c r="CG681" s="244">
        <v>0</v>
      </c>
      <c r="CH681" s="244">
        <v>1.045459656516613</v>
      </c>
      <c r="CI681" s="244">
        <v>5.1317917083705693E-2</v>
      </c>
      <c r="CJ681" s="244">
        <v>0</v>
      </c>
      <c r="CK681" s="244">
        <v>5.1317917083705693E-2</v>
      </c>
      <c r="CL681" s="244"/>
      <c r="CM681" s="244">
        <v>0</v>
      </c>
      <c r="CN681" s="244" t="s">
        <v>605</v>
      </c>
      <c r="CO681" s="244">
        <v>0</v>
      </c>
      <c r="CP681" s="244">
        <v>0</v>
      </c>
      <c r="CQ681" s="244">
        <v>0</v>
      </c>
      <c r="CR681" s="244">
        <v>0</v>
      </c>
      <c r="CS681" s="244">
        <v>0</v>
      </c>
      <c r="CT681" s="244">
        <v>0</v>
      </c>
      <c r="CU681" s="244">
        <v>0</v>
      </c>
      <c r="CV681" s="244">
        <v>9999</v>
      </c>
      <c r="CW681" s="228">
        <v>9999</v>
      </c>
    </row>
    <row r="682" spans="1:101">
      <c r="A682" s="221" t="s">
        <v>602</v>
      </c>
      <c r="B682" s="221" t="s">
        <v>604</v>
      </c>
      <c r="C682" s="244">
        <v>10</v>
      </c>
      <c r="D682" s="244">
        <v>126.40419816070384</v>
      </c>
      <c r="E682" s="244">
        <v>0</v>
      </c>
      <c r="F682" s="244">
        <v>0</v>
      </c>
      <c r="G682" s="244">
        <v>0</v>
      </c>
      <c r="H682" s="244">
        <v>0</v>
      </c>
      <c r="I682" s="244" t="s">
        <v>605</v>
      </c>
      <c r="J682" s="244">
        <v>1</v>
      </c>
      <c r="K682" s="244">
        <v>0.63999998569488525</v>
      </c>
      <c r="L682" s="244">
        <v>137.8643583059108</v>
      </c>
      <c r="M682" s="244">
        <v>1.0072281584143639E-2</v>
      </c>
      <c r="N682" s="244">
        <v>1.573793962597847E-2</v>
      </c>
      <c r="O682" s="244">
        <v>0</v>
      </c>
      <c r="P682" s="244">
        <v>0</v>
      </c>
      <c r="Q682" s="244">
        <v>0</v>
      </c>
      <c r="R682" s="244">
        <v>0</v>
      </c>
      <c r="S682" s="244">
        <v>0</v>
      </c>
      <c r="T682" s="244">
        <v>0</v>
      </c>
      <c r="U682" s="244">
        <v>0</v>
      </c>
      <c r="V682" s="244" t="s">
        <v>226</v>
      </c>
      <c r="W682" s="244" t="s">
        <v>226</v>
      </c>
      <c r="X682" s="244" t="s">
        <v>226</v>
      </c>
      <c r="Y682" s="244" t="s">
        <v>226</v>
      </c>
      <c r="Z682" s="244">
        <v>0</v>
      </c>
      <c r="AA682" s="244">
        <v>0</v>
      </c>
      <c r="AB682" s="244">
        <v>0</v>
      </c>
      <c r="AC682" s="244">
        <v>0</v>
      </c>
      <c r="AD682" s="244">
        <v>0</v>
      </c>
      <c r="AE682" s="244">
        <v>0</v>
      </c>
      <c r="AF682" s="244">
        <v>0</v>
      </c>
      <c r="AG682" s="244">
        <v>0</v>
      </c>
      <c r="AH682" s="244">
        <v>0</v>
      </c>
      <c r="AI682" s="244">
        <v>0</v>
      </c>
      <c r="AJ682" s="244">
        <v>0</v>
      </c>
      <c r="AK682" s="244">
        <v>0</v>
      </c>
      <c r="AL682" s="244">
        <v>0</v>
      </c>
      <c r="AM682" s="244">
        <v>95.520215995598278</v>
      </c>
      <c r="AN682" s="244">
        <v>0</v>
      </c>
      <c r="AO682" s="244">
        <v>16.939830780029297</v>
      </c>
      <c r="AP682" s="244">
        <v>73.878097534179688</v>
      </c>
      <c r="AQ682" s="244">
        <v>186.33815002441406</v>
      </c>
      <c r="AR682" s="244">
        <v>0</v>
      </c>
      <c r="AS682" s="228">
        <v>9999</v>
      </c>
      <c r="AT682" s="244">
        <v>95.520215995598278</v>
      </c>
      <c r="AU682" s="244">
        <v>4.5109810829162598</v>
      </c>
      <c r="AV682" s="244">
        <v>17.39093017578125</v>
      </c>
      <c r="AW682" s="244">
        <v>73.878097534179688</v>
      </c>
      <c r="AX682" s="244">
        <v>191.30023193359375</v>
      </c>
      <c r="AY682" s="244">
        <v>0</v>
      </c>
      <c r="AZ682" s="228">
        <v>9999</v>
      </c>
      <c r="BA682" s="244">
        <v>95.520215995598278</v>
      </c>
      <c r="BB682" s="244">
        <v>4.5109810829162598</v>
      </c>
      <c r="BC682" s="244">
        <v>17.39093017578125</v>
      </c>
      <c r="BD682" s="244">
        <v>73.878097534179688</v>
      </c>
      <c r="BE682" s="244">
        <v>191.30023193359375</v>
      </c>
      <c r="BF682" s="244">
        <v>0</v>
      </c>
      <c r="BG682" s="244">
        <v>-55.747806549072266</v>
      </c>
      <c r="BH682" s="228">
        <v>9999</v>
      </c>
      <c r="BI682" s="244">
        <v>0</v>
      </c>
      <c r="BJ682" s="244">
        <v>0</v>
      </c>
      <c r="BK682" s="244">
        <v>0</v>
      </c>
      <c r="BL682" s="244">
        <v>0</v>
      </c>
      <c r="BM682" s="244">
        <v>0</v>
      </c>
      <c r="BN682" s="244">
        <v>95.520215995598278</v>
      </c>
      <c r="BO682" s="244">
        <v>0</v>
      </c>
      <c r="BP682" s="244">
        <v>4.5109810829162598</v>
      </c>
      <c r="BQ682" s="244">
        <v>0</v>
      </c>
      <c r="BR682" s="244">
        <v>0</v>
      </c>
      <c r="BS682" s="244">
        <v>0</v>
      </c>
      <c r="BT682" s="244">
        <v>73.878097534179688</v>
      </c>
      <c r="BU682" s="244">
        <v>0</v>
      </c>
      <c r="BV682" s="244">
        <v>0</v>
      </c>
      <c r="BW682" s="244">
        <v>17.39093017578125</v>
      </c>
      <c r="BX682" s="244">
        <v>0</v>
      </c>
      <c r="BY682" s="244"/>
      <c r="BZ682" s="244">
        <v>0</v>
      </c>
      <c r="CA682" s="244">
        <v>0</v>
      </c>
      <c r="CB682" s="244">
        <v>191.30023193359375</v>
      </c>
      <c r="CC682" s="244">
        <v>0</v>
      </c>
      <c r="CD682" s="228">
        <v>9999</v>
      </c>
      <c r="CE682" s="244">
        <v>-55.747806549072266</v>
      </c>
      <c r="CF682" s="244">
        <v>1.045459656516613</v>
      </c>
      <c r="CG682" s="244">
        <v>0</v>
      </c>
      <c r="CH682" s="244">
        <v>1.045459656516613</v>
      </c>
      <c r="CI682" s="244">
        <v>5.1317917083705693E-2</v>
      </c>
      <c r="CJ682" s="244">
        <v>0</v>
      </c>
      <c r="CK682" s="244">
        <v>5.1317917083705693E-2</v>
      </c>
      <c r="CL682" s="244"/>
      <c r="CM682" s="244">
        <v>0</v>
      </c>
      <c r="CN682" s="244" t="s">
        <v>605</v>
      </c>
      <c r="CO682" s="244">
        <v>0</v>
      </c>
      <c r="CP682" s="244">
        <v>0</v>
      </c>
      <c r="CQ682" s="244">
        <v>0</v>
      </c>
      <c r="CR682" s="244">
        <v>0</v>
      </c>
      <c r="CS682" s="244">
        <v>0</v>
      </c>
      <c r="CT682" s="244">
        <v>0</v>
      </c>
      <c r="CU682" s="244">
        <v>0</v>
      </c>
      <c r="CV682" s="244">
        <v>9999</v>
      </c>
      <c r="CW682" s="228">
        <v>9999</v>
      </c>
    </row>
    <row r="683" spans="1:101">
      <c r="A683" s="221" t="s">
        <v>603</v>
      </c>
      <c r="B683" s="221" t="s">
        <v>604</v>
      </c>
      <c r="C683" s="244">
        <v>10</v>
      </c>
      <c r="D683" s="244">
        <v>126.40419816070384</v>
      </c>
      <c r="E683" s="244">
        <v>0</v>
      </c>
      <c r="F683" s="244">
        <v>0</v>
      </c>
      <c r="G683" s="244">
        <v>0</v>
      </c>
      <c r="H683" s="244">
        <v>0</v>
      </c>
      <c r="I683" s="244" t="s">
        <v>605</v>
      </c>
      <c r="J683" s="244">
        <v>1</v>
      </c>
      <c r="K683" s="244">
        <v>0.63999998569488525</v>
      </c>
      <c r="L683" s="244">
        <v>137.8643583059108</v>
      </c>
      <c r="M683" s="244">
        <v>1.0072281584143639E-2</v>
      </c>
      <c r="N683" s="244">
        <v>1.573793962597847E-2</v>
      </c>
      <c r="O683" s="244">
        <v>0</v>
      </c>
      <c r="P683" s="244">
        <v>0</v>
      </c>
      <c r="Q683" s="244">
        <v>0</v>
      </c>
      <c r="R683" s="244">
        <v>0</v>
      </c>
      <c r="S683" s="244">
        <v>0</v>
      </c>
      <c r="T683" s="244">
        <v>0</v>
      </c>
      <c r="U683" s="244">
        <v>0</v>
      </c>
      <c r="V683" s="244" t="s">
        <v>226</v>
      </c>
      <c r="W683" s="244" t="s">
        <v>226</v>
      </c>
      <c r="X683" s="244" t="s">
        <v>226</v>
      </c>
      <c r="Y683" s="244" t="s">
        <v>226</v>
      </c>
      <c r="Z683" s="244">
        <v>0</v>
      </c>
      <c r="AA683" s="244">
        <v>0</v>
      </c>
      <c r="AB683" s="244">
        <v>0</v>
      </c>
      <c r="AC683" s="244">
        <v>0</v>
      </c>
      <c r="AD683" s="244">
        <v>0</v>
      </c>
      <c r="AE683" s="244">
        <v>0</v>
      </c>
      <c r="AF683" s="244">
        <v>0</v>
      </c>
      <c r="AG683" s="244">
        <v>0</v>
      </c>
      <c r="AH683" s="244">
        <v>0</v>
      </c>
      <c r="AI683" s="244">
        <v>0</v>
      </c>
      <c r="AJ683" s="244">
        <v>0</v>
      </c>
      <c r="AK683" s="244">
        <v>0</v>
      </c>
      <c r="AL683" s="244">
        <v>0</v>
      </c>
      <c r="AM683" s="244">
        <v>95.520215995598278</v>
      </c>
      <c r="AN683" s="244">
        <v>0</v>
      </c>
      <c r="AO683" s="244">
        <v>16.939830780029297</v>
      </c>
      <c r="AP683" s="244">
        <v>73.878097534179688</v>
      </c>
      <c r="AQ683" s="244">
        <v>186.33815002441406</v>
      </c>
      <c r="AR683" s="244">
        <v>0</v>
      </c>
      <c r="AS683" s="228">
        <v>9999</v>
      </c>
      <c r="AT683" s="244">
        <v>95.520215995598278</v>
      </c>
      <c r="AU683" s="244">
        <v>4.5109810829162598</v>
      </c>
      <c r="AV683" s="244">
        <v>17.39093017578125</v>
      </c>
      <c r="AW683" s="244">
        <v>73.878097534179688</v>
      </c>
      <c r="AX683" s="244">
        <v>191.30023193359375</v>
      </c>
      <c r="AY683" s="244">
        <v>0</v>
      </c>
      <c r="AZ683" s="228">
        <v>9999</v>
      </c>
      <c r="BA683" s="244">
        <v>95.520215995598278</v>
      </c>
      <c r="BB683" s="244">
        <v>4.5109810829162598</v>
      </c>
      <c r="BC683" s="244">
        <v>17.39093017578125</v>
      </c>
      <c r="BD683" s="244">
        <v>73.878097534179688</v>
      </c>
      <c r="BE683" s="244">
        <v>191.30023193359375</v>
      </c>
      <c r="BF683" s="244">
        <v>0</v>
      </c>
      <c r="BG683" s="244">
        <v>-55.747806549072266</v>
      </c>
      <c r="BH683" s="228">
        <v>9999</v>
      </c>
      <c r="BI683" s="244">
        <v>0</v>
      </c>
      <c r="BJ683" s="244">
        <v>0</v>
      </c>
      <c r="BK683" s="244">
        <v>0</v>
      </c>
      <c r="BL683" s="244">
        <v>0</v>
      </c>
      <c r="BM683" s="244">
        <v>0</v>
      </c>
      <c r="BN683" s="244">
        <v>95.520215995598278</v>
      </c>
      <c r="BO683" s="244">
        <v>0</v>
      </c>
      <c r="BP683" s="244">
        <v>4.5109810829162598</v>
      </c>
      <c r="BQ683" s="244">
        <v>0</v>
      </c>
      <c r="BR683" s="244">
        <v>0</v>
      </c>
      <c r="BS683" s="244">
        <v>0</v>
      </c>
      <c r="BT683" s="244">
        <v>73.878097534179688</v>
      </c>
      <c r="BU683" s="244">
        <v>0</v>
      </c>
      <c r="BV683" s="244">
        <v>0</v>
      </c>
      <c r="BW683" s="244">
        <v>17.39093017578125</v>
      </c>
      <c r="BX683" s="244">
        <v>0</v>
      </c>
      <c r="BY683" s="244"/>
      <c r="BZ683" s="244">
        <v>0</v>
      </c>
      <c r="CA683" s="244">
        <v>0</v>
      </c>
      <c r="CB683" s="244">
        <v>191.30023193359375</v>
      </c>
      <c r="CC683" s="244">
        <v>0</v>
      </c>
      <c r="CD683" s="228">
        <v>9999</v>
      </c>
      <c r="CE683" s="244">
        <v>-55.747806549072266</v>
      </c>
      <c r="CF683" s="244">
        <v>1.045459656516613</v>
      </c>
      <c r="CG683" s="244">
        <v>0</v>
      </c>
      <c r="CH683" s="244">
        <v>1.045459656516613</v>
      </c>
      <c r="CI683" s="244">
        <v>5.1317917083705693E-2</v>
      </c>
      <c r="CJ683" s="244">
        <v>0</v>
      </c>
      <c r="CK683" s="244">
        <v>5.1317917083705693E-2</v>
      </c>
      <c r="CL683" s="244"/>
      <c r="CM683" s="244">
        <v>0</v>
      </c>
      <c r="CN683" s="244" t="s">
        <v>605</v>
      </c>
      <c r="CO683" s="244">
        <v>0</v>
      </c>
      <c r="CP683" s="244">
        <v>0</v>
      </c>
      <c r="CQ683" s="244">
        <v>0</v>
      </c>
      <c r="CR683" s="244">
        <v>0</v>
      </c>
      <c r="CS683" s="244">
        <v>0</v>
      </c>
      <c r="CT683" s="244">
        <v>0</v>
      </c>
      <c r="CU683" s="244">
        <v>0</v>
      </c>
      <c r="CV683" s="244">
        <v>9999</v>
      </c>
      <c r="CW683" s="228">
        <v>9999</v>
      </c>
    </row>
    <row r="684" spans="1:101">
      <c r="C684" s="244"/>
      <c r="D684" s="244"/>
      <c r="E684" s="244"/>
      <c r="F684" s="244"/>
      <c r="G684" s="244"/>
      <c r="H684" s="244"/>
      <c r="I684" s="244"/>
      <c r="J684" s="244"/>
      <c r="K684" s="244"/>
      <c r="L684" s="244"/>
      <c r="M684" s="244"/>
      <c r="N684" s="244"/>
      <c r="O684" s="244"/>
      <c r="P684" s="244"/>
      <c r="Q684" s="244"/>
      <c r="R684" s="244"/>
      <c r="S684" s="244"/>
      <c r="T684" s="244"/>
      <c r="U684" s="244"/>
      <c r="V684" s="244"/>
      <c r="W684" s="244"/>
      <c r="X684" s="244"/>
      <c r="Y684" s="244"/>
      <c r="Z684" s="244"/>
      <c r="AA684" s="244"/>
      <c r="AB684" s="244"/>
      <c r="AC684" s="244"/>
      <c r="AD684" s="244"/>
      <c r="AE684" s="244"/>
      <c r="AF684" s="244"/>
      <c r="AG684" s="244"/>
      <c r="AH684" s="244"/>
      <c r="AI684" s="244"/>
      <c r="AJ684" s="244"/>
      <c r="AK684" s="244"/>
      <c r="AL684" s="244"/>
      <c r="AM684" s="244"/>
      <c r="AN684" s="244"/>
      <c r="AO684" s="244"/>
      <c r="AP684" s="244"/>
      <c r="AQ684" s="244"/>
      <c r="AR684" s="244"/>
      <c r="AS684" s="244"/>
      <c r="AT684" s="244"/>
      <c r="AU684" s="244"/>
      <c r="AV684" s="244"/>
      <c r="AW684" s="244"/>
      <c r="AX684" s="244"/>
      <c r="AY684" s="244"/>
      <c r="AZ684" s="244"/>
      <c r="BA684" s="244"/>
      <c r="BB684" s="244"/>
      <c r="BC684" s="244"/>
      <c r="BD684" s="244"/>
      <c r="BE684" s="244"/>
      <c r="BF684" s="244"/>
      <c r="BG684" s="244"/>
      <c r="BH684" s="244"/>
      <c r="BI684" s="244"/>
      <c r="BJ684" s="244"/>
      <c r="BK684" s="244"/>
      <c r="BL684" s="244"/>
      <c r="BM684" s="244"/>
      <c r="BN684" s="244"/>
      <c r="BO684" s="244"/>
      <c r="BP684" s="244"/>
      <c r="BQ684" s="244"/>
      <c r="BR684" s="244"/>
      <c r="BS684" s="244"/>
      <c r="BT684" s="244"/>
      <c r="BU684" s="244"/>
      <c r="BV684" s="244"/>
      <c r="BW684" s="244"/>
      <c r="BX684" s="244"/>
      <c r="BY684" s="244"/>
      <c r="BZ684" s="244"/>
      <c r="CA684" s="244"/>
      <c r="CB684" s="244"/>
      <c r="CC684" s="244"/>
      <c r="CD684" s="244"/>
      <c r="CE684" s="244"/>
      <c r="CF684" s="244"/>
      <c r="CG684" s="244"/>
      <c r="CH684" s="244"/>
      <c r="CI684" s="244"/>
      <c r="CJ684" s="244"/>
      <c r="CK684" s="244"/>
      <c r="CL684" s="244"/>
      <c r="CM684" s="244"/>
      <c r="CN684" s="244"/>
      <c r="CO684" s="244"/>
      <c r="CP684" s="244"/>
      <c r="CQ684" s="244"/>
      <c r="CR684" s="244"/>
      <c r="CS684" s="244"/>
      <c r="CT684" s="244"/>
      <c r="CU684" s="244"/>
      <c r="CV684" s="244"/>
      <c r="CW684" s="244"/>
    </row>
    <row r="685" spans="1:101">
      <c r="C685" s="244"/>
      <c r="D685" s="244"/>
      <c r="E685" s="244"/>
      <c r="F685" s="244"/>
      <c r="G685" s="244"/>
      <c r="H685" s="244"/>
      <c r="I685" s="244"/>
      <c r="J685" s="244"/>
      <c r="K685" s="244"/>
      <c r="L685" s="244"/>
      <c r="M685" s="244"/>
      <c r="N685" s="244"/>
      <c r="O685" s="244"/>
      <c r="P685" s="244"/>
      <c r="Q685" s="244"/>
      <c r="R685" s="244"/>
      <c r="S685" s="244"/>
      <c r="T685" s="244"/>
      <c r="U685" s="244"/>
      <c r="V685" s="244"/>
      <c r="W685" s="244"/>
      <c r="X685" s="244"/>
      <c r="Y685" s="244"/>
      <c r="Z685" s="244"/>
      <c r="AA685" s="244"/>
      <c r="AB685" s="244"/>
      <c r="AC685" s="244"/>
      <c r="AD685" s="244"/>
      <c r="AE685" s="244"/>
      <c r="AF685" s="244"/>
      <c r="AG685" s="244"/>
      <c r="AH685" s="244"/>
      <c r="AI685" s="244"/>
      <c r="AJ685" s="244"/>
      <c r="AK685" s="244"/>
      <c r="AL685" s="244"/>
      <c r="AM685" s="244"/>
      <c r="AN685" s="244"/>
      <c r="AO685" s="244"/>
      <c r="AP685" s="244"/>
      <c r="AQ685" s="244"/>
      <c r="AR685" s="244"/>
      <c r="AS685" s="244"/>
      <c r="AT685" s="244"/>
      <c r="AU685" s="244"/>
      <c r="AV685" s="244"/>
      <c r="AW685" s="244"/>
      <c r="AX685" s="244"/>
      <c r="AY685" s="244"/>
      <c r="AZ685" s="244"/>
      <c r="BA685" s="244"/>
      <c r="BB685" s="244"/>
      <c r="BC685" s="244"/>
      <c r="BD685" s="244"/>
      <c r="BE685" s="244"/>
      <c r="BF685" s="244"/>
      <c r="BG685" s="244"/>
      <c r="BH685" s="244"/>
      <c r="BI685" s="244"/>
      <c r="BJ685" s="244"/>
      <c r="BK685" s="244"/>
      <c r="BL685" s="244"/>
      <c r="BM685" s="244"/>
      <c r="BN685" s="244"/>
      <c r="BO685" s="244"/>
      <c r="BP685" s="244"/>
      <c r="BQ685" s="244"/>
      <c r="BR685" s="244"/>
      <c r="BS685" s="244"/>
      <c r="BT685" s="244"/>
      <c r="BU685" s="244"/>
      <c r="BV685" s="244"/>
      <c r="BW685" s="244"/>
      <c r="BX685" s="244"/>
      <c r="BY685" s="244"/>
      <c r="BZ685" s="244"/>
      <c r="CA685" s="244"/>
      <c r="CB685" s="244"/>
      <c r="CC685" s="244"/>
      <c r="CD685" s="244"/>
      <c r="CE685" s="244"/>
      <c r="CF685" s="244"/>
      <c r="CG685" s="244"/>
      <c r="CH685" s="244"/>
      <c r="CI685" s="244"/>
      <c r="CJ685" s="244"/>
      <c r="CK685" s="244"/>
      <c r="CL685" s="244"/>
      <c r="CM685" s="244"/>
      <c r="CN685" s="244"/>
      <c r="CO685" s="244"/>
      <c r="CP685" s="244"/>
      <c r="CQ685" s="244"/>
      <c r="CR685" s="244"/>
      <c r="CS685" s="244"/>
      <c r="CT685" s="244"/>
      <c r="CU685" s="244"/>
      <c r="CV685" s="244"/>
      <c r="CW685" s="244"/>
    </row>
    <row r="686" spans="1:101" ht="13.5" thickBot="1">
      <c r="A686" s="232" t="s">
        <v>227</v>
      </c>
      <c r="B686" s="234"/>
      <c r="C686" s="244"/>
      <c r="D686" s="244"/>
      <c r="E686" s="244"/>
      <c r="F686" s="244"/>
      <c r="G686" s="244"/>
      <c r="H686" s="244"/>
      <c r="I686" s="244"/>
      <c r="J686" s="244"/>
      <c r="K686" s="244"/>
      <c r="L686" s="244"/>
      <c r="M686" s="244"/>
      <c r="N686" s="244"/>
      <c r="O686" s="244"/>
      <c r="P686" s="244"/>
      <c r="Q686" s="244"/>
      <c r="R686" s="244"/>
      <c r="S686" s="244"/>
      <c r="T686" s="244"/>
      <c r="U686" s="244"/>
      <c r="V686" s="244"/>
      <c r="W686" s="244"/>
      <c r="X686" s="244"/>
      <c r="Y686" s="244"/>
      <c r="Z686" s="244"/>
      <c r="AA686" s="244"/>
      <c r="AB686" s="244"/>
      <c r="AC686" s="244"/>
      <c r="AD686" s="244"/>
      <c r="AE686" s="244"/>
      <c r="AF686" s="244"/>
      <c r="AG686" s="244"/>
      <c r="AH686" s="244"/>
      <c r="AI686" s="244"/>
      <c r="AJ686" s="244"/>
      <c r="AK686" s="244"/>
      <c r="AL686" s="244"/>
      <c r="AM686" s="244"/>
      <c r="AN686" s="244"/>
      <c r="AO686" s="244"/>
      <c r="AP686" s="244"/>
      <c r="AQ686" s="244"/>
      <c r="AR686" s="244"/>
      <c r="AS686" s="244"/>
      <c r="AT686" s="244"/>
      <c r="AU686" s="244"/>
      <c r="AV686" s="244"/>
      <c r="AW686" s="244"/>
      <c r="AX686" s="244"/>
      <c r="AY686" s="244"/>
      <c r="AZ686" s="244"/>
      <c r="BA686" s="244"/>
      <c r="BB686" s="244"/>
      <c r="BC686" s="244"/>
      <c r="BD686" s="244"/>
      <c r="BE686" s="244"/>
      <c r="BF686" s="244"/>
      <c r="BG686" s="244"/>
      <c r="BH686" s="244"/>
      <c r="BI686" s="244"/>
      <c r="BJ686" s="244"/>
      <c r="BK686" s="244"/>
      <c r="BL686" s="244"/>
      <c r="BM686" s="244"/>
      <c r="BN686" s="244"/>
      <c r="BO686" s="244"/>
      <c r="BP686" s="244"/>
      <c r="BQ686" s="244"/>
      <c r="BR686" s="244"/>
      <c r="BS686" s="244"/>
      <c r="BT686" s="244"/>
      <c r="BU686" s="244"/>
      <c r="BV686" s="244"/>
      <c r="BW686" s="244"/>
      <c r="BX686" s="244"/>
      <c r="BY686" s="244"/>
      <c r="BZ686" s="244"/>
      <c r="CA686" s="244"/>
      <c r="CB686" s="244"/>
      <c r="CC686" s="244"/>
      <c r="CD686" s="244"/>
      <c r="CE686" s="244"/>
      <c r="CF686" s="244"/>
      <c r="CG686" s="244"/>
      <c r="CH686" s="244"/>
      <c r="CI686" s="244"/>
      <c r="CJ686" s="244"/>
      <c r="CK686" s="244"/>
      <c r="CL686" s="244"/>
      <c r="CM686" s="244"/>
      <c r="CN686" s="244"/>
      <c r="CO686" s="244"/>
      <c r="CP686" s="244"/>
      <c r="CQ686" s="244"/>
      <c r="CR686" s="244"/>
      <c r="CS686" s="244"/>
      <c r="CT686" s="244"/>
      <c r="CU686" s="244"/>
      <c r="CV686" s="244"/>
      <c r="CW686" s="244"/>
    </row>
    <row r="687" spans="1:101" ht="26.25" thickBot="1">
      <c r="A687" s="245" t="s">
        <v>130</v>
      </c>
      <c r="B687" s="246"/>
      <c r="C687" s="247" t="s">
        <v>131</v>
      </c>
      <c r="D687" s="248"/>
      <c r="E687" s="248"/>
      <c r="F687" s="248"/>
      <c r="G687" s="248"/>
      <c r="H687" s="248"/>
      <c r="I687" s="248"/>
      <c r="J687" s="248"/>
      <c r="K687" s="249"/>
      <c r="L687" s="247" t="s">
        <v>132</v>
      </c>
      <c r="M687" s="248"/>
      <c r="N687" s="248"/>
      <c r="O687" s="248"/>
      <c r="P687" s="248"/>
      <c r="Q687" s="249"/>
      <c r="R687" s="247" t="s">
        <v>133</v>
      </c>
      <c r="S687" s="248"/>
      <c r="T687" s="248"/>
      <c r="U687" s="249"/>
      <c r="V687" s="247" t="s">
        <v>134</v>
      </c>
      <c r="W687" s="248"/>
      <c r="X687" s="248"/>
      <c r="Y687" s="249"/>
      <c r="Z687" s="247" t="s">
        <v>135</v>
      </c>
      <c r="AA687" s="248"/>
      <c r="AB687" s="248"/>
      <c r="AC687" s="249"/>
      <c r="AD687" s="247" t="s">
        <v>136</v>
      </c>
      <c r="AE687" s="248"/>
      <c r="AF687" s="248"/>
      <c r="AG687" s="249"/>
      <c r="AH687" s="247" t="s">
        <v>137</v>
      </c>
      <c r="AI687" s="248"/>
      <c r="AJ687" s="248"/>
      <c r="AK687" s="248"/>
      <c r="AL687" s="249"/>
      <c r="AM687" s="247" t="s">
        <v>138</v>
      </c>
      <c r="AN687" s="248"/>
      <c r="AO687" s="248"/>
      <c r="AP687" s="248"/>
      <c r="AQ687" s="248"/>
      <c r="AR687" s="248"/>
      <c r="AS687" s="249"/>
      <c r="AT687" s="247" t="s">
        <v>139</v>
      </c>
      <c r="AU687" s="248"/>
      <c r="AV687" s="248"/>
      <c r="AW687" s="248"/>
      <c r="AX687" s="248"/>
      <c r="AY687" s="248"/>
      <c r="AZ687" s="249"/>
      <c r="BA687" s="247" t="s">
        <v>140</v>
      </c>
      <c r="BB687" s="248"/>
      <c r="BC687" s="248"/>
      <c r="BD687" s="248"/>
      <c r="BE687" s="248"/>
      <c r="BF687" s="249"/>
      <c r="BG687" s="247" t="s">
        <v>141</v>
      </c>
      <c r="BH687" s="249"/>
      <c r="BI687" s="247" t="s">
        <v>142</v>
      </c>
      <c r="BJ687" s="248"/>
      <c r="BK687" s="248"/>
      <c r="BL687" s="248"/>
      <c r="BM687" s="249"/>
      <c r="BN687" s="247" t="s">
        <v>143</v>
      </c>
      <c r="BO687" s="248"/>
      <c r="BP687" s="248"/>
      <c r="BQ687" s="248"/>
      <c r="BR687" s="248"/>
      <c r="BS687" s="248"/>
      <c r="BT687" s="248"/>
      <c r="BU687" s="248"/>
      <c r="BV687" s="248"/>
      <c r="BW687" s="248"/>
      <c r="BX687" s="248"/>
      <c r="BY687" s="248"/>
      <c r="BZ687" s="248"/>
      <c r="CA687" s="248"/>
      <c r="CB687" s="248"/>
      <c r="CC687" s="249"/>
      <c r="CD687" s="247" t="s">
        <v>144</v>
      </c>
      <c r="CE687" s="249"/>
      <c r="CF687" s="247" t="s">
        <v>145</v>
      </c>
      <c r="CG687" s="248"/>
      <c r="CH687" s="248"/>
      <c r="CI687" s="248"/>
      <c r="CJ687" s="248"/>
      <c r="CK687" s="249"/>
      <c r="CL687" s="250"/>
      <c r="CM687" s="247" t="s">
        <v>18</v>
      </c>
      <c r="CN687" s="248"/>
      <c r="CO687" s="248"/>
      <c r="CP687" s="249"/>
      <c r="CQ687" s="247" t="s">
        <v>146</v>
      </c>
      <c r="CR687" s="248"/>
      <c r="CS687" s="248"/>
      <c r="CT687" s="248"/>
      <c r="CU687" s="249"/>
      <c r="CV687" s="247" t="s">
        <v>147</v>
      </c>
      <c r="CW687" s="249"/>
    </row>
    <row r="688" spans="1:101" ht="127.5">
      <c r="A688" s="251" t="s">
        <v>148</v>
      </c>
      <c r="B688" s="252" t="s">
        <v>149</v>
      </c>
      <c r="C688" s="253" t="s">
        <v>9</v>
      </c>
      <c r="D688" s="253" t="s">
        <v>150</v>
      </c>
      <c r="E688" s="253" t="s">
        <v>151</v>
      </c>
      <c r="F688" s="253" t="s">
        <v>152</v>
      </c>
      <c r="G688" s="253" t="s">
        <v>153</v>
      </c>
      <c r="H688" s="253" t="s">
        <v>154</v>
      </c>
      <c r="I688" s="253" t="s">
        <v>155</v>
      </c>
      <c r="J688" s="253" t="s">
        <v>156</v>
      </c>
      <c r="K688" s="253" t="s">
        <v>157</v>
      </c>
      <c r="L688" s="253" t="s">
        <v>158</v>
      </c>
      <c r="M688" s="253" t="s">
        <v>159</v>
      </c>
      <c r="N688" s="253" t="s">
        <v>160</v>
      </c>
      <c r="O688" s="253" t="s">
        <v>161</v>
      </c>
      <c r="P688" s="253" t="s">
        <v>162</v>
      </c>
      <c r="Q688" s="253" t="s">
        <v>163</v>
      </c>
      <c r="R688" s="253" t="s">
        <v>164</v>
      </c>
      <c r="S688" s="253" t="s">
        <v>165</v>
      </c>
      <c r="T688" s="253" t="s">
        <v>166</v>
      </c>
      <c r="U688" s="253" t="s">
        <v>88</v>
      </c>
      <c r="V688" s="253" t="s">
        <v>164</v>
      </c>
      <c r="W688" s="253" t="s">
        <v>165</v>
      </c>
      <c r="X688" s="253" t="s">
        <v>166</v>
      </c>
      <c r="Y688" s="253" t="s">
        <v>88</v>
      </c>
      <c r="Z688" s="253" t="s">
        <v>164</v>
      </c>
      <c r="AA688" s="253" t="s">
        <v>165</v>
      </c>
      <c r="AB688" s="253" t="s">
        <v>166</v>
      </c>
      <c r="AC688" s="253" t="s">
        <v>88</v>
      </c>
      <c r="AD688" s="253" t="s">
        <v>164</v>
      </c>
      <c r="AE688" s="253" t="s">
        <v>165</v>
      </c>
      <c r="AF688" s="253" t="s">
        <v>166</v>
      </c>
      <c r="AG688" s="253" t="s">
        <v>88</v>
      </c>
      <c r="AH688" s="253" t="s">
        <v>164</v>
      </c>
      <c r="AI688" s="253" t="s">
        <v>165</v>
      </c>
      <c r="AJ688" s="253" t="s">
        <v>166</v>
      </c>
      <c r="AK688" s="253" t="s">
        <v>88</v>
      </c>
      <c r="AL688" s="253" t="s">
        <v>167</v>
      </c>
      <c r="AM688" s="253" t="s">
        <v>168</v>
      </c>
      <c r="AN688" s="253" t="s">
        <v>169</v>
      </c>
      <c r="AO688" s="253" t="s">
        <v>170</v>
      </c>
      <c r="AP688" s="253" t="s">
        <v>171</v>
      </c>
      <c r="AQ688" s="253" t="s">
        <v>172</v>
      </c>
      <c r="AR688" s="253" t="s">
        <v>173</v>
      </c>
      <c r="AS688" s="253" t="s">
        <v>174</v>
      </c>
      <c r="AT688" s="253" t="s">
        <v>175</v>
      </c>
      <c r="AU688" s="253" t="s">
        <v>176</v>
      </c>
      <c r="AV688" s="253" t="s">
        <v>177</v>
      </c>
      <c r="AW688" s="253" t="s">
        <v>178</v>
      </c>
      <c r="AX688" s="253" t="s">
        <v>179</v>
      </c>
      <c r="AY688" s="253" t="s">
        <v>180</v>
      </c>
      <c r="AZ688" s="253" t="s">
        <v>181</v>
      </c>
      <c r="BA688" s="253" t="s">
        <v>182</v>
      </c>
      <c r="BB688" s="253" t="s">
        <v>183</v>
      </c>
      <c r="BC688" s="253" t="s">
        <v>184</v>
      </c>
      <c r="BD688" s="253" t="s">
        <v>185</v>
      </c>
      <c r="BE688" s="253" t="s">
        <v>186</v>
      </c>
      <c r="BF688" s="253" t="s">
        <v>187</v>
      </c>
      <c r="BG688" s="253" t="s">
        <v>188</v>
      </c>
      <c r="BH688" s="253" t="s">
        <v>189</v>
      </c>
      <c r="BI688" s="253" t="s">
        <v>190</v>
      </c>
      <c r="BJ688" s="253" t="s">
        <v>191</v>
      </c>
      <c r="BK688" s="253" t="s">
        <v>192</v>
      </c>
      <c r="BL688" s="253" t="s">
        <v>193</v>
      </c>
      <c r="BM688" s="253" t="s">
        <v>194</v>
      </c>
      <c r="BN688" s="253" t="s">
        <v>195</v>
      </c>
      <c r="BO688" s="253" t="s">
        <v>196</v>
      </c>
      <c r="BP688" s="253" t="s">
        <v>197</v>
      </c>
      <c r="BQ688" s="253" t="s">
        <v>198</v>
      </c>
      <c r="BR688" s="253" t="s">
        <v>199</v>
      </c>
      <c r="BS688" s="253" t="s">
        <v>200</v>
      </c>
      <c r="BT688" s="253" t="s">
        <v>201</v>
      </c>
      <c r="BU688" s="253" t="s">
        <v>202</v>
      </c>
      <c r="BV688" s="253" t="s">
        <v>203</v>
      </c>
      <c r="BW688" s="253" t="s">
        <v>204</v>
      </c>
      <c r="BX688" s="253" t="s">
        <v>205</v>
      </c>
      <c r="BY688" s="253" t="s">
        <v>206</v>
      </c>
      <c r="BZ688" s="253" t="s">
        <v>207</v>
      </c>
      <c r="CA688" s="253" t="s">
        <v>208</v>
      </c>
      <c r="CB688" s="253" t="s">
        <v>209</v>
      </c>
      <c r="CC688" s="253" t="s">
        <v>210</v>
      </c>
      <c r="CD688" s="253" t="s">
        <v>211</v>
      </c>
      <c r="CE688" s="253" t="s">
        <v>49</v>
      </c>
      <c r="CF688" s="253" t="s">
        <v>212</v>
      </c>
      <c r="CG688" s="253" t="s">
        <v>213</v>
      </c>
      <c r="CH688" s="253" t="s">
        <v>214</v>
      </c>
      <c r="CI688" s="253" t="s">
        <v>436</v>
      </c>
      <c r="CJ688" s="253" t="s">
        <v>437</v>
      </c>
      <c r="CK688" s="253" t="s">
        <v>438</v>
      </c>
      <c r="CL688" s="253"/>
      <c r="CM688" s="253" t="s">
        <v>215</v>
      </c>
      <c r="CN688" s="253" t="s">
        <v>216</v>
      </c>
      <c r="CO688" s="253" t="s">
        <v>217</v>
      </c>
      <c r="CP688" s="253" t="s">
        <v>218</v>
      </c>
      <c r="CQ688" s="253" t="s">
        <v>219</v>
      </c>
      <c r="CR688" s="253" t="s">
        <v>220</v>
      </c>
      <c r="CS688" s="253" t="s">
        <v>221</v>
      </c>
      <c r="CT688" s="253" t="s">
        <v>222</v>
      </c>
      <c r="CU688" s="253" t="s">
        <v>223</v>
      </c>
      <c r="CV688" s="253" t="s">
        <v>224</v>
      </c>
      <c r="CW688" s="253" t="s">
        <v>225</v>
      </c>
    </row>
    <row r="689" spans="1:101">
      <c r="A689" s="221" t="s">
        <v>583</v>
      </c>
      <c r="C689" s="244">
        <v>10</v>
      </c>
      <c r="D689" s="244">
        <v>3334.907958984375</v>
      </c>
      <c r="E689" s="244">
        <v>0</v>
      </c>
      <c r="F689" s="244">
        <v>3.2966773509979248</v>
      </c>
      <c r="G689" s="244">
        <v>0</v>
      </c>
      <c r="H689" s="244">
        <v>0</v>
      </c>
      <c r="I689" s="244"/>
      <c r="J689" s="244">
        <v>0.31757348775863647</v>
      </c>
      <c r="K689" s="244">
        <v>0.33128324151039124</v>
      </c>
      <c r="L689" s="244">
        <v>3636.657470703125</v>
      </c>
      <c r="M689" s="244">
        <v>0.45154151320457458</v>
      </c>
      <c r="N689" s="244">
        <v>1.4057127237319946</v>
      </c>
      <c r="O689" s="244">
        <v>0</v>
      </c>
      <c r="P689" s="244">
        <v>0</v>
      </c>
      <c r="Q689" s="244">
        <v>0</v>
      </c>
      <c r="R689" s="244">
        <v>0.32778394222259521</v>
      </c>
      <c r="S689" s="244">
        <v>1.8114458322525024</v>
      </c>
      <c r="T689" s="244">
        <v>0</v>
      </c>
      <c r="U689" s="244">
        <v>3.6513762474060059</v>
      </c>
      <c r="V689" s="244">
        <v>0.32966774702072144</v>
      </c>
      <c r="W689" s="244">
        <v>0.32966774702072144</v>
      </c>
      <c r="X689" s="244">
        <v>0</v>
      </c>
      <c r="Y689" s="244">
        <v>0</v>
      </c>
      <c r="Z689" s="244">
        <v>0</v>
      </c>
      <c r="AA689" s="244">
        <v>0</v>
      </c>
      <c r="AB689" s="244">
        <v>0</v>
      </c>
      <c r="AC689" s="244">
        <v>0</v>
      </c>
      <c r="AD689" s="244">
        <v>0</v>
      </c>
      <c r="AE689" s="244">
        <v>0</v>
      </c>
      <c r="AF689" s="244">
        <v>0</v>
      </c>
      <c r="AG689" s="244">
        <v>0</v>
      </c>
      <c r="AH689" s="244">
        <v>0.65745168924331665</v>
      </c>
      <c r="AI689" s="244">
        <v>2.1411135196685791</v>
      </c>
      <c r="AJ689" s="244">
        <v>0</v>
      </c>
      <c r="AK689" s="244">
        <v>3.6513762474060059</v>
      </c>
      <c r="AL689" s="244">
        <v>6.4499416351318359</v>
      </c>
      <c r="AM689" s="244">
        <v>2561.252685546875</v>
      </c>
      <c r="AN689" s="244">
        <v>0</v>
      </c>
      <c r="AO689" s="244">
        <v>451.0047607421875</v>
      </c>
      <c r="AP689" s="244">
        <v>1948.794921875</v>
      </c>
      <c r="AQ689" s="244">
        <v>4961.05224609375</v>
      </c>
      <c r="AR689" s="244">
        <v>0.65745168924331665</v>
      </c>
      <c r="AS689" s="228">
        <v>7545.8812401469459</v>
      </c>
      <c r="AT689" s="244">
        <v>2561.252685546875</v>
      </c>
      <c r="AU689" s="244">
        <v>402.92080688476562</v>
      </c>
      <c r="AV689" s="244">
        <v>491.296875</v>
      </c>
      <c r="AW689" s="244">
        <v>1948.794921875</v>
      </c>
      <c r="AX689" s="244">
        <v>5404.26513671875</v>
      </c>
      <c r="AY689" s="244">
        <v>2.1411135196685791</v>
      </c>
      <c r="AZ689" s="228">
        <v>2524.0441897253559</v>
      </c>
      <c r="BA689" s="244">
        <v>2561.252685546875</v>
      </c>
      <c r="BB689" s="244">
        <v>402.92080688476562</v>
      </c>
      <c r="BC689" s="244">
        <v>491.296875</v>
      </c>
      <c r="BD689" s="244">
        <v>1948.794921875</v>
      </c>
      <c r="BE689" s="244">
        <v>5404.26513671875</v>
      </c>
      <c r="BF689" s="244">
        <v>2.7985653877258301</v>
      </c>
      <c r="BG689" s="244">
        <v>-62.669116973876953</v>
      </c>
      <c r="BH689" s="228">
        <v>1931.0842416662042</v>
      </c>
      <c r="BI689" s="244">
        <v>1.4506623148918152E-2</v>
      </c>
      <c r="BJ689" s="244">
        <v>4.7243513166904449E-2</v>
      </c>
      <c r="BK689" s="244">
        <v>0</v>
      </c>
      <c r="BL689" s="244">
        <v>8.0567352473735809E-2</v>
      </c>
      <c r="BM689" s="244">
        <v>0.14231748878955841</v>
      </c>
      <c r="BN689" s="244">
        <v>2561.252685546875</v>
      </c>
      <c r="BO689" s="244">
        <v>0</v>
      </c>
      <c r="BP689" s="244">
        <v>402.92080688476562</v>
      </c>
      <c r="BQ689" s="244">
        <v>0</v>
      </c>
      <c r="BR689" s="244">
        <v>0</v>
      </c>
      <c r="BS689" s="244">
        <v>0</v>
      </c>
      <c r="BT689" s="244">
        <v>1948.794921875</v>
      </c>
      <c r="BU689" s="244">
        <v>0</v>
      </c>
      <c r="BV689" s="244">
        <v>4572.90625</v>
      </c>
      <c r="BW689" s="244">
        <v>491.296875</v>
      </c>
      <c r="BX689" s="244">
        <v>5.7906060218811035</v>
      </c>
      <c r="BY689" s="244">
        <v>0.65933549404144287</v>
      </c>
      <c r="BZ689" s="244">
        <v>0</v>
      </c>
      <c r="CA689" s="244">
        <v>0</v>
      </c>
      <c r="CB689" s="244">
        <v>9977.171875</v>
      </c>
      <c r="CC689" s="244">
        <v>6.4499416351318359</v>
      </c>
      <c r="CD689" s="228">
        <v>1546.8623265306599</v>
      </c>
      <c r="CE689" s="244">
        <v>-163.48939514160156</v>
      </c>
      <c r="CF689" s="244">
        <v>27.449200410533919</v>
      </c>
      <c r="CG689" s="244">
        <v>0</v>
      </c>
      <c r="CH689" s="244">
        <v>27.449200410533919</v>
      </c>
      <c r="CI689" s="244">
        <v>1.3460192464495122</v>
      </c>
      <c r="CJ689" s="244">
        <v>0</v>
      </c>
      <c r="CK689" s="244">
        <v>1.3460192464495122</v>
      </c>
      <c r="CL689" s="244"/>
      <c r="CM689" s="244">
        <v>0</v>
      </c>
      <c r="CN689" s="244"/>
      <c r="CO689" s="244">
        <v>0</v>
      </c>
      <c r="CP689" s="244">
        <v>0</v>
      </c>
      <c r="CQ689" s="244">
        <v>0</v>
      </c>
      <c r="CR689" s="244">
        <v>0</v>
      </c>
      <c r="CS689" s="244">
        <v>0</v>
      </c>
      <c r="CT689" s="244">
        <v>0</v>
      </c>
      <c r="CU689" s="244">
        <v>0</v>
      </c>
      <c r="CV689" s="244">
        <v>9999</v>
      </c>
      <c r="CW689" s="228">
        <v>9999</v>
      </c>
    </row>
    <row r="690" spans="1:101">
      <c r="A690" s="221" t="s">
        <v>585</v>
      </c>
      <c r="C690" s="244">
        <v>10</v>
      </c>
      <c r="D690" s="244">
        <v>1156.826416015625</v>
      </c>
      <c r="E690" s="244">
        <v>97.134002685546875</v>
      </c>
      <c r="F690" s="244">
        <v>3.2966773509979248</v>
      </c>
      <c r="G690" s="244">
        <v>0</v>
      </c>
      <c r="H690" s="244">
        <v>0</v>
      </c>
      <c r="I690" s="244"/>
      <c r="J690" s="244">
        <v>0.37702029943466187</v>
      </c>
      <c r="K690" s="244">
        <v>0.35817581415176392</v>
      </c>
      <c r="L690" s="244">
        <v>1261.5167236328125</v>
      </c>
      <c r="M690" s="244">
        <v>0.15101799368858337</v>
      </c>
      <c r="N690" s="244">
        <v>0.45768898725509644</v>
      </c>
      <c r="O690" s="244">
        <v>98.1053466796875</v>
      </c>
      <c r="P690" s="244">
        <v>0.29771152138710022</v>
      </c>
      <c r="Q690" s="244">
        <v>0.93915307521820068</v>
      </c>
      <c r="R690" s="244">
        <v>0.32778394222259521</v>
      </c>
      <c r="S690" s="244">
        <v>1.8114458322525024</v>
      </c>
      <c r="T690" s="244">
        <v>0</v>
      </c>
      <c r="U690" s="244">
        <v>3.6513762474060059</v>
      </c>
      <c r="V690" s="244">
        <v>0.32966774702072144</v>
      </c>
      <c r="W690" s="244">
        <v>0.32966774702072144</v>
      </c>
      <c r="X690" s="244">
        <v>0</v>
      </c>
      <c r="Y690" s="244">
        <v>0</v>
      </c>
      <c r="Z690" s="244">
        <v>0</v>
      </c>
      <c r="AA690" s="244">
        <v>0</v>
      </c>
      <c r="AB690" s="244">
        <v>0</v>
      </c>
      <c r="AC690" s="244">
        <v>0</v>
      </c>
      <c r="AD690" s="244">
        <v>0</v>
      </c>
      <c r="AE690" s="244">
        <v>0</v>
      </c>
      <c r="AF690" s="244">
        <v>0</v>
      </c>
      <c r="AG690" s="244">
        <v>0</v>
      </c>
      <c r="AH690" s="244">
        <v>0.65745168924331665</v>
      </c>
      <c r="AI690" s="244">
        <v>2.1411135196685791</v>
      </c>
      <c r="AJ690" s="244">
        <v>0</v>
      </c>
      <c r="AK690" s="244">
        <v>3.6513762474060059</v>
      </c>
      <c r="AL690" s="244">
        <v>6.4499416351318359</v>
      </c>
      <c r="AM690" s="244">
        <v>887.2142333984375</v>
      </c>
      <c r="AN690" s="244">
        <v>0</v>
      </c>
      <c r="AO690" s="244">
        <v>156.322998046875</v>
      </c>
      <c r="AP690" s="244">
        <v>676.015625</v>
      </c>
      <c r="AQ690" s="244">
        <v>1719.5528564453125</v>
      </c>
      <c r="AR690" s="244">
        <v>0.65745168924331665</v>
      </c>
      <c r="AS690" s="228">
        <v>2615.4816917793669</v>
      </c>
      <c r="AT690" s="244">
        <v>887.2142333984375</v>
      </c>
      <c r="AU690" s="244">
        <v>131.18785095214844</v>
      </c>
      <c r="AV690" s="244">
        <v>169.4417724609375</v>
      </c>
      <c r="AW690" s="244">
        <v>676.015625</v>
      </c>
      <c r="AX690" s="244">
        <v>1863.8594970703125</v>
      </c>
      <c r="AY690" s="244">
        <v>2.1411135196685791</v>
      </c>
      <c r="AZ690" s="228">
        <v>870.50939280119314</v>
      </c>
      <c r="BA690" s="244">
        <v>887.2142333984375</v>
      </c>
      <c r="BB690" s="244">
        <v>131.18785095214844</v>
      </c>
      <c r="BC690" s="244">
        <v>169.4417724609375</v>
      </c>
      <c r="BD690" s="244">
        <v>676.015625</v>
      </c>
      <c r="BE690" s="244">
        <v>1863.8594970703125</v>
      </c>
      <c r="BF690" s="244">
        <v>2.7985653877258301</v>
      </c>
      <c r="BG690" s="244">
        <v>-61.944461822509766</v>
      </c>
      <c r="BH690" s="228">
        <v>666.00536452720121</v>
      </c>
      <c r="BI690" s="244">
        <v>4.1819199919700623E-2</v>
      </c>
      <c r="BJ690" s="244">
        <v>0.13619199395179749</v>
      </c>
      <c r="BK690" s="244">
        <v>0</v>
      </c>
      <c r="BL690" s="244">
        <v>0.23225682973861694</v>
      </c>
      <c r="BM690" s="244">
        <v>0.41026803851127625</v>
      </c>
      <c r="BN690" s="244">
        <v>887.2142333984375</v>
      </c>
      <c r="BO690" s="244">
        <v>810.926025390625</v>
      </c>
      <c r="BP690" s="244">
        <v>131.18785095214844</v>
      </c>
      <c r="BQ690" s="244">
        <v>0</v>
      </c>
      <c r="BR690" s="244">
        <v>0</v>
      </c>
      <c r="BS690" s="244">
        <v>0</v>
      </c>
      <c r="BT690" s="244">
        <v>676.015625</v>
      </c>
      <c r="BU690" s="244">
        <v>0</v>
      </c>
      <c r="BV690" s="244">
        <v>4572.90625</v>
      </c>
      <c r="BW690" s="244">
        <v>169.4417724609375</v>
      </c>
      <c r="BX690" s="244">
        <v>5.7906060218811035</v>
      </c>
      <c r="BY690" s="244">
        <v>0.65933549404144287</v>
      </c>
      <c r="BZ690" s="244">
        <v>0</v>
      </c>
      <c r="CA690" s="244">
        <v>0</v>
      </c>
      <c r="CB690" s="244">
        <v>7247.69189453125</v>
      </c>
      <c r="CC690" s="244">
        <v>6.4499416351318359</v>
      </c>
      <c r="CD690" s="228">
        <v>1123.6833294240341</v>
      </c>
      <c r="CE690" s="244">
        <v>-404.16714477539062</v>
      </c>
      <c r="CF690" s="244">
        <v>9.5257104672809234</v>
      </c>
      <c r="CG690" s="244">
        <v>9.18266027887082</v>
      </c>
      <c r="CH690" s="244">
        <v>18.708370746151743</v>
      </c>
      <c r="CI690" s="244">
        <v>0.46715121193963333</v>
      </c>
      <c r="CJ690" s="244">
        <v>0.57391626742942636</v>
      </c>
      <c r="CK690" s="244">
        <v>1.0410674793690597</v>
      </c>
      <c r="CL690" s="244"/>
      <c r="CM690" s="244">
        <v>98.1053466796875</v>
      </c>
      <c r="CN690" s="244"/>
      <c r="CO690" s="244">
        <v>0.28600001335144043</v>
      </c>
      <c r="CP690" s="244">
        <v>0.31700000166893005</v>
      </c>
      <c r="CQ690" s="244">
        <v>810.926025390625</v>
      </c>
      <c r="CR690" s="244">
        <v>0</v>
      </c>
      <c r="CS690" s="244">
        <v>0</v>
      </c>
      <c r="CT690" s="244">
        <v>810.926025390625</v>
      </c>
      <c r="CU690" s="244">
        <v>0</v>
      </c>
      <c r="CV690" s="244">
        <v>0</v>
      </c>
      <c r="CW690" s="228">
        <v>9999</v>
      </c>
    </row>
    <row r="691" spans="1:101">
      <c r="A691" s="221" t="s">
        <v>580</v>
      </c>
      <c r="C691" s="244">
        <v>10</v>
      </c>
      <c r="D691" s="244">
        <v>2167.184326171875</v>
      </c>
      <c r="E691" s="244">
        <v>0</v>
      </c>
      <c r="F691" s="244">
        <v>3.2966773509979248</v>
      </c>
      <c r="G691" s="244">
        <v>0</v>
      </c>
      <c r="H691" s="244">
        <v>0</v>
      </c>
      <c r="I691" s="244"/>
      <c r="J691" s="244">
        <v>0.31946486234664917</v>
      </c>
      <c r="K691" s="244">
        <v>0.33213886618614197</v>
      </c>
      <c r="L691" s="244">
        <v>2363.277099609375</v>
      </c>
      <c r="M691" s="244">
        <v>0.29309886693954468</v>
      </c>
      <c r="N691" s="244">
        <v>0.91171616315841675</v>
      </c>
      <c r="O691" s="244">
        <v>0</v>
      </c>
      <c r="P691" s="244">
        <v>0</v>
      </c>
      <c r="Q691" s="244">
        <v>0</v>
      </c>
      <c r="R691" s="244">
        <v>0.32778394222259521</v>
      </c>
      <c r="S691" s="244">
        <v>1.8114458322525024</v>
      </c>
      <c r="T691" s="244">
        <v>0</v>
      </c>
      <c r="U691" s="244">
        <v>3.6513762474060059</v>
      </c>
      <c r="V691" s="244">
        <v>0.32966774702072144</v>
      </c>
      <c r="W691" s="244">
        <v>0.32966774702072144</v>
      </c>
      <c r="X691" s="244">
        <v>0</v>
      </c>
      <c r="Y691" s="244">
        <v>0</v>
      </c>
      <c r="Z691" s="244">
        <v>0</v>
      </c>
      <c r="AA691" s="244">
        <v>0</v>
      </c>
      <c r="AB691" s="244">
        <v>0</v>
      </c>
      <c r="AC691" s="244">
        <v>0</v>
      </c>
      <c r="AD691" s="244">
        <v>0</v>
      </c>
      <c r="AE691" s="244">
        <v>0</v>
      </c>
      <c r="AF691" s="244">
        <v>0</v>
      </c>
      <c r="AG691" s="244">
        <v>0</v>
      </c>
      <c r="AH691" s="244">
        <v>0.65745168924331665</v>
      </c>
      <c r="AI691" s="244">
        <v>2.1411135196685791</v>
      </c>
      <c r="AJ691" s="244">
        <v>0</v>
      </c>
      <c r="AK691" s="244">
        <v>3.6513762474060059</v>
      </c>
      <c r="AL691" s="244">
        <v>6.4499416351318359</v>
      </c>
      <c r="AM691" s="244">
        <v>1664.3519287109375</v>
      </c>
      <c r="AN691" s="244">
        <v>0</v>
      </c>
      <c r="AO691" s="244">
        <v>293.077392578125</v>
      </c>
      <c r="AP691" s="244">
        <v>1266.421875</v>
      </c>
      <c r="AQ691" s="244">
        <v>3223.85107421875</v>
      </c>
      <c r="AR691" s="244">
        <v>0.65745168924331665</v>
      </c>
      <c r="AS691" s="228">
        <v>4903.5560316218853</v>
      </c>
      <c r="AT691" s="244">
        <v>1664.3519287109375</v>
      </c>
      <c r="AU691" s="244">
        <v>261.32608032226562</v>
      </c>
      <c r="AV691" s="244">
        <v>319.20999145507812</v>
      </c>
      <c r="AW691" s="244">
        <v>1266.421875</v>
      </c>
      <c r="AX691" s="244">
        <v>3511.309814453125</v>
      </c>
      <c r="AY691" s="244">
        <v>2.1411135196685791</v>
      </c>
      <c r="AZ691" s="228">
        <v>1639.9456383253403</v>
      </c>
      <c r="BA691" s="244">
        <v>1664.3519287109375</v>
      </c>
      <c r="BB691" s="244">
        <v>261.32608032226562</v>
      </c>
      <c r="BC691" s="244">
        <v>319.20999145507812</v>
      </c>
      <c r="BD691" s="244">
        <v>1266.421875</v>
      </c>
      <c r="BE691" s="244">
        <v>3511.309814453125</v>
      </c>
      <c r="BF691" s="244">
        <v>2.7985653877258301</v>
      </c>
      <c r="BG691" s="244">
        <v>-62.616493225097656</v>
      </c>
      <c r="BH691" s="228">
        <v>1254.6821455229276</v>
      </c>
      <c r="BI691" s="244">
        <v>2.2323079407215118E-2</v>
      </c>
      <c r="BJ691" s="244">
        <v>7.2699256241321564E-2</v>
      </c>
      <c r="BK691" s="244">
        <v>0</v>
      </c>
      <c r="BL691" s="244">
        <v>0.1239786371588707</v>
      </c>
      <c r="BM691" s="244">
        <v>0.21900098025798798</v>
      </c>
      <c r="BN691" s="244">
        <v>1664.3519287109375</v>
      </c>
      <c r="BO691" s="244">
        <v>0</v>
      </c>
      <c r="BP691" s="244">
        <v>261.32608032226562</v>
      </c>
      <c r="BQ691" s="244">
        <v>0</v>
      </c>
      <c r="BR691" s="244">
        <v>0</v>
      </c>
      <c r="BS691" s="244">
        <v>0</v>
      </c>
      <c r="BT691" s="244">
        <v>1266.421875</v>
      </c>
      <c r="BU691" s="244">
        <v>0</v>
      </c>
      <c r="BV691" s="244">
        <v>3149.7060546875</v>
      </c>
      <c r="BW691" s="244">
        <v>319.20999145507812</v>
      </c>
      <c r="BX691" s="244">
        <v>5.7906060218811035</v>
      </c>
      <c r="BY691" s="244">
        <v>0.65933549404144287</v>
      </c>
      <c r="BZ691" s="244">
        <v>0</v>
      </c>
      <c r="CA691" s="244">
        <v>0</v>
      </c>
      <c r="CB691" s="244">
        <v>6661.01611328125</v>
      </c>
      <c r="CC691" s="244">
        <v>6.4499416351318359</v>
      </c>
      <c r="CD691" s="228">
        <v>1032.7250121155625</v>
      </c>
      <c r="CE691" s="244">
        <v>-169.43746948242187</v>
      </c>
      <c r="CF691" s="244">
        <v>17.83805836564758</v>
      </c>
      <c r="CG691" s="244">
        <v>0</v>
      </c>
      <c r="CH691" s="244">
        <v>17.83805836564758</v>
      </c>
      <c r="CI691" s="244">
        <v>0.87472266312188529</v>
      </c>
      <c r="CJ691" s="244">
        <v>0</v>
      </c>
      <c r="CK691" s="244">
        <v>0.87472266312188529</v>
      </c>
      <c r="CL691" s="244"/>
      <c r="CM691" s="244">
        <v>0</v>
      </c>
      <c r="CN691" s="244"/>
      <c r="CO691" s="244">
        <v>0</v>
      </c>
      <c r="CP691" s="244">
        <v>0</v>
      </c>
      <c r="CQ691" s="244">
        <v>0</v>
      </c>
      <c r="CR691" s="244">
        <v>0</v>
      </c>
      <c r="CS691" s="244">
        <v>0</v>
      </c>
      <c r="CT691" s="244">
        <v>0</v>
      </c>
      <c r="CU691" s="244">
        <v>0</v>
      </c>
      <c r="CV691" s="244">
        <v>9999</v>
      </c>
      <c r="CW691" s="228">
        <v>9999</v>
      </c>
    </row>
    <row r="692" spans="1:101">
      <c r="A692" s="221" t="s">
        <v>577</v>
      </c>
      <c r="C692" s="244">
        <v>10.000000953674316</v>
      </c>
      <c r="D692" s="244">
        <v>2160.85595703125</v>
      </c>
      <c r="E692" s="244">
        <v>0</v>
      </c>
      <c r="F692" s="244">
        <v>3.2966773509979248</v>
      </c>
      <c r="G692" s="244">
        <v>0</v>
      </c>
      <c r="H692" s="244">
        <v>0</v>
      </c>
      <c r="I692" s="244"/>
      <c r="J692" s="244">
        <v>0.31782257556915283</v>
      </c>
      <c r="K692" s="244">
        <v>0.33139592409133911</v>
      </c>
      <c r="L692" s="244">
        <v>2356.375244140625</v>
      </c>
      <c r="M692" s="244">
        <v>0.29253274202346802</v>
      </c>
      <c r="N692" s="244">
        <v>0.91059839725494385</v>
      </c>
      <c r="O692" s="244">
        <v>0</v>
      </c>
      <c r="P692" s="244">
        <v>0</v>
      </c>
      <c r="Q692" s="244">
        <v>0</v>
      </c>
      <c r="R692" s="244">
        <v>0.32778394222259521</v>
      </c>
      <c r="S692" s="244">
        <v>1.8114458322525024</v>
      </c>
      <c r="T692" s="244">
        <v>0</v>
      </c>
      <c r="U692" s="244">
        <v>3.6513762474060059</v>
      </c>
      <c r="V692" s="244">
        <v>0.32966774702072144</v>
      </c>
      <c r="W692" s="244">
        <v>0.32966774702072144</v>
      </c>
      <c r="X692" s="244">
        <v>0</v>
      </c>
      <c r="Y692" s="244">
        <v>0</v>
      </c>
      <c r="Z692" s="244">
        <v>0</v>
      </c>
      <c r="AA692" s="244">
        <v>0</v>
      </c>
      <c r="AB692" s="244">
        <v>0</v>
      </c>
      <c r="AC692" s="244">
        <v>0</v>
      </c>
      <c r="AD692" s="244">
        <v>0</v>
      </c>
      <c r="AE692" s="244">
        <v>0</v>
      </c>
      <c r="AF692" s="244">
        <v>0</v>
      </c>
      <c r="AG692" s="244">
        <v>0</v>
      </c>
      <c r="AH692" s="244">
        <v>0.65745168924331665</v>
      </c>
      <c r="AI692" s="244">
        <v>2.1411135196685791</v>
      </c>
      <c r="AJ692" s="244">
        <v>0</v>
      </c>
      <c r="AK692" s="244">
        <v>3.6513762474060059</v>
      </c>
      <c r="AL692" s="244">
        <v>6.4499416351318359</v>
      </c>
      <c r="AM692" s="244">
        <v>1659.55615234375</v>
      </c>
      <c r="AN692" s="244">
        <v>0</v>
      </c>
      <c r="AO692" s="244">
        <v>292.2279052734375</v>
      </c>
      <c r="AP692" s="244">
        <v>1262.72314453125</v>
      </c>
      <c r="AQ692" s="244">
        <v>3214.50732421875</v>
      </c>
      <c r="AR692" s="244">
        <v>0.65745168924331665</v>
      </c>
      <c r="AS692" s="228">
        <v>4889.3435894097747</v>
      </c>
      <c r="AT692" s="244">
        <v>1659.55615234375</v>
      </c>
      <c r="AU692" s="244">
        <v>261.00570678710937</v>
      </c>
      <c r="AV692" s="244">
        <v>318.32852172851563</v>
      </c>
      <c r="AW692" s="244">
        <v>1262.72314453125</v>
      </c>
      <c r="AX692" s="244">
        <v>3501.613525390625</v>
      </c>
      <c r="AY692" s="244">
        <v>2.1411135196685791</v>
      </c>
      <c r="AZ692" s="228">
        <v>1635.4169901529497</v>
      </c>
      <c r="BA692" s="244">
        <v>1659.55615234375</v>
      </c>
      <c r="BB692" s="244">
        <v>261.00570678710937</v>
      </c>
      <c r="BC692" s="244">
        <v>318.32852172851563</v>
      </c>
      <c r="BD692" s="244">
        <v>1262.72314453125</v>
      </c>
      <c r="BE692" s="244">
        <v>3501.613525390625</v>
      </c>
      <c r="BF692" s="244">
        <v>2.7985653877258301</v>
      </c>
      <c r="BG692" s="244">
        <v>-62.633014678955078</v>
      </c>
      <c r="BH692" s="228">
        <v>1251.2173879892232</v>
      </c>
      <c r="BI692" s="244">
        <v>2.2388463839888573E-2</v>
      </c>
      <c r="BJ692" s="244">
        <v>7.2912193834781647E-2</v>
      </c>
      <c r="BK692" s="244">
        <v>0</v>
      </c>
      <c r="BL692" s="244">
        <v>0.12434177100658417</v>
      </c>
      <c r="BM692" s="244">
        <v>0.21964243054389954</v>
      </c>
      <c r="BN692" s="244">
        <v>1659.55615234375</v>
      </c>
      <c r="BO692" s="244">
        <v>0</v>
      </c>
      <c r="BP692" s="244">
        <v>261.00570678710937</v>
      </c>
      <c r="BQ692" s="244">
        <v>0</v>
      </c>
      <c r="BR692" s="244">
        <v>0</v>
      </c>
      <c r="BS692" s="244">
        <v>0</v>
      </c>
      <c r="BT692" s="244">
        <v>1262.72314453125</v>
      </c>
      <c r="BU692" s="244">
        <v>0</v>
      </c>
      <c r="BV692" s="244">
        <v>2986.3876953125</v>
      </c>
      <c r="BW692" s="244">
        <v>318.32852172851563</v>
      </c>
      <c r="BX692" s="244">
        <v>5.7906060218811035</v>
      </c>
      <c r="BY692" s="244">
        <v>0.65933549404144287</v>
      </c>
      <c r="BZ692" s="244">
        <v>0</v>
      </c>
      <c r="CA692" s="244">
        <v>0</v>
      </c>
      <c r="CB692" s="244">
        <v>6488.0009765625</v>
      </c>
      <c r="CC692" s="244">
        <v>6.4499416351318359</v>
      </c>
      <c r="CD692" s="228">
        <v>1005.9007829275076</v>
      </c>
      <c r="CE692" s="244">
        <v>-164.205322265625</v>
      </c>
      <c r="CF692" s="244">
        <v>17.78576261861841</v>
      </c>
      <c r="CG692" s="244">
        <v>0</v>
      </c>
      <c r="CH692" s="244">
        <v>17.78576261861841</v>
      </c>
      <c r="CI692" s="244">
        <v>0.87215610439902458</v>
      </c>
      <c r="CJ692" s="244">
        <v>0</v>
      </c>
      <c r="CK692" s="244">
        <v>0.87215610439902458</v>
      </c>
      <c r="CL692" s="244"/>
      <c r="CM692" s="244">
        <v>0</v>
      </c>
      <c r="CN692" s="244"/>
      <c r="CO692" s="244">
        <v>0</v>
      </c>
      <c r="CP692" s="244">
        <v>0</v>
      </c>
      <c r="CQ692" s="244">
        <v>0</v>
      </c>
      <c r="CR692" s="244">
        <v>0</v>
      </c>
      <c r="CS692" s="244">
        <v>0</v>
      </c>
      <c r="CT692" s="244">
        <v>0</v>
      </c>
      <c r="CU692" s="244">
        <v>0</v>
      </c>
      <c r="CV692" s="244">
        <v>9999</v>
      </c>
      <c r="CW692" s="228">
        <v>9999</v>
      </c>
    </row>
    <row r="693" spans="1:101">
      <c r="A693" s="221" t="s">
        <v>584</v>
      </c>
      <c r="C693" s="244">
        <v>10.000000953674316</v>
      </c>
      <c r="D693" s="244">
        <v>147.4715576171875</v>
      </c>
      <c r="E693" s="244">
        <v>142.14732360839844</v>
      </c>
      <c r="F693" s="244">
        <v>3.2966773509979248</v>
      </c>
      <c r="G693" s="244">
        <v>0</v>
      </c>
      <c r="H693" s="244">
        <v>0</v>
      </c>
      <c r="I693" s="244"/>
      <c r="J693" s="244">
        <v>1</v>
      </c>
      <c r="K693" s="244">
        <v>0.63999998569488525</v>
      </c>
      <c r="L693" s="244">
        <v>160.84175109863281</v>
      </c>
      <c r="M693" s="244">
        <v>1.1750996112823486E-2</v>
      </c>
      <c r="N693" s="244">
        <v>1.8360931426286697E-2</v>
      </c>
      <c r="O693" s="244">
        <v>143.56880187988281</v>
      </c>
      <c r="P693" s="244">
        <v>0.43567541241645813</v>
      </c>
      <c r="Q693" s="244">
        <v>1.3743703365325928</v>
      </c>
      <c r="R693" s="244">
        <v>0.32778394222259521</v>
      </c>
      <c r="S693" s="244">
        <v>1.8114458322525024</v>
      </c>
      <c r="T693" s="244">
        <v>0</v>
      </c>
      <c r="U693" s="244">
        <v>3.6513762474060059</v>
      </c>
      <c r="V693" s="244">
        <v>0.32966774702072144</v>
      </c>
      <c r="W693" s="244">
        <v>0.32966774702072144</v>
      </c>
      <c r="X693" s="244">
        <v>0</v>
      </c>
      <c r="Y693" s="244">
        <v>0</v>
      </c>
      <c r="Z693" s="244">
        <v>0</v>
      </c>
      <c r="AA693" s="244">
        <v>0</v>
      </c>
      <c r="AB693" s="244">
        <v>0</v>
      </c>
      <c r="AC693" s="244">
        <v>0</v>
      </c>
      <c r="AD693" s="244">
        <v>0</v>
      </c>
      <c r="AE693" s="244">
        <v>0</v>
      </c>
      <c r="AF693" s="244">
        <v>0</v>
      </c>
      <c r="AG693" s="244">
        <v>0</v>
      </c>
      <c r="AH693" s="244">
        <v>0.65745168924331665</v>
      </c>
      <c r="AI693" s="244">
        <v>2.1411135196685791</v>
      </c>
      <c r="AJ693" s="244">
        <v>0</v>
      </c>
      <c r="AK693" s="244">
        <v>3.6513762474060059</v>
      </c>
      <c r="AL693" s="244">
        <v>6.4499416351318359</v>
      </c>
      <c r="AM693" s="244">
        <v>111.44025421142578</v>
      </c>
      <c r="AN693" s="244">
        <v>0</v>
      </c>
      <c r="AO693" s="244">
        <v>19.763137817382812</v>
      </c>
      <c r="AP693" s="244">
        <v>86.191116333007812</v>
      </c>
      <c r="AQ693" s="244">
        <v>217.39450073242187</v>
      </c>
      <c r="AR693" s="244">
        <v>0.65745168924331665</v>
      </c>
      <c r="AS693" s="228">
        <v>330.66233142091869</v>
      </c>
      <c r="AT693" s="244">
        <v>111.44025421142578</v>
      </c>
      <c r="AU693" s="244">
        <v>5.2628116607666016</v>
      </c>
      <c r="AV693" s="244">
        <v>20.289419174194336</v>
      </c>
      <c r="AW693" s="244">
        <v>86.191116333007812</v>
      </c>
      <c r="AX693" s="244">
        <v>223.18359375</v>
      </c>
      <c r="AY693" s="244">
        <v>2.1411135196685791</v>
      </c>
      <c r="AZ693" s="228">
        <v>104.23716123231146</v>
      </c>
      <c r="BA693" s="244">
        <v>111.44025421142578</v>
      </c>
      <c r="BB693" s="244">
        <v>5.2628116607666016</v>
      </c>
      <c r="BC693" s="244">
        <v>20.289419174194336</v>
      </c>
      <c r="BD693" s="244">
        <v>86.191116333007812</v>
      </c>
      <c r="BE693" s="244">
        <v>223.18359375</v>
      </c>
      <c r="BF693" s="244">
        <v>2.7985653877258301</v>
      </c>
      <c r="BG693" s="244">
        <v>-54.351627349853516</v>
      </c>
      <c r="BH693" s="228">
        <v>79.749292928836852</v>
      </c>
      <c r="BI693" s="244">
        <v>0.32799705862998962</v>
      </c>
      <c r="BJ693" s="244">
        <v>1.068183422088623</v>
      </c>
      <c r="BK693" s="244">
        <v>0</v>
      </c>
      <c r="BL693" s="244">
        <v>1.8216407299041748</v>
      </c>
      <c r="BM693" s="244">
        <v>3.2178211212158203</v>
      </c>
      <c r="BN693" s="244">
        <v>111.44025421142578</v>
      </c>
      <c r="BO693" s="244">
        <v>1186.7210693359375</v>
      </c>
      <c r="BP693" s="244">
        <v>5.2628116607666016</v>
      </c>
      <c r="BQ693" s="244">
        <v>0</v>
      </c>
      <c r="BR693" s="244">
        <v>0</v>
      </c>
      <c r="BS693" s="244">
        <v>0</v>
      </c>
      <c r="BT693" s="244">
        <v>86.191116333007812</v>
      </c>
      <c r="BU693" s="244">
        <v>0</v>
      </c>
      <c r="BV693" s="244">
        <v>4572.90625</v>
      </c>
      <c r="BW693" s="244">
        <v>20.289419174194336</v>
      </c>
      <c r="BX693" s="244">
        <v>5.7906060218811035</v>
      </c>
      <c r="BY693" s="244">
        <v>0.65933549404144287</v>
      </c>
      <c r="BZ693" s="244">
        <v>0</v>
      </c>
      <c r="CA693" s="244">
        <v>0</v>
      </c>
      <c r="CB693" s="244">
        <v>5982.81103515625</v>
      </c>
      <c r="CC693" s="244">
        <v>6.4499416351318359</v>
      </c>
      <c r="CD693" s="228">
        <v>927.57599521576435</v>
      </c>
      <c r="CE693" s="244">
        <v>-2925.959228515625</v>
      </c>
      <c r="CF693" s="244">
        <v>1.2197029326027176</v>
      </c>
      <c r="CG693" s="244">
        <v>13.438039432493873</v>
      </c>
      <c r="CH693" s="244">
        <v>14.657742365096592</v>
      </c>
      <c r="CI693" s="244">
        <v>5.9870903264323365E-2</v>
      </c>
      <c r="CJ693" s="244">
        <v>0.83987746453086753</v>
      </c>
      <c r="CK693" s="244">
        <v>0.89974836779519085</v>
      </c>
      <c r="CL693" s="244"/>
      <c r="CM693" s="244">
        <v>143.56880187988281</v>
      </c>
      <c r="CN693" s="244"/>
      <c r="CO693" s="244">
        <v>0.28600001335144043</v>
      </c>
      <c r="CP693" s="244">
        <v>0.31700000166893005</v>
      </c>
      <c r="CQ693" s="244">
        <v>1186.7210693359375</v>
      </c>
      <c r="CR693" s="244">
        <v>0</v>
      </c>
      <c r="CS693" s="244">
        <v>0</v>
      </c>
      <c r="CT693" s="244">
        <v>1186.7210693359375</v>
      </c>
      <c r="CU693" s="244">
        <v>0</v>
      </c>
      <c r="CV693" s="244">
        <v>0</v>
      </c>
      <c r="CW693" s="228">
        <v>9999</v>
      </c>
    </row>
    <row r="694" spans="1:101">
      <c r="A694" s="221" t="s">
        <v>582</v>
      </c>
      <c r="C694" s="244">
        <v>9.9999990463256836</v>
      </c>
      <c r="D694" s="244">
        <v>755.6845703125</v>
      </c>
      <c r="E694" s="244">
        <v>62.947437286376953</v>
      </c>
      <c r="F694" s="244">
        <v>3.2966773509979248</v>
      </c>
      <c r="G694" s="244">
        <v>0</v>
      </c>
      <c r="H694" s="244">
        <v>0</v>
      </c>
      <c r="I694" s="244"/>
      <c r="J694" s="244">
        <v>0.3819718062877655</v>
      </c>
      <c r="K694" s="244">
        <v>0.36041578650474548</v>
      </c>
      <c r="L694" s="244">
        <v>824.0733642578125</v>
      </c>
      <c r="M694" s="244">
        <v>9.8345398902893066E-2</v>
      </c>
      <c r="N694" s="244">
        <v>0.29735192656517029</v>
      </c>
      <c r="O694" s="244">
        <v>63.576911926269531</v>
      </c>
      <c r="P694" s="244">
        <v>0.19293117523193359</v>
      </c>
      <c r="Q694" s="244">
        <v>0.6086156964302063</v>
      </c>
      <c r="R694" s="244">
        <v>0.32778394222259521</v>
      </c>
      <c r="S694" s="244">
        <v>1.8114458322525024</v>
      </c>
      <c r="T694" s="244">
        <v>0</v>
      </c>
      <c r="U694" s="244">
        <v>3.6513762474060059</v>
      </c>
      <c r="V694" s="244">
        <v>0.32966774702072144</v>
      </c>
      <c r="W694" s="244">
        <v>0.32966774702072144</v>
      </c>
      <c r="X694" s="244">
        <v>0</v>
      </c>
      <c r="Y694" s="244">
        <v>0</v>
      </c>
      <c r="Z694" s="244">
        <v>0</v>
      </c>
      <c r="AA694" s="244">
        <v>0</v>
      </c>
      <c r="AB694" s="244">
        <v>0</v>
      </c>
      <c r="AC694" s="244">
        <v>0</v>
      </c>
      <c r="AD694" s="244">
        <v>0</v>
      </c>
      <c r="AE694" s="244">
        <v>0</v>
      </c>
      <c r="AF694" s="244">
        <v>0</v>
      </c>
      <c r="AG694" s="244">
        <v>0</v>
      </c>
      <c r="AH694" s="244">
        <v>0.65745168924331665</v>
      </c>
      <c r="AI694" s="244">
        <v>2.1411135196685791</v>
      </c>
      <c r="AJ694" s="244">
        <v>0</v>
      </c>
      <c r="AK694" s="244">
        <v>3.6513762474060059</v>
      </c>
      <c r="AL694" s="244">
        <v>6.4499416351318359</v>
      </c>
      <c r="AM694" s="244">
        <v>579.49560546875</v>
      </c>
      <c r="AN694" s="244">
        <v>0</v>
      </c>
      <c r="AO694" s="244">
        <v>102.109619140625</v>
      </c>
      <c r="AP694" s="244">
        <v>441.6005859375</v>
      </c>
      <c r="AQ694" s="244">
        <v>1123.205810546875</v>
      </c>
      <c r="AR694" s="244">
        <v>0.65745168924331665</v>
      </c>
      <c r="AS694" s="228">
        <v>1708.4233395758865</v>
      </c>
      <c r="AT694" s="244">
        <v>579.49560546875</v>
      </c>
      <c r="AU694" s="244">
        <v>85.230262756347656</v>
      </c>
      <c r="AV694" s="244">
        <v>110.63264465332031</v>
      </c>
      <c r="AW694" s="244">
        <v>441.6005859375</v>
      </c>
      <c r="AX694" s="244">
        <v>1216.9591064453125</v>
      </c>
      <c r="AY694" s="244">
        <v>2.1411135196685791</v>
      </c>
      <c r="AZ694" s="228">
        <v>568.37671321901598</v>
      </c>
      <c r="BA694" s="244">
        <v>579.49560546875</v>
      </c>
      <c r="BB694" s="244">
        <v>85.230262756347656</v>
      </c>
      <c r="BC694" s="244">
        <v>110.63264465332031</v>
      </c>
      <c r="BD694" s="244">
        <v>441.6005859375</v>
      </c>
      <c r="BE694" s="244">
        <v>1216.9591064453125</v>
      </c>
      <c r="BF694" s="244">
        <v>2.7985653877258301</v>
      </c>
      <c r="BG694" s="244">
        <v>-61.799301147460938</v>
      </c>
      <c r="BH694" s="228">
        <v>434.8510690483206</v>
      </c>
      <c r="BI694" s="244">
        <v>6.4018115401268005E-2</v>
      </c>
      <c r="BJ694" s="244">
        <v>0.2084868848323822</v>
      </c>
      <c r="BK694" s="244">
        <v>0</v>
      </c>
      <c r="BL694" s="244">
        <v>0.35554587841033936</v>
      </c>
      <c r="BM694" s="244">
        <v>0.62805086374282837</v>
      </c>
      <c r="BN694" s="244">
        <v>579.49560546875</v>
      </c>
      <c r="BO694" s="244">
        <v>525.51849365234375</v>
      </c>
      <c r="BP694" s="244">
        <v>85.230262756347656</v>
      </c>
      <c r="BQ694" s="244">
        <v>0</v>
      </c>
      <c r="BR694" s="244">
        <v>0</v>
      </c>
      <c r="BS694" s="244">
        <v>0</v>
      </c>
      <c r="BT694" s="244">
        <v>441.6005859375</v>
      </c>
      <c r="BU694" s="244">
        <v>0</v>
      </c>
      <c r="BV694" s="244">
        <v>3149.7060546875</v>
      </c>
      <c r="BW694" s="244">
        <v>110.63264465332031</v>
      </c>
      <c r="BX694" s="244">
        <v>5.7906060218811035</v>
      </c>
      <c r="BY694" s="244">
        <v>0.65933549404144287</v>
      </c>
      <c r="BZ694" s="244">
        <v>0</v>
      </c>
      <c r="CA694" s="244">
        <v>0</v>
      </c>
      <c r="CB694" s="244">
        <v>4892.18359375</v>
      </c>
      <c r="CC694" s="244">
        <v>6.4499416351318359</v>
      </c>
      <c r="CD694" s="228">
        <v>758.48496224016139</v>
      </c>
      <c r="CE694" s="244">
        <v>-419.31179809570312</v>
      </c>
      <c r="CF694" s="244">
        <v>6.2227878474173171</v>
      </c>
      <c r="CG694" s="244">
        <v>5.9507988429587382</v>
      </c>
      <c r="CH694" s="244">
        <v>12.173586690376055</v>
      </c>
      <c r="CI694" s="244">
        <v>0.30517454481581047</v>
      </c>
      <c r="CJ694" s="244">
        <v>0.37192492768492147</v>
      </c>
      <c r="CK694" s="244">
        <v>0.67709947250073199</v>
      </c>
      <c r="CL694" s="244"/>
      <c r="CM694" s="244">
        <v>63.576911926269531</v>
      </c>
      <c r="CN694" s="244"/>
      <c r="CO694" s="244">
        <v>0.28600001335144043</v>
      </c>
      <c r="CP694" s="244">
        <v>0.31700000166893005</v>
      </c>
      <c r="CQ694" s="244">
        <v>525.51849365234375</v>
      </c>
      <c r="CR694" s="244">
        <v>0</v>
      </c>
      <c r="CS694" s="244">
        <v>0</v>
      </c>
      <c r="CT694" s="244">
        <v>525.51849365234375</v>
      </c>
      <c r="CU694" s="244">
        <v>0</v>
      </c>
      <c r="CV694" s="244">
        <v>0</v>
      </c>
      <c r="CW694" s="228">
        <v>9999</v>
      </c>
    </row>
    <row r="695" spans="1:101">
      <c r="A695" s="221" t="s">
        <v>579</v>
      </c>
      <c r="C695" s="244">
        <v>10</v>
      </c>
      <c r="D695" s="244">
        <v>750.08154296875</v>
      </c>
      <c r="E695" s="244">
        <v>62.915088653564453</v>
      </c>
      <c r="F695" s="244">
        <v>3.2966773509979248</v>
      </c>
      <c r="G695" s="244">
        <v>0</v>
      </c>
      <c r="H695" s="244">
        <v>0</v>
      </c>
      <c r="I695" s="244"/>
      <c r="J695" s="244">
        <v>0.37767520546913147</v>
      </c>
      <c r="K695" s="244">
        <v>0.35847213864326477</v>
      </c>
      <c r="L695" s="244">
        <v>817.96246337890625</v>
      </c>
      <c r="M695" s="244">
        <v>9.787934273481369E-2</v>
      </c>
      <c r="N695" s="244">
        <v>0.29654988646507263</v>
      </c>
      <c r="O695" s="244">
        <v>63.544239044189453</v>
      </c>
      <c r="P695" s="244">
        <v>0.19283203780651093</v>
      </c>
      <c r="Q695" s="244">
        <v>0.60830295085906982</v>
      </c>
      <c r="R695" s="244">
        <v>0.32778394222259521</v>
      </c>
      <c r="S695" s="244">
        <v>1.8114458322525024</v>
      </c>
      <c r="T695" s="244">
        <v>0</v>
      </c>
      <c r="U695" s="244">
        <v>3.6513762474060059</v>
      </c>
      <c r="V695" s="244">
        <v>0.32966774702072144</v>
      </c>
      <c r="W695" s="244">
        <v>0.32966774702072144</v>
      </c>
      <c r="X695" s="244">
        <v>0</v>
      </c>
      <c r="Y695" s="244">
        <v>0</v>
      </c>
      <c r="Z695" s="244">
        <v>0</v>
      </c>
      <c r="AA695" s="244">
        <v>0</v>
      </c>
      <c r="AB695" s="244">
        <v>0</v>
      </c>
      <c r="AC695" s="244">
        <v>0</v>
      </c>
      <c r="AD695" s="244">
        <v>0</v>
      </c>
      <c r="AE695" s="244">
        <v>0</v>
      </c>
      <c r="AF695" s="244">
        <v>0</v>
      </c>
      <c r="AG695" s="244">
        <v>0</v>
      </c>
      <c r="AH695" s="244">
        <v>0.65745168924331665</v>
      </c>
      <c r="AI695" s="244">
        <v>2.1411135196685791</v>
      </c>
      <c r="AJ695" s="244">
        <v>0</v>
      </c>
      <c r="AK695" s="244">
        <v>3.6513762474060059</v>
      </c>
      <c r="AL695" s="244">
        <v>6.4499416351318359</v>
      </c>
      <c r="AM695" s="244">
        <v>575.25726318359375</v>
      </c>
      <c r="AN695" s="244">
        <v>0</v>
      </c>
      <c r="AO695" s="244">
        <v>101.35831451416016</v>
      </c>
      <c r="AP695" s="244">
        <v>438.32583618164062</v>
      </c>
      <c r="AQ695" s="244">
        <v>1114.94140625</v>
      </c>
      <c r="AR695" s="244">
        <v>0.65745168924331665</v>
      </c>
      <c r="AS695" s="228">
        <v>1695.8529913621765</v>
      </c>
      <c r="AT695" s="244">
        <v>575.25726318359375</v>
      </c>
      <c r="AU695" s="244">
        <v>85.000373840332031</v>
      </c>
      <c r="AV695" s="244">
        <v>109.85834503173828</v>
      </c>
      <c r="AW695" s="244">
        <v>438.32583618164062</v>
      </c>
      <c r="AX695" s="244">
        <v>1208.4417724609375</v>
      </c>
      <c r="AY695" s="244">
        <v>2.1411135196685791</v>
      </c>
      <c r="AZ695" s="228">
        <v>564.39874555720496</v>
      </c>
      <c r="BA695" s="244">
        <v>575.25726318359375</v>
      </c>
      <c r="BB695" s="244">
        <v>85.000373840332031</v>
      </c>
      <c r="BC695" s="244">
        <v>109.85834503173828</v>
      </c>
      <c r="BD695" s="244">
        <v>438.32583618164062</v>
      </c>
      <c r="BE695" s="244">
        <v>1208.4417724609375</v>
      </c>
      <c r="BF695" s="244">
        <v>2.7985653877258301</v>
      </c>
      <c r="BG695" s="244">
        <v>-61.841228485107422</v>
      </c>
      <c r="BH695" s="228">
        <v>431.80762365348505</v>
      </c>
      <c r="BI695" s="244">
        <v>6.449638307094574E-2</v>
      </c>
      <c r="BJ695" s="244">
        <v>0.21004447340965271</v>
      </c>
      <c r="BK695" s="244">
        <v>0</v>
      </c>
      <c r="BL695" s="244">
        <v>0.35820209980010986</v>
      </c>
      <c r="BM695" s="244">
        <v>0.63274294137954712</v>
      </c>
      <c r="BN695" s="244">
        <v>575.25726318359375</v>
      </c>
      <c r="BO695" s="244">
        <v>525.2484130859375</v>
      </c>
      <c r="BP695" s="244">
        <v>85.000373840332031</v>
      </c>
      <c r="BQ695" s="244">
        <v>0</v>
      </c>
      <c r="BR695" s="244">
        <v>0</v>
      </c>
      <c r="BS695" s="244">
        <v>0</v>
      </c>
      <c r="BT695" s="244">
        <v>438.32583618164062</v>
      </c>
      <c r="BU695" s="244">
        <v>0</v>
      </c>
      <c r="BV695" s="244">
        <v>2986.3876953125</v>
      </c>
      <c r="BW695" s="244">
        <v>109.85834503173828</v>
      </c>
      <c r="BX695" s="244">
        <v>5.7906060218811035</v>
      </c>
      <c r="BY695" s="244">
        <v>0.65933549404144287</v>
      </c>
      <c r="BZ695" s="244">
        <v>0</v>
      </c>
      <c r="CA695" s="244">
        <v>0</v>
      </c>
      <c r="CB695" s="244">
        <v>4720.078125</v>
      </c>
      <c r="CC695" s="244">
        <v>6.4499416351318359</v>
      </c>
      <c r="CD695" s="228">
        <v>731.8016628497478</v>
      </c>
      <c r="CE695" s="244">
        <v>-405.9765625</v>
      </c>
      <c r="CF695" s="244">
        <v>6.1764609678600433</v>
      </c>
      <c r="CG695" s="244">
        <v>5.9477408401692591</v>
      </c>
      <c r="CH695" s="244">
        <v>12.124201808029301</v>
      </c>
      <c r="CI695" s="244">
        <v>0.3029006660810491</v>
      </c>
      <c r="CJ695" s="244">
        <v>0.37173380251057725</v>
      </c>
      <c r="CK695" s="244">
        <v>0.67463446859162635</v>
      </c>
      <c r="CL695" s="244"/>
      <c r="CM695" s="244">
        <v>63.544239044189453</v>
      </c>
      <c r="CN695" s="244"/>
      <c r="CO695" s="244">
        <v>0.28600004315376282</v>
      </c>
      <c r="CP695" s="244">
        <v>0.31700003147125244</v>
      </c>
      <c r="CQ695" s="244">
        <v>525.2484130859375</v>
      </c>
      <c r="CR695" s="244">
        <v>0</v>
      </c>
      <c r="CS695" s="244">
        <v>0</v>
      </c>
      <c r="CT695" s="244">
        <v>525.2484130859375</v>
      </c>
      <c r="CU695" s="244">
        <v>0</v>
      </c>
      <c r="CV695" s="244">
        <v>0</v>
      </c>
      <c r="CW695" s="228">
        <v>9999</v>
      </c>
    </row>
    <row r="696" spans="1:101">
      <c r="A696" s="221" t="s">
        <v>581</v>
      </c>
      <c r="C696" s="244">
        <v>10.000000953674316</v>
      </c>
      <c r="D696" s="244">
        <v>101.57479858398437</v>
      </c>
      <c r="E696" s="244">
        <v>92.118202209472656</v>
      </c>
      <c r="F696" s="244">
        <v>3.2966773509979248</v>
      </c>
      <c r="G696" s="244">
        <v>0</v>
      </c>
      <c r="H696" s="244">
        <v>0</v>
      </c>
      <c r="I696" s="244"/>
      <c r="J696" s="244">
        <v>1</v>
      </c>
      <c r="K696" s="244">
        <v>0.64000004529953003</v>
      </c>
      <c r="L696" s="244">
        <v>110.78385925292969</v>
      </c>
      <c r="M696" s="244">
        <v>8.0937976017594337E-3</v>
      </c>
      <c r="N696" s="244">
        <v>1.2646559625864029E-2</v>
      </c>
      <c r="O696" s="244">
        <v>93.039382934570313</v>
      </c>
      <c r="P696" s="244">
        <v>0.28233832120895386</v>
      </c>
      <c r="Q696" s="244">
        <v>0.89065712690353394</v>
      </c>
      <c r="R696" s="244">
        <v>0.32778394222259521</v>
      </c>
      <c r="S696" s="244">
        <v>1.8114458322525024</v>
      </c>
      <c r="T696" s="244">
        <v>0</v>
      </c>
      <c r="U696" s="244">
        <v>3.6513762474060059</v>
      </c>
      <c r="V696" s="244">
        <v>0.32966774702072144</v>
      </c>
      <c r="W696" s="244">
        <v>0.32966774702072144</v>
      </c>
      <c r="X696" s="244">
        <v>0</v>
      </c>
      <c r="Y696" s="244">
        <v>0</v>
      </c>
      <c r="Z696" s="244">
        <v>0</v>
      </c>
      <c r="AA696" s="244">
        <v>0</v>
      </c>
      <c r="AB696" s="244">
        <v>0</v>
      </c>
      <c r="AC696" s="244">
        <v>0</v>
      </c>
      <c r="AD696" s="244">
        <v>0</v>
      </c>
      <c r="AE696" s="244">
        <v>0</v>
      </c>
      <c r="AF696" s="244">
        <v>0</v>
      </c>
      <c r="AG696" s="244">
        <v>0</v>
      </c>
      <c r="AH696" s="244">
        <v>0.65745168924331665</v>
      </c>
      <c r="AI696" s="244">
        <v>2.1411135196685791</v>
      </c>
      <c r="AJ696" s="244">
        <v>0</v>
      </c>
      <c r="AK696" s="244">
        <v>3.6513762474060059</v>
      </c>
      <c r="AL696" s="244">
        <v>6.4499416351318359</v>
      </c>
      <c r="AM696" s="244">
        <v>76.757316589355469</v>
      </c>
      <c r="AN696" s="244">
        <v>0</v>
      </c>
      <c r="AO696" s="244">
        <v>13.612364768981934</v>
      </c>
      <c r="AP696" s="244">
        <v>59.366325378417969</v>
      </c>
      <c r="AQ696" s="244">
        <v>149.73600769042969</v>
      </c>
      <c r="AR696" s="244">
        <v>0.65745168924331665</v>
      </c>
      <c r="AS696" s="228">
        <v>227.75210587578169</v>
      </c>
      <c r="AT696" s="244">
        <v>76.757316589355469</v>
      </c>
      <c r="AU696" s="244">
        <v>3.6248958110809326</v>
      </c>
      <c r="AV696" s="244">
        <v>13.974853515625</v>
      </c>
      <c r="AW696" s="244">
        <v>59.366325378417969</v>
      </c>
      <c r="AX696" s="244">
        <v>153.723388671875</v>
      </c>
      <c r="AY696" s="244">
        <v>2.1411135196685791</v>
      </c>
      <c r="AZ696" s="228">
        <v>71.796000353544528</v>
      </c>
      <c r="BA696" s="244">
        <v>76.757316589355469</v>
      </c>
      <c r="BB696" s="244">
        <v>3.6248958110809326</v>
      </c>
      <c r="BC696" s="244">
        <v>13.974853515625</v>
      </c>
      <c r="BD696" s="244">
        <v>59.366325378417969</v>
      </c>
      <c r="BE696" s="244">
        <v>153.723388671875</v>
      </c>
      <c r="BF696" s="244">
        <v>2.7985653877258301</v>
      </c>
      <c r="BG696" s="244">
        <v>-53.720756530761719</v>
      </c>
      <c r="BH696" s="228">
        <v>54.9293572045096</v>
      </c>
      <c r="BI696" s="244">
        <v>0.47620311379432678</v>
      </c>
      <c r="BJ696" s="244">
        <v>1.5508439540863037</v>
      </c>
      <c r="BK696" s="244">
        <v>0</v>
      </c>
      <c r="BL696" s="244">
        <v>2.6447522640228271</v>
      </c>
      <c r="BM696" s="244">
        <v>4.6717991828918457</v>
      </c>
      <c r="BN696" s="244">
        <v>76.757316589355469</v>
      </c>
      <c r="BO696" s="244">
        <v>769.05145263671875</v>
      </c>
      <c r="BP696" s="244">
        <v>3.6248958110809326</v>
      </c>
      <c r="BQ696" s="244">
        <v>0</v>
      </c>
      <c r="BR696" s="244">
        <v>0</v>
      </c>
      <c r="BS696" s="244">
        <v>0</v>
      </c>
      <c r="BT696" s="244">
        <v>59.366325378417969</v>
      </c>
      <c r="BU696" s="244">
        <v>0</v>
      </c>
      <c r="BV696" s="244">
        <v>3149.7060546875</v>
      </c>
      <c r="BW696" s="244">
        <v>13.974853515625</v>
      </c>
      <c r="BX696" s="244">
        <v>5.7906060218811035</v>
      </c>
      <c r="BY696" s="244">
        <v>0.65933549404144287</v>
      </c>
      <c r="BZ696" s="244">
        <v>0</v>
      </c>
      <c r="CA696" s="244">
        <v>0</v>
      </c>
      <c r="CB696" s="244">
        <v>4072.48095703125</v>
      </c>
      <c r="CC696" s="244">
        <v>6.4499416351318359</v>
      </c>
      <c r="CD696" s="228">
        <v>631.39811245811029</v>
      </c>
      <c r="CE696" s="244">
        <v>-2889.4970703125</v>
      </c>
      <c r="CF696" s="244">
        <v>0.84010150970085185</v>
      </c>
      <c r="CG696" s="244">
        <v>8.7084861116469892</v>
      </c>
      <c r="CH696" s="244">
        <v>9.5485876213478402</v>
      </c>
      <c r="CI696" s="244">
        <v>4.1237611942263538E-2</v>
      </c>
      <c r="CJ696" s="244">
        <v>0.54428038197793405</v>
      </c>
      <c r="CK696" s="244">
        <v>0.58551799392019754</v>
      </c>
      <c r="CL696" s="244"/>
      <c r="CM696" s="244">
        <v>93.039382934570313</v>
      </c>
      <c r="CN696" s="244"/>
      <c r="CO696" s="244">
        <v>0.28600001335144043</v>
      </c>
      <c r="CP696" s="244">
        <v>0.31700000166893005</v>
      </c>
      <c r="CQ696" s="244">
        <v>769.05145263671875</v>
      </c>
      <c r="CR696" s="244">
        <v>0</v>
      </c>
      <c r="CS696" s="244">
        <v>0</v>
      </c>
      <c r="CT696" s="244">
        <v>769.05145263671875</v>
      </c>
      <c r="CU696" s="244">
        <v>0</v>
      </c>
      <c r="CV696" s="244">
        <v>0</v>
      </c>
      <c r="CW696" s="228">
        <v>9999</v>
      </c>
    </row>
    <row r="697" spans="1:101">
      <c r="A697" s="221" t="s">
        <v>578</v>
      </c>
      <c r="C697" s="244">
        <v>10</v>
      </c>
      <c r="D697" s="244">
        <v>96.307960510253906</v>
      </c>
      <c r="E697" s="244">
        <v>92.07086181640625</v>
      </c>
      <c r="F697" s="244">
        <v>3.2966773509979248</v>
      </c>
      <c r="G697" s="244">
        <v>0</v>
      </c>
      <c r="H697" s="244">
        <v>0</v>
      </c>
      <c r="I697" s="244"/>
      <c r="J697" s="244">
        <v>1</v>
      </c>
      <c r="K697" s="244">
        <v>0.63999998569488525</v>
      </c>
      <c r="L697" s="244">
        <v>105.03951263427734</v>
      </c>
      <c r="M697" s="244">
        <v>7.6741194352507591E-3</v>
      </c>
      <c r="N697" s="244">
        <v>1.1990811675786972E-2</v>
      </c>
      <c r="O697" s="244">
        <v>92.991569519042969</v>
      </c>
      <c r="P697" s="244">
        <v>0.28219321370124817</v>
      </c>
      <c r="Q697" s="244">
        <v>0.89019942283630371</v>
      </c>
      <c r="R697" s="244">
        <v>0.32778394222259521</v>
      </c>
      <c r="S697" s="244">
        <v>1.8114458322525024</v>
      </c>
      <c r="T697" s="244">
        <v>0</v>
      </c>
      <c r="U697" s="244">
        <v>3.6513762474060059</v>
      </c>
      <c r="V697" s="244">
        <v>0.32966774702072144</v>
      </c>
      <c r="W697" s="244">
        <v>0.32966774702072144</v>
      </c>
      <c r="X697" s="244">
        <v>0</v>
      </c>
      <c r="Y697" s="244">
        <v>0</v>
      </c>
      <c r="Z697" s="244">
        <v>0</v>
      </c>
      <c r="AA697" s="244">
        <v>0</v>
      </c>
      <c r="AB697" s="244">
        <v>0</v>
      </c>
      <c r="AC697" s="244">
        <v>0</v>
      </c>
      <c r="AD697" s="244">
        <v>0</v>
      </c>
      <c r="AE697" s="244">
        <v>0</v>
      </c>
      <c r="AF697" s="244">
        <v>0</v>
      </c>
      <c r="AG697" s="244">
        <v>0</v>
      </c>
      <c r="AH697" s="244">
        <v>0.65745168924331665</v>
      </c>
      <c r="AI697" s="244">
        <v>2.1411135196685791</v>
      </c>
      <c r="AJ697" s="244">
        <v>0</v>
      </c>
      <c r="AK697" s="244">
        <v>3.6513762474060059</v>
      </c>
      <c r="AL697" s="244">
        <v>6.4499416351318359</v>
      </c>
      <c r="AM697" s="244">
        <v>72.777305603027344</v>
      </c>
      <c r="AN697" s="244">
        <v>0</v>
      </c>
      <c r="AO697" s="244">
        <v>12.906538009643555</v>
      </c>
      <c r="AP697" s="244">
        <v>56.288074493408203</v>
      </c>
      <c r="AQ697" s="244">
        <v>141.971923828125</v>
      </c>
      <c r="AR697" s="244">
        <v>0.65745168924331665</v>
      </c>
      <c r="AS697" s="228">
        <v>215.94273834702497</v>
      </c>
      <c r="AT697" s="244">
        <v>72.777305603027344</v>
      </c>
      <c r="AU697" s="244">
        <v>3.4369373321533203</v>
      </c>
      <c r="AV697" s="244">
        <v>13.250231742858887</v>
      </c>
      <c r="AW697" s="244">
        <v>56.288074493408203</v>
      </c>
      <c r="AX697" s="244">
        <v>145.75254821777344</v>
      </c>
      <c r="AY697" s="244">
        <v>2.1411135196685791</v>
      </c>
      <c r="AZ697" s="228">
        <v>68.073244961120537</v>
      </c>
      <c r="BA697" s="244">
        <v>72.777305603027344</v>
      </c>
      <c r="BB697" s="244">
        <v>3.4369373321533203</v>
      </c>
      <c r="BC697" s="244">
        <v>13.250231742858887</v>
      </c>
      <c r="BD697" s="244">
        <v>56.288074493408203</v>
      </c>
      <c r="BE697" s="244">
        <v>145.75254821777344</v>
      </c>
      <c r="BF697" s="244">
        <v>2.7985653877258301</v>
      </c>
      <c r="BG697" s="244">
        <v>-53.609901428222656</v>
      </c>
      <c r="BH697" s="228">
        <v>52.081168451257192</v>
      </c>
      <c r="BI697" s="244">
        <v>0.50224548578262329</v>
      </c>
      <c r="BJ697" s="244">
        <v>1.6356557607650757</v>
      </c>
      <c r="BK697" s="244">
        <v>0</v>
      </c>
      <c r="BL697" s="244">
        <v>2.7893872261047363</v>
      </c>
      <c r="BM697" s="244">
        <v>4.9272885322570801</v>
      </c>
      <c r="BN697" s="244">
        <v>72.777305603027344</v>
      </c>
      <c r="BO697" s="244">
        <v>768.65625</v>
      </c>
      <c r="BP697" s="244">
        <v>3.4369373321533203</v>
      </c>
      <c r="BQ697" s="244">
        <v>0</v>
      </c>
      <c r="BR697" s="244">
        <v>0</v>
      </c>
      <c r="BS697" s="244">
        <v>0</v>
      </c>
      <c r="BT697" s="244">
        <v>56.288074493408203</v>
      </c>
      <c r="BU697" s="244">
        <v>0</v>
      </c>
      <c r="BV697" s="244">
        <v>2986.3876953125</v>
      </c>
      <c r="BW697" s="244">
        <v>13.250231742858887</v>
      </c>
      <c r="BX697" s="244">
        <v>5.7906060218811035</v>
      </c>
      <c r="BY697" s="244">
        <v>0.65933549404144287</v>
      </c>
      <c r="BZ697" s="244">
        <v>0</v>
      </c>
      <c r="CA697" s="244">
        <v>0</v>
      </c>
      <c r="CB697" s="244">
        <v>3900.79638671875</v>
      </c>
      <c r="CC697" s="244">
        <v>6.4499416351318359</v>
      </c>
      <c r="CD697" s="228">
        <v>604.78013402979047</v>
      </c>
      <c r="CE697" s="244">
        <v>-2919.40234375</v>
      </c>
      <c r="CF697" s="244">
        <v>0.79654069067932642</v>
      </c>
      <c r="CG697" s="244">
        <v>8.7040109856135341</v>
      </c>
      <c r="CH697" s="244">
        <v>9.5005516762928615</v>
      </c>
      <c r="CI697" s="244">
        <v>3.90993653971091E-2</v>
      </c>
      <c r="CJ697" s="244">
        <v>0.54400068660084511</v>
      </c>
      <c r="CK697" s="244">
        <v>0.58310005199795423</v>
      </c>
      <c r="CL697" s="244"/>
      <c r="CM697" s="244">
        <v>92.991569519042969</v>
      </c>
      <c r="CN697" s="244"/>
      <c r="CO697" s="244">
        <v>0.28600001335144043</v>
      </c>
      <c r="CP697" s="244">
        <v>0.31700000166893005</v>
      </c>
      <c r="CQ697" s="244">
        <v>768.65625</v>
      </c>
      <c r="CR697" s="244">
        <v>0</v>
      </c>
      <c r="CS697" s="244">
        <v>0</v>
      </c>
      <c r="CT697" s="244">
        <v>768.65625</v>
      </c>
      <c r="CU697" s="244">
        <v>0</v>
      </c>
      <c r="CV697" s="244">
        <v>0</v>
      </c>
      <c r="CW697" s="228">
        <v>9999</v>
      </c>
    </row>
    <row r="698" spans="1:101">
      <c r="A698" s="221" t="s">
        <v>592</v>
      </c>
      <c r="C698" s="244">
        <v>9.9999990463256836</v>
      </c>
      <c r="D698" s="244">
        <v>4287.73876953125</v>
      </c>
      <c r="E698" s="244">
        <v>0</v>
      </c>
      <c r="F698" s="244">
        <v>11.336667060852051</v>
      </c>
      <c r="G698" s="244">
        <v>0</v>
      </c>
      <c r="H698" s="244">
        <v>0</v>
      </c>
      <c r="I698" s="244"/>
      <c r="J698" s="244">
        <v>0.31757351756095886</v>
      </c>
      <c r="K698" s="244">
        <v>0.33128321170806885</v>
      </c>
      <c r="L698" s="244">
        <v>4675.7021484375</v>
      </c>
      <c r="M698" s="244">
        <v>0.58055335283279419</v>
      </c>
      <c r="N698" s="244">
        <v>1.8073447942733765</v>
      </c>
      <c r="O698" s="244">
        <v>0</v>
      </c>
      <c r="P698" s="244">
        <v>0</v>
      </c>
      <c r="Q698" s="244">
        <v>0</v>
      </c>
      <c r="R698" s="244">
        <v>1.1271885633468628</v>
      </c>
      <c r="S698" s="244">
        <v>6.2292284965515137</v>
      </c>
      <c r="T698" s="244">
        <v>0</v>
      </c>
      <c r="U698" s="244">
        <v>12.556410789489746</v>
      </c>
      <c r="V698" s="244">
        <v>1.1336666345596313</v>
      </c>
      <c r="W698" s="244">
        <v>1.1336666345596313</v>
      </c>
      <c r="X698" s="244">
        <v>0</v>
      </c>
      <c r="Y698" s="244">
        <v>0</v>
      </c>
      <c r="Z698" s="244">
        <v>0</v>
      </c>
      <c r="AA698" s="244">
        <v>0</v>
      </c>
      <c r="AB698" s="244">
        <v>0</v>
      </c>
      <c r="AC698" s="244">
        <v>0</v>
      </c>
      <c r="AD698" s="244">
        <v>0</v>
      </c>
      <c r="AE698" s="244">
        <v>0</v>
      </c>
      <c r="AF698" s="244">
        <v>0</v>
      </c>
      <c r="AG698" s="244">
        <v>0</v>
      </c>
      <c r="AH698" s="244">
        <v>2.2608551979064941</v>
      </c>
      <c r="AI698" s="244">
        <v>7.3628950119018555</v>
      </c>
      <c r="AJ698" s="244">
        <v>0</v>
      </c>
      <c r="AK698" s="244">
        <v>12.556410789489746</v>
      </c>
      <c r="AL698" s="244">
        <v>22.18016242980957</v>
      </c>
      <c r="AM698" s="244">
        <v>3293.039306640625</v>
      </c>
      <c r="AN698" s="244">
        <v>0</v>
      </c>
      <c r="AO698" s="244">
        <v>579.86328125</v>
      </c>
      <c r="AP698" s="244">
        <v>2505.59326171875</v>
      </c>
      <c r="AQ698" s="244">
        <v>6378.49609375</v>
      </c>
      <c r="AR698" s="244">
        <v>2.2608551979064941</v>
      </c>
      <c r="AS698" s="228">
        <v>2821.2757081991504</v>
      </c>
      <c r="AT698" s="244">
        <v>3293.039306640625</v>
      </c>
      <c r="AU698" s="244">
        <v>518.04095458984375</v>
      </c>
      <c r="AV698" s="244">
        <v>631.6673583984375</v>
      </c>
      <c r="AW698" s="244">
        <v>2505.59326171875</v>
      </c>
      <c r="AX698" s="244">
        <v>6948.3408203125</v>
      </c>
      <c r="AY698" s="244">
        <v>7.3628950119018555</v>
      </c>
      <c r="AZ698" s="228">
        <v>943.69684174750319</v>
      </c>
      <c r="BA698" s="244">
        <v>3293.039306640625</v>
      </c>
      <c r="BB698" s="244">
        <v>518.04095458984375</v>
      </c>
      <c r="BC698" s="244">
        <v>631.6673583984375</v>
      </c>
      <c r="BD698" s="244">
        <v>2505.59326171875</v>
      </c>
      <c r="BE698" s="244">
        <v>6948.3408203125</v>
      </c>
      <c r="BF698" s="244">
        <v>9.6237506866455078</v>
      </c>
      <c r="BG698" s="244">
        <v>-62.565708160400391</v>
      </c>
      <c r="BH698" s="228">
        <v>721.99928757471412</v>
      </c>
      <c r="BI698" s="244">
        <v>3.8799919188022614E-2</v>
      </c>
      <c r="BJ698" s="244">
        <v>0.12635914981365204</v>
      </c>
      <c r="BK698" s="244">
        <v>0</v>
      </c>
      <c r="BL698" s="244">
        <v>0.2154882550239563</v>
      </c>
      <c r="BM698" s="244">
        <v>0.38064733147621155</v>
      </c>
      <c r="BN698" s="244">
        <v>3293.039306640625</v>
      </c>
      <c r="BO698" s="244">
        <v>0</v>
      </c>
      <c r="BP698" s="244">
        <v>518.04095458984375</v>
      </c>
      <c r="BQ698" s="244">
        <v>0</v>
      </c>
      <c r="BR698" s="244">
        <v>0</v>
      </c>
      <c r="BS698" s="244">
        <v>0</v>
      </c>
      <c r="BT698" s="244">
        <v>2505.59326171875</v>
      </c>
      <c r="BU698" s="244">
        <v>0</v>
      </c>
      <c r="BV698" s="244">
        <v>5879.45068359375</v>
      </c>
      <c r="BW698" s="244">
        <v>631.6673583984375</v>
      </c>
      <c r="BX698" s="244">
        <v>19.91282844543457</v>
      </c>
      <c r="BY698" s="244">
        <v>2.2673332691192627</v>
      </c>
      <c r="BZ698" s="244">
        <v>0</v>
      </c>
      <c r="CA698" s="244">
        <v>0</v>
      </c>
      <c r="CB698" s="244">
        <v>12827.7919921875</v>
      </c>
      <c r="CC698" s="244">
        <v>22.18016242980957</v>
      </c>
      <c r="CD698" s="228">
        <v>578.34526772292497</v>
      </c>
      <c r="CE698" s="244">
        <v>-163.25106811523437</v>
      </c>
      <c r="CF698" s="244">
        <v>35.291829099257853</v>
      </c>
      <c r="CG698" s="244">
        <v>0</v>
      </c>
      <c r="CH698" s="244">
        <v>35.291829099257853</v>
      </c>
      <c r="CI698" s="244">
        <v>1.7305961740065166</v>
      </c>
      <c r="CJ698" s="244">
        <v>0</v>
      </c>
      <c r="CK698" s="244">
        <v>1.7305961740065166</v>
      </c>
      <c r="CL698" s="244"/>
      <c r="CM698" s="244">
        <v>0</v>
      </c>
      <c r="CN698" s="244"/>
      <c r="CO698" s="244">
        <v>0</v>
      </c>
      <c r="CP698" s="244">
        <v>0</v>
      </c>
      <c r="CQ698" s="244">
        <v>0</v>
      </c>
      <c r="CR698" s="244">
        <v>0</v>
      </c>
      <c r="CS698" s="244">
        <v>0</v>
      </c>
      <c r="CT698" s="244">
        <v>0</v>
      </c>
      <c r="CU698" s="244">
        <v>0</v>
      </c>
      <c r="CV698" s="244">
        <v>9999</v>
      </c>
      <c r="CW698" s="228">
        <v>9999</v>
      </c>
    </row>
    <row r="699" spans="1:101">
      <c r="A699" s="221" t="s">
        <v>601</v>
      </c>
      <c r="C699" s="244">
        <v>9.9999990463256836</v>
      </c>
      <c r="D699" s="244">
        <v>2858.492431640625</v>
      </c>
      <c r="E699" s="244">
        <v>0</v>
      </c>
      <c r="F699" s="244">
        <v>8.1096944808959961</v>
      </c>
      <c r="G699" s="244">
        <v>0</v>
      </c>
      <c r="H699" s="244">
        <v>0</v>
      </c>
      <c r="I699" s="244"/>
      <c r="J699" s="244">
        <v>0.31757348775863647</v>
      </c>
      <c r="K699" s="244">
        <v>0.33128324151039124</v>
      </c>
      <c r="L699" s="244">
        <v>3117.134765625</v>
      </c>
      <c r="M699" s="244">
        <v>0.3870355486869812</v>
      </c>
      <c r="N699" s="244">
        <v>1.2048964500427246</v>
      </c>
      <c r="O699" s="244">
        <v>0</v>
      </c>
      <c r="P699" s="244">
        <v>0</v>
      </c>
      <c r="Q699" s="244">
        <v>0</v>
      </c>
      <c r="R699" s="244">
        <v>0.80633538961410522</v>
      </c>
      <c r="S699" s="244">
        <v>4.4560842514038086</v>
      </c>
      <c r="T699" s="244">
        <v>0</v>
      </c>
      <c r="U699" s="244">
        <v>8.9822397232055664</v>
      </c>
      <c r="V699" s="244">
        <v>0.81096947193145752</v>
      </c>
      <c r="W699" s="244">
        <v>0.81096947193145752</v>
      </c>
      <c r="X699" s="244">
        <v>0</v>
      </c>
      <c r="Y699" s="244">
        <v>0</v>
      </c>
      <c r="Z699" s="244">
        <v>0</v>
      </c>
      <c r="AA699" s="244">
        <v>0</v>
      </c>
      <c r="AB699" s="244">
        <v>0</v>
      </c>
      <c r="AC699" s="244">
        <v>0</v>
      </c>
      <c r="AD699" s="244">
        <v>0</v>
      </c>
      <c r="AE699" s="244">
        <v>0</v>
      </c>
      <c r="AF699" s="244">
        <v>0</v>
      </c>
      <c r="AG699" s="244">
        <v>0</v>
      </c>
      <c r="AH699" s="244">
        <v>1.617304801940918</v>
      </c>
      <c r="AI699" s="244">
        <v>5.2670536041259766</v>
      </c>
      <c r="AJ699" s="244">
        <v>0</v>
      </c>
      <c r="AK699" s="244">
        <v>8.9822397232055664</v>
      </c>
      <c r="AL699" s="244">
        <v>15.866598129272461</v>
      </c>
      <c r="AM699" s="244">
        <v>2195.359619140625</v>
      </c>
      <c r="AN699" s="244">
        <v>0</v>
      </c>
      <c r="AO699" s="244">
        <v>386.57550048828125</v>
      </c>
      <c r="AP699" s="244">
        <v>1670.3955078125</v>
      </c>
      <c r="AQ699" s="244">
        <v>4252.33056640625</v>
      </c>
      <c r="AR699" s="244">
        <v>1.617304801940918</v>
      </c>
      <c r="AS699" s="228">
        <v>2629.2696748451649</v>
      </c>
      <c r="AT699" s="244">
        <v>2195.359619140625</v>
      </c>
      <c r="AU699" s="244">
        <v>345.36065673828125</v>
      </c>
      <c r="AV699" s="244">
        <v>421.111572265625</v>
      </c>
      <c r="AW699" s="244">
        <v>1670.3955078125</v>
      </c>
      <c r="AX699" s="244">
        <v>4632.2275390625</v>
      </c>
      <c r="AY699" s="244">
        <v>5.2670536041259766</v>
      </c>
      <c r="AZ699" s="228">
        <v>879.47220576739392</v>
      </c>
      <c r="BA699" s="244">
        <v>2195.359619140625</v>
      </c>
      <c r="BB699" s="244">
        <v>345.36065673828125</v>
      </c>
      <c r="BC699" s="244">
        <v>421.111572265625</v>
      </c>
      <c r="BD699" s="244">
        <v>1670.3955078125</v>
      </c>
      <c r="BE699" s="244">
        <v>4632.2275390625</v>
      </c>
      <c r="BF699" s="244">
        <v>6.8843584060668945</v>
      </c>
      <c r="BG699" s="244">
        <v>-62.553646087646484</v>
      </c>
      <c r="BH699" s="228">
        <v>672.86259116864653</v>
      </c>
      <c r="BI699" s="244">
        <v>4.1633334010839462E-2</v>
      </c>
      <c r="BJ699" s="244">
        <v>0.1355866938829422</v>
      </c>
      <c r="BK699" s="244">
        <v>0</v>
      </c>
      <c r="BL699" s="244">
        <v>0.23122455179691315</v>
      </c>
      <c r="BM699" s="244">
        <v>0.40844458341598511</v>
      </c>
      <c r="BN699" s="244">
        <v>2195.359619140625</v>
      </c>
      <c r="BO699" s="244">
        <v>0</v>
      </c>
      <c r="BP699" s="244">
        <v>345.36065673828125</v>
      </c>
      <c r="BQ699" s="244">
        <v>0</v>
      </c>
      <c r="BR699" s="244">
        <v>0</v>
      </c>
      <c r="BS699" s="244">
        <v>0</v>
      </c>
      <c r="BT699" s="244">
        <v>1670.3955078125</v>
      </c>
      <c r="BU699" s="244">
        <v>0</v>
      </c>
      <c r="BV699" s="244">
        <v>3919.634033203125</v>
      </c>
      <c r="BW699" s="244">
        <v>421.111572265625</v>
      </c>
      <c r="BX699" s="244">
        <v>14.244659423828125</v>
      </c>
      <c r="BY699" s="244">
        <v>1.621938943862915</v>
      </c>
      <c r="BZ699" s="244">
        <v>0</v>
      </c>
      <c r="CA699" s="244">
        <v>0</v>
      </c>
      <c r="CB699" s="244">
        <v>8551.861328125</v>
      </c>
      <c r="CC699" s="244">
        <v>15.866598129272461</v>
      </c>
      <c r="CD699" s="228">
        <v>538.98518075394202</v>
      </c>
      <c r="CE699" s="244">
        <v>-163.22328186035156</v>
      </c>
      <c r="CF699" s="244">
        <v>23.527886066171941</v>
      </c>
      <c r="CG699" s="244">
        <v>0</v>
      </c>
      <c r="CH699" s="244">
        <v>23.527886066171941</v>
      </c>
      <c r="CI699" s="244">
        <v>1.1537307826710106</v>
      </c>
      <c r="CJ699" s="244">
        <v>0</v>
      </c>
      <c r="CK699" s="244">
        <v>1.1537307826710106</v>
      </c>
      <c r="CL699" s="244"/>
      <c r="CM699" s="244">
        <v>0</v>
      </c>
      <c r="CN699" s="244"/>
      <c r="CO699" s="244">
        <v>0</v>
      </c>
      <c r="CP699" s="244">
        <v>0</v>
      </c>
      <c r="CQ699" s="244">
        <v>0</v>
      </c>
      <c r="CR699" s="244">
        <v>0</v>
      </c>
      <c r="CS699" s="244">
        <v>0</v>
      </c>
      <c r="CT699" s="244">
        <v>0</v>
      </c>
      <c r="CU699" s="244">
        <v>0</v>
      </c>
      <c r="CV699" s="244">
        <v>9999</v>
      </c>
      <c r="CW699" s="228">
        <v>9999</v>
      </c>
    </row>
    <row r="700" spans="1:101">
      <c r="A700" s="221" t="s">
        <v>594</v>
      </c>
      <c r="C700" s="244">
        <v>10</v>
      </c>
      <c r="D700" s="244">
        <v>1487.34814453125</v>
      </c>
      <c r="E700" s="244">
        <v>124.88658142089844</v>
      </c>
      <c r="F700" s="244">
        <v>11.336667060852051</v>
      </c>
      <c r="G700" s="244">
        <v>0</v>
      </c>
      <c r="H700" s="244">
        <v>0</v>
      </c>
      <c r="I700" s="244"/>
      <c r="J700" s="244">
        <v>0.37702032923698425</v>
      </c>
      <c r="K700" s="244">
        <v>0.35817587375640869</v>
      </c>
      <c r="L700" s="244">
        <v>1621.9500732421875</v>
      </c>
      <c r="M700" s="244">
        <v>0.19416597485542297</v>
      </c>
      <c r="N700" s="244">
        <v>0.58845722675323486</v>
      </c>
      <c r="O700" s="244">
        <v>126.13544464111328</v>
      </c>
      <c r="P700" s="244">
        <v>0.38277196884155273</v>
      </c>
      <c r="Q700" s="244">
        <v>1.2074825763702393</v>
      </c>
      <c r="R700" s="244">
        <v>1.1271885633468628</v>
      </c>
      <c r="S700" s="244">
        <v>6.2292284965515137</v>
      </c>
      <c r="T700" s="244">
        <v>0</v>
      </c>
      <c r="U700" s="244">
        <v>12.556410789489746</v>
      </c>
      <c r="V700" s="244">
        <v>1.1336666345596313</v>
      </c>
      <c r="W700" s="244">
        <v>1.1336666345596313</v>
      </c>
      <c r="X700" s="244">
        <v>0</v>
      </c>
      <c r="Y700" s="244">
        <v>0</v>
      </c>
      <c r="Z700" s="244">
        <v>0</v>
      </c>
      <c r="AA700" s="244">
        <v>0</v>
      </c>
      <c r="AB700" s="244">
        <v>0</v>
      </c>
      <c r="AC700" s="244">
        <v>0</v>
      </c>
      <c r="AD700" s="244">
        <v>0</v>
      </c>
      <c r="AE700" s="244">
        <v>0</v>
      </c>
      <c r="AF700" s="244">
        <v>0</v>
      </c>
      <c r="AG700" s="244">
        <v>0</v>
      </c>
      <c r="AH700" s="244">
        <v>2.2608551979064941</v>
      </c>
      <c r="AI700" s="244">
        <v>7.3628950119018555</v>
      </c>
      <c r="AJ700" s="244">
        <v>0</v>
      </c>
      <c r="AK700" s="244">
        <v>12.556410789489746</v>
      </c>
      <c r="AL700" s="244">
        <v>22.18016242980957</v>
      </c>
      <c r="AM700" s="244">
        <v>1140.7039794921875</v>
      </c>
      <c r="AN700" s="244">
        <v>0</v>
      </c>
      <c r="AO700" s="244">
        <v>200.9866943359375</v>
      </c>
      <c r="AP700" s="244">
        <v>869.162841796875</v>
      </c>
      <c r="AQ700" s="244">
        <v>2210.853515625</v>
      </c>
      <c r="AR700" s="244">
        <v>2.2608551979064941</v>
      </c>
      <c r="AS700" s="228">
        <v>977.8837307547185</v>
      </c>
      <c r="AT700" s="244">
        <v>1140.7039794921875</v>
      </c>
      <c r="AU700" s="244">
        <v>168.67007446289062</v>
      </c>
      <c r="AV700" s="244">
        <v>217.85369873046875</v>
      </c>
      <c r="AW700" s="244">
        <v>869.162841796875</v>
      </c>
      <c r="AX700" s="244">
        <v>2396.390625</v>
      </c>
      <c r="AY700" s="244">
        <v>7.3628950119018555</v>
      </c>
      <c r="AZ700" s="228">
        <v>325.46852179881301</v>
      </c>
      <c r="BA700" s="244">
        <v>1140.7039794921875</v>
      </c>
      <c r="BB700" s="244">
        <v>168.67007446289062</v>
      </c>
      <c r="BC700" s="244">
        <v>217.85369873046875</v>
      </c>
      <c r="BD700" s="244">
        <v>869.162841796875</v>
      </c>
      <c r="BE700" s="244">
        <v>2396.390625</v>
      </c>
      <c r="BF700" s="244">
        <v>9.6237506866455078</v>
      </c>
      <c r="BG700" s="244">
        <v>-61.646350860595703</v>
      </c>
      <c r="BH700" s="228">
        <v>249.00797636621954</v>
      </c>
      <c r="BI700" s="244">
        <v>0.11185108125209808</v>
      </c>
      <c r="BJ700" s="244">
        <v>0.36426380276679993</v>
      </c>
      <c r="BK700" s="244">
        <v>0</v>
      </c>
      <c r="BL700" s="244">
        <v>0.62120217084884644</v>
      </c>
      <c r="BM700" s="244">
        <v>1.097317099571228</v>
      </c>
      <c r="BN700" s="244">
        <v>1140.7039794921875</v>
      </c>
      <c r="BO700" s="244">
        <v>1042.619140625</v>
      </c>
      <c r="BP700" s="244">
        <v>168.67007446289062</v>
      </c>
      <c r="BQ700" s="244">
        <v>0</v>
      </c>
      <c r="BR700" s="244">
        <v>0</v>
      </c>
      <c r="BS700" s="244">
        <v>0</v>
      </c>
      <c r="BT700" s="244">
        <v>869.162841796875</v>
      </c>
      <c r="BU700" s="244">
        <v>0</v>
      </c>
      <c r="BV700" s="244">
        <v>5879.45068359375</v>
      </c>
      <c r="BW700" s="244">
        <v>217.85369873046875</v>
      </c>
      <c r="BX700" s="244">
        <v>19.91282844543457</v>
      </c>
      <c r="BY700" s="244">
        <v>2.2673332691192627</v>
      </c>
      <c r="BZ700" s="244">
        <v>0</v>
      </c>
      <c r="CA700" s="244">
        <v>0</v>
      </c>
      <c r="CB700" s="244">
        <v>9318.4599609375</v>
      </c>
      <c r="CC700" s="244">
        <v>22.18016242980957</v>
      </c>
      <c r="CD700" s="228">
        <v>420.12590073167632</v>
      </c>
      <c r="CE700" s="244">
        <v>-403.48007202148437</v>
      </c>
      <c r="CF700" s="244">
        <v>12.247342029361157</v>
      </c>
      <c r="CG700" s="244">
        <v>11.806277501405351</v>
      </c>
      <c r="CH700" s="244">
        <v>24.053619530766507</v>
      </c>
      <c r="CI700" s="244">
        <v>0.6006229867795283</v>
      </c>
      <c r="CJ700" s="244">
        <v>0.7378923438378332</v>
      </c>
      <c r="CK700" s="244">
        <v>1.3385153306173616</v>
      </c>
      <c r="CL700" s="244"/>
      <c r="CM700" s="244">
        <v>126.13544464111328</v>
      </c>
      <c r="CN700" s="244"/>
      <c r="CO700" s="244">
        <v>0.28600001335144043</v>
      </c>
      <c r="CP700" s="244">
        <v>0.31700000166893005</v>
      </c>
      <c r="CQ700" s="244">
        <v>1042.619140625</v>
      </c>
      <c r="CR700" s="244">
        <v>0</v>
      </c>
      <c r="CS700" s="244">
        <v>0</v>
      </c>
      <c r="CT700" s="244">
        <v>1042.619140625</v>
      </c>
      <c r="CU700" s="244">
        <v>0</v>
      </c>
      <c r="CV700" s="244">
        <v>0</v>
      </c>
      <c r="CW700" s="228">
        <v>9999</v>
      </c>
    </row>
    <row r="701" spans="1:101">
      <c r="A701" s="221" t="s">
        <v>603</v>
      </c>
      <c r="C701" s="244">
        <v>10</v>
      </c>
      <c r="D701" s="244">
        <v>991.5654296875</v>
      </c>
      <c r="E701" s="244">
        <v>83.257720947265625</v>
      </c>
      <c r="F701" s="244">
        <v>8.1096944808959961</v>
      </c>
      <c r="G701" s="244">
        <v>0</v>
      </c>
      <c r="H701" s="244">
        <v>0</v>
      </c>
      <c r="I701" s="244"/>
      <c r="J701" s="244">
        <v>0.37702032923698425</v>
      </c>
      <c r="K701" s="244">
        <v>0.3581758439540863</v>
      </c>
      <c r="L701" s="244">
        <v>1081.300048828125</v>
      </c>
      <c r="M701" s="244">
        <v>0.12944398820400238</v>
      </c>
      <c r="N701" s="244">
        <v>0.39230483770370483</v>
      </c>
      <c r="O701" s="244">
        <v>84.090293884277344</v>
      </c>
      <c r="P701" s="244">
        <v>0.25518131256103516</v>
      </c>
      <c r="Q701" s="244">
        <v>0.80498838424682617</v>
      </c>
      <c r="R701" s="244">
        <v>0.80633538961410522</v>
      </c>
      <c r="S701" s="244">
        <v>4.4560842514038086</v>
      </c>
      <c r="T701" s="244">
        <v>0</v>
      </c>
      <c r="U701" s="244">
        <v>8.9822397232055664</v>
      </c>
      <c r="V701" s="244">
        <v>0.81096947193145752</v>
      </c>
      <c r="W701" s="244">
        <v>0.81096947193145752</v>
      </c>
      <c r="X701" s="244">
        <v>0</v>
      </c>
      <c r="Y701" s="244">
        <v>0</v>
      </c>
      <c r="Z701" s="244">
        <v>0</v>
      </c>
      <c r="AA701" s="244">
        <v>0</v>
      </c>
      <c r="AB701" s="244">
        <v>0</v>
      </c>
      <c r="AC701" s="244">
        <v>0</v>
      </c>
      <c r="AD701" s="244">
        <v>0</v>
      </c>
      <c r="AE701" s="244">
        <v>0</v>
      </c>
      <c r="AF701" s="244">
        <v>0</v>
      </c>
      <c r="AG701" s="244">
        <v>0</v>
      </c>
      <c r="AH701" s="244">
        <v>1.617304801940918</v>
      </c>
      <c r="AI701" s="244">
        <v>5.2670536041259766</v>
      </c>
      <c r="AJ701" s="244">
        <v>0</v>
      </c>
      <c r="AK701" s="244">
        <v>8.9822397232055664</v>
      </c>
      <c r="AL701" s="244">
        <v>15.866598129272461</v>
      </c>
      <c r="AM701" s="244">
        <v>760.4693603515625</v>
      </c>
      <c r="AN701" s="244">
        <v>0</v>
      </c>
      <c r="AO701" s="244">
        <v>133.99113464355469</v>
      </c>
      <c r="AP701" s="244">
        <v>579.44195556640625</v>
      </c>
      <c r="AQ701" s="244">
        <v>1473.9024658203125</v>
      </c>
      <c r="AR701" s="244">
        <v>1.617304801940918</v>
      </c>
      <c r="AS701" s="228">
        <v>911.33248010706029</v>
      </c>
      <c r="AT701" s="244">
        <v>760.4693603515625</v>
      </c>
      <c r="AU701" s="244">
        <v>112.44670867919922</v>
      </c>
      <c r="AV701" s="244">
        <v>145.23580932617187</v>
      </c>
      <c r="AW701" s="244">
        <v>579.44195556640625</v>
      </c>
      <c r="AX701" s="244">
        <v>1597.5938720703125</v>
      </c>
      <c r="AY701" s="244">
        <v>5.2670536041259766</v>
      </c>
      <c r="AZ701" s="228">
        <v>303.31830997761165</v>
      </c>
      <c r="BA701" s="244">
        <v>760.4693603515625</v>
      </c>
      <c r="BB701" s="244">
        <v>112.44670867919922</v>
      </c>
      <c r="BC701" s="244">
        <v>145.23580932617187</v>
      </c>
      <c r="BD701" s="244">
        <v>579.44195556640625</v>
      </c>
      <c r="BE701" s="244">
        <v>1597.5938720703125</v>
      </c>
      <c r="BF701" s="244">
        <v>6.8843584060668945</v>
      </c>
      <c r="BG701" s="244">
        <v>-61.611591339111328</v>
      </c>
      <c r="BH701" s="228">
        <v>232.0613916642744</v>
      </c>
      <c r="BI701" s="244">
        <v>0.12001916021108627</v>
      </c>
      <c r="BJ701" s="244">
        <v>0.39086470007896423</v>
      </c>
      <c r="BK701" s="244">
        <v>0</v>
      </c>
      <c r="BL701" s="244">
        <v>0.66656625270843506</v>
      </c>
      <c r="BM701" s="244">
        <v>1.1774500608444214</v>
      </c>
      <c r="BN701" s="244">
        <v>760.4693603515625</v>
      </c>
      <c r="BO701" s="244">
        <v>695.0794677734375</v>
      </c>
      <c r="BP701" s="244">
        <v>112.44670867919922</v>
      </c>
      <c r="BQ701" s="244">
        <v>0</v>
      </c>
      <c r="BR701" s="244">
        <v>0</v>
      </c>
      <c r="BS701" s="244">
        <v>0</v>
      </c>
      <c r="BT701" s="244">
        <v>579.44195556640625</v>
      </c>
      <c r="BU701" s="244">
        <v>0</v>
      </c>
      <c r="BV701" s="244">
        <v>3919.634033203125</v>
      </c>
      <c r="BW701" s="244">
        <v>145.23580932617187</v>
      </c>
      <c r="BX701" s="244">
        <v>14.244659423828125</v>
      </c>
      <c r="BY701" s="244">
        <v>1.621938943862915</v>
      </c>
      <c r="BZ701" s="244">
        <v>0</v>
      </c>
      <c r="CA701" s="244">
        <v>0</v>
      </c>
      <c r="CB701" s="244">
        <v>6212.30712890625</v>
      </c>
      <c r="CC701" s="244">
        <v>15.866598129272461</v>
      </c>
      <c r="CD701" s="228">
        <v>391.53366026771988</v>
      </c>
      <c r="CE701" s="244">
        <v>-403.39996337890625</v>
      </c>
      <c r="CF701" s="244">
        <v>8.1648946862407996</v>
      </c>
      <c r="CG701" s="244">
        <v>7.8708516676035485</v>
      </c>
      <c r="CH701" s="244">
        <v>16.035746353844349</v>
      </c>
      <c r="CI701" s="244">
        <v>0.40041532451968564</v>
      </c>
      <c r="CJ701" s="244">
        <v>0.49192822922522239</v>
      </c>
      <c r="CK701" s="244">
        <v>0.89234355374490804</v>
      </c>
      <c r="CL701" s="244"/>
      <c r="CM701" s="244">
        <v>84.090293884277344</v>
      </c>
      <c r="CN701" s="244"/>
      <c r="CO701" s="244">
        <v>0.28600001335144043</v>
      </c>
      <c r="CP701" s="244">
        <v>0.31699997186660767</v>
      </c>
      <c r="CQ701" s="244">
        <v>695.0794677734375</v>
      </c>
      <c r="CR701" s="244">
        <v>0</v>
      </c>
      <c r="CS701" s="244">
        <v>0</v>
      </c>
      <c r="CT701" s="244">
        <v>695.0794677734375</v>
      </c>
      <c r="CU701" s="244">
        <v>0</v>
      </c>
      <c r="CV701" s="244">
        <v>0</v>
      </c>
      <c r="CW701" s="228">
        <v>9999</v>
      </c>
    </row>
    <row r="702" spans="1:101">
      <c r="A702" s="221" t="s">
        <v>589</v>
      </c>
      <c r="C702" s="244">
        <v>10.000001907348633</v>
      </c>
      <c r="D702" s="244">
        <v>2600.62109375</v>
      </c>
      <c r="E702" s="244">
        <v>0</v>
      </c>
      <c r="F702" s="244">
        <v>11.336667060852051</v>
      </c>
      <c r="G702" s="244">
        <v>0</v>
      </c>
      <c r="H702" s="244">
        <v>0</v>
      </c>
      <c r="I702" s="244"/>
      <c r="J702" s="244">
        <v>0.31946483254432678</v>
      </c>
      <c r="K702" s="244">
        <v>0.33213889598846436</v>
      </c>
      <c r="L702" s="244">
        <v>2835.9326171875</v>
      </c>
      <c r="M702" s="244">
        <v>0.35171863436698914</v>
      </c>
      <c r="N702" s="244">
        <v>1.0940593481063843</v>
      </c>
      <c r="O702" s="244">
        <v>0</v>
      </c>
      <c r="P702" s="244">
        <v>0</v>
      </c>
      <c r="Q702" s="244">
        <v>0</v>
      </c>
      <c r="R702" s="244">
        <v>1.1271885633468628</v>
      </c>
      <c r="S702" s="244">
        <v>6.2292284965515137</v>
      </c>
      <c r="T702" s="244">
        <v>0</v>
      </c>
      <c r="U702" s="244">
        <v>12.556410789489746</v>
      </c>
      <c r="V702" s="244">
        <v>1.1336666345596313</v>
      </c>
      <c r="W702" s="244">
        <v>1.1336666345596313</v>
      </c>
      <c r="X702" s="244">
        <v>0</v>
      </c>
      <c r="Y702" s="244">
        <v>0</v>
      </c>
      <c r="Z702" s="244">
        <v>0</v>
      </c>
      <c r="AA702" s="244">
        <v>0</v>
      </c>
      <c r="AB702" s="244">
        <v>0</v>
      </c>
      <c r="AC702" s="244">
        <v>0</v>
      </c>
      <c r="AD702" s="244">
        <v>0</v>
      </c>
      <c r="AE702" s="244">
        <v>0</v>
      </c>
      <c r="AF702" s="244">
        <v>0</v>
      </c>
      <c r="AG702" s="244">
        <v>0</v>
      </c>
      <c r="AH702" s="244">
        <v>2.2608551979064941</v>
      </c>
      <c r="AI702" s="244">
        <v>7.3628950119018555</v>
      </c>
      <c r="AJ702" s="244">
        <v>0</v>
      </c>
      <c r="AK702" s="244">
        <v>12.556410789489746</v>
      </c>
      <c r="AL702" s="244">
        <v>22.18016242980957</v>
      </c>
      <c r="AM702" s="244">
        <v>1997.2222900390625</v>
      </c>
      <c r="AN702" s="244">
        <v>0</v>
      </c>
      <c r="AO702" s="244">
        <v>351.69284057617187</v>
      </c>
      <c r="AP702" s="244">
        <v>1519.7059326171875</v>
      </c>
      <c r="AQ702" s="244">
        <v>3868.62109375</v>
      </c>
      <c r="AR702" s="244">
        <v>2.2608551979064941</v>
      </c>
      <c r="AS702" s="228">
        <v>1711.1317287434799</v>
      </c>
      <c r="AT702" s="244">
        <v>1997.2222900390625</v>
      </c>
      <c r="AU702" s="244">
        <v>313.59133911132812</v>
      </c>
      <c r="AV702" s="244">
        <v>383.05197143554687</v>
      </c>
      <c r="AW702" s="244">
        <v>1519.7059326171875</v>
      </c>
      <c r="AX702" s="244">
        <v>4213.5712890625</v>
      </c>
      <c r="AY702" s="244">
        <v>7.3628950119018555</v>
      </c>
      <c r="AZ702" s="228">
        <v>572.27102358135164</v>
      </c>
      <c r="BA702" s="244">
        <v>1997.2222900390625</v>
      </c>
      <c r="BB702" s="244">
        <v>313.59133911132812</v>
      </c>
      <c r="BC702" s="244">
        <v>383.05197143554687</v>
      </c>
      <c r="BD702" s="244">
        <v>1519.7059326171875</v>
      </c>
      <c r="BE702" s="244">
        <v>4213.5712890625</v>
      </c>
      <c r="BF702" s="244">
        <v>9.6237506866455078</v>
      </c>
      <c r="BG702" s="244">
        <v>-62.439201354980469</v>
      </c>
      <c r="BH702" s="228">
        <v>437.83051192613726</v>
      </c>
      <c r="BI702" s="244">
        <v>6.3970796763896942E-2</v>
      </c>
      <c r="BJ702" s="244">
        <v>0.20833279192447662</v>
      </c>
      <c r="BK702" s="244">
        <v>0</v>
      </c>
      <c r="BL702" s="244">
        <v>0.35528311133384705</v>
      </c>
      <c r="BM702" s="244">
        <v>0.6275867223739624</v>
      </c>
      <c r="BN702" s="244">
        <v>1997.2222900390625</v>
      </c>
      <c r="BO702" s="244">
        <v>0</v>
      </c>
      <c r="BP702" s="244">
        <v>313.59133911132812</v>
      </c>
      <c r="BQ702" s="244">
        <v>0</v>
      </c>
      <c r="BR702" s="244">
        <v>0</v>
      </c>
      <c r="BS702" s="244">
        <v>0</v>
      </c>
      <c r="BT702" s="244">
        <v>1519.7059326171875</v>
      </c>
      <c r="BU702" s="244">
        <v>0</v>
      </c>
      <c r="BV702" s="244">
        <v>3779.6474609375</v>
      </c>
      <c r="BW702" s="244">
        <v>383.05197143554687</v>
      </c>
      <c r="BX702" s="244">
        <v>19.91282844543457</v>
      </c>
      <c r="BY702" s="244">
        <v>2.2673332691192627</v>
      </c>
      <c r="BZ702" s="244">
        <v>0</v>
      </c>
      <c r="CA702" s="244">
        <v>0</v>
      </c>
      <c r="CB702" s="244">
        <v>7993.21875</v>
      </c>
      <c r="CC702" s="244">
        <v>22.18016242980957</v>
      </c>
      <c r="CD702" s="228">
        <v>360.37694841944091</v>
      </c>
      <c r="CE702" s="244">
        <v>-169.02886962890625</v>
      </c>
      <c r="CF702" s="244">
        <v>21.405670038777092</v>
      </c>
      <c r="CG702" s="244">
        <v>0</v>
      </c>
      <c r="CH702" s="244">
        <v>21.405670038777092</v>
      </c>
      <c r="CI702" s="244">
        <v>1.0496671957462627</v>
      </c>
      <c r="CJ702" s="244">
        <v>0</v>
      </c>
      <c r="CK702" s="244">
        <v>1.0496671957462627</v>
      </c>
      <c r="CL702" s="244"/>
      <c r="CM702" s="244">
        <v>0</v>
      </c>
      <c r="CN702" s="244"/>
      <c r="CO702" s="244">
        <v>0</v>
      </c>
      <c r="CP702" s="244">
        <v>0</v>
      </c>
      <c r="CQ702" s="244">
        <v>0</v>
      </c>
      <c r="CR702" s="244">
        <v>0</v>
      </c>
      <c r="CS702" s="244">
        <v>0</v>
      </c>
      <c r="CT702" s="244">
        <v>0</v>
      </c>
      <c r="CU702" s="244">
        <v>0</v>
      </c>
      <c r="CV702" s="244">
        <v>9999</v>
      </c>
      <c r="CW702" s="228">
        <v>9999</v>
      </c>
    </row>
    <row r="703" spans="1:101">
      <c r="A703" s="221" t="s">
        <v>593</v>
      </c>
      <c r="C703" s="244">
        <v>10</v>
      </c>
      <c r="D703" s="244">
        <v>189.60629272460937</v>
      </c>
      <c r="E703" s="244">
        <v>182.76084899902344</v>
      </c>
      <c r="F703" s="244">
        <v>11.336667060852051</v>
      </c>
      <c r="G703" s="244">
        <v>0</v>
      </c>
      <c r="H703" s="244">
        <v>0</v>
      </c>
      <c r="I703" s="244"/>
      <c r="J703" s="244">
        <v>1</v>
      </c>
      <c r="K703" s="244">
        <v>0.63999998569488525</v>
      </c>
      <c r="L703" s="244">
        <v>206.79653930664062</v>
      </c>
      <c r="M703" s="244">
        <v>1.5108423307538033E-2</v>
      </c>
      <c r="N703" s="244">
        <v>2.3606911301612854E-2</v>
      </c>
      <c r="O703" s="244">
        <v>184.58845520019531</v>
      </c>
      <c r="P703" s="244">
        <v>0.56015408039093018</v>
      </c>
      <c r="Q703" s="244">
        <v>1.767047643661499</v>
      </c>
      <c r="R703" s="244">
        <v>1.1271885633468628</v>
      </c>
      <c r="S703" s="244">
        <v>6.2292284965515137</v>
      </c>
      <c r="T703" s="244">
        <v>0</v>
      </c>
      <c r="U703" s="244">
        <v>12.556410789489746</v>
      </c>
      <c r="V703" s="244">
        <v>1.1336666345596313</v>
      </c>
      <c r="W703" s="244">
        <v>1.1336666345596313</v>
      </c>
      <c r="X703" s="244">
        <v>0</v>
      </c>
      <c r="Y703" s="244">
        <v>0</v>
      </c>
      <c r="Z703" s="244">
        <v>0</v>
      </c>
      <c r="AA703" s="244">
        <v>0</v>
      </c>
      <c r="AB703" s="244">
        <v>0</v>
      </c>
      <c r="AC703" s="244">
        <v>0</v>
      </c>
      <c r="AD703" s="244">
        <v>0</v>
      </c>
      <c r="AE703" s="244">
        <v>0</v>
      </c>
      <c r="AF703" s="244">
        <v>0</v>
      </c>
      <c r="AG703" s="244">
        <v>0</v>
      </c>
      <c r="AH703" s="244">
        <v>2.2608551979064941</v>
      </c>
      <c r="AI703" s="244">
        <v>7.3628950119018555</v>
      </c>
      <c r="AJ703" s="244">
        <v>0</v>
      </c>
      <c r="AK703" s="244">
        <v>12.556410789489746</v>
      </c>
      <c r="AL703" s="244">
        <v>22.18016242980957</v>
      </c>
      <c r="AM703" s="244">
        <v>143.28031921386719</v>
      </c>
      <c r="AN703" s="244">
        <v>0</v>
      </c>
      <c r="AO703" s="244">
        <v>25.409748077392578</v>
      </c>
      <c r="AP703" s="244">
        <v>110.81714630126953</v>
      </c>
      <c r="AQ703" s="244">
        <v>279.5072021484375</v>
      </c>
      <c r="AR703" s="244">
        <v>2.2608551979064941</v>
      </c>
      <c r="AS703" s="228">
        <v>123.62897626143739</v>
      </c>
      <c r="AT703" s="244">
        <v>143.28031921386719</v>
      </c>
      <c r="AU703" s="244">
        <v>6.7664718627929687</v>
      </c>
      <c r="AV703" s="244">
        <v>26.086395263671875</v>
      </c>
      <c r="AW703" s="244">
        <v>110.81714630126953</v>
      </c>
      <c r="AX703" s="244">
        <v>286.9503173828125</v>
      </c>
      <c r="AY703" s="244">
        <v>7.3628950119018555</v>
      </c>
      <c r="AZ703" s="228">
        <v>38.972486709626338</v>
      </c>
      <c r="BA703" s="244">
        <v>143.28031921386719</v>
      </c>
      <c r="BB703" s="244">
        <v>6.7664718627929687</v>
      </c>
      <c r="BC703" s="244">
        <v>26.086395263671875</v>
      </c>
      <c r="BD703" s="244">
        <v>110.81714630126953</v>
      </c>
      <c r="BE703" s="244">
        <v>286.9503173828125</v>
      </c>
      <c r="BF703" s="244">
        <v>9.6237506866455078</v>
      </c>
      <c r="BG703" s="244">
        <v>-52.013530731201172</v>
      </c>
      <c r="BH703" s="228">
        <v>29.816892877653498</v>
      </c>
      <c r="BI703" s="244">
        <v>0.87727224826812744</v>
      </c>
      <c r="BJ703" s="244">
        <v>2.8570001125335693</v>
      </c>
      <c r="BK703" s="244">
        <v>0</v>
      </c>
      <c r="BL703" s="244">
        <v>4.872222900390625</v>
      </c>
      <c r="BM703" s="244">
        <v>8.6064958572387695</v>
      </c>
      <c r="BN703" s="244">
        <v>143.28031921386719</v>
      </c>
      <c r="BO703" s="244">
        <v>1525.7841796875</v>
      </c>
      <c r="BP703" s="244">
        <v>6.7664718627929687</v>
      </c>
      <c r="BQ703" s="244">
        <v>0</v>
      </c>
      <c r="BR703" s="244">
        <v>0</v>
      </c>
      <c r="BS703" s="244">
        <v>0</v>
      </c>
      <c r="BT703" s="244">
        <v>110.81714630126953</v>
      </c>
      <c r="BU703" s="244">
        <v>0</v>
      </c>
      <c r="BV703" s="244">
        <v>5879.45068359375</v>
      </c>
      <c r="BW703" s="244">
        <v>26.086395263671875</v>
      </c>
      <c r="BX703" s="244">
        <v>19.91282844543457</v>
      </c>
      <c r="BY703" s="244">
        <v>2.2673332691192627</v>
      </c>
      <c r="BZ703" s="244">
        <v>0</v>
      </c>
      <c r="CA703" s="244">
        <v>0</v>
      </c>
      <c r="CB703" s="244">
        <v>7692.18505859375</v>
      </c>
      <c r="CC703" s="244">
        <v>22.18016242980957</v>
      </c>
      <c r="CD703" s="228">
        <v>346.80473906894525</v>
      </c>
      <c r="CE703" s="244">
        <v>-2920.5703125</v>
      </c>
      <c r="CF703" s="244">
        <v>1.5681894847749234</v>
      </c>
      <c r="CG703" s="244">
        <v>17.277479270349243</v>
      </c>
      <c r="CH703" s="244">
        <v>18.845668755124166</v>
      </c>
      <c r="CI703" s="244">
        <v>7.6976875625558605E-2</v>
      </c>
      <c r="CJ703" s="244">
        <v>1.0798424543968308</v>
      </c>
      <c r="CK703" s="244">
        <v>1.1568193300223895</v>
      </c>
      <c r="CL703" s="244"/>
      <c r="CM703" s="244">
        <v>184.58845520019531</v>
      </c>
      <c r="CN703" s="244"/>
      <c r="CO703" s="244">
        <v>0.28600001335144043</v>
      </c>
      <c r="CP703" s="244">
        <v>0.31700000166893005</v>
      </c>
      <c r="CQ703" s="244">
        <v>1525.7841796875</v>
      </c>
      <c r="CR703" s="244">
        <v>0</v>
      </c>
      <c r="CS703" s="244">
        <v>0</v>
      </c>
      <c r="CT703" s="244">
        <v>1525.7841796875</v>
      </c>
      <c r="CU703" s="244">
        <v>0</v>
      </c>
      <c r="CV703" s="244">
        <v>0</v>
      </c>
      <c r="CW703" s="228">
        <v>9999</v>
      </c>
    </row>
    <row r="704" spans="1:101">
      <c r="A704" s="221" t="s">
        <v>598</v>
      </c>
      <c r="C704" s="244">
        <v>9.9999990463256836</v>
      </c>
      <c r="D704" s="244">
        <v>1733.74755859375</v>
      </c>
      <c r="E704" s="244">
        <v>0</v>
      </c>
      <c r="F704" s="244">
        <v>8.1096944808959961</v>
      </c>
      <c r="G704" s="244">
        <v>0</v>
      </c>
      <c r="H704" s="244">
        <v>0</v>
      </c>
      <c r="I704" s="244"/>
      <c r="J704" s="244">
        <v>0.31946480274200439</v>
      </c>
      <c r="K704" s="244">
        <v>0.33213883638381958</v>
      </c>
      <c r="L704" s="244">
        <v>1890.62158203125</v>
      </c>
      <c r="M704" s="244">
        <v>0.23447908461093903</v>
      </c>
      <c r="N704" s="244">
        <v>0.72937291860580444</v>
      </c>
      <c r="O704" s="244">
        <v>0</v>
      </c>
      <c r="P704" s="244">
        <v>0</v>
      </c>
      <c r="Q704" s="244">
        <v>0</v>
      </c>
      <c r="R704" s="244">
        <v>0.80633538961410522</v>
      </c>
      <c r="S704" s="244">
        <v>4.4560842514038086</v>
      </c>
      <c r="T704" s="244">
        <v>0</v>
      </c>
      <c r="U704" s="244">
        <v>8.9822397232055664</v>
      </c>
      <c r="V704" s="244">
        <v>0.81096947193145752</v>
      </c>
      <c r="W704" s="244">
        <v>0.81096947193145752</v>
      </c>
      <c r="X704" s="244">
        <v>0</v>
      </c>
      <c r="Y704" s="244">
        <v>0</v>
      </c>
      <c r="Z704" s="244">
        <v>0</v>
      </c>
      <c r="AA704" s="244">
        <v>0</v>
      </c>
      <c r="AB704" s="244">
        <v>0</v>
      </c>
      <c r="AC704" s="244">
        <v>0</v>
      </c>
      <c r="AD704" s="244">
        <v>0</v>
      </c>
      <c r="AE704" s="244">
        <v>0</v>
      </c>
      <c r="AF704" s="244">
        <v>0</v>
      </c>
      <c r="AG704" s="244">
        <v>0</v>
      </c>
      <c r="AH704" s="244">
        <v>1.617304801940918</v>
      </c>
      <c r="AI704" s="244">
        <v>5.2670536041259766</v>
      </c>
      <c r="AJ704" s="244">
        <v>0</v>
      </c>
      <c r="AK704" s="244">
        <v>8.9822397232055664</v>
      </c>
      <c r="AL704" s="244">
        <v>15.866598129272461</v>
      </c>
      <c r="AM704" s="244">
        <v>1331.4815673828125</v>
      </c>
      <c r="AN704" s="244">
        <v>0</v>
      </c>
      <c r="AO704" s="244">
        <v>234.46189880371094</v>
      </c>
      <c r="AP704" s="244">
        <v>1013.1373291015625</v>
      </c>
      <c r="AQ704" s="244">
        <v>2579.080810546875</v>
      </c>
      <c r="AR704" s="244">
        <v>1.617304801940918</v>
      </c>
      <c r="AS704" s="228">
        <v>1594.6781937101275</v>
      </c>
      <c r="AT704" s="244">
        <v>1331.4815673828125</v>
      </c>
      <c r="AU704" s="244">
        <v>209.06088256835937</v>
      </c>
      <c r="AV704" s="244">
        <v>255.36798095703125</v>
      </c>
      <c r="AW704" s="244">
        <v>1013.1373291015625</v>
      </c>
      <c r="AX704" s="244">
        <v>2809.0478515625</v>
      </c>
      <c r="AY704" s="244">
        <v>5.2670536041259766</v>
      </c>
      <c r="AZ704" s="228">
        <v>533.32430378761865</v>
      </c>
      <c r="BA704" s="244">
        <v>1331.4815673828125</v>
      </c>
      <c r="BB704" s="244">
        <v>209.06088256835937</v>
      </c>
      <c r="BC704" s="244">
        <v>255.36798095703125</v>
      </c>
      <c r="BD704" s="244">
        <v>1013.1373291015625</v>
      </c>
      <c r="BE704" s="244">
        <v>2809.0478515625</v>
      </c>
      <c r="BF704" s="244">
        <v>6.8843584060668945</v>
      </c>
      <c r="BG704" s="244">
        <v>-62.419319152832031</v>
      </c>
      <c r="BH704" s="228">
        <v>408.03333024791755</v>
      </c>
      <c r="BI704" s="244">
        <v>6.8642355501651764E-2</v>
      </c>
      <c r="BJ704" s="244">
        <v>0.2235465943813324</v>
      </c>
      <c r="BK704" s="244">
        <v>0</v>
      </c>
      <c r="BL704" s="244">
        <v>0.38122811913490295</v>
      </c>
      <c r="BM704" s="244">
        <v>0.67341703176498413</v>
      </c>
      <c r="BN704" s="244">
        <v>1331.4815673828125</v>
      </c>
      <c r="BO704" s="244">
        <v>0</v>
      </c>
      <c r="BP704" s="244">
        <v>209.06088256835937</v>
      </c>
      <c r="BQ704" s="244">
        <v>0</v>
      </c>
      <c r="BR704" s="244">
        <v>0</v>
      </c>
      <c r="BS704" s="244">
        <v>0</v>
      </c>
      <c r="BT704" s="244">
        <v>1013.1373291015625</v>
      </c>
      <c r="BU704" s="244">
        <v>0</v>
      </c>
      <c r="BV704" s="244">
        <v>2519.764892578125</v>
      </c>
      <c r="BW704" s="244">
        <v>255.36798095703125</v>
      </c>
      <c r="BX704" s="244">
        <v>14.244659423828125</v>
      </c>
      <c r="BY704" s="244">
        <v>1.621938943862915</v>
      </c>
      <c r="BZ704" s="244">
        <v>0</v>
      </c>
      <c r="CA704" s="244">
        <v>0</v>
      </c>
      <c r="CB704" s="244">
        <v>5328.8125</v>
      </c>
      <c r="CC704" s="244">
        <v>15.866598129272461</v>
      </c>
      <c r="CD704" s="228">
        <v>335.85098261760294</v>
      </c>
      <c r="CE704" s="244">
        <v>-168.98304748535156</v>
      </c>
      <c r="CF704" s="244">
        <v>14.270446692518053</v>
      </c>
      <c r="CG704" s="244">
        <v>0</v>
      </c>
      <c r="CH704" s="244">
        <v>14.270446692518053</v>
      </c>
      <c r="CI704" s="244">
        <v>0.69977813049750837</v>
      </c>
      <c r="CJ704" s="244">
        <v>0</v>
      </c>
      <c r="CK704" s="244">
        <v>0.69977813049750837</v>
      </c>
      <c r="CL704" s="244"/>
      <c r="CM704" s="244">
        <v>0</v>
      </c>
      <c r="CN704" s="244"/>
      <c r="CO704" s="244">
        <v>0</v>
      </c>
      <c r="CP704" s="244">
        <v>0</v>
      </c>
      <c r="CQ704" s="244">
        <v>0</v>
      </c>
      <c r="CR704" s="244">
        <v>0</v>
      </c>
      <c r="CS704" s="244">
        <v>0</v>
      </c>
      <c r="CT704" s="244">
        <v>0</v>
      </c>
      <c r="CU704" s="244">
        <v>0</v>
      </c>
      <c r="CV704" s="244">
        <v>9999</v>
      </c>
      <c r="CW704" s="228">
        <v>9999</v>
      </c>
    </row>
    <row r="705" spans="1:101">
      <c r="A705" s="221" t="s">
        <v>586</v>
      </c>
      <c r="C705" s="244">
        <v>10</v>
      </c>
      <c r="D705" s="244">
        <v>2430.963134765625</v>
      </c>
      <c r="E705" s="244">
        <v>0</v>
      </c>
      <c r="F705" s="244">
        <v>11.336667060852051</v>
      </c>
      <c r="G705" s="244">
        <v>0</v>
      </c>
      <c r="H705" s="244">
        <v>0</v>
      </c>
      <c r="I705" s="244"/>
      <c r="J705" s="244">
        <v>0.31782251596450806</v>
      </c>
      <c r="K705" s="244">
        <v>0.33139589428901672</v>
      </c>
      <c r="L705" s="244">
        <v>2650.922119140625</v>
      </c>
      <c r="M705" s="244">
        <v>0.32909929752349854</v>
      </c>
      <c r="N705" s="244">
        <v>1.0244231224060059</v>
      </c>
      <c r="O705" s="244">
        <v>0</v>
      </c>
      <c r="P705" s="244">
        <v>0</v>
      </c>
      <c r="Q705" s="244">
        <v>0</v>
      </c>
      <c r="R705" s="244">
        <v>1.1271885633468628</v>
      </c>
      <c r="S705" s="244">
        <v>6.2292284965515137</v>
      </c>
      <c r="T705" s="244">
        <v>0</v>
      </c>
      <c r="U705" s="244">
        <v>12.556410789489746</v>
      </c>
      <c r="V705" s="244">
        <v>1.1336666345596313</v>
      </c>
      <c r="W705" s="244">
        <v>1.1336666345596313</v>
      </c>
      <c r="X705" s="244">
        <v>0</v>
      </c>
      <c r="Y705" s="244">
        <v>0</v>
      </c>
      <c r="Z705" s="244">
        <v>0</v>
      </c>
      <c r="AA705" s="244">
        <v>0</v>
      </c>
      <c r="AB705" s="244">
        <v>0</v>
      </c>
      <c r="AC705" s="244">
        <v>0</v>
      </c>
      <c r="AD705" s="244">
        <v>0</v>
      </c>
      <c r="AE705" s="244">
        <v>0</v>
      </c>
      <c r="AF705" s="244">
        <v>0</v>
      </c>
      <c r="AG705" s="244">
        <v>0</v>
      </c>
      <c r="AH705" s="244">
        <v>2.2608551979064941</v>
      </c>
      <c r="AI705" s="244">
        <v>7.3628950119018555</v>
      </c>
      <c r="AJ705" s="244">
        <v>0</v>
      </c>
      <c r="AK705" s="244">
        <v>12.556410789489746</v>
      </c>
      <c r="AL705" s="244">
        <v>22.18016242980957</v>
      </c>
      <c r="AM705" s="244">
        <v>1867.0006103515625</v>
      </c>
      <c r="AN705" s="244">
        <v>0</v>
      </c>
      <c r="AO705" s="244">
        <v>328.75640869140625</v>
      </c>
      <c r="AP705" s="244">
        <v>1420.5634765625</v>
      </c>
      <c r="AQ705" s="244">
        <v>3616.320556640625</v>
      </c>
      <c r="AR705" s="244">
        <v>2.2608551979064941</v>
      </c>
      <c r="AS705" s="228">
        <v>1599.536537746472</v>
      </c>
      <c r="AT705" s="244">
        <v>1867.0006103515625</v>
      </c>
      <c r="AU705" s="244">
        <v>293.63140869140625</v>
      </c>
      <c r="AV705" s="244">
        <v>358.11956787109375</v>
      </c>
      <c r="AW705" s="244">
        <v>1420.5634765625</v>
      </c>
      <c r="AX705" s="244">
        <v>3939.31494140625</v>
      </c>
      <c r="AY705" s="244">
        <v>7.3628950119018555</v>
      </c>
      <c r="AZ705" s="228">
        <v>535.02256834154787</v>
      </c>
      <c r="BA705" s="244">
        <v>1867.0006103515625</v>
      </c>
      <c r="BB705" s="244">
        <v>293.63140869140625</v>
      </c>
      <c r="BC705" s="244">
        <v>358.11956787109375</v>
      </c>
      <c r="BD705" s="244">
        <v>1420.5634765625</v>
      </c>
      <c r="BE705" s="244">
        <v>3939.31494140625</v>
      </c>
      <c r="BF705" s="244">
        <v>9.6237506866455078</v>
      </c>
      <c r="BG705" s="244">
        <v>-62.437000274658203</v>
      </c>
      <c r="BH705" s="228">
        <v>409.33263320419854</v>
      </c>
      <c r="BI705" s="244">
        <v>6.843537837266922E-2</v>
      </c>
      <c r="BJ705" s="244">
        <v>0.2228725254535675</v>
      </c>
      <c r="BK705" s="244">
        <v>0</v>
      </c>
      <c r="BL705" s="244">
        <v>0.38007861375808716</v>
      </c>
      <c r="BM705" s="244">
        <v>0.67138653993606567</v>
      </c>
      <c r="BN705" s="244">
        <v>1867.0006103515625</v>
      </c>
      <c r="BO705" s="244">
        <v>0</v>
      </c>
      <c r="BP705" s="244">
        <v>293.63140869140625</v>
      </c>
      <c r="BQ705" s="244">
        <v>0</v>
      </c>
      <c r="BR705" s="244">
        <v>0</v>
      </c>
      <c r="BS705" s="244">
        <v>0</v>
      </c>
      <c r="BT705" s="244">
        <v>1420.5634765625</v>
      </c>
      <c r="BU705" s="244">
        <v>0</v>
      </c>
      <c r="BV705" s="244">
        <v>3359.6865234375</v>
      </c>
      <c r="BW705" s="244">
        <v>358.11956787109375</v>
      </c>
      <c r="BX705" s="244">
        <v>19.91282844543457</v>
      </c>
      <c r="BY705" s="244">
        <v>2.2673332691192627</v>
      </c>
      <c r="BZ705" s="244">
        <v>0</v>
      </c>
      <c r="CA705" s="244">
        <v>0</v>
      </c>
      <c r="CB705" s="244">
        <v>7299.00146484375</v>
      </c>
      <c r="CC705" s="244">
        <v>22.18016242980957</v>
      </c>
      <c r="CD705" s="228">
        <v>329.07792471705551</v>
      </c>
      <c r="CE705" s="244">
        <v>-163.75358581542969</v>
      </c>
      <c r="CF705" s="244">
        <v>20.008982945945757</v>
      </c>
      <c r="CG705" s="244">
        <v>0</v>
      </c>
      <c r="CH705" s="244">
        <v>20.008982945945757</v>
      </c>
      <c r="CI705" s="244">
        <v>0.98117561744890269</v>
      </c>
      <c r="CJ705" s="244">
        <v>0</v>
      </c>
      <c r="CK705" s="244">
        <v>0.98117561744890269</v>
      </c>
      <c r="CL705" s="244"/>
      <c r="CM705" s="244">
        <v>0</v>
      </c>
      <c r="CN705" s="244"/>
      <c r="CO705" s="244">
        <v>0</v>
      </c>
      <c r="CP705" s="244">
        <v>0</v>
      </c>
      <c r="CQ705" s="244">
        <v>0</v>
      </c>
      <c r="CR705" s="244">
        <v>0</v>
      </c>
      <c r="CS705" s="244">
        <v>0</v>
      </c>
      <c r="CT705" s="244">
        <v>0</v>
      </c>
      <c r="CU705" s="244">
        <v>0</v>
      </c>
      <c r="CV705" s="244">
        <v>9999</v>
      </c>
      <c r="CW705" s="228">
        <v>9999</v>
      </c>
    </row>
    <row r="706" spans="1:101">
      <c r="A706" s="221" t="s">
        <v>602</v>
      </c>
      <c r="C706" s="244">
        <v>10</v>
      </c>
      <c r="D706" s="244">
        <v>126.40419769287109</v>
      </c>
      <c r="E706" s="244">
        <v>121.84056091308594</v>
      </c>
      <c r="F706" s="244">
        <v>8.1096944808959961</v>
      </c>
      <c r="G706" s="244">
        <v>0</v>
      </c>
      <c r="H706" s="244">
        <v>0</v>
      </c>
      <c r="I706" s="244"/>
      <c r="J706" s="244">
        <v>1</v>
      </c>
      <c r="K706" s="244">
        <v>0.63999998569488525</v>
      </c>
      <c r="L706" s="244">
        <v>137.86436462402344</v>
      </c>
      <c r="M706" s="244">
        <v>1.0072281584143639E-2</v>
      </c>
      <c r="N706" s="244">
        <v>1.573793962597847E-2</v>
      </c>
      <c r="O706" s="244">
        <v>123.05896759033203</v>
      </c>
      <c r="P706" s="244">
        <v>0.3734360933303833</v>
      </c>
      <c r="Q706" s="244">
        <v>1.1780318021774292</v>
      </c>
      <c r="R706" s="244">
        <v>0.80633538961410522</v>
      </c>
      <c r="S706" s="244">
        <v>4.4560842514038086</v>
      </c>
      <c r="T706" s="244">
        <v>0</v>
      </c>
      <c r="U706" s="244">
        <v>8.9822397232055664</v>
      </c>
      <c r="V706" s="244">
        <v>0.81096947193145752</v>
      </c>
      <c r="W706" s="244">
        <v>0.81096947193145752</v>
      </c>
      <c r="X706" s="244">
        <v>0</v>
      </c>
      <c r="Y706" s="244">
        <v>0</v>
      </c>
      <c r="Z706" s="244">
        <v>0</v>
      </c>
      <c r="AA706" s="244">
        <v>0</v>
      </c>
      <c r="AB706" s="244">
        <v>0</v>
      </c>
      <c r="AC706" s="244">
        <v>0</v>
      </c>
      <c r="AD706" s="244">
        <v>0</v>
      </c>
      <c r="AE706" s="244">
        <v>0</v>
      </c>
      <c r="AF706" s="244">
        <v>0</v>
      </c>
      <c r="AG706" s="244">
        <v>0</v>
      </c>
      <c r="AH706" s="244">
        <v>1.617304801940918</v>
      </c>
      <c r="AI706" s="244">
        <v>5.2670536041259766</v>
      </c>
      <c r="AJ706" s="244">
        <v>0</v>
      </c>
      <c r="AK706" s="244">
        <v>8.9822397232055664</v>
      </c>
      <c r="AL706" s="244">
        <v>15.866598129272461</v>
      </c>
      <c r="AM706" s="244">
        <v>95.520217895507812</v>
      </c>
      <c r="AN706" s="244">
        <v>0</v>
      </c>
      <c r="AO706" s="244">
        <v>16.939830780029297</v>
      </c>
      <c r="AP706" s="244">
        <v>73.878097534179688</v>
      </c>
      <c r="AQ706" s="244">
        <v>186.33815002441406</v>
      </c>
      <c r="AR706" s="244">
        <v>1.617304801940918</v>
      </c>
      <c r="AS706" s="228">
        <v>115.2152266652092</v>
      </c>
      <c r="AT706" s="244">
        <v>95.520217895507812</v>
      </c>
      <c r="AU706" s="244">
        <v>4.5109810829162598</v>
      </c>
      <c r="AV706" s="244">
        <v>17.39093017578125</v>
      </c>
      <c r="AW706" s="244">
        <v>73.878097534179688</v>
      </c>
      <c r="AX706" s="244">
        <v>191.30023193359375</v>
      </c>
      <c r="AY706" s="244">
        <v>5.2670536041259766</v>
      </c>
      <c r="AZ706" s="228">
        <v>36.320158619389893</v>
      </c>
      <c r="BA706" s="244">
        <v>95.520217895507812</v>
      </c>
      <c r="BB706" s="244">
        <v>4.5109810829162598</v>
      </c>
      <c r="BC706" s="244">
        <v>17.39093017578125</v>
      </c>
      <c r="BD706" s="244">
        <v>73.878097534179688</v>
      </c>
      <c r="BE706" s="244">
        <v>191.30023193359375</v>
      </c>
      <c r="BF706" s="244">
        <v>6.8843584060668945</v>
      </c>
      <c r="BG706" s="244">
        <v>-51.740833282470703</v>
      </c>
      <c r="BH706" s="228">
        <v>27.787661599805599</v>
      </c>
      <c r="BI706" s="244">
        <v>0.94133621454238892</v>
      </c>
      <c r="BJ706" s="244">
        <v>3.0656363964080811</v>
      </c>
      <c r="BK706" s="244">
        <v>0</v>
      </c>
      <c r="BL706" s="244">
        <v>5.2280235290527344</v>
      </c>
      <c r="BM706" s="244">
        <v>9.2349958419799805</v>
      </c>
      <c r="BN706" s="244">
        <v>95.520217895507812</v>
      </c>
      <c r="BO706" s="244">
        <v>1017.189453125</v>
      </c>
      <c r="BP706" s="244">
        <v>4.5109810829162598</v>
      </c>
      <c r="BQ706" s="244">
        <v>0</v>
      </c>
      <c r="BR706" s="244">
        <v>0</v>
      </c>
      <c r="BS706" s="244">
        <v>0</v>
      </c>
      <c r="BT706" s="244">
        <v>73.878097534179688</v>
      </c>
      <c r="BU706" s="244">
        <v>0</v>
      </c>
      <c r="BV706" s="244">
        <v>3919.634033203125</v>
      </c>
      <c r="BW706" s="244">
        <v>17.39093017578125</v>
      </c>
      <c r="BX706" s="244">
        <v>14.244659423828125</v>
      </c>
      <c r="BY706" s="244">
        <v>1.621938943862915</v>
      </c>
      <c r="BZ706" s="244">
        <v>0</v>
      </c>
      <c r="CA706" s="244">
        <v>0</v>
      </c>
      <c r="CB706" s="244">
        <v>5128.12353515625</v>
      </c>
      <c r="CC706" s="244">
        <v>15.866598129272461</v>
      </c>
      <c r="CD706" s="228">
        <v>323.2024655933086</v>
      </c>
      <c r="CE706" s="244">
        <v>-2919.94189453125</v>
      </c>
      <c r="CF706" s="244">
        <v>1.045459656516613</v>
      </c>
      <c r="CG706" s="244">
        <v>11.51831951356621</v>
      </c>
      <c r="CH706" s="244">
        <v>12.563779170082823</v>
      </c>
      <c r="CI706" s="244">
        <v>5.1317917083705693E-2</v>
      </c>
      <c r="CJ706" s="244">
        <v>0.71989496959788657</v>
      </c>
      <c r="CK706" s="244">
        <v>0.77121288668159227</v>
      </c>
      <c r="CL706" s="244"/>
      <c r="CM706" s="244">
        <v>123.05896759033203</v>
      </c>
      <c r="CN706" s="244"/>
      <c r="CO706" s="244">
        <v>0.28600001335144043</v>
      </c>
      <c r="CP706" s="244">
        <v>0.31700000166893005</v>
      </c>
      <c r="CQ706" s="244">
        <v>1017.189453125</v>
      </c>
      <c r="CR706" s="244">
        <v>0</v>
      </c>
      <c r="CS706" s="244">
        <v>0</v>
      </c>
      <c r="CT706" s="244">
        <v>1017.189453125</v>
      </c>
      <c r="CU706" s="244">
        <v>0</v>
      </c>
      <c r="CV706" s="244">
        <v>0</v>
      </c>
      <c r="CW706" s="228">
        <v>9999</v>
      </c>
    </row>
    <row r="707" spans="1:101">
      <c r="A707" s="221" t="s">
        <v>595</v>
      </c>
      <c r="C707" s="244">
        <v>10</v>
      </c>
      <c r="D707" s="244">
        <v>1620.64208984375</v>
      </c>
      <c r="E707" s="244">
        <v>0</v>
      </c>
      <c r="F707" s="244">
        <v>8.1096944808959961</v>
      </c>
      <c r="G707" s="244">
        <v>0</v>
      </c>
      <c r="H707" s="244">
        <v>0</v>
      </c>
      <c r="I707" s="244"/>
      <c r="J707" s="244">
        <v>0.31782254576683044</v>
      </c>
      <c r="K707" s="244">
        <v>0.33139589428901672</v>
      </c>
      <c r="L707" s="244">
        <v>1767.2813720703125</v>
      </c>
      <c r="M707" s="244">
        <v>0.21939955651760101</v>
      </c>
      <c r="N707" s="244">
        <v>0.68294882774353027</v>
      </c>
      <c r="O707" s="244">
        <v>0</v>
      </c>
      <c r="P707" s="244">
        <v>0</v>
      </c>
      <c r="Q707" s="244">
        <v>0</v>
      </c>
      <c r="R707" s="244">
        <v>0.80633538961410522</v>
      </c>
      <c r="S707" s="244">
        <v>4.4560842514038086</v>
      </c>
      <c r="T707" s="244">
        <v>0</v>
      </c>
      <c r="U707" s="244">
        <v>8.9822397232055664</v>
      </c>
      <c r="V707" s="244">
        <v>0.81096947193145752</v>
      </c>
      <c r="W707" s="244">
        <v>0.81096947193145752</v>
      </c>
      <c r="X707" s="244">
        <v>0</v>
      </c>
      <c r="Y707" s="244">
        <v>0</v>
      </c>
      <c r="Z707" s="244">
        <v>0</v>
      </c>
      <c r="AA707" s="244">
        <v>0</v>
      </c>
      <c r="AB707" s="244">
        <v>0</v>
      </c>
      <c r="AC707" s="244">
        <v>0</v>
      </c>
      <c r="AD707" s="244">
        <v>0</v>
      </c>
      <c r="AE707" s="244">
        <v>0</v>
      </c>
      <c r="AF707" s="244">
        <v>0</v>
      </c>
      <c r="AG707" s="244">
        <v>0</v>
      </c>
      <c r="AH707" s="244">
        <v>1.617304801940918</v>
      </c>
      <c r="AI707" s="244">
        <v>5.2670536041259766</v>
      </c>
      <c r="AJ707" s="244">
        <v>0</v>
      </c>
      <c r="AK707" s="244">
        <v>8.9822397232055664</v>
      </c>
      <c r="AL707" s="244">
        <v>15.866598129272461</v>
      </c>
      <c r="AM707" s="244">
        <v>1244.6671142578125</v>
      </c>
      <c r="AN707" s="244">
        <v>0</v>
      </c>
      <c r="AO707" s="244">
        <v>219.17095947265625</v>
      </c>
      <c r="AP707" s="244">
        <v>947.04248046875</v>
      </c>
      <c r="AQ707" s="244">
        <v>2410.880615234375</v>
      </c>
      <c r="AR707" s="244">
        <v>1.617304801940918</v>
      </c>
      <c r="AS707" s="228">
        <v>1490.6778626110618</v>
      </c>
      <c r="AT707" s="244">
        <v>1244.6671142578125</v>
      </c>
      <c r="AU707" s="244">
        <v>195.7542724609375</v>
      </c>
      <c r="AV707" s="244">
        <v>238.74638366699219</v>
      </c>
      <c r="AW707" s="244">
        <v>947.04248046875</v>
      </c>
      <c r="AX707" s="244">
        <v>2626.210205078125</v>
      </c>
      <c r="AY707" s="244">
        <v>5.2670536041259766</v>
      </c>
      <c r="AZ707" s="228">
        <v>498.61087218823587</v>
      </c>
      <c r="BA707" s="244">
        <v>1244.6671142578125</v>
      </c>
      <c r="BB707" s="244">
        <v>195.7542724609375</v>
      </c>
      <c r="BC707" s="244">
        <v>238.74638366699219</v>
      </c>
      <c r="BD707" s="244">
        <v>947.04248046875</v>
      </c>
      <c r="BE707" s="244">
        <v>2626.210205078125</v>
      </c>
      <c r="BF707" s="244">
        <v>6.8843584060668945</v>
      </c>
      <c r="BG707" s="244">
        <v>-62.415740966796875</v>
      </c>
      <c r="BH707" s="228">
        <v>381.47493604154744</v>
      </c>
      <c r="BI707" s="244">
        <v>7.3432967066764832E-2</v>
      </c>
      <c r="BJ707" s="244">
        <v>0.23914811015129089</v>
      </c>
      <c r="BK707" s="244">
        <v>0</v>
      </c>
      <c r="BL707" s="244">
        <v>0.40783438086509705</v>
      </c>
      <c r="BM707" s="244">
        <v>0.72041547298431396</v>
      </c>
      <c r="BN707" s="244">
        <v>1244.6671142578125</v>
      </c>
      <c r="BO707" s="244">
        <v>0</v>
      </c>
      <c r="BP707" s="244">
        <v>195.7542724609375</v>
      </c>
      <c r="BQ707" s="244">
        <v>0</v>
      </c>
      <c r="BR707" s="244">
        <v>0</v>
      </c>
      <c r="BS707" s="244">
        <v>0</v>
      </c>
      <c r="BT707" s="244">
        <v>947.04248046875</v>
      </c>
      <c r="BU707" s="244">
        <v>0</v>
      </c>
      <c r="BV707" s="244">
        <v>2239.790771484375</v>
      </c>
      <c r="BW707" s="244">
        <v>238.74638366699219</v>
      </c>
      <c r="BX707" s="244">
        <v>14.244659423828125</v>
      </c>
      <c r="BY707" s="244">
        <v>1.621938943862915</v>
      </c>
      <c r="BZ707" s="244">
        <v>0</v>
      </c>
      <c r="CA707" s="244">
        <v>0</v>
      </c>
      <c r="CB707" s="244">
        <v>4866.0009765625</v>
      </c>
      <c r="CC707" s="244">
        <v>15.866598129272461</v>
      </c>
      <c r="CD707" s="228">
        <v>306.6820568325121</v>
      </c>
      <c r="CE707" s="244">
        <v>-163.70455932617187</v>
      </c>
      <c r="CF707" s="244">
        <v>13.339321963963794</v>
      </c>
      <c r="CG707" s="244">
        <v>0</v>
      </c>
      <c r="CH707" s="244">
        <v>13.339321963963794</v>
      </c>
      <c r="CI707" s="244">
        <v>0.65411707829926802</v>
      </c>
      <c r="CJ707" s="244">
        <v>0</v>
      </c>
      <c r="CK707" s="244">
        <v>0.65411707829926802</v>
      </c>
      <c r="CL707" s="244"/>
      <c r="CM707" s="244">
        <v>0</v>
      </c>
      <c r="CN707" s="244"/>
      <c r="CO707" s="244">
        <v>0</v>
      </c>
      <c r="CP707" s="244">
        <v>0</v>
      </c>
      <c r="CQ707" s="244">
        <v>0</v>
      </c>
      <c r="CR707" s="244">
        <v>0</v>
      </c>
      <c r="CS707" s="244">
        <v>0</v>
      </c>
      <c r="CT707" s="244">
        <v>0</v>
      </c>
      <c r="CU707" s="244">
        <v>0</v>
      </c>
      <c r="CV707" s="244">
        <v>9999</v>
      </c>
      <c r="CW707" s="228">
        <v>9999</v>
      </c>
    </row>
    <row r="708" spans="1:101">
      <c r="A708" s="221" t="s">
        <v>591</v>
      </c>
      <c r="C708" s="244">
        <v>10</v>
      </c>
      <c r="D708" s="244">
        <v>906.8214111328125</v>
      </c>
      <c r="E708" s="244">
        <v>75.53692626953125</v>
      </c>
      <c r="F708" s="244">
        <v>11.336667060852051</v>
      </c>
      <c r="G708" s="244">
        <v>0</v>
      </c>
      <c r="H708" s="244">
        <v>0</v>
      </c>
      <c r="I708" s="244"/>
      <c r="J708" s="244">
        <v>0.3819718062877655</v>
      </c>
      <c r="K708" s="244">
        <v>0.36041584610939026</v>
      </c>
      <c r="L708" s="244">
        <v>988.88800048828125</v>
      </c>
      <c r="M708" s="244">
        <v>0.11801448464393616</v>
      </c>
      <c r="N708" s="244">
        <v>0.35682234168052673</v>
      </c>
      <c r="O708" s="244">
        <v>76.292289733886719</v>
      </c>
      <c r="P708" s="244">
        <v>0.23151740431785583</v>
      </c>
      <c r="Q708" s="244">
        <v>0.73033881187438965</v>
      </c>
      <c r="R708" s="244">
        <v>1.1271885633468628</v>
      </c>
      <c r="S708" s="244">
        <v>6.2292284965515137</v>
      </c>
      <c r="T708" s="244">
        <v>0</v>
      </c>
      <c r="U708" s="244">
        <v>12.556410789489746</v>
      </c>
      <c r="V708" s="244">
        <v>1.1336666345596313</v>
      </c>
      <c r="W708" s="244">
        <v>1.1336666345596313</v>
      </c>
      <c r="X708" s="244">
        <v>0</v>
      </c>
      <c r="Y708" s="244">
        <v>0</v>
      </c>
      <c r="Z708" s="244">
        <v>0</v>
      </c>
      <c r="AA708" s="244">
        <v>0</v>
      </c>
      <c r="AB708" s="244">
        <v>0</v>
      </c>
      <c r="AC708" s="244">
        <v>0</v>
      </c>
      <c r="AD708" s="244">
        <v>0</v>
      </c>
      <c r="AE708" s="244">
        <v>0</v>
      </c>
      <c r="AF708" s="244">
        <v>0</v>
      </c>
      <c r="AG708" s="244">
        <v>0</v>
      </c>
      <c r="AH708" s="244">
        <v>2.2608551979064941</v>
      </c>
      <c r="AI708" s="244">
        <v>7.3628950119018555</v>
      </c>
      <c r="AJ708" s="244">
        <v>0</v>
      </c>
      <c r="AK708" s="244">
        <v>12.556410789489746</v>
      </c>
      <c r="AL708" s="244">
        <v>22.18016242980957</v>
      </c>
      <c r="AM708" s="244">
        <v>695.39471435546875</v>
      </c>
      <c r="AN708" s="244">
        <v>0</v>
      </c>
      <c r="AO708" s="244">
        <v>122.53153991699219</v>
      </c>
      <c r="AP708" s="244">
        <v>529.920654296875</v>
      </c>
      <c r="AQ708" s="244">
        <v>1347.846923828125</v>
      </c>
      <c r="AR708" s="244">
        <v>2.2608551979064941</v>
      </c>
      <c r="AS708" s="228">
        <v>596.16684421780519</v>
      </c>
      <c r="AT708" s="244">
        <v>695.39471435546875</v>
      </c>
      <c r="AU708" s="244">
        <v>102.27632141113281</v>
      </c>
      <c r="AV708" s="244">
        <v>132.75917053222656</v>
      </c>
      <c r="AW708" s="244">
        <v>529.920654296875</v>
      </c>
      <c r="AX708" s="244">
        <v>1460.350830078125</v>
      </c>
      <c r="AY708" s="244">
        <v>7.3628950119018555</v>
      </c>
      <c r="AZ708" s="228">
        <v>198.33921773856903</v>
      </c>
      <c r="BA708" s="244">
        <v>695.39471435546875</v>
      </c>
      <c r="BB708" s="244">
        <v>102.27632141113281</v>
      </c>
      <c r="BC708" s="244">
        <v>132.75917053222656</v>
      </c>
      <c r="BD708" s="244">
        <v>529.920654296875</v>
      </c>
      <c r="BE708" s="244">
        <v>1460.350830078125</v>
      </c>
      <c r="BF708" s="244">
        <v>9.6237506866455078</v>
      </c>
      <c r="BG708" s="244">
        <v>-61.290889739990234</v>
      </c>
      <c r="BH708" s="228">
        <v>151.74446662362354</v>
      </c>
      <c r="BI708" s="244">
        <v>0.18345542252063751</v>
      </c>
      <c r="BJ708" s="244">
        <v>0.59745669364929199</v>
      </c>
      <c r="BK708" s="244">
        <v>0</v>
      </c>
      <c r="BL708" s="244">
        <v>1.0188807249069214</v>
      </c>
      <c r="BM708" s="244">
        <v>1.7997928857803345</v>
      </c>
      <c r="BN708" s="244">
        <v>695.39471435546875</v>
      </c>
      <c r="BO708" s="244">
        <v>630.6221923828125</v>
      </c>
      <c r="BP708" s="244">
        <v>102.27632141113281</v>
      </c>
      <c r="BQ708" s="244">
        <v>0</v>
      </c>
      <c r="BR708" s="244">
        <v>0</v>
      </c>
      <c r="BS708" s="244">
        <v>0</v>
      </c>
      <c r="BT708" s="244">
        <v>529.920654296875</v>
      </c>
      <c r="BU708" s="244">
        <v>0</v>
      </c>
      <c r="BV708" s="244">
        <v>3779.6474609375</v>
      </c>
      <c r="BW708" s="244">
        <v>132.75917053222656</v>
      </c>
      <c r="BX708" s="244">
        <v>19.91282844543457</v>
      </c>
      <c r="BY708" s="244">
        <v>2.2673332691192627</v>
      </c>
      <c r="BZ708" s="244">
        <v>0</v>
      </c>
      <c r="CA708" s="244">
        <v>0</v>
      </c>
      <c r="CB708" s="244">
        <v>5870.62060546875</v>
      </c>
      <c r="CC708" s="244">
        <v>22.18016242980957</v>
      </c>
      <c r="CD708" s="228">
        <v>264.67888690206996</v>
      </c>
      <c r="CE708" s="244">
        <v>-418.14007568359375</v>
      </c>
      <c r="CF708" s="244">
        <v>7.4673454169007929</v>
      </c>
      <c r="CG708" s="244">
        <v>7.1409586115505226</v>
      </c>
      <c r="CH708" s="244">
        <v>14.608304028451315</v>
      </c>
      <c r="CI708" s="244">
        <v>0.36620945377897246</v>
      </c>
      <c r="CJ708" s="244">
        <v>0.44630991322190605</v>
      </c>
      <c r="CK708" s="244">
        <v>0.81251936700087857</v>
      </c>
      <c r="CL708" s="244"/>
      <c r="CM708" s="244">
        <v>76.292289733886719</v>
      </c>
      <c r="CN708" s="244"/>
      <c r="CO708" s="244">
        <v>0.28600001335144043</v>
      </c>
      <c r="CP708" s="244">
        <v>0.31700000166893005</v>
      </c>
      <c r="CQ708" s="244">
        <v>630.6221923828125</v>
      </c>
      <c r="CR708" s="244">
        <v>0</v>
      </c>
      <c r="CS708" s="244">
        <v>0</v>
      </c>
      <c r="CT708" s="244">
        <v>630.6221923828125</v>
      </c>
      <c r="CU708" s="244">
        <v>0</v>
      </c>
      <c r="CV708" s="244">
        <v>0</v>
      </c>
      <c r="CW708" s="228">
        <v>9999</v>
      </c>
    </row>
    <row r="709" spans="1:101">
      <c r="A709" s="221" t="s">
        <v>600</v>
      </c>
      <c r="C709" s="244">
        <v>10.000000953674316</v>
      </c>
      <c r="D709" s="244">
        <v>604.547607421875</v>
      </c>
      <c r="E709" s="244">
        <v>50.357948303222656</v>
      </c>
      <c r="F709" s="244">
        <v>8.1096944808959961</v>
      </c>
      <c r="G709" s="244">
        <v>0</v>
      </c>
      <c r="H709" s="244">
        <v>0</v>
      </c>
      <c r="I709" s="244"/>
      <c r="J709" s="244">
        <v>0.38197183609008789</v>
      </c>
      <c r="K709" s="244">
        <v>0.36041581630706787</v>
      </c>
      <c r="L709" s="244">
        <v>659.2586669921875</v>
      </c>
      <c r="M709" s="244">
        <v>7.8676328063011169E-2</v>
      </c>
      <c r="N709" s="244">
        <v>0.23788155615329742</v>
      </c>
      <c r="O709" s="244">
        <v>50.861530303955078</v>
      </c>
      <c r="P709" s="244">
        <v>0.15434494614601135</v>
      </c>
      <c r="Q709" s="244">
        <v>0.48689255118370056</v>
      </c>
      <c r="R709" s="244">
        <v>0.80633538961410522</v>
      </c>
      <c r="S709" s="244">
        <v>4.4560842514038086</v>
      </c>
      <c r="T709" s="244">
        <v>0</v>
      </c>
      <c r="U709" s="244">
        <v>8.9822397232055664</v>
      </c>
      <c r="V709" s="244">
        <v>0.81096947193145752</v>
      </c>
      <c r="W709" s="244">
        <v>0.81096947193145752</v>
      </c>
      <c r="X709" s="244">
        <v>0</v>
      </c>
      <c r="Y709" s="244">
        <v>0</v>
      </c>
      <c r="Z709" s="244">
        <v>0</v>
      </c>
      <c r="AA709" s="244">
        <v>0</v>
      </c>
      <c r="AB709" s="244">
        <v>0</v>
      </c>
      <c r="AC709" s="244">
        <v>0</v>
      </c>
      <c r="AD709" s="244">
        <v>0</v>
      </c>
      <c r="AE709" s="244">
        <v>0</v>
      </c>
      <c r="AF709" s="244">
        <v>0</v>
      </c>
      <c r="AG709" s="244">
        <v>0</v>
      </c>
      <c r="AH709" s="244">
        <v>1.617304801940918</v>
      </c>
      <c r="AI709" s="244">
        <v>5.2670536041259766</v>
      </c>
      <c r="AJ709" s="244">
        <v>0</v>
      </c>
      <c r="AK709" s="244">
        <v>8.9822397232055664</v>
      </c>
      <c r="AL709" s="244">
        <v>15.866598129272461</v>
      </c>
      <c r="AM709" s="244">
        <v>463.59649658203125</v>
      </c>
      <c r="AN709" s="244">
        <v>0</v>
      </c>
      <c r="AO709" s="244">
        <v>81.687690734863281</v>
      </c>
      <c r="AP709" s="244">
        <v>353.28042602539062</v>
      </c>
      <c r="AQ709" s="244">
        <v>898.56463623046875</v>
      </c>
      <c r="AR709" s="244">
        <v>1.617304801940918</v>
      </c>
      <c r="AS709" s="228">
        <v>555.59383682528471</v>
      </c>
      <c r="AT709" s="244">
        <v>463.59649658203125</v>
      </c>
      <c r="AU709" s="244">
        <v>68.184219360351563</v>
      </c>
      <c r="AV709" s="244">
        <v>88.506118774414063</v>
      </c>
      <c r="AW709" s="244">
        <v>353.28042602539062</v>
      </c>
      <c r="AX709" s="244">
        <v>973.5672607421875</v>
      </c>
      <c r="AY709" s="244">
        <v>5.2670536041259766</v>
      </c>
      <c r="AZ709" s="228">
        <v>184.8409588891935</v>
      </c>
      <c r="BA709" s="244">
        <v>463.59649658203125</v>
      </c>
      <c r="BB709" s="244">
        <v>68.184219360351563</v>
      </c>
      <c r="BC709" s="244">
        <v>88.506118774414063</v>
      </c>
      <c r="BD709" s="244">
        <v>353.28042602539062</v>
      </c>
      <c r="BE709" s="244">
        <v>973.5672607421875</v>
      </c>
      <c r="BF709" s="244">
        <v>6.8843584060668945</v>
      </c>
      <c r="BG709" s="244">
        <v>-61.233860015869141</v>
      </c>
      <c r="BH709" s="228">
        <v>141.41727929168297</v>
      </c>
      <c r="BI709" s="244">
        <v>0.19685250520706177</v>
      </c>
      <c r="BJ709" s="244">
        <v>0.64108675718307495</v>
      </c>
      <c r="BK709" s="244">
        <v>0</v>
      </c>
      <c r="BL709" s="244">
        <v>1.0932857990264893</v>
      </c>
      <c r="BM709" s="244">
        <v>1.931225061416626</v>
      </c>
      <c r="BN709" s="244">
        <v>463.59649658203125</v>
      </c>
      <c r="BO709" s="244">
        <v>420.414794921875</v>
      </c>
      <c r="BP709" s="244">
        <v>68.184219360351563</v>
      </c>
      <c r="BQ709" s="244">
        <v>0</v>
      </c>
      <c r="BR709" s="244">
        <v>0</v>
      </c>
      <c r="BS709" s="244">
        <v>0</v>
      </c>
      <c r="BT709" s="244">
        <v>353.28042602539062</v>
      </c>
      <c r="BU709" s="244">
        <v>0</v>
      </c>
      <c r="BV709" s="244">
        <v>2519.764892578125</v>
      </c>
      <c r="BW709" s="244">
        <v>88.506118774414063</v>
      </c>
      <c r="BX709" s="244">
        <v>14.244659423828125</v>
      </c>
      <c r="BY709" s="244">
        <v>1.621938943862915</v>
      </c>
      <c r="BZ709" s="244">
        <v>0</v>
      </c>
      <c r="CA709" s="244">
        <v>0</v>
      </c>
      <c r="CB709" s="244">
        <v>3913.7470703125</v>
      </c>
      <c r="CC709" s="244">
        <v>15.866598129272461</v>
      </c>
      <c r="CD709" s="228">
        <v>246.66578541571346</v>
      </c>
      <c r="CE709" s="244">
        <v>-418.00863647460937</v>
      </c>
      <c r="CF709" s="244">
        <v>4.9782302779338554</v>
      </c>
      <c r="CG709" s="244">
        <v>4.7606390743670213</v>
      </c>
      <c r="CH709" s="244">
        <v>9.7388693523008776</v>
      </c>
      <c r="CI709" s="244">
        <v>0.24413963585264847</v>
      </c>
      <c r="CJ709" s="244">
        <v>0.29753994214793716</v>
      </c>
      <c r="CK709" s="244">
        <v>0.54167957800058564</v>
      </c>
      <c r="CL709" s="244"/>
      <c r="CM709" s="244">
        <v>50.861530303955078</v>
      </c>
      <c r="CN709" s="244"/>
      <c r="CO709" s="244">
        <v>0.28600001335144043</v>
      </c>
      <c r="CP709" s="244">
        <v>0.31700000166893005</v>
      </c>
      <c r="CQ709" s="244">
        <v>420.414794921875</v>
      </c>
      <c r="CR709" s="244">
        <v>0</v>
      </c>
      <c r="CS709" s="244">
        <v>0</v>
      </c>
      <c r="CT709" s="244">
        <v>420.414794921875</v>
      </c>
      <c r="CU709" s="244">
        <v>0</v>
      </c>
      <c r="CV709" s="244">
        <v>0</v>
      </c>
      <c r="CW709" s="228">
        <v>9999</v>
      </c>
    </row>
    <row r="710" spans="1:101">
      <c r="A710" s="221" t="s">
        <v>588</v>
      </c>
      <c r="C710" s="244">
        <v>10</v>
      </c>
      <c r="D710" s="244">
        <v>843.84173583984375</v>
      </c>
      <c r="E710" s="244">
        <v>70.779472351074219</v>
      </c>
      <c r="F710" s="244">
        <v>11.336667060852051</v>
      </c>
      <c r="G710" s="244">
        <v>0</v>
      </c>
      <c r="H710" s="244">
        <v>0</v>
      </c>
      <c r="I710" s="244"/>
      <c r="J710" s="244">
        <v>0.37767523527145386</v>
      </c>
      <c r="K710" s="244">
        <v>0.35847213864326477</v>
      </c>
      <c r="L710" s="244">
        <v>920.207763671875</v>
      </c>
      <c r="M710" s="244">
        <v>0.11011426150798798</v>
      </c>
      <c r="N710" s="244">
        <v>0.33361861109733582</v>
      </c>
      <c r="O710" s="244">
        <v>71.487266540527344</v>
      </c>
      <c r="P710" s="244">
        <v>0.21693602204322815</v>
      </c>
      <c r="Q710" s="244">
        <v>0.68434077501296997</v>
      </c>
      <c r="R710" s="244">
        <v>1.1271885633468628</v>
      </c>
      <c r="S710" s="244">
        <v>6.2292284965515137</v>
      </c>
      <c r="T710" s="244">
        <v>0</v>
      </c>
      <c r="U710" s="244">
        <v>12.556410789489746</v>
      </c>
      <c r="V710" s="244">
        <v>1.1336666345596313</v>
      </c>
      <c r="W710" s="244">
        <v>1.1336666345596313</v>
      </c>
      <c r="X710" s="244">
        <v>0</v>
      </c>
      <c r="Y710" s="244">
        <v>0</v>
      </c>
      <c r="Z710" s="244">
        <v>0</v>
      </c>
      <c r="AA710" s="244">
        <v>0</v>
      </c>
      <c r="AB710" s="244">
        <v>0</v>
      </c>
      <c r="AC710" s="244">
        <v>0</v>
      </c>
      <c r="AD710" s="244">
        <v>0</v>
      </c>
      <c r="AE710" s="244">
        <v>0</v>
      </c>
      <c r="AF710" s="244">
        <v>0</v>
      </c>
      <c r="AG710" s="244">
        <v>0</v>
      </c>
      <c r="AH710" s="244">
        <v>2.2608551979064941</v>
      </c>
      <c r="AI710" s="244">
        <v>7.3628950119018555</v>
      </c>
      <c r="AJ710" s="244">
        <v>0</v>
      </c>
      <c r="AK710" s="244">
        <v>12.556410789489746</v>
      </c>
      <c r="AL710" s="244">
        <v>22.18016242980957</v>
      </c>
      <c r="AM710" s="244">
        <v>647.16436767578125</v>
      </c>
      <c r="AN710" s="244">
        <v>0</v>
      </c>
      <c r="AO710" s="244">
        <v>114.02809143066406</v>
      </c>
      <c r="AP710" s="244">
        <v>493.1165771484375</v>
      </c>
      <c r="AQ710" s="244">
        <v>1254.30908203125</v>
      </c>
      <c r="AR710" s="244">
        <v>2.2608551979064941</v>
      </c>
      <c r="AS710" s="228">
        <v>554.79406085641722</v>
      </c>
      <c r="AT710" s="244">
        <v>647.16436767578125</v>
      </c>
      <c r="AU710" s="244">
        <v>95.625419616699219</v>
      </c>
      <c r="AV710" s="244">
        <v>123.59063720703125</v>
      </c>
      <c r="AW710" s="244">
        <v>493.1165771484375</v>
      </c>
      <c r="AX710" s="244">
        <v>1359.4969482421875</v>
      </c>
      <c r="AY710" s="244">
        <v>7.3628950119018555</v>
      </c>
      <c r="AZ710" s="228">
        <v>184.6416358564631</v>
      </c>
      <c r="BA710" s="244">
        <v>647.16436767578125</v>
      </c>
      <c r="BB710" s="244">
        <v>95.625419616699219</v>
      </c>
      <c r="BC710" s="244">
        <v>123.59063720703125</v>
      </c>
      <c r="BD710" s="244">
        <v>493.1165771484375</v>
      </c>
      <c r="BE710" s="244">
        <v>1359.4969482421875</v>
      </c>
      <c r="BF710" s="244">
        <v>9.6237506866455078</v>
      </c>
      <c r="BG710" s="244">
        <v>-61.276569366455078</v>
      </c>
      <c r="BH710" s="228">
        <v>141.26478297642228</v>
      </c>
      <c r="BI710" s="244">
        <v>0.19714772701263428</v>
      </c>
      <c r="BJ710" s="244">
        <v>0.642048180103302</v>
      </c>
      <c r="BK710" s="244">
        <v>0</v>
      </c>
      <c r="BL710" s="244">
        <v>1.0949254035949707</v>
      </c>
      <c r="BM710" s="244">
        <v>1.9341213703155518</v>
      </c>
      <c r="BN710" s="244">
        <v>647.16436767578125</v>
      </c>
      <c r="BO710" s="244">
        <v>590.90447998046875</v>
      </c>
      <c r="BP710" s="244">
        <v>95.625419616699219</v>
      </c>
      <c r="BQ710" s="244">
        <v>0</v>
      </c>
      <c r="BR710" s="244">
        <v>0</v>
      </c>
      <c r="BS710" s="244">
        <v>0</v>
      </c>
      <c r="BT710" s="244">
        <v>493.1165771484375</v>
      </c>
      <c r="BU710" s="244">
        <v>0</v>
      </c>
      <c r="BV710" s="244">
        <v>3359.6865234375</v>
      </c>
      <c r="BW710" s="244">
        <v>123.59063720703125</v>
      </c>
      <c r="BX710" s="244">
        <v>19.91282844543457</v>
      </c>
      <c r="BY710" s="244">
        <v>2.2673332691192627</v>
      </c>
      <c r="BZ710" s="244">
        <v>0</v>
      </c>
      <c r="CA710" s="244">
        <v>0</v>
      </c>
      <c r="CB710" s="244">
        <v>5310.087890625</v>
      </c>
      <c r="CC710" s="244">
        <v>22.18016242980957</v>
      </c>
      <c r="CD710" s="228">
        <v>239.40709149932064</v>
      </c>
      <c r="CE710" s="244">
        <v>-404.6751708984375</v>
      </c>
      <c r="CF710" s="244">
        <v>6.9485185888425347</v>
      </c>
      <c r="CG710" s="244">
        <v>6.6912084451904201</v>
      </c>
      <c r="CH710" s="244">
        <v>13.639727034032955</v>
      </c>
      <c r="CI710" s="244">
        <v>0.34076324934117991</v>
      </c>
      <c r="CJ710" s="244">
        <v>0.41820052782439976</v>
      </c>
      <c r="CK710" s="244">
        <v>0.75896377716557972</v>
      </c>
      <c r="CL710" s="244"/>
      <c r="CM710" s="244">
        <v>71.487266540527344</v>
      </c>
      <c r="CN710" s="244"/>
      <c r="CO710" s="244">
        <v>0.28600004315376282</v>
      </c>
      <c r="CP710" s="244">
        <v>0.31700000166893005</v>
      </c>
      <c r="CQ710" s="244">
        <v>590.90447998046875</v>
      </c>
      <c r="CR710" s="244">
        <v>0</v>
      </c>
      <c r="CS710" s="244">
        <v>0</v>
      </c>
      <c r="CT710" s="244">
        <v>590.90447998046875</v>
      </c>
      <c r="CU710" s="244">
        <v>0</v>
      </c>
      <c r="CV710" s="244">
        <v>0</v>
      </c>
      <c r="CW710" s="228">
        <v>9999</v>
      </c>
    </row>
    <row r="711" spans="1:101">
      <c r="A711" s="221" t="s">
        <v>597</v>
      </c>
      <c r="C711" s="244">
        <v>10</v>
      </c>
      <c r="D711" s="244">
        <v>562.5611572265625</v>
      </c>
      <c r="E711" s="244">
        <v>47.186317443847656</v>
      </c>
      <c r="F711" s="244">
        <v>8.1096944808959961</v>
      </c>
      <c r="G711" s="244">
        <v>0</v>
      </c>
      <c r="H711" s="244">
        <v>0</v>
      </c>
      <c r="I711" s="244"/>
      <c r="J711" s="244">
        <v>0.37767520546913147</v>
      </c>
      <c r="K711" s="244">
        <v>0.35847210884094238</v>
      </c>
      <c r="L711" s="244">
        <v>613.47186279296875</v>
      </c>
      <c r="M711" s="244">
        <v>7.3409505188465118E-2</v>
      </c>
      <c r="N711" s="244">
        <v>0.22241240739822388</v>
      </c>
      <c r="O711" s="244">
        <v>47.658180236816406</v>
      </c>
      <c r="P711" s="244">
        <v>0.1446240246295929</v>
      </c>
      <c r="Q711" s="244">
        <v>0.45622721314430237</v>
      </c>
      <c r="R711" s="244">
        <v>0.80633538961410522</v>
      </c>
      <c r="S711" s="244">
        <v>4.4560842514038086</v>
      </c>
      <c r="T711" s="244">
        <v>0</v>
      </c>
      <c r="U711" s="244">
        <v>8.9822397232055664</v>
      </c>
      <c r="V711" s="244">
        <v>0.81096947193145752</v>
      </c>
      <c r="W711" s="244">
        <v>0.81096947193145752</v>
      </c>
      <c r="X711" s="244">
        <v>0</v>
      </c>
      <c r="Y711" s="244">
        <v>0</v>
      </c>
      <c r="Z711" s="244">
        <v>0</v>
      </c>
      <c r="AA711" s="244">
        <v>0</v>
      </c>
      <c r="AB711" s="244">
        <v>0</v>
      </c>
      <c r="AC711" s="244">
        <v>0</v>
      </c>
      <c r="AD711" s="244">
        <v>0</v>
      </c>
      <c r="AE711" s="244">
        <v>0</v>
      </c>
      <c r="AF711" s="244">
        <v>0</v>
      </c>
      <c r="AG711" s="244">
        <v>0</v>
      </c>
      <c r="AH711" s="244">
        <v>1.617304801940918</v>
      </c>
      <c r="AI711" s="244">
        <v>5.2670536041259766</v>
      </c>
      <c r="AJ711" s="244">
        <v>0</v>
      </c>
      <c r="AK711" s="244">
        <v>8.9822397232055664</v>
      </c>
      <c r="AL711" s="244">
        <v>15.866598129272461</v>
      </c>
      <c r="AM711" s="244">
        <v>431.44293212890625</v>
      </c>
      <c r="AN711" s="244">
        <v>0</v>
      </c>
      <c r="AO711" s="244">
        <v>76.01873779296875</v>
      </c>
      <c r="AP711" s="244">
        <v>328.74444580078125</v>
      </c>
      <c r="AQ711" s="244">
        <v>836.20611572265625</v>
      </c>
      <c r="AR711" s="244">
        <v>1.617304801940918</v>
      </c>
      <c r="AS711" s="228">
        <v>517.03679102500405</v>
      </c>
      <c r="AT711" s="244">
        <v>431.44293212890625</v>
      </c>
      <c r="AU711" s="244">
        <v>63.750293731689453</v>
      </c>
      <c r="AV711" s="244">
        <v>82.393768310546875</v>
      </c>
      <c r="AW711" s="244">
        <v>328.74444580078125</v>
      </c>
      <c r="AX711" s="244">
        <v>906.3314208984375</v>
      </c>
      <c r="AY711" s="244">
        <v>5.2670536041259766</v>
      </c>
      <c r="AZ711" s="228">
        <v>172.07560195493997</v>
      </c>
      <c r="BA711" s="244">
        <v>431.44293212890625</v>
      </c>
      <c r="BB711" s="244">
        <v>63.750293731689453</v>
      </c>
      <c r="BC711" s="244">
        <v>82.393768310546875</v>
      </c>
      <c r="BD711" s="244">
        <v>328.74444580078125</v>
      </c>
      <c r="BE711" s="244">
        <v>906.3314208984375</v>
      </c>
      <c r="BF711" s="244">
        <v>6.8843584060668945</v>
      </c>
      <c r="BG711" s="244">
        <v>-61.215297698974609</v>
      </c>
      <c r="BH711" s="228">
        <v>131.65081812594352</v>
      </c>
      <c r="BI711" s="244">
        <v>0.2115446925163269</v>
      </c>
      <c r="BJ711" s="244">
        <v>0.68893462419509888</v>
      </c>
      <c r="BK711" s="244">
        <v>0</v>
      </c>
      <c r="BL711" s="244">
        <v>1.1748837232589722</v>
      </c>
      <c r="BM711" s="244">
        <v>2.0753629207611084</v>
      </c>
      <c r="BN711" s="244">
        <v>431.44293212890625</v>
      </c>
      <c r="BO711" s="244">
        <v>393.93634033203125</v>
      </c>
      <c r="BP711" s="244">
        <v>63.750293731689453</v>
      </c>
      <c r="BQ711" s="244">
        <v>0</v>
      </c>
      <c r="BR711" s="244">
        <v>0</v>
      </c>
      <c r="BS711" s="244">
        <v>0</v>
      </c>
      <c r="BT711" s="244">
        <v>328.74444580078125</v>
      </c>
      <c r="BU711" s="244">
        <v>0</v>
      </c>
      <c r="BV711" s="244">
        <v>2239.790771484375</v>
      </c>
      <c r="BW711" s="244">
        <v>82.393768310546875</v>
      </c>
      <c r="BX711" s="244">
        <v>14.244659423828125</v>
      </c>
      <c r="BY711" s="244">
        <v>1.621938943862915</v>
      </c>
      <c r="BZ711" s="244">
        <v>0</v>
      </c>
      <c r="CA711" s="244">
        <v>0</v>
      </c>
      <c r="CB711" s="244">
        <v>3540.05859375</v>
      </c>
      <c r="CC711" s="244">
        <v>15.866598129272461</v>
      </c>
      <c r="CD711" s="228">
        <v>223.1138943427791</v>
      </c>
      <c r="CE711" s="244">
        <v>-404.53390502929687</v>
      </c>
      <c r="CF711" s="244">
        <v>4.6323457258950143</v>
      </c>
      <c r="CG711" s="244">
        <v>4.4608056301269121</v>
      </c>
      <c r="CH711" s="244">
        <v>9.0931513560219273</v>
      </c>
      <c r="CI711" s="244">
        <v>0.2271754995607867</v>
      </c>
      <c r="CJ711" s="244">
        <v>0.2788003518829329</v>
      </c>
      <c r="CK711" s="244">
        <v>0.50597585144371959</v>
      </c>
      <c r="CL711" s="244"/>
      <c r="CM711" s="244">
        <v>47.658180236816406</v>
      </c>
      <c r="CN711" s="244"/>
      <c r="CO711" s="244">
        <v>0.28600001335144043</v>
      </c>
      <c r="CP711" s="244">
        <v>0.31700000166893005</v>
      </c>
      <c r="CQ711" s="244">
        <v>393.93634033203125</v>
      </c>
      <c r="CR711" s="244">
        <v>0</v>
      </c>
      <c r="CS711" s="244">
        <v>0</v>
      </c>
      <c r="CT711" s="244">
        <v>393.93634033203125</v>
      </c>
      <c r="CU711" s="244">
        <v>0</v>
      </c>
      <c r="CV711" s="244">
        <v>0</v>
      </c>
      <c r="CW711" s="228">
        <v>9999</v>
      </c>
    </row>
    <row r="712" spans="1:101">
      <c r="A712" s="221" t="s">
        <v>590</v>
      </c>
      <c r="C712" s="244">
        <v>10</v>
      </c>
      <c r="D712" s="244">
        <v>121.88976287841797</v>
      </c>
      <c r="E712" s="244">
        <v>110.54183959960937</v>
      </c>
      <c r="F712" s="244">
        <v>11.336667060852051</v>
      </c>
      <c r="G712" s="244">
        <v>0</v>
      </c>
      <c r="H712" s="244">
        <v>0</v>
      </c>
      <c r="I712" s="244"/>
      <c r="J712" s="244">
        <v>1</v>
      </c>
      <c r="K712" s="244">
        <v>0.63999998569488525</v>
      </c>
      <c r="L712" s="244">
        <v>132.94062805175781</v>
      </c>
      <c r="M712" s="244">
        <v>9.7125573083758354E-3</v>
      </c>
      <c r="N712" s="244">
        <v>1.5175871551036835E-2</v>
      </c>
      <c r="O712" s="244">
        <v>111.64725494384766</v>
      </c>
      <c r="P712" s="244">
        <v>0.33880597352981567</v>
      </c>
      <c r="Q712" s="244">
        <v>1.0687885284423828</v>
      </c>
      <c r="R712" s="244">
        <v>1.1271885633468628</v>
      </c>
      <c r="S712" s="244">
        <v>6.2292284965515137</v>
      </c>
      <c r="T712" s="244">
        <v>0</v>
      </c>
      <c r="U712" s="244">
        <v>12.556410789489746</v>
      </c>
      <c r="V712" s="244">
        <v>1.1336666345596313</v>
      </c>
      <c r="W712" s="244">
        <v>1.1336666345596313</v>
      </c>
      <c r="X712" s="244">
        <v>0</v>
      </c>
      <c r="Y712" s="244">
        <v>0</v>
      </c>
      <c r="Z712" s="244">
        <v>0</v>
      </c>
      <c r="AA712" s="244">
        <v>0</v>
      </c>
      <c r="AB712" s="244">
        <v>0</v>
      </c>
      <c r="AC712" s="244">
        <v>0</v>
      </c>
      <c r="AD712" s="244">
        <v>0</v>
      </c>
      <c r="AE712" s="244">
        <v>0</v>
      </c>
      <c r="AF712" s="244">
        <v>0</v>
      </c>
      <c r="AG712" s="244">
        <v>0</v>
      </c>
      <c r="AH712" s="244">
        <v>2.2608551979064941</v>
      </c>
      <c r="AI712" s="244">
        <v>7.3628950119018555</v>
      </c>
      <c r="AJ712" s="244">
        <v>0</v>
      </c>
      <c r="AK712" s="244">
        <v>12.556410789489746</v>
      </c>
      <c r="AL712" s="244">
        <v>22.18016242980957</v>
      </c>
      <c r="AM712" s="244">
        <v>92.108779907226563</v>
      </c>
      <c r="AN712" s="244">
        <v>0</v>
      </c>
      <c r="AO712" s="244">
        <v>16.334836959838867</v>
      </c>
      <c r="AP712" s="244">
        <v>71.239593505859375</v>
      </c>
      <c r="AQ712" s="244">
        <v>179.68321228027344</v>
      </c>
      <c r="AR712" s="244">
        <v>2.2608551979064941</v>
      </c>
      <c r="AS712" s="228">
        <v>79.475771176901461</v>
      </c>
      <c r="AT712" s="244">
        <v>92.108779907226563</v>
      </c>
      <c r="AU712" s="244">
        <v>4.3498744964599609</v>
      </c>
      <c r="AV712" s="244">
        <v>16.769824981689453</v>
      </c>
      <c r="AW712" s="244">
        <v>71.239593505859375</v>
      </c>
      <c r="AX712" s="244">
        <v>184.46807861328125</v>
      </c>
      <c r="AY712" s="244">
        <v>7.3628950119018555</v>
      </c>
      <c r="AZ712" s="228">
        <v>25.053741715237088</v>
      </c>
      <c r="BA712" s="244">
        <v>92.108779907226563</v>
      </c>
      <c r="BB712" s="244">
        <v>4.3498744964599609</v>
      </c>
      <c r="BC712" s="244">
        <v>16.769824981689453</v>
      </c>
      <c r="BD712" s="244">
        <v>71.239593505859375</v>
      </c>
      <c r="BE712" s="244">
        <v>184.46807861328125</v>
      </c>
      <c r="BF712" s="244">
        <v>9.6237506866455078</v>
      </c>
      <c r="BG712" s="244">
        <v>-49.938938140869141</v>
      </c>
      <c r="BH712" s="228">
        <v>19.168002762397645</v>
      </c>
      <c r="BI712" s="244">
        <v>1.3646457195281982</v>
      </c>
      <c r="BJ712" s="244">
        <v>4.4442224502563477</v>
      </c>
      <c r="BK712" s="244">
        <v>0</v>
      </c>
      <c r="BL712" s="244">
        <v>7.5790138244628906</v>
      </c>
      <c r="BM712" s="244">
        <v>13.387882232666016</v>
      </c>
      <c r="BN712" s="244">
        <v>92.108779907226563</v>
      </c>
      <c r="BO712" s="244">
        <v>922.86175537109375</v>
      </c>
      <c r="BP712" s="244">
        <v>4.3498744964599609</v>
      </c>
      <c r="BQ712" s="244">
        <v>0</v>
      </c>
      <c r="BR712" s="244">
        <v>0</v>
      </c>
      <c r="BS712" s="244">
        <v>0</v>
      </c>
      <c r="BT712" s="244">
        <v>71.239593505859375</v>
      </c>
      <c r="BU712" s="244">
        <v>0</v>
      </c>
      <c r="BV712" s="244">
        <v>3779.6474609375</v>
      </c>
      <c r="BW712" s="244">
        <v>16.769824981689453</v>
      </c>
      <c r="BX712" s="244">
        <v>19.91282844543457</v>
      </c>
      <c r="BY712" s="244">
        <v>2.2673332691192627</v>
      </c>
      <c r="BZ712" s="244">
        <v>0</v>
      </c>
      <c r="CA712" s="244">
        <v>0</v>
      </c>
      <c r="CB712" s="244">
        <v>4886.97705078125</v>
      </c>
      <c r="CC712" s="244">
        <v>22.18016242980957</v>
      </c>
      <c r="CD712" s="228">
        <v>220.33100353786728</v>
      </c>
      <c r="CE712" s="244">
        <v>-2880.781005859375</v>
      </c>
      <c r="CF712" s="244">
        <v>1.0081218116410204</v>
      </c>
      <c r="CG712" s="244">
        <v>10.450183333976304</v>
      </c>
      <c r="CH712" s="244">
        <v>11.458305145617324</v>
      </c>
      <c r="CI712" s="244">
        <v>4.9485134330716211E-2</v>
      </c>
      <c r="CJ712" s="244">
        <v>0.65313645837352052</v>
      </c>
      <c r="CK712" s="244">
        <v>0.70262159270423674</v>
      </c>
      <c r="CL712" s="244"/>
      <c r="CM712" s="244">
        <v>111.64725494384766</v>
      </c>
      <c r="CN712" s="244"/>
      <c r="CO712" s="244">
        <v>0.28600001335144043</v>
      </c>
      <c r="CP712" s="244">
        <v>0.31700000166893005</v>
      </c>
      <c r="CQ712" s="244">
        <v>922.86175537109375</v>
      </c>
      <c r="CR712" s="244">
        <v>0</v>
      </c>
      <c r="CS712" s="244">
        <v>0</v>
      </c>
      <c r="CT712" s="244">
        <v>922.86175537109375</v>
      </c>
      <c r="CU712" s="244">
        <v>0</v>
      </c>
      <c r="CV712" s="244">
        <v>0</v>
      </c>
      <c r="CW712" s="228">
        <v>9999</v>
      </c>
    </row>
    <row r="713" spans="1:101">
      <c r="A713" s="221" t="s">
        <v>599</v>
      </c>
      <c r="C713" s="244">
        <v>10</v>
      </c>
      <c r="D713" s="244">
        <v>81.259841918945313</v>
      </c>
      <c r="E713" s="244">
        <v>73.694557189941406</v>
      </c>
      <c r="F713" s="244">
        <v>8.1096944808959961</v>
      </c>
      <c r="G713" s="244">
        <v>0</v>
      </c>
      <c r="H713" s="244">
        <v>0</v>
      </c>
      <c r="I713" s="244"/>
      <c r="J713" s="244">
        <v>1</v>
      </c>
      <c r="K713" s="244">
        <v>0.63999998569488525</v>
      </c>
      <c r="L713" s="244">
        <v>88.627090454101563</v>
      </c>
      <c r="M713" s="244">
        <v>6.4750383608043194E-3</v>
      </c>
      <c r="N713" s="244">
        <v>1.0117247700691223E-2</v>
      </c>
      <c r="O713" s="244">
        <v>74.431503295898438</v>
      </c>
      <c r="P713" s="244">
        <v>0.22587063908576965</v>
      </c>
      <c r="Q713" s="244">
        <v>0.71252566576004028</v>
      </c>
      <c r="R713" s="244">
        <v>0.80633538961410522</v>
      </c>
      <c r="S713" s="244">
        <v>4.4560842514038086</v>
      </c>
      <c r="T713" s="244">
        <v>0</v>
      </c>
      <c r="U713" s="244">
        <v>8.9822397232055664</v>
      </c>
      <c r="V713" s="244">
        <v>0.81096947193145752</v>
      </c>
      <c r="W713" s="244">
        <v>0.81096947193145752</v>
      </c>
      <c r="X713" s="244">
        <v>0</v>
      </c>
      <c r="Y713" s="244">
        <v>0</v>
      </c>
      <c r="Z713" s="244">
        <v>0</v>
      </c>
      <c r="AA713" s="244">
        <v>0</v>
      </c>
      <c r="AB713" s="244">
        <v>0</v>
      </c>
      <c r="AC713" s="244">
        <v>0</v>
      </c>
      <c r="AD713" s="244">
        <v>0</v>
      </c>
      <c r="AE713" s="244">
        <v>0</v>
      </c>
      <c r="AF713" s="244">
        <v>0</v>
      </c>
      <c r="AG713" s="244">
        <v>0</v>
      </c>
      <c r="AH713" s="244">
        <v>1.617304801940918</v>
      </c>
      <c r="AI713" s="244">
        <v>5.2670536041259766</v>
      </c>
      <c r="AJ713" s="244">
        <v>0</v>
      </c>
      <c r="AK713" s="244">
        <v>8.9822397232055664</v>
      </c>
      <c r="AL713" s="244">
        <v>15.866598129272461</v>
      </c>
      <c r="AM713" s="244">
        <v>61.405853271484375</v>
      </c>
      <c r="AN713" s="244">
        <v>0</v>
      </c>
      <c r="AO713" s="244">
        <v>10.889891624450684</v>
      </c>
      <c r="AP713" s="244">
        <v>47.493064880371094</v>
      </c>
      <c r="AQ713" s="244">
        <v>119.78881072998047</v>
      </c>
      <c r="AR713" s="244">
        <v>1.617304801940918</v>
      </c>
      <c r="AS713" s="228">
        <v>74.066932354256977</v>
      </c>
      <c r="AT713" s="244">
        <v>61.405853271484375</v>
      </c>
      <c r="AU713" s="244">
        <v>2.8999161720275879</v>
      </c>
      <c r="AV713" s="244">
        <v>11.17988395690918</v>
      </c>
      <c r="AW713" s="244">
        <v>47.493064880371094</v>
      </c>
      <c r="AX713" s="244">
        <v>122.97872161865234</v>
      </c>
      <c r="AY713" s="244">
        <v>5.2670536041259766</v>
      </c>
      <c r="AZ713" s="228">
        <v>23.348673611576189</v>
      </c>
      <c r="BA713" s="244">
        <v>61.405853271484375</v>
      </c>
      <c r="BB713" s="244">
        <v>2.8999161720275879</v>
      </c>
      <c r="BC713" s="244">
        <v>11.17988395690918</v>
      </c>
      <c r="BD713" s="244">
        <v>47.493064880371094</v>
      </c>
      <c r="BE713" s="244">
        <v>122.97872161865234</v>
      </c>
      <c r="BF713" s="244">
        <v>6.8843584060668945</v>
      </c>
      <c r="BG713" s="244">
        <v>-49.514736175537109</v>
      </c>
      <c r="BH713" s="228">
        <v>17.86349690599695</v>
      </c>
      <c r="BI713" s="244">
        <v>1.4643007516860962</v>
      </c>
      <c r="BJ713" s="244">
        <v>4.7687673568725586</v>
      </c>
      <c r="BK713" s="244">
        <v>0</v>
      </c>
      <c r="BL713" s="244">
        <v>8.1324806213378906</v>
      </c>
      <c r="BM713" s="244">
        <v>14.365549087524414</v>
      </c>
      <c r="BN713" s="244">
        <v>61.405853271484375</v>
      </c>
      <c r="BO713" s="244">
        <v>615.24114990234375</v>
      </c>
      <c r="BP713" s="244">
        <v>2.8999161720275879</v>
      </c>
      <c r="BQ713" s="244">
        <v>0</v>
      </c>
      <c r="BR713" s="244">
        <v>0</v>
      </c>
      <c r="BS713" s="244">
        <v>0</v>
      </c>
      <c r="BT713" s="244">
        <v>47.493064880371094</v>
      </c>
      <c r="BU713" s="244">
        <v>0</v>
      </c>
      <c r="BV713" s="244">
        <v>2519.764892578125</v>
      </c>
      <c r="BW713" s="244">
        <v>11.17988395690918</v>
      </c>
      <c r="BX713" s="244">
        <v>14.244659423828125</v>
      </c>
      <c r="BY713" s="244">
        <v>1.621938943862915</v>
      </c>
      <c r="BZ713" s="244">
        <v>0</v>
      </c>
      <c r="CA713" s="244">
        <v>0</v>
      </c>
      <c r="CB713" s="244">
        <v>3257.98486328125</v>
      </c>
      <c r="CC713" s="244">
        <v>15.866598129272461</v>
      </c>
      <c r="CD713" s="228">
        <v>205.33605787838277</v>
      </c>
      <c r="CE713" s="244">
        <v>-2879.80322265625</v>
      </c>
      <c r="CF713" s="244">
        <v>0.67208120776068048</v>
      </c>
      <c r="CG713" s="244">
        <v>6.9667888893175896</v>
      </c>
      <c r="CH713" s="244">
        <v>7.6388700970782697</v>
      </c>
      <c r="CI713" s="244">
        <v>3.2990089553810817E-2</v>
      </c>
      <c r="CJ713" s="244">
        <v>0.43542430558234696</v>
      </c>
      <c r="CK713" s="244">
        <v>0.46841439513615779</v>
      </c>
      <c r="CL713" s="244"/>
      <c r="CM713" s="244">
        <v>74.431503295898438</v>
      </c>
      <c r="CN713" s="244"/>
      <c r="CO713" s="244">
        <v>0.28600001335144043</v>
      </c>
      <c r="CP713" s="244">
        <v>0.31700000166893005</v>
      </c>
      <c r="CQ713" s="244">
        <v>615.24114990234375</v>
      </c>
      <c r="CR713" s="244">
        <v>0</v>
      </c>
      <c r="CS713" s="244">
        <v>0</v>
      </c>
      <c r="CT713" s="244">
        <v>615.24114990234375</v>
      </c>
      <c r="CU713" s="244">
        <v>0</v>
      </c>
      <c r="CV713" s="244">
        <v>0</v>
      </c>
      <c r="CW713" s="228">
        <v>9999</v>
      </c>
    </row>
    <row r="714" spans="1:101">
      <c r="A714" s="221" t="s">
        <v>587</v>
      </c>
      <c r="C714" s="244">
        <v>10</v>
      </c>
      <c r="D714" s="244">
        <v>108.34645843505859</v>
      </c>
      <c r="E714" s="244">
        <v>103.57971954345703</v>
      </c>
      <c r="F714" s="244">
        <v>11.336667060852051</v>
      </c>
      <c r="G714" s="244">
        <v>0</v>
      </c>
      <c r="H714" s="244">
        <v>0</v>
      </c>
      <c r="I714" s="244"/>
      <c r="J714" s="244">
        <v>1</v>
      </c>
      <c r="K714" s="244">
        <v>0.63999992609024048</v>
      </c>
      <c r="L714" s="244">
        <v>118.16944885253906</v>
      </c>
      <c r="M714" s="244">
        <v>8.6333844810724258E-3</v>
      </c>
      <c r="N714" s="244">
        <v>1.3489663600921631E-2</v>
      </c>
      <c r="O714" s="244">
        <v>104.61551666259766</v>
      </c>
      <c r="P714" s="244">
        <v>0.31746739149093628</v>
      </c>
      <c r="Q714" s="244">
        <v>1.0014743804931641</v>
      </c>
      <c r="R714" s="244">
        <v>1.1271885633468628</v>
      </c>
      <c r="S714" s="244">
        <v>6.2292284965515137</v>
      </c>
      <c r="T714" s="244">
        <v>0</v>
      </c>
      <c r="U714" s="244">
        <v>12.556410789489746</v>
      </c>
      <c r="V714" s="244">
        <v>1.1336666345596313</v>
      </c>
      <c r="W714" s="244">
        <v>1.1336666345596313</v>
      </c>
      <c r="X714" s="244">
        <v>0</v>
      </c>
      <c r="Y714" s="244">
        <v>0</v>
      </c>
      <c r="Z714" s="244">
        <v>0</v>
      </c>
      <c r="AA714" s="244">
        <v>0</v>
      </c>
      <c r="AB714" s="244">
        <v>0</v>
      </c>
      <c r="AC714" s="244">
        <v>0</v>
      </c>
      <c r="AD714" s="244">
        <v>0</v>
      </c>
      <c r="AE714" s="244">
        <v>0</v>
      </c>
      <c r="AF714" s="244">
        <v>0</v>
      </c>
      <c r="AG714" s="244">
        <v>0</v>
      </c>
      <c r="AH714" s="244">
        <v>2.2608551979064941</v>
      </c>
      <c r="AI714" s="244">
        <v>7.3628950119018555</v>
      </c>
      <c r="AJ714" s="244">
        <v>0</v>
      </c>
      <c r="AK714" s="244">
        <v>12.556410789489746</v>
      </c>
      <c r="AL714" s="244">
        <v>22.18016242980957</v>
      </c>
      <c r="AM714" s="244">
        <v>81.874473571777344</v>
      </c>
      <c r="AN714" s="244">
        <v>0</v>
      </c>
      <c r="AO714" s="244">
        <v>14.519855499267578</v>
      </c>
      <c r="AP714" s="244">
        <v>63.324081420898437</v>
      </c>
      <c r="AQ714" s="244">
        <v>159.71841430664062</v>
      </c>
      <c r="AR714" s="244">
        <v>2.2608551979064941</v>
      </c>
      <c r="AS714" s="228">
        <v>70.64513049745041</v>
      </c>
      <c r="AT714" s="244">
        <v>81.874473571777344</v>
      </c>
      <c r="AU714" s="244">
        <v>3.8665556907653809</v>
      </c>
      <c r="AV714" s="244">
        <v>14.906511306762695</v>
      </c>
      <c r="AW714" s="244">
        <v>63.324081420898437</v>
      </c>
      <c r="AX714" s="244">
        <v>163.97161865234375</v>
      </c>
      <c r="AY714" s="244">
        <v>7.3628950119018555</v>
      </c>
      <c r="AZ714" s="228">
        <v>22.269992858836041</v>
      </c>
      <c r="BA714" s="244">
        <v>81.874473571777344</v>
      </c>
      <c r="BB714" s="244">
        <v>3.8665556907653809</v>
      </c>
      <c r="BC714" s="244">
        <v>14.906511306762695</v>
      </c>
      <c r="BD714" s="244">
        <v>63.324081420898437</v>
      </c>
      <c r="BE714" s="244">
        <v>163.97161865234375</v>
      </c>
      <c r="BF714" s="244">
        <v>9.6237506866455078</v>
      </c>
      <c r="BG714" s="244">
        <v>-49.21282958984375</v>
      </c>
      <c r="BH714" s="228">
        <v>17.038224848351977</v>
      </c>
      <c r="BI714" s="244">
        <v>1.5352264642715454</v>
      </c>
      <c r="BJ714" s="244">
        <v>4.9997501373291016</v>
      </c>
      <c r="BK714" s="244">
        <v>0</v>
      </c>
      <c r="BL714" s="244">
        <v>8.5263910293579102</v>
      </c>
      <c r="BM714" s="244">
        <v>15.061367988586426</v>
      </c>
      <c r="BN714" s="244">
        <v>81.874473571777344</v>
      </c>
      <c r="BO714" s="244">
        <v>864.73828125</v>
      </c>
      <c r="BP714" s="244">
        <v>3.8665556907653809</v>
      </c>
      <c r="BQ714" s="244">
        <v>0</v>
      </c>
      <c r="BR714" s="244">
        <v>0</v>
      </c>
      <c r="BS714" s="244">
        <v>0</v>
      </c>
      <c r="BT714" s="244">
        <v>63.324081420898437</v>
      </c>
      <c r="BU714" s="244">
        <v>0</v>
      </c>
      <c r="BV714" s="244">
        <v>3359.6865234375</v>
      </c>
      <c r="BW714" s="244">
        <v>14.906511306762695</v>
      </c>
      <c r="BX714" s="244">
        <v>19.91282844543457</v>
      </c>
      <c r="BY714" s="244">
        <v>2.2673332691192627</v>
      </c>
      <c r="BZ714" s="244">
        <v>0</v>
      </c>
      <c r="CA714" s="244">
        <v>0</v>
      </c>
      <c r="CB714" s="244">
        <v>4388.396484375</v>
      </c>
      <c r="CC714" s="244">
        <v>22.18016242980957</v>
      </c>
      <c r="CD714" s="228">
        <v>197.85231880424902</v>
      </c>
      <c r="CE714" s="244">
        <v>-2909.2685546875</v>
      </c>
      <c r="CF714" s="244">
        <v>0.89610827701424167</v>
      </c>
      <c r="CG714" s="244">
        <v>9.7920123588152777</v>
      </c>
      <c r="CH714" s="244">
        <v>10.68812063582952</v>
      </c>
      <c r="CI714" s="244">
        <v>4.3986786071747809E-2</v>
      </c>
      <c r="CJ714" s="244">
        <v>0.61200077242595086</v>
      </c>
      <c r="CK714" s="244">
        <v>0.65598755849769863</v>
      </c>
      <c r="CL714" s="244"/>
      <c r="CM714" s="244">
        <v>104.61551666259766</v>
      </c>
      <c r="CN714" s="244"/>
      <c r="CO714" s="244">
        <v>0.28600001335144043</v>
      </c>
      <c r="CP714" s="244">
        <v>0.31700000166893005</v>
      </c>
      <c r="CQ714" s="244">
        <v>864.73828125</v>
      </c>
      <c r="CR714" s="244">
        <v>0</v>
      </c>
      <c r="CS714" s="244">
        <v>0</v>
      </c>
      <c r="CT714" s="244">
        <v>864.73828125</v>
      </c>
      <c r="CU714" s="244">
        <v>0</v>
      </c>
      <c r="CV714" s="244">
        <v>0</v>
      </c>
      <c r="CW714" s="228">
        <v>9999</v>
      </c>
    </row>
    <row r="715" spans="1:101">
      <c r="A715" s="221" t="s">
        <v>596</v>
      </c>
      <c r="C715" s="244">
        <v>10</v>
      </c>
      <c r="D715" s="244">
        <v>72.230972290039063</v>
      </c>
      <c r="E715" s="244">
        <v>69.053146362304688</v>
      </c>
      <c r="F715" s="244">
        <v>8.1096944808959961</v>
      </c>
      <c r="G715" s="244">
        <v>0</v>
      </c>
      <c r="H715" s="244">
        <v>0</v>
      </c>
      <c r="I715" s="244"/>
      <c r="J715" s="244">
        <v>1</v>
      </c>
      <c r="K715" s="244">
        <v>0.63999998569488525</v>
      </c>
      <c r="L715" s="244">
        <v>78.779632568359375</v>
      </c>
      <c r="M715" s="244">
        <v>5.7555893436074257E-3</v>
      </c>
      <c r="N715" s="244">
        <v>8.993108756840229E-3</v>
      </c>
      <c r="O715" s="244">
        <v>69.743675231933594</v>
      </c>
      <c r="P715" s="244">
        <v>0.21164491772651672</v>
      </c>
      <c r="Q715" s="244">
        <v>0.66764956712722778</v>
      </c>
      <c r="R715" s="244">
        <v>0.80633538961410522</v>
      </c>
      <c r="S715" s="244">
        <v>4.4560842514038086</v>
      </c>
      <c r="T715" s="244">
        <v>0</v>
      </c>
      <c r="U715" s="244">
        <v>8.9822397232055664</v>
      </c>
      <c r="V715" s="244">
        <v>0.81096947193145752</v>
      </c>
      <c r="W715" s="244">
        <v>0.81096947193145752</v>
      </c>
      <c r="X715" s="244">
        <v>0</v>
      </c>
      <c r="Y715" s="244">
        <v>0</v>
      </c>
      <c r="Z715" s="244">
        <v>0</v>
      </c>
      <c r="AA715" s="244">
        <v>0</v>
      </c>
      <c r="AB715" s="244">
        <v>0</v>
      </c>
      <c r="AC715" s="244">
        <v>0</v>
      </c>
      <c r="AD715" s="244">
        <v>0</v>
      </c>
      <c r="AE715" s="244">
        <v>0</v>
      </c>
      <c r="AF715" s="244">
        <v>0</v>
      </c>
      <c r="AG715" s="244">
        <v>0</v>
      </c>
      <c r="AH715" s="244">
        <v>1.617304801940918</v>
      </c>
      <c r="AI715" s="244">
        <v>5.2670536041259766</v>
      </c>
      <c r="AJ715" s="244">
        <v>0</v>
      </c>
      <c r="AK715" s="244">
        <v>8.9822397232055664</v>
      </c>
      <c r="AL715" s="244">
        <v>15.866598129272461</v>
      </c>
      <c r="AM715" s="244">
        <v>54.582981109619141</v>
      </c>
      <c r="AN715" s="244">
        <v>0</v>
      </c>
      <c r="AO715" s="244">
        <v>9.6799039840698242</v>
      </c>
      <c r="AP715" s="244">
        <v>42.216060638427734</v>
      </c>
      <c r="AQ715" s="244">
        <v>106.47894287109375</v>
      </c>
      <c r="AR715" s="244">
        <v>1.617304801940918</v>
      </c>
      <c r="AS715" s="228">
        <v>65.837275496940663</v>
      </c>
      <c r="AT715" s="244">
        <v>54.582981109619141</v>
      </c>
      <c r="AU715" s="244">
        <v>2.5777037143707275</v>
      </c>
      <c r="AV715" s="244">
        <v>9.9376745223999023</v>
      </c>
      <c r="AW715" s="244">
        <v>42.216060638427734</v>
      </c>
      <c r="AX715" s="244">
        <v>109.31442260742187</v>
      </c>
      <c r="AY715" s="244">
        <v>5.2670536041259766</v>
      </c>
      <c r="AZ715" s="228">
        <v>20.754377252790984</v>
      </c>
      <c r="BA715" s="244">
        <v>54.582981109619141</v>
      </c>
      <c r="BB715" s="244">
        <v>2.5777037143707275</v>
      </c>
      <c r="BC715" s="244">
        <v>9.9376745223999023</v>
      </c>
      <c r="BD715" s="244">
        <v>42.216060638427734</v>
      </c>
      <c r="BE715" s="244">
        <v>109.31442260742187</v>
      </c>
      <c r="BF715" s="244">
        <v>6.8843584060668945</v>
      </c>
      <c r="BG715" s="244">
        <v>-48.735610961914063</v>
      </c>
      <c r="BH715" s="228">
        <v>15.878664459008535</v>
      </c>
      <c r="BI715" s="244">
        <v>1.6473385095596313</v>
      </c>
      <c r="BJ715" s="244">
        <v>5.3648638725280762</v>
      </c>
      <c r="BK715" s="244">
        <v>0</v>
      </c>
      <c r="BL715" s="244">
        <v>9.1490411758422852</v>
      </c>
      <c r="BM715" s="244">
        <v>16.161243438720703</v>
      </c>
      <c r="BN715" s="244">
        <v>54.582981109619141</v>
      </c>
      <c r="BO715" s="244">
        <v>576.4921875</v>
      </c>
      <c r="BP715" s="244">
        <v>2.5777037143707275</v>
      </c>
      <c r="BQ715" s="244">
        <v>0</v>
      </c>
      <c r="BR715" s="244">
        <v>0</v>
      </c>
      <c r="BS715" s="244">
        <v>0</v>
      </c>
      <c r="BT715" s="244">
        <v>42.216060638427734</v>
      </c>
      <c r="BU715" s="244">
        <v>0</v>
      </c>
      <c r="BV715" s="244">
        <v>2239.790771484375</v>
      </c>
      <c r="BW715" s="244">
        <v>9.9376745223999023</v>
      </c>
      <c r="BX715" s="244">
        <v>14.244659423828125</v>
      </c>
      <c r="BY715" s="244">
        <v>1.621938943862915</v>
      </c>
      <c r="BZ715" s="244">
        <v>0</v>
      </c>
      <c r="CA715" s="244">
        <v>0</v>
      </c>
      <c r="CB715" s="244">
        <v>2925.597412109375</v>
      </c>
      <c r="CC715" s="244">
        <v>15.866598129272461</v>
      </c>
      <c r="CD715" s="228">
        <v>184.38718313602433</v>
      </c>
      <c r="CE715" s="244">
        <v>-2908.16845703125</v>
      </c>
      <c r="CF715" s="244">
        <v>0.5974055180094946</v>
      </c>
      <c r="CG715" s="244">
        <v>6.5280082392101058</v>
      </c>
      <c r="CH715" s="244">
        <v>7.1254137572196008</v>
      </c>
      <c r="CI715" s="244">
        <v>2.9324524047831854E-2</v>
      </c>
      <c r="CJ715" s="244">
        <v>0.408000514950634</v>
      </c>
      <c r="CK715" s="244">
        <v>0.43732503899846586</v>
      </c>
      <c r="CL715" s="244"/>
      <c r="CM715" s="244">
        <v>69.743675231933594</v>
      </c>
      <c r="CN715" s="244"/>
      <c r="CO715" s="244">
        <v>0.28600001335144043</v>
      </c>
      <c r="CP715" s="244">
        <v>0.31700000166893005</v>
      </c>
      <c r="CQ715" s="244">
        <v>576.4921875</v>
      </c>
      <c r="CR715" s="244">
        <v>0</v>
      </c>
      <c r="CS715" s="244">
        <v>0</v>
      </c>
      <c r="CT715" s="244">
        <v>576.4921875</v>
      </c>
      <c r="CU715" s="244">
        <v>0</v>
      </c>
      <c r="CV715" s="244">
        <v>0</v>
      </c>
      <c r="CW715" s="228">
        <v>9999</v>
      </c>
    </row>
    <row r="716" spans="1:101">
      <c r="A716" s="221" t="s">
        <v>448</v>
      </c>
      <c r="C716" s="244">
        <v>10.000000953674316</v>
      </c>
      <c r="D716" s="244">
        <v>205.68463134765625</v>
      </c>
      <c r="E716" s="244">
        <v>0</v>
      </c>
      <c r="F716" s="244">
        <v>3.2966773509979248</v>
      </c>
      <c r="G716" s="244">
        <v>0</v>
      </c>
      <c r="H716" s="244">
        <v>0</v>
      </c>
      <c r="I716" s="244"/>
      <c r="J716" s="244">
        <v>0.31757351756095886</v>
      </c>
      <c r="K716" s="244">
        <v>0.33128327131271362</v>
      </c>
      <c r="L716" s="244">
        <v>224.29544067382812</v>
      </c>
      <c r="M716" s="244">
        <v>2.7849391102790833E-2</v>
      </c>
      <c r="N716" s="244">
        <v>8.6699105799198151E-2</v>
      </c>
      <c r="O716" s="244">
        <v>0</v>
      </c>
      <c r="P716" s="244">
        <v>0</v>
      </c>
      <c r="Q716" s="244">
        <v>0</v>
      </c>
      <c r="R716" s="244">
        <v>0.32778394222259521</v>
      </c>
      <c r="S716" s="244">
        <v>1.8114458322525024</v>
      </c>
      <c r="T716" s="244">
        <v>0</v>
      </c>
      <c r="U716" s="244">
        <v>3.6513762474060059</v>
      </c>
      <c r="V716" s="244">
        <v>0.32966774702072144</v>
      </c>
      <c r="W716" s="244">
        <v>0.32966774702072144</v>
      </c>
      <c r="X716" s="244">
        <v>0</v>
      </c>
      <c r="Y716" s="244">
        <v>0</v>
      </c>
      <c r="Z716" s="244">
        <v>0</v>
      </c>
      <c r="AA716" s="244">
        <v>0</v>
      </c>
      <c r="AB716" s="244">
        <v>0</v>
      </c>
      <c r="AC716" s="244">
        <v>0</v>
      </c>
      <c r="AD716" s="244">
        <v>0</v>
      </c>
      <c r="AE716" s="244">
        <v>0</v>
      </c>
      <c r="AF716" s="244">
        <v>0</v>
      </c>
      <c r="AG716" s="244">
        <v>0</v>
      </c>
      <c r="AH716" s="244">
        <v>0.65745168924331665</v>
      </c>
      <c r="AI716" s="244">
        <v>2.1411135196685791</v>
      </c>
      <c r="AJ716" s="244">
        <v>0</v>
      </c>
      <c r="AK716" s="244">
        <v>3.6513762474060059</v>
      </c>
      <c r="AL716" s="244">
        <v>6.4499416351318359</v>
      </c>
      <c r="AM716" s="244">
        <v>157.96849060058594</v>
      </c>
      <c r="AN716" s="244">
        <v>0</v>
      </c>
      <c r="AO716" s="244">
        <v>27.816287994384766</v>
      </c>
      <c r="AP716" s="244">
        <v>120.19438171386719</v>
      </c>
      <c r="AQ716" s="244">
        <v>305.97915649414062</v>
      </c>
      <c r="AR716" s="244">
        <v>0.65745168924331665</v>
      </c>
      <c r="AS716" s="228">
        <v>465.40174025714293</v>
      </c>
      <c r="AT716" s="244">
        <v>157.96849060058594</v>
      </c>
      <c r="AU716" s="244">
        <v>24.85064697265625</v>
      </c>
      <c r="AV716" s="244">
        <v>30.301353454589844</v>
      </c>
      <c r="AW716" s="244">
        <v>120.19438171386719</v>
      </c>
      <c r="AX716" s="244">
        <v>333.31488037109375</v>
      </c>
      <c r="AY716" s="244">
        <v>2.1411135196685791</v>
      </c>
      <c r="AZ716" s="228">
        <v>155.67360646735941</v>
      </c>
      <c r="BA716" s="244">
        <v>157.96849060058594</v>
      </c>
      <c r="BB716" s="244">
        <v>24.85064697265625</v>
      </c>
      <c r="BC716" s="244">
        <v>30.301353454589844</v>
      </c>
      <c r="BD716" s="244">
        <v>120.19438171386719</v>
      </c>
      <c r="BE716" s="244">
        <v>333.31488037109375</v>
      </c>
      <c r="BF716" s="244">
        <v>2.7985653877258301</v>
      </c>
      <c r="BG716" s="244">
        <v>-61.729667663574219</v>
      </c>
      <c r="BH716" s="228">
        <v>119.10205436029808</v>
      </c>
      <c r="BI716" s="244">
        <v>0.23520594835281372</v>
      </c>
      <c r="BJ716" s="244">
        <v>0.76599186658859253</v>
      </c>
      <c r="BK716" s="244">
        <v>0</v>
      </c>
      <c r="BL716" s="244">
        <v>1.306294322013855</v>
      </c>
      <c r="BM716" s="244">
        <v>2.3074922561645508</v>
      </c>
      <c r="BN716" s="244">
        <v>157.96849060058594</v>
      </c>
      <c r="BO716" s="244">
        <v>0</v>
      </c>
      <c r="BP716" s="244">
        <v>24.85064697265625</v>
      </c>
      <c r="BQ716" s="244">
        <v>0</v>
      </c>
      <c r="BR716" s="244">
        <v>0</v>
      </c>
      <c r="BS716" s="244">
        <v>0</v>
      </c>
      <c r="BT716" s="244">
        <v>120.19438171386719</v>
      </c>
      <c r="BU716" s="244">
        <v>0</v>
      </c>
      <c r="BV716" s="244">
        <v>282.03976440429688</v>
      </c>
      <c r="BW716" s="244">
        <v>30.301353454589844</v>
      </c>
      <c r="BX716" s="244">
        <v>5.7906060218811035</v>
      </c>
      <c r="BY716" s="244">
        <v>0.65933549404144287</v>
      </c>
      <c r="BZ716" s="244">
        <v>0</v>
      </c>
      <c r="CA716" s="244">
        <v>0</v>
      </c>
      <c r="CB716" s="244">
        <v>615.3546142578125</v>
      </c>
      <c r="CC716" s="244">
        <v>6.4499416351318359</v>
      </c>
      <c r="CD716" s="228">
        <v>95.40468477534418</v>
      </c>
      <c r="CE716" s="244">
        <v>-161.32421875</v>
      </c>
      <c r="CF716" s="244">
        <v>1.6929640737229483</v>
      </c>
      <c r="CG716" s="244">
        <v>0</v>
      </c>
      <c r="CH716" s="244">
        <v>1.6929640737229483</v>
      </c>
      <c r="CI716" s="244">
        <v>8.3017435579076523E-2</v>
      </c>
      <c r="CJ716" s="244">
        <v>0</v>
      </c>
      <c r="CK716" s="244">
        <v>8.3017435579076523E-2</v>
      </c>
      <c r="CL716" s="244"/>
      <c r="CM716" s="244">
        <v>0</v>
      </c>
      <c r="CN716" s="244"/>
      <c r="CO716" s="244">
        <v>0</v>
      </c>
      <c r="CP716" s="244">
        <v>0</v>
      </c>
      <c r="CQ716" s="244">
        <v>0</v>
      </c>
      <c r="CR716" s="244">
        <v>0</v>
      </c>
      <c r="CS716" s="244">
        <v>0</v>
      </c>
      <c r="CT716" s="244">
        <v>0</v>
      </c>
      <c r="CU716" s="244">
        <v>0</v>
      </c>
      <c r="CV716" s="244">
        <v>9999</v>
      </c>
      <c r="CW716" s="228">
        <v>9999</v>
      </c>
    </row>
    <row r="717" spans="1:101">
      <c r="A717" s="221" t="s">
        <v>556</v>
      </c>
      <c r="C717" s="244">
        <v>10.000000953674316</v>
      </c>
      <c r="D717" s="244">
        <v>177.5577392578125</v>
      </c>
      <c r="E717" s="244">
        <v>0</v>
      </c>
      <c r="F717" s="244">
        <v>3.2966773509979248</v>
      </c>
      <c r="G717" s="244">
        <v>0</v>
      </c>
      <c r="H717" s="244">
        <v>0</v>
      </c>
      <c r="I717" s="244"/>
      <c r="J717" s="244">
        <v>0.31757351756095886</v>
      </c>
      <c r="K717" s="244">
        <v>0.33128327131271362</v>
      </c>
      <c r="L717" s="244">
        <v>193.62356567382812</v>
      </c>
      <c r="M717" s="244">
        <v>2.4041052907705307E-2</v>
      </c>
      <c r="N717" s="244">
        <v>7.4843205511569977E-2</v>
      </c>
      <c r="O717" s="244">
        <v>0</v>
      </c>
      <c r="P717" s="244">
        <v>0</v>
      </c>
      <c r="Q717" s="244">
        <v>0</v>
      </c>
      <c r="R717" s="244">
        <v>0.32778394222259521</v>
      </c>
      <c r="S717" s="244">
        <v>1.8114458322525024</v>
      </c>
      <c r="T717" s="244">
        <v>0</v>
      </c>
      <c r="U717" s="244">
        <v>3.6513762474060059</v>
      </c>
      <c r="V717" s="244">
        <v>0.32966774702072144</v>
      </c>
      <c r="W717" s="244">
        <v>0.32966774702072144</v>
      </c>
      <c r="X717" s="244">
        <v>0</v>
      </c>
      <c r="Y717" s="244">
        <v>0</v>
      </c>
      <c r="Z717" s="244">
        <v>0</v>
      </c>
      <c r="AA717" s="244">
        <v>0</v>
      </c>
      <c r="AB717" s="244">
        <v>0</v>
      </c>
      <c r="AC717" s="244">
        <v>0</v>
      </c>
      <c r="AD717" s="244">
        <v>0</v>
      </c>
      <c r="AE717" s="244">
        <v>0</v>
      </c>
      <c r="AF717" s="244">
        <v>0</v>
      </c>
      <c r="AG717" s="244">
        <v>0</v>
      </c>
      <c r="AH717" s="244">
        <v>0.65745168924331665</v>
      </c>
      <c r="AI717" s="244">
        <v>2.1411135196685791</v>
      </c>
      <c r="AJ717" s="244">
        <v>0</v>
      </c>
      <c r="AK717" s="244">
        <v>3.6513762474060059</v>
      </c>
      <c r="AL717" s="244">
        <v>6.4499416351318359</v>
      </c>
      <c r="AM717" s="244">
        <v>136.36668395996094</v>
      </c>
      <c r="AN717" s="244">
        <v>0</v>
      </c>
      <c r="AO717" s="244">
        <v>24.012475967407227</v>
      </c>
      <c r="AP717" s="244">
        <v>103.75807952880859</v>
      </c>
      <c r="AQ717" s="244">
        <v>264.13723754882812</v>
      </c>
      <c r="AR717" s="244">
        <v>0.65745168924331665</v>
      </c>
      <c r="AS717" s="228">
        <v>401.75916158977589</v>
      </c>
      <c r="AT717" s="244">
        <v>136.36668395996094</v>
      </c>
      <c r="AU717" s="244">
        <v>21.45237922668457</v>
      </c>
      <c r="AV717" s="244">
        <v>26.15771484375</v>
      </c>
      <c r="AW717" s="244">
        <v>103.75807952880859</v>
      </c>
      <c r="AX717" s="244">
        <v>287.73486328125</v>
      </c>
      <c r="AY717" s="244">
        <v>2.1411135196685791</v>
      </c>
      <c r="AZ717" s="228">
        <v>134.38561146152384</v>
      </c>
      <c r="BA717" s="244">
        <v>136.36668395996094</v>
      </c>
      <c r="BB717" s="244">
        <v>21.45237922668457</v>
      </c>
      <c r="BC717" s="244">
        <v>26.15771484375</v>
      </c>
      <c r="BD717" s="244">
        <v>103.75807952880859</v>
      </c>
      <c r="BE717" s="244">
        <v>287.73486328125</v>
      </c>
      <c r="BF717" s="244">
        <v>2.7985653877258301</v>
      </c>
      <c r="BG717" s="244">
        <v>-61.571063995361328</v>
      </c>
      <c r="BH717" s="228">
        <v>102.81513202360514</v>
      </c>
      <c r="BI717" s="244">
        <v>0.27246487140655518</v>
      </c>
      <c r="BJ717" s="244">
        <v>0.88733243942260742</v>
      </c>
      <c r="BK717" s="244">
        <v>0</v>
      </c>
      <c r="BL717" s="244">
        <v>1.5132241249084473</v>
      </c>
      <c r="BM717" s="244">
        <v>2.6730215549468994</v>
      </c>
      <c r="BN717" s="244">
        <v>136.36668395996094</v>
      </c>
      <c r="BO717" s="244">
        <v>0</v>
      </c>
      <c r="BP717" s="244">
        <v>21.45237922668457</v>
      </c>
      <c r="BQ717" s="244">
        <v>0</v>
      </c>
      <c r="BR717" s="244">
        <v>0</v>
      </c>
      <c r="BS717" s="244">
        <v>0</v>
      </c>
      <c r="BT717" s="244">
        <v>103.75807952880859</v>
      </c>
      <c r="BU717" s="244">
        <v>0</v>
      </c>
      <c r="BV717" s="244">
        <v>243.47149658203125</v>
      </c>
      <c r="BW717" s="244">
        <v>26.15771484375</v>
      </c>
      <c r="BX717" s="244">
        <v>5.7906060218811035</v>
      </c>
      <c r="BY717" s="244">
        <v>0.65933549404144287</v>
      </c>
      <c r="BZ717" s="244">
        <v>0</v>
      </c>
      <c r="CA717" s="244">
        <v>0</v>
      </c>
      <c r="CB717" s="244">
        <v>531.20635986328125</v>
      </c>
      <c r="CC717" s="244">
        <v>6.4499416351318359</v>
      </c>
      <c r="CD717" s="228">
        <v>82.358321052970965</v>
      </c>
      <c r="CE717" s="244">
        <v>-160.95867919921875</v>
      </c>
      <c r="CF717" s="244">
        <v>1.4614552105564105</v>
      </c>
      <c r="CG717" s="244">
        <v>0</v>
      </c>
      <c r="CH717" s="244">
        <v>1.4614552105564105</v>
      </c>
      <c r="CI717" s="244">
        <v>7.1664996131469871E-2</v>
      </c>
      <c r="CJ717" s="244">
        <v>0</v>
      </c>
      <c r="CK717" s="244">
        <v>7.1664996131469871E-2</v>
      </c>
      <c r="CL717" s="244"/>
      <c r="CM717" s="244">
        <v>0</v>
      </c>
      <c r="CN717" s="244"/>
      <c r="CO717" s="244">
        <v>0</v>
      </c>
      <c r="CP717" s="244">
        <v>0</v>
      </c>
      <c r="CQ717" s="244">
        <v>0</v>
      </c>
      <c r="CR717" s="244">
        <v>0</v>
      </c>
      <c r="CS717" s="244">
        <v>0</v>
      </c>
      <c r="CT717" s="244">
        <v>0</v>
      </c>
      <c r="CU717" s="244">
        <v>0</v>
      </c>
      <c r="CV717" s="244">
        <v>9999</v>
      </c>
      <c r="CW717" s="228">
        <v>9999</v>
      </c>
    </row>
    <row r="718" spans="1:101">
      <c r="A718" s="221" t="s">
        <v>450</v>
      </c>
      <c r="C718" s="244">
        <v>9.9999990463256836</v>
      </c>
      <c r="D718" s="244">
        <v>71.021080017089844</v>
      </c>
      <c r="E718" s="244">
        <v>6.0054740905761719</v>
      </c>
      <c r="F718" s="244">
        <v>3.2966773509979248</v>
      </c>
      <c r="G718" s="244">
        <v>0</v>
      </c>
      <c r="H718" s="244">
        <v>0</v>
      </c>
      <c r="I718" s="244"/>
      <c r="J718" s="244">
        <v>0.37744021415710449</v>
      </c>
      <c r="K718" s="244">
        <v>0.35836580395698547</v>
      </c>
      <c r="L718" s="244">
        <v>77.448341369628906</v>
      </c>
      <c r="M718" s="244">
        <v>9.269016794860363E-3</v>
      </c>
      <c r="N718" s="244">
        <v>2.8085933998227119E-2</v>
      </c>
      <c r="O718" s="244">
        <v>6.0655288696289062</v>
      </c>
      <c r="P718" s="244">
        <v>1.8406519666314125E-2</v>
      </c>
      <c r="Q718" s="244">
        <v>5.8064728975296021E-2</v>
      </c>
      <c r="R718" s="244">
        <v>0.32778394222259521</v>
      </c>
      <c r="S718" s="244">
        <v>1.8114458322525024</v>
      </c>
      <c r="T718" s="244">
        <v>0</v>
      </c>
      <c r="U718" s="244">
        <v>3.6513762474060059</v>
      </c>
      <c r="V718" s="244">
        <v>0.32966774702072144</v>
      </c>
      <c r="W718" s="244">
        <v>0.32966774702072144</v>
      </c>
      <c r="X718" s="244">
        <v>0</v>
      </c>
      <c r="Y718" s="244">
        <v>0</v>
      </c>
      <c r="Z718" s="244">
        <v>0</v>
      </c>
      <c r="AA718" s="244">
        <v>0</v>
      </c>
      <c r="AB718" s="244">
        <v>0</v>
      </c>
      <c r="AC718" s="244">
        <v>0</v>
      </c>
      <c r="AD718" s="244">
        <v>0</v>
      </c>
      <c r="AE718" s="244">
        <v>0</v>
      </c>
      <c r="AF718" s="244">
        <v>0</v>
      </c>
      <c r="AG718" s="244">
        <v>0</v>
      </c>
      <c r="AH718" s="244">
        <v>0.65745168924331665</v>
      </c>
      <c r="AI718" s="244">
        <v>2.1411135196685791</v>
      </c>
      <c r="AJ718" s="244">
        <v>0</v>
      </c>
      <c r="AK718" s="244">
        <v>3.6513762474060059</v>
      </c>
      <c r="AL718" s="244">
        <v>6.4499416351318359</v>
      </c>
      <c r="AM718" s="244">
        <v>54.468231201171875</v>
      </c>
      <c r="AN718" s="244">
        <v>0</v>
      </c>
      <c r="AO718" s="244">
        <v>9.5970878601074219</v>
      </c>
      <c r="AP718" s="244">
        <v>41.502647399902344</v>
      </c>
      <c r="AQ718" s="244">
        <v>105.56796264648437</v>
      </c>
      <c r="AR718" s="244">
        <v>0.65745168924331665</v>
      </c>
      <c r="AS718" s="228">
        <v>160.57144302524097</v>
      </c>
      <c r="AT718" s="244">
        <v>54.468231201171875</v>
      </c>
      <c r="AU718" s="244">
        <v>8.050297737121582</v>
      </c>
      <c r="AV718" s="244">
        <v>10.402117729187012</v>
      </c>
      <c r="AW718" s="244">
        <v>41.502647399902344</v>
      </c>
      <c r="AX718" s="244">
        <v>114.42329406738281</v>
      </c>
      <c r="AY718" s="244">
        <v>2.1411135196685791</v>
      </c>
      <c r="AZ718" s="228">
        <v>53.441020212586047</v>
      </c>
      <c r="BA718" s="244">
        <v>54.468231201171875</v>
      </c>
      <c r="BB718" s="244">
        <v>8.050297737121582</v>
      </c>
      <c r="BC718" s="244">
        <v>10.402117729187012</v>
      </c>
      <c r="BD718" s="244">
        <v>41.502647399902344</v>
      </c>
      <c r="BE718" s="244">
        <v>114.42329406738281</v>
      </c>
      <c r="BF718" s="244">
        <v>2.7985653877258301</v>
      </c>
      <c r="BG718" s="244">
        <v>-59.218635559082031</v>
      </c>
      <c r="BH718" s="228">
        <v>40.886412532388839</v>
      </c>
      <c r="BI718" s="244">
        <v>0.681171715259552</v>
      </c>
      <c r="BJ718" s="244">
        <v>2.2183623313903809</v>
      </c>
      <c r="BK718" s="244">
        <v>0</v>
      </c>
      <c r="BL718" s="244">
        <v>3.7831134796142578</v>
      </c>
      <c r="BM718" s="244">
        <v>6.682647705078125</v>
      </c>
      <c r="BN718" s="244">
        <v>54.468231201171875</v>
      </c>
      <c r="BO718" s="244">
        <v>50.136875152587891</v>
      </c>
      <c r="BP718" s="244">
        <v>8.050297737121582</v>
      </c>
      <c r="BQ718" s="244">
        <v>0</v>
      </c>
      <c r="BR718" s="244">
        <v>0</v>
      </c>
      <c r="BS718" s="244">
        <v>0</v>
      </c>
      <c r="BT718" s="244">
        <v>41.502647399902344</v>
      </c>
      <c r="BU718" s="244">
        <v>0</v>
      </c>
      <c r="BV718" s="244">
        <v>282.03976440429688</v>
      </c>
      <c r="BW718" s="244">
        <v>10.402117729187012</v>
      </c>
      <c r="BX718" s="244">
        <v>5.7906060218811035</v>
      </c>
      <c r="BY718" s="244">
        <v>0.65933549404144287</v>
      </c>
      <c r="BZ718" s="244">
        <v>0</v>
      </c>
      <c r="CA718" s="244">
        <v>0</v>
      </c>
      <c r="CB718" s="244">
        <v>446.59994506835937</v>
      </c>
      <c r="CC718" s="244">
        <v>6.4499416351318359</v>
      </c>
      <c r="CD718" s="228">
        <v>69.240927614890097</v>
      </c>
      <c r="CE718" s="244">
        <v>-399.59671020507812</v>
      </c>
      <c r="CF718" s="244">
        <v>0.58481398472587043</v>
      </c>
      <c r="CG718" s="244">
        <v>0.56773350711707815</v>
      </c>
      <c r="CH718" s="244">
        <v>1.1525474918429486</v>
      </c>
      <c r="CI718" s="244">
        <v>2.8679932462088664E-2</v>
      </c>
      <c r="CJ718" s="244">
        <v>3.5483344194817093E-2</v>
      </c>
      <c r="CK718" s="244">
        <v>6.4163276656905757E-2</v>
      </c>
      <c r="CL718" s="244"/>
      <c r="CM718" s="244">
        <v>6.0655288696289062</v>
      </c>
      <c r="CN718" s="244"/>
      <c r="CO718" s="244">
        <v>0.28600001335144043</v>
      </c>
      <c r="CP718" s="244">
        <v>0.31700000166893005</v>
      </c>
      <c r="CQ718" s="244">
        <v>50.136875152587891</v>
      </c>
      <c r="CR718" s="244">
        <v>0</v>
      </c>
      <c r="CS718" s="244">
        <v>0</v>
      </c>
      <c r="CT718" s="244">
        <v>50.136875152587891</v>
      </c>
      <c r="CU718" s="244">
        <v>0</v>
      </c>
      <c r="CV718" s="244">
        <v>0</v>
      </c>
      <c r="CW718" s="228">
        <v>9999</v>
      </c>
    </row>
    <row r="719" spans="1:101">
      <c r="A719" s="221" t="s">
        <v>475</v>
      </c>
      <c r="C719" s="244">
        <v>10</v>
      </c>
      <c r="D719" s="244">
        <v>148.19058227539062</v>
      </c>
      <c r="E719" s="244">
        <v>0</v>
      </c>
      <c r="F719" s="244">
        <v>3.2966773509979248</v>
      </c>
      <c r="G719" s="244">
        <v>0</v>
      </c>
      <c r="H719" s="244">
        <v>0</v>
      </c>
      <c r="I719" s="244"/>
      <c r="J719" s="244">
        <v>0.31757348775863647</v>
      </c>
      <c r="K719" s="244">
        <v>0.33128324151039124</v>
      </c>
      <c r="L719" s="244">
        <v>161.59919738769531</v>
      </c>
      <c r="M719" s="244">
        <v>2.0064782351255417E-2</v>
      </c>
      <c r="N719" s="244">
        <v>6.2464509159326553E-2</v>
      </c>
      <c r="O719" s="244">
        <v>0</v>
      </c>
      <c r="P719" s="244">
        <v>0</v>
      </c>
      <c r="Q719" s="244">
        <v>0</v>
      </c>
      <c r="R719" s="244">
        <v>0.32778394222259521</v>
      </c>
      <c r="S719" s="244">
        <v>1.8114458322525024</v>
      </c>
      <c r="T719" s="244">
        <v>0</v>
      </c>
      <c r="U719" s="244">
        <v>3.6513762474060059</v>
      </c>
      <c r="V719" s="244">
        <v>0.32966774702072144</v>
      </c>
      <c r="W719" s="244">
        <v>0.32966774702072144</v>
      </c>
      <c r="X719" s="244">
        <v>0</v>
      </c>
      <c r="Y719" s="244">
        <v>0</v>
      </c>
      <c r="Z719" s="244">
        <v>0</v>
      </c>
      <c r="AA719" s="244">
        <v>0</v>
      </c>
      <c r="AB719" s="244">
        <v>0</v>
      </c>
      <c r="AC719" s="244">
        <v>0</v>
      </c>
      <c r="AD719" s="244">
        <v>0</v>
      </c>
      <c r="AE719" s="244">
        <v>0</v>
      </c>
      <c r="AF719" s="244">
        <v>0</v>
      </c>
      <c r="AG719" s="244">
        <v>0</v>
      </c>
      <c r="AH719" s="244">
        <v>0.65745168924331665</v>
      </c>
      <c r="AI719" s="244">
        <v>2.1411135196685791</v>
      </c>
      <c r="AJ719" s="244">
        <v>0</v>
      </c>
      <c r="AK719" s="244">
        <v>3.6513762474060059</v>
      </c>
      <c r="AL719" s="244">
        <v>6.4499416351318359</v>
      </c>
      <c r="AM719" s="244">
        <v>113.81230926513672</v>
      </c>
      <c r="AN719" s="244">
        <v>0</v>
      </c>
      <c r="AO719" s="244">
        <v>20.040931701660156</v>
      </c>
      <c r="AP719" s="244">
        <v>86.597000122070313</v>
      </c>
      <c r="AQ719" s="244">
        <v>220.45024108886719</v>
      </c>
      <c r="AR719" s="244">
        <v>0.65745168924331665</v>
      </c>
      <c r="AS719" s="228">
        <v>335.31017517437795</v>
      </c>
      <c r="AT719" s="244">
        <v>113.81230926513672</v>
      </c>
      <c r="AU719" s="244">
        <v>17.904262542724609</v>
      </c>
      <c r="AV719" s="244">
        <v>21.831357955932617</v>
      </c>
      <c r="AW719" s="244">
        <v>86.597000122070313</v>
      </c>
      <c r="AX719" s="244">
        <v>240.14492797851562</v>
      </c>
      <c r="AY719" s="244">
        <v>2.1411135196685791</v>
      </c>
      <c r="AZ719" s="228">
        <v>112.15889348914347</v>
      </c>
      <c r="BA719" s="244">
        <v>113.81230926513672</v>
      </c>
      <c r="BB719" s="244">
        <v>17.904262542724609</v>
      </c>
      <c r="BC719" s="244">
        <v>21.831357955932617</v>
      </c>
      <c r="BD719" s="244">
        <v>86.597000122070313</v>
      </c>
      <c r="BE719" s="244">
        <v>240.14492797851562</v>
      </c>
      <c r="BF719" s="244">
        <v>2.7985653877258301</v>
      </c>
      <c r="BG719" s="244">
        <v>-61.341220855712891</v>
      </c>
      <c r="BH719" s="228">
        <v>85.810015791827482</v>
      </c>
      <c r="BI719" s="244">
        <v>0.32645967602729797</v>
      </c>
      <c r="BJ719" s="244">
        <v>1.0631766319274902</v>
      </c>
      <c r="BK719" s="244">
        <v>0</v>
      </c>
      <c r="BL719" s="244">
        <v>1.8131022453308105</v>
      </c>
      <c r="BM719" s="244">
        <v>3.2027385234832764</v>
      </c>
      <c r="BN719" s="244">
        <v>113.81230926513672</v>
      </c>
      <c r="BO719" s="244">
        <v>0</v>
      </c>
      <c r="BP719" s="244">
        <v>17.904262542724609</v>
      </c>
      <c r="BQ719" s="244">
        <v>0</v>
      </c>
      <c r="BR719" s="244">
        <v>0</v>
      </c>
      <c r="BS719" s="244">
        <v>0</v>
      </c>
      <c r="BT719" s="244">
        <v>86.597000122070313</v>
      </c>
      <c r="BU719" s="244">
        <v>0</v>
      </c>
      <c r="BV719" s="244">
        <v>203.2025146484375</v>
      </c>
      <c r="BW719" s="244">
        <v>21.831357955932617</v>
      </c>
      <c r="BX719" s="244">
        <v>5.7906060218811035</v>
      </c>
      <c r="BY719" s="244">
        <v>0.65933549404144287</v>
      </c>
      <c r="BZ719" s="244">
        <v>0</v>
      </c>
      <c r="CA719" s="244">
        <v>0</v>
      </c>
      <c r="CB719" s="244">
        <v>443.34744262695312</v>
      </c>
      <c r="CC719" s="244">
        <v>6.4499416351318359</v>
      </c>
      <c r="CD719" s="228">
        <v>68.736661168142234</v>
      </c>
      <c r="CE719" s="244">
        <v>-160.42897033691406</v>
      </c>
      <c r="CF719" s="244">
        <v>1.2197377642717593</v>
      </c>
      <c r="CG719" s="244">
        <v>0</v>
      </c>
      <c r="CH719" s="244">
        <v>1.2197377642717593</v>
      </c>
      <c r="CI719" s="244">
        <v>5.9811961069038508E-2</v>
      </c>
      <c r="CJ719" s="244">
        <v>0</v>
      </c>
      <c r="CK719" s="244">
        <v>5.9811961069038508E-2</v>
      </c>
      <c r="CL719" s="244"/>
      <c r="CM719" s="244">
        <v>0</v>
      </c>
      <c r="CN719" s="244"/>
      <c r="CO719" s="244">
        <v>0</v>
      </c>
      <c r="CP719" s="244">
        <v>0</v>
      </c>
      <c r="CQ719" s="244">
        <v>0</v>
      </c>
      <c r="CR719" s="244">
        <v>0</v>
      </c>
      <c r="CS719" s="244">
        <v>0</v>
      </c>
      <c r="CT719" s="244">
        <v>0</v>
      </c>
      <c r="CU719" s="244">
        <v>0</v>
      </c>
      <c r="CV719" s="244">
        <v>9999</v>
      </c>
      <c r="CW719" s="228">
        <v>9999</v>
      </c>
    </row>
    <row r="720" spans="1:101">
      <c r="A720" s="221" t="s">
        <v>445</v>
      </c>
      <c r="C720" s="244">
        <v>10.000000953674316</v>
      </c>
      <c r="D720" s="244">
        <v>133.66383361816406</v>
      </c>
      <c r="E720" s="244">
        <v>0</v>
      </c>
      <c r="F720" s="244">
        <v>3.2966773509979248</v>
      </c>
      <c r="G720" s="244">
        <v>0</v>
      </c>
      <c r="H720" s="244">
        <v>0</v>
      </c>
      <c r="I720" s="244"/>
      <c r="J720" s="244">
        <v>0.31946483254432678</v>
      </c>
      <c r="K720" s="244">
        <v>0.33213883638381958</v>
      </c>
      <c r="L720" s="244">
        <v>145.75808715820312</v>
      </c>
      <c r="M720" s="244">
        <v>1.8077243119478226E-2</v>
      </c>
      <c r="N720" s="244">
        <v>5.6231249123811722E-2</v>
      </c>
      <c r="O720" s="244">
        <v>0</v>
      </c>
      <c r="P720" s="244">
        <v>0</v>
      </c>
      <c r="Q720" s="244">
        <v>0</v>
      </c>
      <c r="R720" s="244">
        <v>0.32778394222259521</v>
      </c>
      <c r="S720" s="244">
        <v>1.8114458322525024</v>
      </c>
      <c r="T720" s="244">
        <v>0</v>
      </c>
      <c r="U720" s="244">
        <v>3.6513762474060059</v>
      </c>
      <c r="V720" s="244">
        <v>0.32966774702072144</v>
      </c>
      <c r="W720" s="244">
        <v>0.32966774702072144</v>
      </c>
      <c r="X720" s="244">
        <v>0</v>
      </c>
      <c r="Y720" s="244">
        <v>0</v>
      </c>
      <c r="Z720" s="244">
        <v>0</v>
      </c>
      <c r="AA720" s="244">
        <v>0</v>
      </c>
      <c r="AB720" s="244">
        <v>0</v>
      </c>
      <c r="AC720" s="244">
        <v>0</v>
      </c>
      <c r="AD720" s="244">
        <v>0</v>
      </c>
      <c r="AE720" s="244">
        <v>0</v>
      </c>
      <c r="AF720" s="244">
        <v>0</v>
      </c>
      <c r="AG720" s="244">
        <v>0</v>
      </c>
      <c r="AH720" s="244">
        <v>0.65745168924331665</v>
      </c>
      <c r="AI720" s="244">
        <v>2.1411135196685791</v>
      </c>
      <c r="AJ720" s="244">
        <v>0</v>
      </c>
      <c r="AK720" s="244">
        <v>3.6513762474060059</v>
      </c>
      <c r="AL720" s="244">
        <v>6.4499416351318359</v>
      </c>
      <c r="AM720" s="244">
        <v>102.65100860595703</v>
      </c>
      <c r="AN720" s="244">
        <v>0</v>
      </c>
      <c r="AO720" s="244">
        <v>18.075916290283203</v>
      </c>
      <c r="AP720" s="244">
        <v>78.108161926269531</v>
      </c>
      <c r="AQ720" s="244">
        <v>198.8350830078125</v>
      </c>
      <c r="AR720" s="244">
        <v>0.65745168924331665</v>
      </c>
      <c r="AS720" s="228">
        <v>302.43300013626214</v>
      </c>
      <c r="AT720" s="244">
        <v>102.65100860595703</v>
      </c>
      <c r="AU720" s="244">
        <v>16.11761474609375</v>
      </c>
      <c r="AV720" s="244">
        <v>19.687679290771484</v>
      </c>
      <c r="AW720" s="244">
        <v>78.108161926269531</v>
      </c>
      <c r="AX720" s="244">
        <v>216.56446838378906</v>
      </c>
      <c r="AY720" s="244">
        <v>2.1411135196685791</v>
      </c>
      <c r="AZ720" s="228">
        <v>101.14571532566809</v>
      </c>
      <c r="BA720" s="244">
        <v>102.65100860595703</v>
      </c>
      <c r="BB720" s="244">
        <v>16.11761474609375</v>
      </c>
      <c r="BC720" s="244">
        <v>19.687679290771484</v>
      </c>
      <c r="BD720" s="244">
        <v>78.108161926269531</v>
      </c>
      <c r="BE720" s="244">
        <v>216.56446838378906</v>
      </c>
      <c r="BF720" s="244">
        <v>2.7985653877258301</v>
      </c>
      <c r="BG720" s="244">
        <v>-61.170848846435547</v>
      </c>
      <c r="BH720" s="228">
        <v>77.384103563855049</v>
      </c>
      <c r="BI720" s="244">
        <v>0.36193957924842834</v>
      </c>
      <c r="BJ720" s="244">
        <v>1.1787234544754028</v>
      </c>
      <c r="BK720" s="244">
        <v>0</v>
      </c>
      <c r="BL720" s="244">
        <v>2.0101516246795654</v>
      </c>
      <c r="BM720" s="244">
        <v>3.5508146286010742</v>
      </c>
      <c r="BN720" s="244">
        <v>102.65100860595703</v>
      </c>
      <c r="BO720" s="244">
        <v>0</v>
      </c>
      <c r="BP720" s="244">
        <v>16.11761474609375</v>
      </c>
      <c r="BQ720" s="244">
        <v>0</v>
      </c>
      <c r="BR720" s="244">
        <v>0</v>
      </c>
      <c r="BS720" s="244">
        <v>0</v>
      </c>
      <c r="BT720" s="244">
        <v>78.108161926269531</v>
      </c>
      <c r="BU720" s="244">
        <v>0</v>
      </c>
      <c r="BV720" s="244">
        <v>194.2620849609375</v>
      </c>
      <c r="BW720" s="244">
        <v>19.687679290771484</v>
      </c>
      <c r="BX720" s="244">
        <v>5.7906060218811035</v>
      </c>
      <c r="BY720" s="244">
        <v>0.65933549404144287</v>
      </c>
      <c r="BZ720" s="244">
        <v>0</v>
      </c>
      <c r="CA720" s="244">
        <v>0</v>
      </c>
      <c r="CB720" s="244">
        <v>410.8265380859375</v>
      </c>
      <c r="CC720" s="244">
        <v>6.4499416351318359</v>
      </c>
      <c r="CD720" s="228">
        <v>63.69461622494542</v>
      </c>
      <c r="CE720" s="244">
        <v>-166.10565185546875</v>
      </c>
      <c r="CF720" s="244">
        <v>1.1001847597143559</v>
      </c>
      <c r="CG720" s="244">
        <v>0</v>
      </c>
      <c r="CH720" s="244">
        <v>1.1001847597143559</v>
      </c>
      <c r="CI720" s="244">
        <v>5.3949624068769332E-2</v>
      </c>
      <c r="CJ720" s="244">
        <v>0</v>
      </c>
      <c r="CK720" s="244">
        <v>5.3949624068769332E-2</v>
      </c>
      <c r="CL720" s="244"/>
      <c r="CM720" s="244">
        <v>0</v>
      </c>
      <c r="CN720" s="244"/>
      <c r="CO720" s="244">
        <v>0</v>
      </c>
      <c r="CP720" s="244">
        <v>0</v>
      </c>
      <c r="CQ720" s="244">
        <v>0</v>
      </c>
      <c r="CR720" s="244">
        <v>0</v>
      </c>
      <c r="CS720" s="244">
        <v>0</v>
      </c>
      <c r="CT720" s="244">
        <v>0</v>
      </c>
      <c r="CU720" s="244">
        <v>0</v>
      </c>
      <c r="CV720" s="244">
        <v>9999</v>
      </c>
      <c r="CW720" s="228">
        <v>9999</v>
      </c>
    </row>
    <row r="721" spans="1:101">
      <c r="A721" s="221" t="s">
        <v>439</v>
      </c>
      <c r="C721" s="244">
        <v>10</v>
      </c>
      <c r="D721" s="244">
        <v>133.27352905273437</v>
      </c>
      <c r="E721" s="244">
        <v>0</v>
      </c>
      <c r="F721" s="244">
        <v>3.2966773509979248</v>
      </c>
      <c r="G721" s="244">
        <v>0</v>
      </c>
      <c r="H721" s="244">
        <v>0</v>
      </c>
      <c r="I721" s="244"/>
      <c r="J721" s="244">
        <v>0.31782254576683044</v>
      </c>
      <c r="K721" s="244">
        <v>0.33139586448669434</v>
      </c>
      <c r="L721" s="244">
        <v>145.33241271972656</v>
      </c>
      <c r="M721" s="244">
        <v>1.8042325973510742E-2</v>
      </c>
      <c r="N721" s="244">
        <v>5.6162305176258087E-2</v>
      </c>
      <c r="O721" s="244">
        <v>0</v>
      </c>
      <c r="P721" s="244">
        <v>0</v>
      </c>
      <c r="Q721" s="244">
        <v>0</v>
      </c>
      <c r="R721" s="244">
        <v>0.32778394222259521</v>
      </c>
      <c r="S721" s="244">
        <v>1.8114458322525024</v>
      </c>
      <c r="T721" s="244">
        <v>0</v>
      </c>
      <c r="U721" s="244">
        <v>3.6513762474060059</v>
      </c>
      <c r="V721" s="244">
        <v>0.32966774702072144</v>
      </c>
      <c r="W721" s="244">
        <v>0.32966774702072144</v>
      </c>
      <c r="X721" s="244">
        <v>0</v>
      </c>
      <c r="Y721" s="244">
        <v>0</v>
      </c>
      <c r="Z721" s="244">
        <v>0</v>
      </c>
      <c r="AA721" s="244">
        <v>0</v>
      </c>
      <c r="AB721" s="244">
        <v>0</v>
      </c>
      <c r="AC721" s="244">
        <v>0</v>
      </c>
      <c r="AD721" s="244">
        <v>0</v>
      </c>
      <c r="AE721" s="244">
        <v>0</v>
      </c>
      <c r="AF721" s="244">
        <v>0</v>
      </c>
      <c r="AG721" s="244">
        <v>0</v>
      </c>
      <c r="AH721" s="244">
        <v>0.65745168924331665</v>
      </c>
      <c r="AI721" s="244">
        <v>2.1411135196685791</v>
      </c>
      <c r="AJ721" s="244">
        <v>0</v>
      </c>
      <c r="AK721" s="244">
        <v>3.6513762474060059</v>
      </c>
      <c r="AL721" s="244">
        <v>6.4499416351318359</v>
      </c>
      <c r="AM721" s="244">
        <v>102.35521697998047</v>
      </c>
      <c r="AN721" s="244">
        <v>0</v>
      </c>
      <c r="AO721" s="244">
        <v>18.023525238037109</v>
      </c>
      <c r="AP721" s="244">
        <v>77.880043029785156</v>
      </c>
      <c r="AQ721" s="244">
        <v>198.2587890625</v>
      </c>
      <c r="AR721" s="244">
        <v>0.65745168924331665</v>
      </c>
      <c r="AS721" s="228">
        <v>301.55643143298556</v>
      </c>
      <c r="AT721" s="244">
        <v>102.35521697998047</v>
      </c>
      <c r="AU721" s="244">
        <v>16.097856521606445</v>
      </c>
      <c r="AV721" s="244">
        <v>19.633310317993164</v>
      </c>
      <c r="AW721" s="244">
        <v>77.880043029785156</v>
      </c>
      <c r="AX721" s="244">
        <v>215.9664306640625</v>
      </c>
      <c r="AY721" s="244">
        <v>2.1411135196685791</v>
      </c>
      <c r="AZ721" s="228">
        <v>100.86640379099951</v>
      </c>
      <c r="BA721" s="244">
        <v>102.35521697998047</v>
      </c>
      <c r="BB721" s="244">
        <v>16.097856521606445</v>
      </c>
      <c r="BC721" s="244">
        <v>19.633310317993164</v>
      </c>
      <c r="BD721" s="244">
        <v>77.880043029785156</v>
      </c>
      <c r="BE721" s="244">
        <v>215.9664306640625</v>
      </c>
      <c r="BF721" s="244">
        <v>2.7985653877258301</v>
      </c>
      <c r="BG721" s="244">
        <v>-61.183139801025391</v>
      </c>
      <c r="BH721" s="228">
        <v>77.170409166066875</v>
      </c>
      <c r="BI721" s="244">
        <v>0.36299970746040344</v>
      </c>
      <c r="BJ721" s="244">
        <v>1.1821759939193726</v>
      </c>
      <c r="BK721" s="244">
        <v>0</v>
      </c>
      <c r="BL721" s="244">
        <v>2.0160393714904785</v>
      </c>
      <c r="BM721" s="244">
        <v>3.5612151622772217</v>
      </c>
      <c r="BN721" s="244">
        <v>102.35521697998047</v>
      </c>
      <c r="BO721" s="244">
        <v>0</v>
      </c>
      <c r="BP721" s="244">
        <v>16.097856521606445</v>
      </c>
      <c r="BQ721" s="244">
        <v>0</v>
      </c>
      <c r="BR721" s="244">
        <v>0</v>
      </c>
      <c r="BS721" s="244">
        <v>0</v>
      </c>
      <c r="BT721" s="244">
        <v>77.880043029785156</v>
      </c>
      <c r="BU721" s="244">
        <v>0</v>
      </c>
      <c r="BV721" s="244">
        <v>184.18925476074219</v>
      </c>
      <c r="BW721" s="244">
        <v>19.633310317993164</v>
      </c>
      <c r="BX721" s="244">
        <v>5.7906060218811035</v>
      </c>
      <c r="BY721" s="244">
        <v>0.65933549404144287</v>
      </c>
      <c r="BZ721" s="244">
        <v>0</v>
      </c>
      <c r="CA721" s="244">
        <v>0</v>
      </c>
      <c r="CB721" s="244">
        <v>400.15567016601562</v>
      </c>
      <c r="CC721" s="244">
        <v>6.4499416351318359</v>
      </c>
      <c r="CD721" s="228">
        <v>62.040203096767527</v>
      </c>
      <c r="CE721" s="244">
        <v>-160.86376953125</v>
      </c>
      <c r="CF721" s="244">
        <v>1.0969593535238356</v>
      </c>
      <c r="CG721" s="244">
        <v>0</v>
      </c>
      <c r="CH721" s="244">
        <v>1.0969593535238356</v>
      </c>
      <c r="CI721" s="244">
        <v>5.3791328320772325E-2</v>
      </c>
      <c r="CJ721" s="244">
        <v>0</v>
      </c>
      <c r="CK721" s="244">
        <v>5.3791328320772325E-2</v>
      </c>
      <c r="CL721" s="244"/>
      <c r="CM721" s="244">
        <v>0</v>
      </c>
      <c r="CN721" s="244"/>
      <c r="CO721" s="244">
        <v>0</v>
      </c>
      <c r="CP721" s="244">
        <v>0</v>
      </c>
      <c r="CQ721" s="244">
        <v>0</v>
      </c>
      <c r="CR721" s="244">
        <v>0</v>
      </c>
      <c r="CS721" s="244">
        <v>0</v>
      </c>
      <c r="CT721" s="244">
        <v>0</v>
      </c>
      <c r="CU721" s="244">
        <v>0</v>
      </c>
      <c r="CV721" s="244">
        <v>9999</v>
      </c>
      <c r="CW721" s="228">
        <v>9999</v>
      </c>
    </row>
    <row r="722" spans="1:101">
      <c r="A722" s="221" t="s">
        <v>558</v>
      </c>
      <c r="C722" s="244">
        <v>10</v>
      </c>
      <c r="D722" s="244">
        <v>67.347373962402344</v>
      </c>
      <c r="E722" s="244">
        <v>4.9149565696716309</v>
      </c>
      <c r="F722" s="244">
        <v>3.2966773509979248</v>
      </c>
      <c r="G722" s="244">
        <v>0</v>
      </c>
      <c r="H722" s="244">
        <v>0</v>
      </c>
      <c r="I722" s="244"/>
      <c r="J722" s="244">
        <v>0.369241863489151</v>
      </c>
      <c r="K722" s="244">
        <v>0.35465702414512634</v>
      </c>
      <c r="L722" s="244">
        <v>73.442031860351563</v>
      </c>
      <c r="M722" s="244">
        <v>8.8346377015113831E-3</v>
      </c>
      <c r="N722" s="244">
        <v>2.687344141304493E-2</v>
      </c>
      <c r="O722" s="244">
        <v>4.9641060829162598</v>
      </c>
      <c r="P722" s="244">
        <v>1.506412960588932E-2</v>
      </c>
      <c r="Q722" s="244">
        <v>4.7520913183689117E-2</v>
      </c>
      <c r="R722" s="244">
        <v>0.32778394222259521</v>
      </c>
      <c r="S722" s="244">
        <v>1.8114458322525024</v>
      </c>
      <c r="T722" s="244">
        <v>0</v>
      </c>
      <c r="U722" s="244">
        <v>3.6513762474060059</v>
      </c>
      <c r="V722" s="244">
        <v>0.32966774702072144</v>
      </c>
      <c r="W722" s="244">
        <v>0.32966774702072144</v>
      </c>
      <c r="X722" s="244">
        <v>0</v>
      </c>
      <c r="Y722" s="244">
        <v>0</v>
      </c>
      <c r="Z722" s="244">
        <v>0</v>
      </c>
      <c r="AA722" s="244">
        <v>0</v>
      </c>
      <c r="AB722" s="244">
        <v>0</v>
      </c>
      <c r="AC722" s="244">
        <v>0</v>
      </c>
      <c r="AD722" s="244">
        <v>0</v>
      </c>
      <c r="AE722" s="244">
        <v>0</v>
      </c>
      <c r="AF722" s="244">
        <v>0</v>
      </c>
      <c r="AG722" s="244">
        <v>0</v>
      </c>
      <c r="AH722" s="244">
        <v>0.65745168924331665</v>
      </c>
      <c r="AI722" s="244">
        <v>2.1411135196685791</v>
      </c>
      <c r="AJ722" s="244">
        <v>0</v>
      </c>
      <c r="AK722" s="244">
        <v>3.6513762474060059</v>
      </c>
      <c r="AL722" s="244">
        <v>6.4499416351318359</v>
      </c>
      <c r="AM722" s="244">
        <v>51.660743713378906</v>
      </c>
      <c r="AN722" s="244">
        <v>0</v>
      </c>
      <c r="AO722" s="244">
        <v>9.1016511917114258</v>
      </c>
      <c r="AP722" s="244">
        <v>39.355766296386719</v>
      </c>
      <c r="AQ722" s="244">
        <v>100.1181640625</v>
      </c>
      <c r="AR722" s="244">
        <v>0.65745168924331665</v>
      </c>
      <c r="AS722" s="228">
        <v>152.28215675695719</v>
      </c>
      <c r="AT722" s="244">
        <v>51.660743713378906</v>
      </c>
      <c r="AU722" s="244">
        <v>7.7027592658996582</v>
      </c>
      <c r="AV722" s="244">
        <v>9.8719272613525391</v>
      </c>
      <c r="AW722" s="244">
        <v>39.355766296386719</v>
      </c>
      <c r="AX722" s="244">
        <v>108.59119415283203</v>
      </c>
      <c r="AY722" s="244">
        <v>2.1411135196685791</v>
      </c>
      <c r="AZ722" s="228">
        <v>50.717158392819982</v>
      </c>
      <c r="BA722" s="244">
        <v>51.660743713378906</v>
      </c>
      <c r="BB722" s="244">
        <v>7.7027592658996582</v>
      </c>
      <c r="BC722" s="244">
        <v>9.8719272613525391</v>
      </c>
      <c r="BD722" s="244">
        <v>39.355766296386719</v>
      </c>
      <c r="BE722" s="244">
        <v>108.59119415283203</v>
      </c>
      <c r="BF722" s="244">
        <v>2.7985653877258301</v>
      </c>
      <c r="BG722" s="244">
        <v>-59.144371032714844</v>
      </c>
      <c r="BH722" s="228">
        <v>38.802452727707752</v>
      </c>
      <c r="BI722" s="244">
        <v>0.71833008527755737</v>
      </c>
      <c r="BJ722" s="244">
        <v>2.3393754959106445</v>
      </c>
      <c r="BK722" s="244">
        <v>0</v>
      </c>
      <c r="BL722" s="244">
        <v>3.9894847869873047</v>
      </c>
      <c r="BM722" s="244">
        <v>7.0471901893615723</v>
      </c>
      <c r="BN722" s="244">
        <v>51.660743713378906</v>
      </c>
      <c r="BO722" s="244">
        <v>41.032657623291016</v>
      </c>
      <c r="BP722" s="244">
        <v>7.7027592658996582</v>
      </c>
      <c r="BQ722" s="244">
        <v>0</v>
      </c>
      <c r="BR722" s="244">
        <v>0</v>
      </c>
      <c r="BS722" s="244">
        <v>0</v>
      </c>
      <c r="BT722" s="244">
        <v>39.355766296386719</v>
      </c>
      <c r="BU722" s="244">
        <v>0</v>
      </c>
      <c r="BV722" s="244">
        <v>243.47149658203125</v>
      </c>
      <c r="BW722" s="244">
        <v>9.8719272613525391</v>
      </c>
      <c r="BX722" s="244">
        <v>5.7906060218811035</v>
      </c>
      <c r="BY722" s="244">
        <v>0.65933549404144287</v>
      </c>
      <c r="BZ722" s="244">
        <v>0</v>
      </c>
      <c r="CA722" s="244">
        <v>0</v>
      </c>
      <c r="CB722" s="244">
        <v>393.0953369140625</v>
      </c>
      <c r="CC722" s="244">
        <v>6.4499416351318359</v>
      </c>
      <c r="CD722" s="228">
        <v>60.94556823064697</v>
      </c>
      <c r="CE722" s="244">
        <v>-366.00344848632812</v>
      </c>
      <c r="CF722" s="244">
        <v>0.55453107869377505</v>
      </c>
      <c r="CG722" s="244">
        <v>0.46464032551536294</v>
      </c>
      <c r="CH722" s="244">
        <v>1.019171404209138</v>
      </c>
      <c r="CI722" s="244">
        <v>2.7194492242815279E-2</v>
      </c>
      <c r="CJ722" s="244">
        <v>2.9040020344710253E-2</v>
      </c>
      <c r="CK722" s="244">
        <v>5.6234512587525529E-2</v>
      </c>
      <c r="CL722" s="244"/>
      <c r="CM722" s="244">
        <v>4.9641060829162598</v>
      </c>
      <c r="CN722" s="244"/>
      <c r="CO722" s="244">
        <v>0.28600001335144043</v>
      </c>
      <c r="CP722" s="244">
        <v>0.31700000166893005</v>
      </c>
      <c r="CQ722" s="244">
        <v>41.032657623291016</v>
      </c>
      <c r="CR722" s="244">
        <v>0</v>
      </c>
      <c r="CS722" s="244">
        <v>0</v>
      </c>
      <c r="CT722" s="244">
        <v>41.032657623291016</v>
      </c>
      <c r="CU722" s="244">
        <v>0</v>
      </c>
      <c r="CV722" s="244">
        <v>0</v>
      </c>
      <c r="CW722" s="228">
        <v>9999</v>
      </c>
    </row>
    <row r="723" spans="1:101">
      <c r="A723" s="221" t="s">
        <v>449</v>
      </c>
      <c r="C723" s="244">
        <v>10</v>
      </c>
      <c r="D723" s="244">
        <v>9.0954952239990234</v>
      </c>
      <c r="E723" s="244">
        <v>8.767115592956543</v>
      </c>
      <c r="F723" s="244">
        <v>3.2966773509979248</v>
      </c>
      <c r="G723" s="244">
        <v>0</v>
      </c>
      <c r="H723" s="244">
        <v>0</v>
      </c>
      <c r="I723" s="244"/>
      <c r="J723" s="244">
        <v>1</v>
      </c>
      <c r="K723" s="244">
        <v>0.63999992609024048</v>
      </c>
      <c r="L723" s="244">
        <v>9.9201183319091797</v>
      </c>
      <c r="M723" s="244">
        <v>7.2475743945688009E-4</v>
      </c>
      <c r="N723" s="244">
        <v>1.1324335355311632E-3</v>
      </c>
      <c r="O723" s="244">
        <v>8.8547868728637695</v>
      </c>
      <c r="P723" s="244">
        <v>2.6870831847190857E-2</v>
      </c>
      <c r="Q723" s="244">
        <v>8.4766030311584473E-2</v>
      </c>
      <c r="R723" s="244">
        <v>0.32778394222259521</v>
      </c>
      <c r="S723" s="244">
        <v>1.8114458322525024</v>
      </c>
      <c r="T723" s="244">
        <v>0</v>
      </c>
      <c r="U723" s="244">
        <v>3.6513762474060059</v>
      </c>
      <c r="V723" s="244">
        <v>0.32966774702072144</v>
      </c>
      <c r="W723" s="244">
        <v>0.32966774702072144</v>
      </c>
      <c r="X723" s="244">
        <v>0</v>
      </c>
      <c r="Y723" s="244">
        <v>0</v>
      </c>
      <c r="Z723" s="244">
        <v>0</v>
      </c>
      <c r="AA723" s="244">
        <v>0</v>
      </c>
      <c r="AB723" s="244">
        <v>0</v>
      </c>
      <c r="AC723" s="244">
        <v>0</v>
      </c>
      <c r="AD723" s="244">
        <v>0</v>
      </c>
      <c r="AE723" s="244">
        <v>0</v>
      </c>
      <c r="AF723" s="244">
        <v>0</v>
      </c>
      <c r="AG723" s="244">
        <v>0</v>
      </c>
      <c r="AH723" s="244">
        <v>0.65745168924331665</v>
      </c>
      <c r="AI723" s="244">
        <v>2.1411135196685791</v>
      </c>
      <c r="AJ723" s="244">
        <v>0</v>
      </c>
      <c r="AK723" s="244">
        <v>3.6513762474060059</v>
      </c>
      <c r="AL723" s="244">
        <v>6.4499416351318359</v>
      </c>
      <c r="AM723" s="244">
        <v>6.8732180595397949</v>
      </c>
      <c r="AN723" s="244">
        <v>0</v>
      </c>
      <c r="AO723" s="244">
        <v>1.2189164161682129</v>
      </c>
      <c r="AP723" s="244">
        <v>5.3159456253051758</v>
      </c>
      <c r="AQ723" s="244">
        <v>13.408080101013184</v>
      </c>
      <c r="AR723" s="244">
        <v>0.65745168924331665</v>
      </c>
      <c r="AS723" s="228">
        <v>20.394015743491352</v>
      </c>
      <c r="AT723" s="244">
        <v>6.8732180595397949</v>
      </c>
      <c r="AU723" s="244">
        <v>0.32459047436714172</v>
      </c>
      <c r="AV723" s="244">
        <v>1.2513754367828369</v>
      </c>
      <c r="AW723" s="244">
        <v>5.3159456253051758</v>
      </c>
      <c r="AX723" s="244">
        <v>13.765130043029785</v>
      </c>
      <c r="AY723" s="244">
        <v>2.1411135196685791</v>
      </c>
      <c r="AZ723" s="228">
        <v>6.4289581502104909</v>
      </c>
      <c r="BA723" s="244">
        <v>6.8732180595397949</v>
      </c>
      <c r="BB723" s="244">
        <v>0.32459047436714172</v>
      </c>
      <c r="BC723" s="244">
        <v>1.2513754367828369</v>
      </c>
      <c r="BD723" s="244">
        <v>5.3159456253051758</v>
      </c>
      <c r="BE723" s="244">
        <v>13.765130043029785</v>
      </c>
      <c r="BF723" s="244">
        <v>2.7985653877258301</v>
      </c>
      <c r="BG723" s="244">
        <v>-33.110561370849609</v>
      </c>
      <c r="BH723" s="228">
        <v>4.9186380431611481</v>
      </c>
      <c r="BI723" s="244">
        <v>5.3180437088012695</v>
      </c>
      <c r="BJ723" s="244">
        <v>17.319196701049805</v>
      </c>
      <c r="BK723" s="244">
        <v>0</v>
      </c>
      <c r="BL723" s="244">
        <v>29.5355224609375</v>
      </c>
      <c r="BM723" s="244">
        <v>52.172763824462891</v>
      </c>
      <c r="BN723" s="244">
        <v>6.8732180595397949</v>
      </c>
      <c r="BO723" s="244">
        <v>73.192520141601562</v>
      </c>
      <c r="BP723" s="244">
        <v>0.32459047436714172</v>
      </c>
      <c r="BQ723" s="244">
        <v>0</v>
      </c>
      <c r="BR723" s="244">
        <v>0</v>
      </c>
      <c r="BS723" s="244">
        <v>0</v>
      </c>
      <c r="BT723" s="244">
        <v>5.3159456253051758</v>
      </c>
      <c r="BU723" s="244">
        <v>0</v>
      </c>
      <c r="BV723" s="244">
        <v>282.03976440429688</v>
      </c>
      <c r="BW723" s="244">
        <v>1.2513754367828369</v>
      </c>
      <c r="BX723" s="244">
        <v>5.7906060218811035</v>
      </c>
      <c r="BY723" s="244">
        <v>0.65933549404144287</v>
      </c>
      <c r="BZ723" s="244">
        <v>0</v>
      </c>
      <c r="CA723" s="244">
        <v>0</v>
      </c>
      <c r="CB723" s="244">
        <v>368.99740600585937</v>
      </c>
      <c r="CC723" s="244">
        <v>6.4499416351318359</v>
      </c>
      <c r="CD723" s="228">
        <v>57.209420152256222</v>
      </c>
      <c r="CE723" s="244">
        <v>-2877.004150390625</v>
      </c>
      <c r="CF723" s="244">
        <v>7.5226717522834816E-2</v>
      </c>
      <c r="CG723" s="244">
        <v>0.82880803958696592</v>
      </c>
      <c r="CH723" s="244">
        <v>0.90403475710980075</v>
      </c>
      <c r="CI723" s="244">
        <v>3.6926135104811157E-3</v>
      </c>
      <c r="CJ723" s="244">
        <v>5.1800502474185536E-2</v>
      </c>
      <c r="CK723" s="244">
        <v>5.5493115984666649E-2</v>
      </c>
      <c r="CL723" s="244"/>
      <c r="CM723" s="244">
        <v>8.8547868728637695</v>
      </c>
      <c r="CN723" s="244"/>
      <c r="CO723" s="244">
        <v>0.28600001335144043</v>
      </c>
      <c r="CP723" s="244">
        <v>0.31700000166893005</v>
      </c>
      <c r="CQ723" s="244">
        <v>73.192520141601562</v>
      </c>
      <c r="CR723" s="244">
        <v>0</v>
      </c>
      <c r="CS723" s="244">
        <v>0</v>
      </c>
      <c r="CT723" s="244">
        <v>73.192520141601562</v>
      </c>
      <c r="CU723" s="244">
        <v>0</v>
      </c>
      <c r="CV723" s="244">
        <v>0</v>
      </c>
      <c r="CW723" s="228">
        <v>9999</v>
      </c>
    </row>
    <row r="724" spans="1:101">
      <c r="A724" s="221" t="s">
        <v>529</v>
      </c>
      <c r="C724" s="244">
        <v>10</v>
      </c>
      <c r="D724" s="244">
        <v>120.60060119628906</v>
      </c>
      <c r="E724" s="244">
        <v>0</v>
      </c>
      <c r="F724" s="244">
        <v>3.2966773509979248</v>
      </c>
      <c r="G724" s="244">
        <v>0</v>
      </c>
      <c r="H724" s="244">
        <v>0</v>
      </c>
      <c r="I724" s="244"/>
      <c r="J724" s="244">
        <v>0.31757348775863647</v>
      </c>
      <c r="K724" s="244">
        <v>0.33128324151039124</v>
      </c>
      <c r="L724" s="244">
        <v>131.51280212402344</v>
      </c>
      <c r="M724" s="244">
        <v>1.6329139471054077E-2</v>
      </c>
      <c r="N724" s="244">
        <v>5.0834923982620239E-2</v>
      </c>
      <c r="O724" s="244">
        <v>0</v>
      </c>
      <c r="P724" s="244">
        <v>0</v>
      </c>
      <c r="Q724" s="244">
        <v>0</v>
      </c>
      <c r="R724" s="244">
        <v>0.32778394222259521</v>
      </c>
      <c r="S724" s="244">
        <v>1.8114458322525024</v>
      </c>
      <c r="T724" s="244">
        <v>0</v>
      </c>
      <c r="U724" s="244">
        <v>3.6513762474060059</v>
      </c>
      <c r="V724" s="244">
        <v>0.32966774702072144</v>
      </c>
      <c r="W724" s="244">
        <v>0.32966774702072144</v>
      </c>
      <c r="X724" s="244">
        <v>0</v>
      </c>
      <c r="Y724" s="244">
        <v>0</v>
      </c>
      <c r="Z724" s="244">
        <v>0</v>
      </c>
      <c r="AA724" s="244">
        <v>0</v>
      </c>
      <c r="AB724" s="244">
        <v>0</v>
      </c>
      <c r="AC724" s="244">
        <v>0</v>
      </c>
      <c r="AD724" s="244">
        <v>0</v>
      </c>
      <c r="AE724" s="244">
        <v>0</v>
      </c>
      <c r="AF724" s="244">
        <v>0</v>
      </c>
      <c r="AG724" s="244">
        <v>0</v>
      </c>
      <c r="AH724" s="244">
        <v>0.65745168924331665</v>
      </c>
      <c r="AI724" s="244">
        <v>2.1411135196685791</v>
      </c>
      <c r="AJ724" s="244">
        <v>0</v>
      </c>
      <c r="AK724" s="244">
        <v>3.6513762474060059</v>
      </c>
      <c r="AL724" s="244">
        <v>6.4499416351318359</v>
      </c>
      <c r="AM724" s="244">
        <v>92.622833251953125</v>
      </c>
      <c r="AN724" s="244">
        <v>0</v>
      </c>
      <c r="AO724" s="244">
        <v>16.309728622436523</v>
      </c>
      <c r="AP724" s="244">
        <v>70.474449157714844</v>
      </c>
      <c r="AQ724" s="244">
        <v>179.40701293945312</v>
      </c>
      <c r="AR724" s="244">
        <v>0.65745168924331665</v>
      </c>
      <c r="AS724" s="228">
        <v>272.8824246213286</v>
      </c>
      <c r="AT724" s="244">
        <v>92.622833251953125</v>
      </c>
      <c r="AU724" s="244">
        <v>14.57086181640625</v>
      </c>
      <c r="AV724" s="244">
        <v>17.766815185546875</v>
      </c>
      <c r="AW724" s="244">
        <v>70.474449157714844</v>
      </c>
      <c r="AX724" s="244">
        <v>195.43496704101562</v>
      </c>
      <c r="AY724" s="244">
        <v>2.1411135196685791</v>
      </c>
      <c r="AZ724" s="228">
        <v>91.277249980339306</v>
      </c>
      <c r="BA724" s="244">
        <v>92.622833251953125</v>
      </c>
      <c r="BB724" s="244">
        <v>14.57086181640625</v>
      </c>
      <c r="BC724" s="244">
        <v>17.766815185546875</v>
      </c>
      <c r="BD724" s="244">
        <v>70.474449157714844</v>
      </c>
      <c r="BE724" s="244">
        <v>195.43496704101562</v>
      </c>
      <c r="BF724" s="244">
        <v>2.7985653877258301</v>
      </c>
      <c r="BG724" s="244">
        <v>-61.0233154296875</v>
      </c>
      <c r="BH724" s="228">
        <v>69.833983009164186</v>
      </c>
      <c r="BI724" s="244">
        <v>0.40114438533782959</v>
      </c>
      <c r="BJ724" s="244">
        <v>1.306401252746582</v>
      </c>
      <c r="BK724" s="244">
        <v>0</v>
      </c>
      <c r="BL724" s="244">
        <v>2.2278885841369629</v>
      </c>
      <c r="BM724" s="244">
        <v>3.9354343414306641</v>
      </c>
      <c r="BN724" s="244">
        <v>92.622833251953125</v>
      </c>
      <c r="BO724" s="244">
        <v>0</v>
      </c>
      <c r="BP724" s="244">
        <v>14.57086181640625</v>
      </c>
      <c r="BQ724" s="244">
        <v>0</v>
      </c>
      <c r="BR724" s="244">
        <v>0</v>
      </c>
      <c r="BS724" s="244">
        <v>0</v>
      </c>
      <c r="BT724" s="244">
        <v>70.474449157714844</v>
      </c>
      <c r="BU724" s="244">
        <v>0</v>
      </c>
      <c r="BV724" s="244">
        <v>165.37046813964844</v>
      </c>
      <c r="BW724" s="244">
        <v>17.766815185546875</v>
      </c>
      <c r="BX724" s="244">
        <v>5.7906060218811035</v>
      </c>
      <c r="BY724" s="244">
        <v>0.65933549404144287</v>
      </c>
      <c r="BZ724" s="244">
        <v>0</v>
      </c>
      <c r="CA724" s="244">
        <v>0</v>
      </c>
      <c r="CB724" s="244">
        <v>360.805419921875</v>
      </c>
      <c r="CC724" s="244">
        <v>6.4499416351318359</v>
      </c>
      <c r="CD724" s="228">
        <v>55.939333195591452</v>
      </c>
      <c r="CE724" s="244">
        <v>-159.69627380371094</v>
      </c>
      <c r="CF724" s="244">
        <v>0.99264813715346256</v>
      </c>
      <c r="CG724" s="244">
        <v>0</v>
      </c>
      <c r="CH724" s="244">
        <v>0.99264813715346256</v>
      </c>
      <c r="CI724" s="244">
        <v>4.8676226541304615E-2</v>
      </c>
      <c r="CJ724" s="244">
        <v>0</v>
      </c>
      <c r="CK724" s="244">
        <v>4.8676226541304615E-2</v>
      </c>
      <c r="CL724" s="244"/>
      <c r="CM724" s="244">
        <v>0</v>
      </c>
      <c r="CN724" s="244"/>
      <c r="CO724" s="244">
        <v>0</v>
      </c>
      <c r="CP724" s="244">
        <v>0</v>
      </c>
      <c r="CQ724" s="244">
        <v>0</v>
      </c>
      <c r="CR724" s="244">
        <v>0</v>
      </c>
      <c r="CS724" s="244">
        <v>0</v>
      </c>
      <c r="CT724" s="244">
        <v>0</v>
      </c>
      <c r="CU724" s="244">
        <v>0</v>
      </c>
      <c r="CV724" s="244">
        <v>9999</v>
      </c>
      <c r="CW724" s="228">
        <v>9999</v>
      </c>
    </row>
    <row r="725" spans="1:101">
      <c r="A725" s="221" t="s">
        <v>553</v>
      </c>
      <c r="C725" s="244">
        <v>10</v>
      </c>
      <c r="D725" s="244">
        <v>115.3856201171875</v>
      </c>
      <c r="E725" s="244">
        <v>0</v>
      </c>
      <c r="F725" s="244">
        <v>3.2966773509979248</v>
      </c>
      <c r="G725" s="244">
        <v>0</v>
      </c>
      <c r="H725" s="244">
        <v>0</v>
      </c>
      <c r="I725" s="244"/>
      <c r="J725" s="244">
        <v>0.31946480274200439</v>
      </c>
      <c r="K725" s="244">
        <v>0.33213883638381958</v>
      </c>
      <c r="L725" s="244">
        <v>125.82601928710937</v>
      </c>
      <c r="M725" s="244">
        <v>1.5605221502482891E-2</v>
      </c>
      <c r="N725" s="244">
        <v>4.8541754484176636E-2</v>
      </c>
      <c r="O725" s="244">
        <v>0</v>
      </c>
      <c r="P725" s="244">
        <v>0</v>
      </c>
      <c r="Q725" s="244">
        <v>0</v>
      </c>
      <c r="R725" s="244">
        <v>0.32778394222259521</v>
      </c>
      <c r="S725" s="244">
        <v>1.8114458322525024</v>
      </c>
      <c r="T725" s="244">
        <v>0</v>
      </c>
      <c r="U725" s="244">
        <v>3.6513762474060059</v>
      </c>
      <c r="V725" s="244">
        <v>0.32966774702072144</v>
      </c>
      <c r="W725" s="244">
        <v>0.32966774702072144</v>
      </c>
      <c r="X725" s="244">
        <v>0</v>
      </c>
      <c r="Y725" s="244">
        <v>0</v>
      </c>
      <c r="Z725" s="244">
        <v>0</v>
      </c>
      <c r="AA725" s="244">
        <v>0</v>
      </c>
      <c r="AB725" s="244">
        <v>0</v>
      </c>
      <c r="AC725" s="244">
        <v>0</v>
      </c>
      <c r="AD725" s="244">
        <v>0</v>
      </c>
      <c r="AE725" s="244">
        <v>0</v>
      </c>
      <c r="AF725" s="244">
        <v>0</v>
      </c>
      <c r="AG725" s="244">
        <v>0</v>
      </c>
      <c r="AH725" s="244">
        <v>0.65745168924331665</v>
      </c>
      <c r="AI725" s="244">
        <v>2.1411135196685791</v>
      </c>
      <c r="AJ725" s="244">
        <v>0</v>
      </c>
      <c r="AK725" s="244">
        <v>3.6513762474060059</v>
      </c>
      <c r="AL725" s="244">
        <v>6.4499416351318359</v>
      </c>
      <c r="AM725" s="244">
        <v>88.613716125488281</v>
      </c>
      <c r="AN725" s="244">
        <v>0</v>
      </c>
      <c r="AO725" s="244">
        <v>15.604076385498047</v>
      </c>
      <c r="AP725" s="244">
        <v>67.427040100097656</v>
      </c>
      <c r="AQ725" s="244">
        <v>171.64483642578125</v>
      </c>
      <c r="AR725" s="244">
        <v>0.65745168924331665</v>
      </c>
      <c r="AS725" s="228">
        <v>261.07596256788969</v>
      </c>
      <c r="AT725" s="244">
        <v>88.613716125488281</v>
      </c>
      <c r="AU725" s="244">
        <v>13.913566589355469</v>
      </c>
      <c r="AV725" s="244">
        <v>16.995431900024414</v>
      </c>
      <c r="AW725" s="244">
        <v>67.427040100097656</v>
      </c>
      <c r="AX725" s="244">
        <v>186.94975280761719</v>
      </c>
      <c r="AY725" s="244">
        <v>2.1411135196685791</v>
      </c>
      <c r="AZ725" s="228">
        <v>87.314263252874113</v>
      </c>
      <c r="BA725" s="244">
        <v>88.613716125488281</v>
      </c>
      <c r="BB725" s="244">
        <v>13.913566589355469</v>
      </c>
      <c r="BC725" s="244">
        <v>16.995431900024414</v>
      </c>
      <c r="BD725" s="244">
        <v>67.427040100097656</v>
      </c>
      <c r="BE725" s="244">
        <v>186.94975280761719</v>
      </c>
      <c r="BF725" s="244">
        <v>2.7985653877258301</v>
      </c>
      <c r="BG725" s="244">
        <v>-60.926780700683594</v>
      </c>
      <c r="BH725" s="228">
        <v>66.80199915939923</v>
      </c>
      <c r="BI725" s="244">
        <v>0.41927435994148254</v>
      </c>
      <c r="BJ725" s="244">
        <v>1.3654448986053467</v>
      </c>
      <c r="BK725" s="244">
        <v>0</v>
      </c>
      <c r="BL725" s="244">
        <v>2.3285794258117676</v>
      </c>
      <c r="BM725" s="244">
        <v>4.1132984161376953</v>
      </c>
      <c r="BN725" s="244">
        <v>88.613716125488281</v>
      </c>
      <c r="BO725" s="244">
        <v>0</v>
      </c>
      <c r="BP725" s="244">
        <v>13.913566589355469</v>
      </c>
      <c r="BQ725" s="244">
        <v>0</v>
      </c>
      <c r="BR725" s="244">
        <v>0</v>
      </c>
      <c r="BS725" s="244">
        <v>0</v>
      </c>
      <c r="BT725" s="244">
        <v>67.427040100097656</v>
      </c>
      <c r="BU725" s="244">
        <v>0</v>
      </c>
      <c r="BV725" s="244">
        <v>167.69723510742187</v>
      </c>
      <c r="BW725" s="244">
        <v>16.995431900024414</v>
      </c>
      <c r="BX725" s="244">
        <v>5.7906060218811035</v>
      </c>
      <c r="BY725" s="244">
        <v>0.65933549404144287</v>
      </c>
      <c r="BZ725" s="244">
        <v>0</v>
      </c>
      <c r="CA725" s="244">
        <v>0</v>
      </c>
      <c r="CB725" s="244">
        <v>354.64700317382812</v>
      </c>
      <c r="CC725" s="244">
        <v>6.4499416351318359</v>
      </c>
      <c r="CD725" s="228">
        <v>54.984527990973874</v>
      </c>
      <c r="CE725" s="244">
        <v>-165.54316711425781</v>
      </c>
      <c r="CF725" s="244">
        <v>0.94973707630043036</v>
      </c>
      <c r="CG725" s="244">
        <v>0</v>
      </c>
      <c r="CH725" s="244">
        <v>0.94973707630043036</v>
      </c>
      <c r="CI725" s="244">
        <v>4.6572139613971199E-2</v>
      </c>
      <c r="CJ725" s="244">
        <v>0</v>
      </c>
      <c r="CK725" s="244">
        <v>4.6572139613971199E-2</v>
      </c>
      <c r="CL725" s="244"/>
      <c r="CM725" s="244">
        <v>0</v>
      </c>
      <c r="CN725" s="244"/>
      <c r="CO725" s="244">
        <v>0</v>
      </c>
      <c r="CP725" s="244">
        <v>0</v>
      </c>
      <c r="CQ725" s="244">
        <v>0</v>
      </c>
      <c r="CR725" s="244">
        <v>0</v>
      </c>
      <c r="CS725" s="244">
        <v>0</v>
      </c>
      <c r="CT725" s="244">
        <v>0</v>
      </c>
      <c r="CU725" s="244">
        <v>0</v>
      </c>
      <c r="CV725" s="244">
        <v>9999</v>
      </c>
      <c r="CW725" s="228">
        <v>9999</v>
      </c>
    </row>
    <row r="726" spans="1:101">
      <c r="A726" s="221" t="s">
        <v>550</v>
      </c>
      <c r="C726" s="244">
        <v>10</v>
      </c>
      <c r="D726" s="244">
        <v>115.04869079589844</v>
      </c>
      <c r="E726" s="244">
        <v>0</v>
      </c>
      <c r="F726" s="244">
        <v>3.2966773509979248</v>
      </c>
      <c r="G726" s="244">
        <v>0</v>
      </c>
      <c r="H726" s="244">
        <v>0</v>
      </c>
      <c r="I726" s="244"/>
      <c r="J726" s="244">
        <v>0.31782251596450806</v>
      </c>
      <c r="K726" s="244">
        <v>0.33139589428901672</v>
      </c>
      <c r="L726" s="244">
        <v>125.45854187011719</v>
      </c>
      <c r="M726" s="244">
        <v>1.5575079247355461E-2</v>
      </c>
      <c r="N726" s="244">
        <v>4.8482242971658707E-2</v>
      </c>
      <c r="O726" s="244">
        <v>0</v>
      </c>
      <c r="P726" s="244">
        <v>0</v>
      </c>
      <c r="Q726" s="244">
        <v>0</v>
      </c>
      <c r="R726" s="244">
        <v>0.32778394222259521</v>
      </c>
      <c r="S726" s="244">
        <v>1.8114458322525024</v>
      </c>
      <c r="T726" s="244">
        <v>0</v>
      </c>
      <c r="U726" s="244">
        <v>3.6513762474060059</v>
      </c>
      <c r="V726" s="244">
        <v>0.32966774702072144</v>
      </c>
      <c r="W726" s="244">
        <v>0.32966774702072144</v>
      </c>
      <c r="X726" s="244">
        <v>0</v>
      </c>
      <c r="Y726" s="244">
        <v>0</v>
      </c>
      <c r="Z726" s="244">
        <v>0</v>
      </c>
      <c r="AA726" s="244">
        <v>0</v>
      </c>
      <c r="AB726" s="244">
        <v>0</v>
      </c>
      <c r="AC726" s="244">
        <v>0</v>
      </c>
      <c r="AD726" s="244">
        <v>0</v>
      </c>
      <c r="AE726" s="244">
        <v>0</v>
      </c>
      <c r="AF726" s="244">
        <v>0</v>
      </c>
      <c r="AG726" s="244">
        <v>0</v>
      </c>
      <c r="AH726" s="244">
        <v>0.65745168924331665</v>
      </c>
      <c r="AI726" s="244">
        <v>2.1411135196685791</v>
      </c>
      <c r="AJ726" s="244">
        <v>0</v>
      </c>
      <c r="AK726" s="244">
        <v>3.6513762474060059</v>
      </c>
      <c r="AL726" s="244">
        <v>6.4499416351318359</v>
      </c>
      <c r="AM726" s="244">
        <v>88.358383178710938</v>
      </c>
      <c r="AN726" s="244">
        <v>0</v>
      </c>
      <c r="AO726" s="244">
        <v>15.55885124206543</v>
      </c>
      <c r="AP726" s="244">
        <v>67.230133056640625</v>
      </c>
      <c r="AQ726" s="244">
        <v>171.14736938476562</v>
      </c>
      <c r="AR726" s="244">
        <v>0.65745168924331665</v>
      </c>
      <c r="AS726" s="228">
        <v>260.31930600771028</v>
      </c>
      <c r="AT726" s="244">
        <v>88.358383178710938</v>
      </c>
      <c r="AU726" s="244">
        <v>13.896512031555176</v>
      </c>
      <c r="AV726" s="244">
        <v>16.948501586914063</v>
      </c>
      <c r="AW726" s="244">
        <v>67.230133056640625</v>
      </c>
      <c r="AX726" s="244">
        <v>186.43353271484375</v>
      </c>
      <c r="AY726" s="244">
        <v>2.1411135196685791</v>
      </c>
      <c r="AZ726" s="228">
        <v>87.073162142619026</v>
      </c>
      <c r="BA726" s="244">
        <v>88.358383178710938</v>
      </c>
      <c r="BB726" s="244">
        <v>13.896512031555176</v>
      </c>
      <c r="BC726" s="244">
        <v>16.948501586914063</v>
      </c>
      <c r="BD726" s="244">
        <v>67.230133056640625</v>
      </c>
      <c r="BE726" s="244">
        <v>186.43353271484375</v>
      </c>
      <c r="BF726" s="244">
        <v>2.7985653877258301</v>
      </c>
      <c r="BG726" s="244">
        <v>-60.938373565673828</v>
      </c>
      <c r="BH726" s="228">
        <v>66.617538619224419</v>
      </c>
      <c r="BI726" s="244">
        <v>0.4205024242401123</v>
      </c>
      <c r="BJ726" s="244">
        <v>1.3694443702697754</v>
      </c>
      <c r="BK726" s="244">
        <v>0</v>
      </c>
      <c r="BL726" s="244">
        <v>2.3354001045227051</v>
      </c>
      <c r="BM726" s="244">
        <v>4.1253466606140137</v>
      </c>
      <c r="BN726" s="244">
        <v>88.358383178710938</v>
      </c>
      <c r="BO726" s="244">
        <v>0</v>
      </c>
      <c r="BP726" s="244">
        <v>13.896512031555176</v>
      </c>
      <c r="BQ726" s="244">
        <v>0</v>
      </c>
      <c r="BR726" s="244">
        <v>0</v>
      </c>
      <c r="BS726" s="244">
        <v>0</v>
      </c>
      <c r="BT726" s="244">
        <v>67.230133056640625</v>
      </c>
      <c r="BU726" s="244">
        <v>0</v>
      </c>
      <c r="BV726" s="244">
        <v>159.00178527832031</v>
      </c>
      <c r="BW726" s="244">
        <v>16.948501586914063</v>
      </c>
      <c r="BX726" s="244">
        <v>5.7906060218811035</v>
      </c>
      <c r="BY726" s="244">
        <v>0.65933549404144287</v>
      </c>
      <c r="BZ726" s="244">
        <v>0</v>
      </c>
      <c r="CA726" s="244">
        <v>0</v>
      </c>
      <c r="CB726" s="244">
        <v>345.435302734375</v>
      </c>
      <c r="CC726" s="244">
        <v>6.4499416351318359</v>
      </c>
      <c r="CD726" s="228">
        <v>53.55634842260006</v>
      </c>
      <c r="CE726" s="244">
        <v>-160.29963684082031</v>
      </c>
      <c r="CF726" s="244">
        <v>0.94695273683542935</v>
      </c>
      <c r="CG726" s="244">
        <v>0</v>
      </c>
      <c r="CH726" s="244">
        <v>0.94695273683542935</v>
      </c>
      <c r="CI726" s="244">
        <v>4.643549043794324E-2</v>
      </c>
      <c r="CJ726" s="244">
        <v>0</v>
      </c>
      <c r="CK726" s="244">
        <v>4.643549043794324E-2</v>
      </c>
      <c r="CL726" s="244"/>
      <c r="CM726" s="244">
        <v>0</v>
      </c>
      <c r="CN726" s="244"/>
      <c r="CO726" s="244">
        <v>0</v>
      </c>
      <c r="CP726" s="244">
        <v>0</v>
      </c>
      <c r="CQ726" s="244">
        <v>0</v>
      </c>
      <c r="CR726" s="244">
        <v>0</v>
      </c>
      <c r="CS726" s="244">
        <v>0</v>
      </c>
      <c r="CT726" s="244">
        <v>0</v>
      </c>
      <c r="CU726" s="244">
        <v>0</v>
      </c>
      <c r="CV726" s="244">
        <v>9999</v>
      </c>
      <c r="CW726" s="228">
        <v>9999</v>
      </c>
    </row>
    <row r="727" spans="1:101">
      <c r="A727" s="221" t="s">
        <v>502</v>
      </c>
      <c r="C727" s="244">
        <v>10</v>
      </c>
      <c r="D727" s="244">
        <v>111.02423858642578</v>
      </c>
      <c r="E727" s="244">
        <v>0</v>
      </c>
      <c r="F727" s="244">
        <v>3.2966773509979248</v>
      </c>
      <c r="G727" s="244">
        <v>0</v>
      </c>
      <c r="H727" s="244">
        <v>0</v>
      </c>
      <c r="I727" s="244"/>
      <c r="J727" s="244">
        <v>0.31757351756095886</v>
      </c>
      <c r="K727" s="244">
        <v>0.33128327131271362</v>
      </c>
      <c r="L727" s="244">
        <v>121.06995391845703</v>
      </c>
      <c r="M727" s="244">
        <v>1.5032513998448849E-2</v>
      </c>
      <c r="N727" s="244">
        <v>4.6798348426818848E-2</v>
      </c>
      <c r="O727" s="244">
        <v>0</v>
      </c>
      <c r="P727" s="244">
        <v>0</v>
      </c>
      <c r="Q727" s="244">
        <v>0</v>
      </c>
      <c r="R727" s="244">
        <v>0.32778394222259521</v>
      </c>
      <c r="S727" s="244">
        <v>1.8114458322525024</v>
      </c>
      <c r="T727" s="244">
        <v>0</v>
      </c>
      <c r="U727" s="244">
        <v>3.6513762474060059</v>
      </c>
      <c r="V727" s="244">
        <v>0.32966774702072144</v>
      </c>
      <c r="W727" s="244">
        <v>0.32966774702072144</v>
      </c>
      <c r="X727" s="244">
        <v>0</v>
      </c>
      <c r="Y727" s="244">
        <v>0</v>
      </c>
      <c r="Z727" s="244">
        <v>0</v>
      </c>
      <c r="AA727" s="244">
        <v>0</v>
      </c>
      <c r="AB727" s="244">
        <v>0</v>
      </c>
      <c r="AC727" s="244">
        <v>0</v>
      </c>
      <c r="AD727" s="244">
        <v>0</v>
      </c>
      <c r="AE727" s="244">
        <v>0</v>
      </c>
      <c r="AF727" s="244">
        <v>0</v>
      </c>
      <c r="AG727" s="244">
        <v>0</v>
      </c>
      <c r="AH727" s="244">
        <v>0.65745168924331665</v>
      </c>
      <c r="AI727" s="244">
        <v>2.1411135196685791</v>
      </c>
      <c r="AJ727" s="244">
        <v>0</v>
      </c>
      <c r="AK727" s="244">
        <v>3.6513762474060059</v>
      </c>
      <c r="AL727" s="244">
        <v>6.4499416351318359</v>
      </c>
      <c r="AM727" s="244">
        <v>85.268074035644531</v>
      </c>
      <c r="AN727" s="244">
        <v>0</v>
      </c>
      <c r="AO727" s="244">
        <v>15.014647483825684</v>
      </c>
      <c r="AP727" s="244">
        <v>64.878402709960937</v>
      </c>
      <c r="AQ727" s="244">
        <v>165.16111755371094</v>
      </c>
      <c r="AR727" s="244">
        <v>0.65745168924331665</v>
      </c>
      <c r="AS727" s="228">
        <v>251.21408452006668</v>
      </c>
      <c r="AT727" s="244">
        <v>85.268074035644531</v>
      </c>
      <c r="AU727" s="244">
        <v>13.41385555267334</v>
      </c>
      <c r="AV727" s="244">
        <v>16.356033325195313</v>
      </c>
      <c r="AW727" s="244">
        <v>64.878402709960937</v>
      </c>
      <c r="AX727" s="244">
        <v>179.91636657714844</v>
      </c>
      <c r="AY727" s="244">
        <v>2.1411135196685791</v>
      </c>
      <c r="AZ727" s="228">
        <v>84.02934219143323</v>
      </c>
      <c r="BA727" s="244">
        <v>85.268074035644531</v>
      </c>
      <c r="BB727" s="244">
        <v>13.41385555267334</v>
      </c>
      <c r="BC727" s="244">
        <v>16.356033325195313</v>
      </c>
      <c r="BD727" s="244">
        <v>64.878402709960937</v>
      </c>
      <c r="BE727" s="244">
        <v>179.91636657714844</v>
      </c>
      <c r="BF727" s="244">
        <v>2.7985653877258301</v>
      </c>
      <c r="BG727" s="244">
        <v>-60.87603759765625</v>
      </c>
      <c r="BH727" s="228">
        <v>64.288786703496797</v>
      </c>
      <c r="BI727" s="244">
        <v>0.43574494123458862</v>
      </c>
      <c r="BJ727" s="244">
        <v>1.4190843105316162</v>
      </c>
      <c r="BK727" s="244">
        <v>0</v>
      </c>
      <c r="BL727" s="244">
        <v>2.4200541973114014</v>
      </c>
      <c r="BM727" s="244">
        <v>4.2748837471008301</v>
      </c>
      <c r="BN727" s="244">
        <v>85.268074035644531</v>
      </c>
      <c r="BO727" s="244">
        <v>0</v>
      </c>
      <c r="BP727" s="244">
        <v>13.41385555267334</v>
      </c>
      <c r="BQ727" s="244">
        <v>0</v>
      </c>
      <c r="BR727" s="244">
        <v>0</v>
      </c>
      <c r="BS727" s="244">
        <v>0</v>
      </c>
      <c r="BT727" s="244">
        <v>64.878402709960937</v>
      </c>
      <c r="BU727" s="244">
        <v>0</v>
      </c>
      <c r="BV727" s="244">
        <v>152.23915100097656</v>
      </c>
      <c r="BW727" s="244">
        <v>16.356033325195313</v>
      </c>
      <c r="BX727" s="244">
        <v>5.7906060218811035</v>
      </c>
      <c r="BY727" s="244">
        <v>0.65933549404144287</v>
      </c>
      <c r="BZ727" s="244">
        <v>0</v>
      </c>
      <c r="CA727" s="244">
        <v>0</v>
      </c>
      <c r="CB727" s="244">
        <v>332.155517578125</v>
      </c>
      <c r="CC727" s="244">
        <v>6.4499416351318359</v>
      </c>
      <c r="CD727" s="228">
        <v>51.497446264354522</v>
      </c>
      <c r="CE727" s="244">
        <v>-159.35684204101562</v>
      </c>
      <c r="CF727" s="244">
        <v>0.91382636702056141</v>
      </c>
      <c r="CG727" s="244">
        <v>0</v>
      </c>
      <c r="CH727" s="244">
        <v>0.91382636702056141</v>
      </c>
      <c r="CI727" s="244">
        <v>4.4811064057467966E-2</v>
      </c>
      <c r="CJ727" s="244">
        <v>0</v>
      </c>
      <c r="CK727" s="244">
        <v>4.4811064057467966E-2</v>
      </c>
      <c r="CL727" s="244"/>
      <c r="CM727" s="244">
        <v>0</v>
      </c>
      <c r="CN727" s="244"/>
      <c r="CO727" s="244">
        <v>0</v>
      </c>
      <c r="CP727" s="244">
        <v>0</v>
      </c>
      <c r="CQ727" s="244">
        <v>0</v>
      </c>
      <c r="CR727" s="244">
        <v>0</v>
      </c>
      <c r="CS727" s="244">
        <v>0</v>
      </c>
      <c r="CT727" s="244">
        <v>0</v>
      </c>
      <c r="CU727" s="244">
        <v>0</v>
      </c>
      <c r="CV727" s="244">
        <v>9999</v>
      </c>
      <c r="CW727" s="228">
        <v>9999</v>
      </c>
    </row>
    <row r="728" spans="1:101">
      <c r="A728" s="221" t="s">
        <v>557</v>
      </c>
      <c r="C728" s="244">
        <v>10</v>
      </c>
      <c r="D728" s="244">
        <v>7.8517074584960937</v>
      </c>
      <c r="E728" s="244">
        <v>7.5682330131530762</v>
      </c>
      <c r="F728" s="244">
        <v>3.2966773509979248</v>
      </c>
      <c r="G728" s="244">
        <v>0</v>
      </c>
      <c r="H728" s="244">
        <v>0</v>
      </c>
      <c r="I728" s="244"/>
      <c r="J728" s="244">
        <v>1</v>
      </c>
      <c r="K728" s="244">
        <v>0.63999998569488525</v>
      </c>
      <c r="L728" s="244">
        <v>8.5635652542114258</v>
      </c>
      <c r="M728" s="244">
        <v>6.2564853578805923E-4</v>
      </c>
      <c r="N728" s="244">
        <v>9.7757589537650347E-4</v>
      </c>
      <c r="O728" s="244">
        <v>7.6439156532287598</v>
      </c>
      <c r="P728" s="244">
        <v>2.3196306079626083E-2</v>
      </c>
      <c r="Q728" s="244">
        <v>7.3174469172954559E-2</v>
      </c>
      <c r="R728" s="244">
        <v>0.32778394222259521</v>
      </c>
      <c r="S728" s="244">
        <v>1.8114458322525024</v>
      </c>
      <c r="T728" s="244">
        <v>0</v>
      </c>
      <c r="U728" s="244">
        <v>3.6513762474060059</v>
      </c>
      <c r="V728" s="244">
        <v>0.32966774702072144</v>
      </c>
      <c r="W728" s="244">
        <v>0.32966774702072144</v>
      </c>
      <c r="X728" s="244">
        <v>0</v>
      </c>
      <c r="Y728" s="244">
        <v>0</v>
      </c>
      <c r="Z728" s="244">
        <v>0</v>
      </c>
      <c r="AA728" s="244">
        <v>0</v>
      </c>
      <c r="AB728" s="244">
        <v>0</v>
      </c>
      <c r="AC728" s="244">
        <v>0</v>
      </c>
      <c r="AD728" s="244">
        <v>0</v>
      </c>
      <c r="AE728" s="244">
        <v>0</v>
      </c>
      <c r="AF728" s="244">
        <v>0</v>
      </c>
      <c r="AG728" s="244">
        <v>0</v>
      </c>
      <c r="AH728" s="244">
        <v>0.65745168924331665</v>
      </c>
      <c r="AI728" s="244">
        <v>2.1411135196685791</v>
      </c>
      <c r="AJ728" s="244">
        <v>0</v>
      </c>
      <c r="AK728" s="244">
        <v>3.6513762474060059</v>
      </c>
      <c r="AL728" s="244">
        <v>6.4499416351318359</v>
      </c>
      <c r="AM728" s="244">
        <v>5.9333219528198242</v>
      </c>
      <c r="AN728" s="244">
        <v>0</v>
      </c>
      <c r="AO728" s="244">
        <v>1.0522325038909912</v>
      </c>
      <c r="AP728" s="244">
        <v>4.5890026092529297</v>
      </c>
      <c r="AQ728" s="244">
        <v>11.574557304382324</v>
      </c>
      <c r="AR728" s="244">
        <v>0.65745168924331665</v>
      </c>
      <c r="AS728" s="228">
        <v>17.605182639784974</v>
      </c>
      <c r="AT728" s="244">
        <v>5.9333219528198242</v>
      </c>
      <c r="AU728" s="244">
        <v>0.28020349144935608</v>
      </c>
      <c r="AV728" s="244">
        <v>1.0802527666091919</v>
      </c>
      <c r="AW728" s="244">
        <v>4.5890026092529297</v>
      </c>
      <c r="AX728" s="244">
        <v>11.882781028747559</v>
      </c>
      <c r="AY728" s="244">
        <v>2.1411135196685791</v>
      </c>
      <c r="AZ728" s="228">
        <v>5.5498133939091518</v>
      </c>
      <c r="BA728" s="244">
        <v>5.9333219528198242</v>
      </c>
      <c r="BB728" s="244">
        <v>0.28020349144935608</v>
      </c>
      <c r="BC728" s="244">
        <v>1.0802527666091919</v>
      </c>
      <c r="BD728" s="244">
        <v>4.5890026092529297</v>
      </c>
      <c r="BE728" s="244">
        <v>11.882781028747559</v>
      </c>
      <c r="BF728" s="244">
        <v>2.7985653877258301</v>
      </c>
      <c r="BG728" s="244">
        <v>-29.524600982666016</v>
      </c>
      <c r="BH728" s="228">
        <v>4.2460259740270807</v>
      </c>
      <c r="BI728" s="244">
        <v>6.1604738235473633</v>
      </c>
      <c r="BJ728" s="244">
        <v>20.062728881835938</v>
      </c>
      <c r="BK728" s="244">
        <v>0</v>
      </c>
      <c r="BL728" s="244">
        <v>34.214237213134766</v>
      </c>
      <c r="BM728" s="244">
        <v>60.437442779541016</v>
      </c>
      <c r="BN728" s="244">
        <v>5.9333219528198242</v>
      </c>
      <c r="BO728" s="244">
        <v>63.183612823486328</v>
      </c>
      <c r="BP728" s="244">
        <v>0.28020349144935608</v>
      </c>
      <c r="BQ728" s="244">
        <v>0</v>
      </c>
      <c r="BR728" s="244">
        <v>0</v>
      </c>
      <c r="BS728" s="244">
        <v>0</v>
      </c>
      <c r="BT728" s="244">
        <v>4.5890026092529297</v>
      </c>
      <c r="BU728" s="244">
        <v>0</v>
      </c>
      <c r="BV728" s="244">
        <v>243.47149658203125</v>
      </c>
      <c r="BW728" s="244">
        <v>1.0802527666091919</v>
      </c>
      <c r="BX728" s="244">
        <v>5.7906060218811035</v>
      </c>
      <c r="BY728" s="244">
        <v>0.65933549404144287</v>
      </c>
      <c r="BZ728" s="244">
        <v>0</v>
      </c>
      <c r="CA728" s="244">
        <v>0</v>
      </c>
      <c r="CB728" s="244">
        <v>318.53790283203125</v>
      </c>
      <c r="CC728" s="244">
        <v>6.4499416351318359</v>
      </c>
      <c r="CD728" s="228">
        <v>49.386167213965479</v>
      </c>
      <c r="CE728" s="244">
        <v>-2868.739501953125</v>
      </c>
      <c r="CF728" s="244">
        <v>6.4939640482172489E-2</v>
      </c>
      <c r="CG728" s="244">
        <v>0.71547048564460236</v>
      </c>
      <c r="CH728" s="244">
        <v>0.78041012612677485</v>
      </c>
      <c r="CI728" s="244">
        <v>3.187657280639244E-3</v>
      </c>
      <c r="CJ728" s="244">
        <v>4.471690535278762E-2</v>
      </c>
      <c r="CK728" s="244">
        <v>4.7904562633426864E-2</v>
      </c>
      <c r="CL728" s="244"/>
      <c r="CM728" s="244">
        <v>7.6439156532287598</v>
      </c>
      <c r="CN728" s="244"/>
      <c r="CO728" s="244">
        <v>0.28600001335144043</v>
      </c>
      <c r="CP728" s="244">
        <v>0.31700000166893005</v>
      </c>
      <c r="CQ728" s="244">
        <v>63.183612823486328</v>
      </c>
      <c r="CR728" s="244">
        <v>0</v>
      </c>
      <c r="CS728" s="244">
        <v>0</v>
      </c>
      <c r="CT728" s="244">
        <v>63.183612823486328</v>
      </c>
      <c r="CU728" s="244">
        <v>0</v>
      </c>
      <c r="CV728" s="244">
        <v>0</v>
      </c>
      <c r="CW728" s="228">
        <v>9999</v>
      </c>
    </row>
    <row r="729" spans="1:101">
      <c r="A729" s="221" t="s">
        <v>477</v>
      </c>
      <c r="C729" s="244">
        <v>10</v>
      </c>
      <c r="D729" s="244">
        <v>48.26531982421875</v>
      </c>
      <c r="E729" s="244">
        <v>4.4562802314758301</v>
      </c>
      <c r="F729" s="244">
        <v>3.2966773509979248</v>
      </c>
      <c r="G729" s="244">
        <v>0</v>
      </c>
      <c r="H729" s="244">
        <v>0</v>
      </c>
      <c r="I729" s="244"/>
      <c r="J729" s="244">
        <v>0.38294112682342529</v>
      </c>
      <c r="K729" s="244">
        <v>0.36085432767868042</v>
      </c>
      <c r="L729" s="244">
        <v>52.633304595947266</v>
      </c>
      <c r="M729" s="244">
        <v>6.2774689868092537E-3</v>
      </c>
      <c r="N729" s="244">
        <v>1.8971407786011696E-2</v>
      </c>
      <c r="O729" s="244">
        <v>4.5008430480957031</v>
      </c>
      <c r="P729" s="244">
        <v>1.3658305630087852E-2</v>
      </c>
      <c r="Q729" s="244">
        <v>4.3086137622594833E-2</v>
      </c>
      <c r="R729" s="244">
        <v>0.32778394222259521</v>
      </c>
      <c r="S729" s="244">
        <v>1.8114458322525024</v>
      </c>
      <c r="T729" s="244">
        <v>0</v>
      </c>
      <c r="U729" s="244">
        <v>3.6513762474060059</v>
      </c>
      <c r="V729" s="244">
        <v>0.32966774702072144</v>
      </c>
      <c r="W729" s="244">
        <v>0.32966774702072144</v>
      </c>
      <c r="X729" s="244">
        <v>0</v>
      </c>
      <c r="Y729" s="244">
        <v>0</v>
      </c>
      <c r="Z729" s="244">
        <v>0</v>
      </c>
      <c r="AA729" s="244">
        <v>0</v>
      </c>
      <c r="AB729" s="244">
        <v>0</v>
      </c>
      <c r="AC729" s="244">
        <v>0</v>
      </c>
      <c r="AD729" s="244">
        <v>0</v>
      </c>
      <c r="AE729" s="244">
        <v>0</v>
      </c>
      <c r="AF729" s="244">
        <v>0</v>
      </c>
      <c r="AG729" s="244">
        <v>0</v>
      </c>
      <c r="AH729" s="244">
        <v>0.65745168924331665</v>
      </c>
      <c r="AI729" s="244">
        <v>2.1411135196685791</v>
      </c>
      <c r="AJ729" s="244">
        <v>0</v>
      </c>
      <c r="AK729" s="244">
        <v>3.6513762474060059</v>
      </c>
      <c r="AL729" s="244">
        <v>6.4499416351318359</v>
      </c>
      <c r="AM729" s="244">
        <v>37.011348724365234</v>
      </c>
      <c r="AN729" s="244">
        <v>0</v>
      </c>
      <c r="AO729" s="244">
        <v>6.5216236114501953</v>
      </c>
      <c r="AP729" s="244">
        <v>28.204885482788086</v>
      </c>
      <c r="AQ729" s="244">
        <v>71.73785400390625</v>
      </c>
      <c r="AR729" s="244">
        <v>0.65745168924331665</v>
      </c>
      <c r="AS729" s="228">
        <v>109.11502547231879</v>
      </c>
      <c r="AT729" s="244">
        <v>37.011348724365234</v>
      </c>
      <c r="AU729" s="244">
        <v>5.4377927780151367</v>
      </c>
      <c r="AV729" s="244">
        <v>7.0654029846191406</v>
      </c>
      <c r="AW729" s="244">
        <v>28.204885482788086</v>
      </c>
      <c r="AX729" s="244">
        <v>77.719429016113281</v>
      </c>
      <c r="AY729" s="244">
        <v>2.1411135196685791</v>
      </c>
      <c r="AZ729" s="228">
        <v>36.298602148966125</v>
      </c>
      <c r="BA729" s="244">
        <v>37.011348724365234</v>
      </c>
      <c r="BB729" s="244">
        <v>5.4377927780151367</v>
      </c>
      <c r="BC729" s="244">
        <v>7.0654029846191406</v>
      </c>
      <c r="BD729" s="244">
        <v>28.204885482788086</v>
      </c>
      <c r="BE729" s="244">
        <v>77.719429016113281</v>
      </c>
      <c r="BF729" s="244">
        <v>2.7985653877258301</v>
      </c>
      <c r="BG729" s="244">
        <v>-57.795299530029297</v>
      </c>
      <c r="BH729" s="228">
        <v>27.771169335988009</v>
      </c>
      <c r="BI729" s="244">
        <v>1.0023239850997925</v>
      </c>
      <c r="BJ729" s="244">
        <v>3.2642543315887451</v>
      </c>
      <c r="BK729" s="244">
        <v>0</v>
      </c>
      <c r="BL729" s="244">
        <v>5.5667390823364258</v>
      </c>
      <c r="BM729" s="244">
        <v>9.833317756652832</v>
      </c>
      <c r="BN729" s="244">
        <v>37.011348724365234</v>
      </c>
      <c r="BO729" s="244">
        <v>37.203384399414063</v>
      </c>
      <c r="BP729" s="244">
        <v>5.4377927780151367</v>
      </c>
      <c r="BQ729" s="244">
        <v>0</v>
      </c>
      <c r="BR729" s="244">
        <v>0</v>
      </c>
      <c r="BS729" s="244">
        <v>0</v>
      </c>
      <c r="BT729" s="244">
        <v>28.204885482788086</v>
      </c>
      <c r="BU729" s="244">
        <v>0</v>
      </c>
      <c r="BV729" s="244">
        <v>203.2025146484375</v>
      </c>
      <c r="BW729" s="244">
        <v>7.0654029846191406</v>
      </c>
      <c r="BX729" s="244">
        <v>5.7906060218811035</v>
      </c>
      <c r="BY729" s="244">
        <v>0.65933549404144287</v>
      </c>
      <c r="BZ729" s="244">
        <v>0</v>
      </c>
      <c r="CA729" s="244">
        <v>0</v>
      </c>
      <c r="CB729" s="244">
        <v>318.12533569335937</v>
      </c>
      <c r="CC729" s="244">
        <v>6.4499416351318359</v>
      </c>
      <c r="CD729" s="228">
        <v>49.322203656002785</v>
      </c>
      <c r="CE729" s="244">
        <v>-418.7415771484375</v>
      </c>
      <c r="CF729" s="244">
        <v>0.39745012791150586</v>
      </c>
      <c r="CG729" s="244">
        <v>0.42127889379346167</v>
      </c>
      <c r="CH729" s="244">
        <v>0.81872902170496753</v>
      </c>
      <c r="CI729" s="244">
        <v>1.9491559124005742E-2</v>
      </c>
      <c r="CJ729" s="244">
        <v>2.632993086209149E-2</v>
      </c>
      <c r="CK729" s="244">
        <v>4.5821489986097232E-2</v>
      </c>
      <c r="CL729" s="244"/>
      <c r="CM729" s="244">
        <v>4.5008430480957031</v>
      </c>
      <c r="CN729" s="244"/>
      <c r="CO729" s="244">
        <v>0.28600001335144043</v>
      </c>
      <c r="CP729" s="244">
        <v>0.31700000166893005</v>
      </c>
      <c r="CQ729" s="244">
        <v>37.203384399414063</v>
      </c>
      <c r="CR729" s="244">
        <v>0</v>
      </c>
      <c r="CS729" s="244">
        <v>0</v>
      </c>
      <c r="CT729" s="244">
        <v>37.203384399414063</v>
      </c>
      <c r="CU729" s="244">
        <v>0</v>
      </c>
      <c r="CV729" s="244">
        <v>0</v>
      </c>
      <c r="CW729" s="228">
        <v>9999</v>
      </c>
    </row>
    <row r="730" spans="1:101">
      <c r="A730" s="221" t="s">
        <v>447</v>
      </c>
      <c r="C730" s="244">
        <v>10</v>
      </c>
      <c r="D730" s="244">
        <v>46.395465850830078</v>
      </c>
      <c r="E730" s="244">
        <v>3.891831636428833</v>
      </c>
      <c r="F730" s="244">
        <v>3.2966773509979248</v>
      </c>
      <c r="G730" s="244">
        <v>0</v>
      </c>
      <c r="H730" s="244">
        <v>0</v>
      </c>
      <c r="I730" s="244"/>
      <c r="J730" s="244">
        <v>0.38241103291511536</v>
      </c>
      <c r="K730" s="244">
        <v>0.36061453819274902</v>
      </c>
      <c r="L730" s="244">
        <v>50.594223022460938</v>
      </c>
      <c r="M730" s="244">
        <v>6.0362797230482101E-3</v>
      </c>
      <c r="N730" s="244">
        <v>1.8247136846184731E-2</v>
      </c>
      <c r="O730" s="244">
        <v>3.9307501316070557</v>
      </c>
      <c r="P730" s="244">
        <v>1.1928296647965908E-2</v>
      </c>
      <c r="Q730" s="244">
        <v>3.7628695368766785E-2</v>
      </c>
      <c r="R730" s="244">
        <v>0.32778394222259521</v>
      </c>
      <c r="S730" s="244">
        <v>1.8114458322525024</v>
      </c>
      <c r="T730" s="244">
        <v>0</v>
      </c>
      <c r="U730" s="244">
        <v>3.6513762474060059</v>
      </c>
      <c r="V730" s="244">
        <v>0.32966774702072144</v>
      </c>
      <c r="W730" s="244">
        <v>0.32966774702072144</v>
      </c>
      <c r="X730" s="244">
        <v>0</v>
      </c>
      <c r="Y730" s="244">
        <v>0</v>
      </c>
      <c r="Z730" s="244">
        <v>0</v>
      </c>
      <c r="AA730" s="244">
        <v>0</v>
      </c>
      <c r="AB730" s="244">
        <v>0</v>
      </c>
      <c r="AC730" s="244">
        <v>0</v>
      </c>
      <c r="AD730" s="244">
        <v>0</v>
      </c>
      <c r="AE730" s="244">
        <v>0</v>
      </c>
      <c r="AF730" s="244">
        <v>0</v>
      </c>
      <c r="AG730" s="244">
        <v>0</v>
      </c>
      <c r="AH730" s="244">
        <v>0.65745168924331665</v>
      </c>
      <c r="AI730" s="244">
        <v>2.1411135196685791</v>
      </c>
      <c r="AJ730" s="244">
        <v>0</v>
      </c>
      <c r="AK730" s="244">
        <v>3.6513762474060059</v>
      </c>
      <c r="AL730" s="244">
        <v>6.4499416351318359</v>
      </c>
      <c r="AM730" s="244">
        <v>35.577930450439453</v>
      </c>
      <c r="AN730" s="244">
        <v>0</v>
      </c>
      <c r="AO730" s="244">
        <v>6.2690114974975586</v>
      </c>
      <c r="AP730" s="244">
        <v>27.112190246582031</v>
      </c>
      <c r="AQ730" s="244">
        <v>68.959129333496094</v>
      </c>
      <c r="AR730" s="244">
        <v>0.65745168924331665</v>
      </c>
      <c r="AS730" s="228">
        <v>104.88851625567567</v>
      </c>
      <c r="AT730" s="244">
        <v>35.577930450439453</v>
      </c>
      <c r="AU730" s="244">
        <v>5.2301945686340332</v>
      </c>
      <c r="AV730" s="244">
        <v>6.7920312881469727</v>
      </c>
      <c r="AW730" s="244">
        <v>27.112190246582031</v>
      </c>
      <c r="AX730" s="244">
        <v>74.712348937988281</v>
      </c>
      <c r="AY730" s="244">
        <v>2.1411135196685791</v>
      </c>
      <c r="AZ730" s="228">
        <v>34.89415380718043</v>
      </c>
      <c r="BA730" s="244">
        <v>35.577930450439453</v>
      </c>
      <c r="BB730" s="244">
        <v>5.2301945686340332</v>
      </c>
      <c r="BC730" s="244">
        <v>6.7920312881469727</v>
      </c>
      <c r="BD730" s="244">
        <v>27.112190246582031</v>
      </c>
      <c r="BE730" s="244">
        <v>74.712348937988281</v>
      </c>
      <c r="BF730" s="244">
        <v>2.7985653877258301</v>
      </c>
      <c r="BG730" s="244">
        <v>-57.628765106201172</v>
      </c>
      <c r="BH730" s="228">
        <v>26.696660390345624</v>
      </c>
      <c r="BI730" s="244">
        <v>1.0427201986312866</v>
      </c>
      <c r="BJ730" s="244">
        <v>3.3958122730255127</v>
      </c>
      <c r="BK730" s="244">
        <v>0</v>
      </c>
      <c r="BL730" s="244">
        <v>5.7910933494567871</v>
      </c>
      <c r="BM730" s="244">
        <v>10.229625701904297</v>
      </c>
      <c r="BN730" s="244">
        <v>35.577930450439453</v>
      </c>
      <c r="BO730" s="244">
        <v>32.491069793701172</v>
      </c>
      <c r="BP730" s="244">
        <v>5.2301945686340332</v>
      </c>
      <c r="BQ730" s="244">
        <v>0</v>
      </c>
      <c r="BR730" s="244">
        <v>0</v>
      </c>
      <c r="BS730" s="244">
        <v>0</v>
      </c>
      <c r="BT730" s="244">
        <v>27.112190246582031</v>
      </c>
      <c r="BU730" s="244">
        <v>0</v>
      </c>
      <c r="BV730" s="244">
        <v>194.2620849609375</v>
      </c>
      <c r="BW730" s="244">
        <v>6.7920312881469727</v>
      </c>
      <c r="BX730" s="244">
        <v>5.7906060218811035</v>
      </c>
      <c r="BY730" s="244">
        <v>0.65933549404144287</v>
      </c>
      <c r="BZ730" s="244">
        <v>0</v>
      </c>
      <c r="CA730" s="244">
        <v>0</v>
      </c>
      <c r="CB730" s="244">
        <v>301.46551513671875</v>
      </c>
      <c r="CC730" s="244">
        <v>6.4499416351318359</v>
      </c>
      <c r="CD730" s="228">
        <v>46.739261211009918</v>
      </c>
      <c r="CE730" s="244">
        <v>-411.46884155273437</v>
      </c>
      <c r="CF730" s="244">
        <v>0.38205100901881894</v>
      </c>
      <c r="CG730" s="244">
        <v>0.36791820612540704</v>
      </c>
      <c r="CH730" s="244">
        <v>0.74996921514422599</v>
      </c>
      <c r="CI730" s="244">
        <v>1.8736348083610001E-2</v>
      </c>
      <c r="CJ730" s="244">
        <v>2.2994887882838017E-2</v>
      </c>
      <c r="CK730" s="244">
        <v>4.1731235966448017E-2</v>
      </c>
      <c r="CL730" s="244"/>
      <c r="CM730" s="244">
        <v>3.9307501316070557</v>
      </c>
      <c r="CN730" s="244"/>
      <c r="CO730" s="244">
        <v>0.28600001335144043</v>
      </c>
      <c r="CP730" s="244">
        <v>0.31700000166893005</v>
      </c>
      <c r="CQ730" s="244">
        <v>32.491069793701172</v>
      </c>
      <c r="CR730" s="244">
        <v>0</v>
      </c>
      <c r="CS730" s="244">
        <v>0</v>
      </c>
      <c r="CT730" s="244">
        <v>32.491069793701172</v>
      </c>
      <c r="CU730" s="244">
        <v>0</v>
      </c>
      <c r="CV730" s="244">
        <v>0</v>
      </c>
      <c r="CW730" s="228">
        <v>9999</v>
      </c>
    </row>
    <row r="731" spans="1:101">
      <c r="A731" s="221" t="s">
        <v>472</v>
      </c>
      <c r="C731" s="244">
        <v>10</v>
      </c>
      <c r="D731" s="244">
        <v>96.301406860351563</v>
      </c>
      <c r="E731" s="244">
        <v>0</v>
      </c>
      <c r="F731" s="244">
        <v>3.2966773509979248</v>
      </c>
      <c r="G731" s="244">
        <v>0</v>
      </c>
      <c r="H731" s="244">
        <v>0</v>
      </c>
      <c r="I731" s="244"/>
      <c r="J731" s="244">
        <v>0.31946483254432678</v>
      </c>
      <c r="K731" s="244">
        <v>0.33213886618614197</v>
      </c>
      <c r="L731" s="244">
        <v>105.01502227783203</v>
      </c>
      <c r="M731" s="244">
        <v>1.3024195097386837E-2</v>
      </c>
      <c r="N731" s="244">
        <v>4.0513187646865845E-2</v>
      </c>
      <c r="O731" s="244">
        <v>0</v>
      </c>
      <c r="P731" s="244">
        <v>0</v>
      </c>
      <c r="Q731" s="244">
        <v>0</v>
      </c>
      <c r="R731" s="244">
        <v>0.32778394222259521</v>
      </c>
      <c r="S731" s="244">
        <v>1.8114458322525024</v>
      </c>
      <c r="T731" s="244">
        <v>0</v>
      </c>
      <c r="U731" s="244">
        <v>3.6513762474060059</v>
      </c>
      <c r="V731" s="244">
        <v>0.32966774702072144</v>
      </c>
      <c r="W731" s="244">
        <v>0.32966774702072144</v>
      </c>
      <c r="X731" s="244">
        <v>0</v>
      </c>
      <c r="Y731" s="244">
        <v>0</v>
      </c>
      <c r="Z731" s="244">
        <v>0</v>
      </c>
      <c r="AA731" s="244">
        <v>0</v>
      </c>
      <c r="AB731" s="244">
        <v>0</v>
      </c>
      <c r="AC731" s="244">
        <v>0</v>
      </c>
      <c r="AD731" s="244">
        <v>0</v>
      </c>
      <c r="AE731" s="244">
        <v>0</v>
      </c>
      <c r="AF731" s="244">
        <v>0</v>
      </c>
      <c r="AG731" s="244">
        <v>0</v>
      </c>
      <c r="AH731" s="244">
        <v>0.65745168924331665</v>
      </c>
      <c r="AI731" s="244">
        <v>2.1411135196685791</v>
      </c>
      <c r="AJ731" s="244">
        <v>0</v>
      </c>
      <c r="AK731" s="244">
        <v>3.6513762474060059</v>
      </c>
      <c r="AL731" s="244">
        <v>6.4499416351318359</v>
      </c>
      <c r="AM731" s="244">
        <v>73.957450866699219</v>
      </c>
      <c r="AN731" s="244">
        <v>0</v>
      </c>
      <c r="AO731" s="244">
        <v>13.02324104309082</v>
      </c>
      <c r="AP731" s="244">
        <v>56.274955749511719</v>
      </c>
      <c r="AQ731" s="244">
        <v>143.25564575195312</v>
      </c>
      <c r="AR731" s="244">
        <v>0.65745168924331665</v>
      </c>
      <c r="AS731" s="228">
        <v>217.89532220105713</v>
      </c>
      <c r="AT731" s="244">
        <v>73.957450866699219</v>
      </c>
      <c r="AU731" s="244">
        <v>11.612332344055176</v>
      </c>
      <c r="AV731" s="244">
        <v>14.184473991394043</v>
      </c>
      <c r="AW731" s="244">
        <v>56.274955749511719</v>
      </c>
      <c r="AX731" s="244">
        <v>156.02920532226562</v>
      </c>
      <c r="AY731" s="244">
        <v>2.1411135196685791</v>
      </c>
      <c r="AZ731" s="228">
        <v>72.872926715369516</v>
      </c>
      <c r="BA731" s="244">
        <v>73.957450866699219</v>
      </c>
      <c r="BB731" s="244">
        <v>11.612332344055176</v>
      </c>
      <c r="BC731" s="244">
        <v>14.184473991394043</v>
      </c>
      <c r="BD731" s="244">
        <v>56.274955749511719</v>
      </c>
      <c r="BE731" s="244">
        <v>156.02920532226562</v>
      </c>
      <c r="BF731" s="244">
        <v>2.7985653877258301</v>
      </c>
      <c r="BG731" s="244">
        <v>-60.573104858398437</v>
      </c>
      <c r="BH731" s="228">
        <v>55.753287124287048</v>
      </c>
      <c r="BI731" s="244">
        <v>0.50236260890960693</v>
      </c>
      <c r="BJ731" s="244">
        <v>1.6360372304916382</v>
      </c>
      <c r="BK731" s="244">
        <v>0</v>
      </c>
      <c r="BL731" s="244">
        <v>2.7900376319885254</v>
      </c>
      <c r="BM731" s="244">
        <v>4.9284372329711914</v>
      </c>
      <c r="BN731" s="244">
        <v>73.957450866699219</v>
      </c>
      <c r="BO731" s="244">
        <v>0</v>
      </c>
      <c r="BP731" s="244">
        <v>11.612332344055176</v>
      </c>
      <c r="BQ731" s="244">
        <v>0</v>
      </c>
      <c r="BR731" s="244">
        <v>0</v>
      </c>
      <c r="BS731" s="244">
        <v>0</v>
      </c>
      <c r="BT731" s="244">
        <v>56.274955749511719</v>
      </c>
      <c r="BU731" s="244">
        <v>0</v>
      </c>
      <c r="BV731" s="244">
        <v>139.96092224121094</v>
      </c>
      <c r="BW731" s="244">
        <v>14.184473991394043</v>
      </c>
      <c r="BX731" s="244">
        <v>5.7906060218811035</v>
      </c>
      <c r="BY731" s="244">
        <v>0.65933549404144287</v>
      </c>
      <c r="BZ731" s="244">
        <v>0</v>
      </c>
      <c r="CA731" s="244">
        <v>0</v>
      </c>
      <c r="CB731" s="244">
        <v>295.99014282226562</v>
      </c>
      <c r="CC731" s="244">
        <v>6.4499416351318359</v>
      </c>
      <c r="CD731" s="228">
        <v>45.890359542358595</v>
      </c>
      <c r="CE731" s="244">
        <v>-164.72801208496094</v>
      </c>
      <c r="CF731" s="244">
        <v>0.7926552724470044</v>
      </c>
      <c r="CG731" s="244">
        <v>0</v>
      </c>
      <c r="CH731" s="244">
        <v>0.7926552724470044</v>
      </c>
      <c r="CI731" s="244">
        <v>3.8869338615221849E-2</v>
      </c>
      <c r="CJ731" s="244">
        <v>0</v>
      </c>
      <c r="CK731" s="244">
        <v>3.8869338615221849E-2</v>
      </c>
      <c r="CL731" s="244"/>
      <c r="CM731" s="244">
        <v>0</v>
      </c>
      <c r="CN731" s="244"/>
      <c r="CO731" s="244">
        <v>0</v>
      </c>
      <c r="CP731" s="244">
        <v>0</v>
      </c>
      <c r="CQ731" s="244">
        <v>0</v>
      </c>
      <c r="CR731" s="244">
        <v>0</v>
      </c>
      <c r="CS731" s="244">
        <v>0</v>
      </c>
      <c r="CT731" s="244">
        <v>0</v>
      </c>
      <c r="CU731" s="244">
        <v>0</v>
      </c>
      <c r="CV731" s="244">
        <v>9999</v>
      </c>
      <c r="CW731" s="228">
        <v>9999</v>
      </c>
    </row>
    <row r="732" spans="1:101">
      <c r="A732" s="221" t="s">
        <v>444</v>
      </c>
      <c r="C732" s="244">
        <v>10</v>
      </c>
      <c r="D732" s="244">
        <v>46.050003051757813</v>
      </c>
      <c r="E732" s="244">
        <v>3.8898317813873291</v>
      </c>
      <c r="F732" s="244">
        <v>3.2966773509979248</v>
      </c>
      <c r="G732" s="244">
        <v>0</v>
      </c>
      <c r="H732" s="244">
        <v>0</v>
      </c>
      <c r="I732" s="244"/>
      <c r="J732" s="244">
        <v>0.37809774279594421</v>
      </c>
      <c r="K732" s="244">
        <v>0.35866323113441467</v>
      </c>
      <c r="L732" s="244">
        <v>50.217441558837891</v>
      </c>
      <c r="M732" s="244">
        <v>6.0075507499277592E-3</v>
      </c>
      <c r="N732" s="244">
        <v>1.8197717145085335E-2</v>
      </c>
      <c r="O732" s="244">
        <v>3.9287300109863281</v>
      </c>
      <c r="P732" s="244">
        <v>1.1922166682779789E-2</v>
      </c>
      <c r="Q732" s="244">
        <v>3.7609357386827469E-2</v>
      </c>
      <c r="R732" s="244">
        <v>0.32778394222259521</v>
      </c>
      <c r="S732" s="244">
        <v>1.8114458322525024</v>
      </c>
      <c r="T732" s="244">
        <v>0</v>
      </c>
      <c r="U732" s="244">
        <v>3.6513762474060059</v>
      </c>
      <c r="V732" s="244">
        <v>0.32966774702072144</v>
      </c>
      <c r="W732" s="244">
        <v>0.32966774702072144</v>
      </c>
      <c r="X732" s="244">
        <v>0</v>
      </c>
      <c r="Y732" s="244">
        <v>0</v>
      </c>
      <c r="Z732" s="244">
        <v>0</v>
      </c>
      <c r="AA732" s="244">
        <v>0</v>
      </c>
      <c r="AB732" s="244">
        <v>0</v>
      </c>
      <c r="AC732" s="244">
        <v>0</v>
      </c>
      <c r="AD732" s="244">
        <v>0</v>
      </c>
      <c r="AE732" s="244">
        <v>0</v>
      </c>
      <c r="AF732" s="244">
        <v>0</v>
      </c>
      <c r="AG732" s="244">
        <v>0</v>
      </c>
      <c r="AH732" s="244">
        <v>0.65745168924331665</v>
      </c>
      <c r="AI732" s="244">
        <v>2.1411135196685791</v>
      </c>
      <c r="AJ732" s="244">
        <v>0</v>
      </c>
      <c r="AK732" s="244">
        <v>3.6513762474060059</v>
      </c>
      <c r="AL732" s="244">
        <v>6.4499416351318359</v>
      </c>
      <c r="AM732" s="244">
        <v>35.316608428955078</v>
      </c>
      <c r="AN732" s="244">
        <v>0</v>
      </c>
      <c r="AO732" s="244">
        <v>6.2226896286010742</v>
      </c>
      <c r="AP732" s="244">
        <v>26.910285949707031</v>
      </c>
      <c r="AQ732" s="244">
        <v>68.4495849609375</v>
      </c>
      <c r="AR732" s="244">
        <v>0.65745168924331665</v>
      </c>
      <c r="AS732" s="228">
        <v>104.11348107728512</v>
      </c>
      <c r="AT732" s="244">
        <v>35.316608428955078</v>
      </c>
      <c r="AU732" s="244">
        <v>5.2160296440124512</v>
      </c>
      <c r="AV732" s="244">
        <v>6.7442922592163086</v>
      </c>
      <c r="AW732" s="244">
        <v>26.910285949707031</v>
      </c>
      <c r="AX732" s="244">
        <v>74.187217712402344</v>
      </c>
      <c r="AY732" s="244">
        <v>2.1411135196685791</v>
      </c>
      <c r="AZ732" s="228">
        <v>34.648893454345782</v>
      </c>
      <c r="BA732" s="244">
        <v>35.316608428955078</v>
      </c>
      <c r="BB732" s="244">
        <v>5.2160296440124512</v>
      </c>
      <c r="BC732" s="244">
        <v>6.7442922592163086</v>
      </c>
      <c r="BD732" s="244">
        <v>26.910285949707031</v>
      </c>
      <c r="BE732" s="244">
        <v>74.187217712402344</v>
      </c>
      <c r="BF732" s="244">
        <v>2.7985653877258301</v>
      </c>
      <c r="BG732" s="244">
        <v>-57.639617919921875</v>
      </c>
      <c r="BH732" s="228">
        <v>26.509017715786889</v>
      </c>
      <c r="BI732" s="244">
        <v>1.0505437850952148</v>
      </c>
      <c r="BJ732" s="244">
        <v>3.4212911128997803</v>
      </c>
      <c r="BK732" s="244">
        <v>0</v>
      </c>
      <c r="BL732" s="244">
        <v>5.8345441818237305</v>
      </c>
      <c r="BM732" s="244">
        <v>10.306379318237305</v>
      </c>
      <c r="BN732" s="244">
        <v>35.316608428955078</v>
      </c>
      <c r="BO732" s="244">
        <v>32.474372863769531</v>
      </c>
      <c r="BP732" s="244">
        <v>5.2160296440124512</v>
      </c>
      <c r="BQ732" s="244">
        <v>0</v>
      </c>
      <c r="BR732" s="244">
        <v>0</v>
      </c>
      <c r="BS732" s="244">
        <v>0</v>
      </c>
      <c r="BT732" s="244">
        <v>26.910285949707031</v>
      </c>
      <c r="BU732" s="244">
        <v>0</v>
      </c>
      <c r="BV732" s="244">
        <v>184.18925476074219</v>
      </c>
      <c r="BW732" s="244">
        <v>6.7442922592163086</v>
      </c>
      <c r="BX732" s="244">
        <v>5.7906060218811035</v>
      </c>
      <c r="BY732" s="244">
        <v>0.65933549404144287</v>
      </c>
      <c r="BZ732" s="244">
        <v>0</v>
      </c>
      <c r="CA732" s="244">
        <v>0</v>
      </c>
      <c r="CB732" s="244">
        <v>290.850830078125</v>
      </c>
      <c r="CC732" s="244">
        <v>6.4499416351318359</v>
      </c>
      <c r="CD732" s="228">
        <v>45.093562970826675</v>
      </c>
      <c r="CE732" s="244">
        <v>-398.01248168945312</v>
      </c>
      <c r="CF732" s="244">
        <v>0.37919463815797899</v>
      </c>
      <c r="CG732" s="244">
        <v>0.36772913992936851</v>
      </c>
      <c r="CH732" s="244">
        <v>0.74692377808734745</v>
      </c>
      <c r="CI732" s="244">
        <v>1.8596147771038105E-2</v>
      </c>
      <c r="CJ732" s="244">
        <v>2.2983071245585435E-2</v>
      </c>
      <c r="CK732" s="244">
        <v>4.1579219016623536E-2</v>
      </c>
      <c r="CL732" s="244"/>
      <c r="CM732" s="244">
        <v>3.9287300109863281</v>
      </c>
      <c r="CN732" s="244"/>
      <c r="CO732" s="244">
        <v>0.28600001335144043</v>
      </c>
      <c r="CP732" s="244">
        <v>0.31700000166893005</v>
      </c>
      <c r="CQ732" s="244">
        <v>32.474372863769531</v>
      </c>
      <c r="CR732" s="244">
        <v>0</v>
      </c>
      <c r="CS732" s="244">
        <v>0</v>
      </c>
      <c r="CT732" s="244">
        <v>32.474372863769531</v>
      </c>
      <c r="CU732" s="244">
        <v>0</v>
      </c>
      <c r="CV732" s="244">
        <v>0</v>
      </c>
      <c r="CW732" s="228">
        <v>9999</v>
      </c>
    </row>
    <row r="733" spans="1:101">
      <c r="A733" s="221" t="s">
        <v>469</v>
      </c>
      <c r="C733" s="244">
        <v>10</v>
      </c>
      <c r="D733" s="244">
        <v>96.02020263671875</v>
      </c>
      <c r="E733" s="244">
        <v>0</v>
      </c>
      <c r="F733" s="244">
        <v>3.2966773509979248</v>
      </c>
      <c r="G733" s="244">
        <v>0</v>
      </c>
      <c r="H733" s="244">
        <v>0</v>
      </c>
      <c r="I733" s="244"/>
      <c r="J733" s="244">
        <v>0.31782251596450806</v>
      </c>
      <c r="K733" s="244">
        <v>0.33139589428901672</v>
      </c>
      <c r="L733" s="244">
        <v>104.70832824707031</v>
      </c>
      <c r="M733" s="244">
        <v>1.2999038212001324E-2</v>
      </c>
      <c r="N733" s="244">
        <v>4.0463518351316452E-2</v>
      </c>
      <c r="O733" s="244">
        <v>0</v>
      </c>
      <c r="P733" s="244">
        <v>0</v>
      </c>
      <c r="Q733" s="244">
        <v>0</v>
      </c>
      <c r="R733" s="244">
        <v>0.32778394222259521</v>
      </c>
      <c r="S733" s="244">
        <v>1.8114458322525024</v>
      </c>
      <c r="T733" s="244">
        <v>0</v>
      </c>
      <c r="U733" s="244">
        <v>3.6513762474060059</v>
      </c>
      <c r="V733" s="244">
        <v>0.32966774702072144</v>
      </c>
      <c r="W733" s="244">
        <v>0.32966774702072144</v>
      </c>
      <c r="X733" s="244">
        <v>0</v>
      </c>
      <c r="Y733" s="244">
        <v>0</v>
      </c>
      <c r="Z733" s="244">
        <v>0</v>
      </c>
      <c r="AA733" s="244">
        <v>0</v>
      </c>
      <c r="AB733" s="244">
        <v>0</v>
      </c>
      <c r="AC733" s="244">
        <v>0</v>
      </c>
      <c r="AD733" s="244">
        <v>0</v>
      </c>
      <c r="AE733" s="244">
        <v>0</v>
      </c>
      <c r="AF733" s="244">
        <v>0</v>
      </c>
      <c r="AG733" s="244">
        <v>0</v>
      </c>
      <c r="AH733" s="244">
        <v>0.65745168924331665</v>
      </c>
      <c r="AI733" s="244">
        <v>2.1411135196685791</v>
      </c>
      <c r="AJ733" s="244">
        <v>0</v>
      </c>
      <c r="AK733" s="244">
        <v>3.6513762474060059</v>
      </c>
      <c r="AL733" s="244">
        <v>6.4499416351318359</v>
      </c>
      <c r="AM733" s="244">
        <v>73.744346618652344</v>
      </c>
      <c r="AN733" s="244">
        <v>0</v>
      </c>
      <c r="AO733" s="244">
        <v>12.985494613647461</v>
      </c>
      <c r="AP733" s="244">
        <v>56.110599517822266</v>
      </c>
      <c r="AQ733" s="244">
        <v>142.84043884277344</v>
      </c>
      <c r="AR733" s="244">
        <v>0.65745168924331665</v>
      </c>
      <c r="AS733" s="228">
        <v>217.2637823997714</v>
      </c>
      <c r="AT733" s="244">
        <v>73.744346618652344</v>
      </c>
      <c r="AU733" s="244">
        <v>11.59809684753418</v>
      </c>
      <c r="AV733" s="244">
        <v>14.145303726196289</v>
      </c>
      <c r="AW733" s="244">
        <v>56.110599517822266</v>
      </c>
      <c r="AX733" s="244">
        <v>155.59834289550781</v>
      </c>
      <c r="AY733" s="244">
        <v>2.1411135196685791</v>
      </c>
      <c r="AZ733" s="228">
        <v>72.67169206550038</v>
      </c>
      <c r="BA733" s="244">
        <v>73.744346618652344</v>
      </c>
      <c r="BB733" s="244">
        <v>11.59809684753418</v>
      </c>
      <c r="BC733" s="244">
        <v>14.145303726196289</v>
      </c>
      <c r="BD733" s="244">
        <v>56.110599517822266</v>
      </c>
      <c r="BE733" s="244">
        <v>155.59834289550781</v>
      </c>
      <c r="BF733" s="244">
        <v>2.7985653877258301</v>
      </c>
      <c r="BG733" s="244">
        <v>-60.583648681640625</v>
      </c>
      <c r="BH733" s="228">
        <v>55.599327434190741</v>
      </c>
      <c r="BI733" s="244">
        <v>0.503834068775177</v>
      </c>
      <c r="BJ733" s="244">
        <v>1.6408292055130005</v>
      </c>
      <c r="BK733" s="244">
        <v>0</v>
      </c>
      <c r="BL733" s="244">
        <v>2.7982099056243896</v>
      </c>
      <c r="BM733" s="244">
        <v>4.9428730010986328</v>
      </c>
      <c r="BN733" s="244">
        <v>73.744346618652344</v>
      </c>
      <c r="BO733" s="244">
        <v>0</v>
      </c>
      <c r="BP733" s="244">
        <v>11.59809684753418</v>
      </c>
      <c r="BQ733" s="244">
        <v>0</v>
      </c>
      <c r="BR733" s="244">
        <v>0</v>
      </c>
      <c r="BS733" s="244">
        <v>0</v>
      </c>
      <c r="BT733" s="244">
        <v>56.110599517822266</v>
      </c>
      <c r="BU733" s="244">
        <v>0</v>
      </c>
      <c r="BV733" s="244">
        <v>132.70368957519531</v>
      </c>
      <c r="BW733" s="244">
        <v>14.145303726196289</v>
      </c>
      <c r="BX733" s="244">
        <v>5.7906060218811035</v>
      </c>
      <c r="BY733" s="244">
        <v>0.65933549404144287</v>
      </c>
      <c r="BZ733" s="244">
        <v>0</v>
      </c>
      <c r="CA733" s="244">
        <v>0</v>
      </c>
      <c r="CB733" s="244">
        <v>288.30203247070312</v>
      </c>
      <c r="CC733" s="244">
        <v>6.4499416351318359</v>
      </c>
      <c r="CD733" s="228">
        <v>44.698395415475957</v>
      </c>
      <c r="CE733" s="244">
        <v>-159.48210144042969</v>
      </c>
      <c r="CF733" s="244">
        <v>0.79033144892543317</v>
      </c>
      <c r="CG733" s="244">
        <v>0</v>
      </c>
      <c r="CH733" s="244">
        <v>0.79033144892543317</v>
      </c>
      <c r="CI733" s="244">
        <v>3.8755290535435423E-2</v>
      </c>
      <c r="CJ733" s="244">
        <v>0</v>
      </c>
      <c r="CK733" s="244">
        <v>3.8755290535435423E-2</v>
      </c>
      <c r="CL733" s="244"/>
      <c r="CM733" s="244">
        <v>0</v>
      </c>
      <c r="CN733" s="244"/>
      <c r="CO733" s="244">
        <v>0</v>
      </c>
      <c r="CP733" s="244">
        <v>0</v>
      </c>
      <c r="CQ733" s="244">
        <v>0</v>
      </c>
      <c r="CR733" s="244">
        <v>0</v>
      </c>
      <c r="CS733" s="244">
        <v>0</v>
      </c>
      <c r="CT733" s="244">
        <v>0</v>
      </c>
      <c r="CU733" s="244">
        <v>0</v>
      </c>
      <c r="CV733" s="244">
        <v>9999</v>
      </c>
      <c r="CW733" s="228">
        <v>9999</v>
      </c>
    </row>
    <row r="734" spans="1:101">
      <c r="A734" s="221" t="s">
        <v>531</v>
      </c>
      <c r="C734" s="244">
        <v>10.000000953674316</v>
      </c>
      <c r="D734" s="244">
        <v>49.249969482421875</v>
      </c>
      <c r="E734" s="244">
        <v>3.1819617748260498</v>
      </c>
      <c r="F734" s="244">
        <v>3.2966773509979248</v>
      </c>
      <c r="G734" s="244">
        <v>0</v>
      </c>
      <c r="H734" s="244">
        <v>0</v>
      </c>
      <c r="I734" s="244"/>
      <c r="J734" s="244">
        <v>0.36331543326377869</v>
      </c>
      <c r="K734" s="244">
        <v>0.35197603702545166</v>
      </c>
      <c r="L734" s="244">
        <v>53.706813812255859</v>
      </c>
      <c r="M734" s="244">
        <v>6.4844475127756596E-3</v>
      </c>
      <c r="N734" s="244">
        <v>1.9779115915298462E-2</v>
      </c>
      <c r="O734" s="244">
        <v>3.2137815952301025</v>
      </c>
      <c r="P734" s="244">
        <v>9.7525753080844879E-3</v>
      </c>
      <c r="Q734" s="244">
        <v>3.0765222385525703E-2</v>
      </c>
      <c r="R734" s="244">
        <v>0.32778394222259521</v>
      </c>
      <c r="S734" s="244">
        <v>1.8114458322525024</v>
      </c>
      <c r="T734" s="244">
        <v>0</v>
      </c>
      <c r="U734" s="244">
        <v>3.6513762474060059</v>
      </c>
      <c r="V734" s="244">
        <v>0.32966774702072144</v>
      </c>
      <c r="W734" s="244">
        <v>0.32966774702072144</v>
      </c>
      <c r="X734" s="244">
        <v>0</v>
      </c>
      <c r="Y734" s="244">
        <v>0</v>
      </c>
      <c r="Z734" s="244">
        <v>0</v>
      </c>
      <c r="AA734" s="244">
        <v>0</v>
      </c>
      <c r="AB734" s="244">
        <v>0</v>
      </c>
      <c r="AC734" s="244">
        <v>0</v>
      </c>
      <c r="AD734" s="244">
        <v>0</v>
      </c>
      <c r="AE734" s="244">
        <v>0</v>
      </c>
      <c r="AF734" s="244">
        <v>0</v>
      </c>
      <c r="AG734" s="244">
        <v>0</v>
      </c>
      <c r="AH734" s="244">
        <v>0.65745168924331665</v>
      </c>
      <c r="AI734" s="244">
        <v>2.1411135196685791</v>
      </c>
      <c r="AJ734" s="244">
        <v>0</v>
      </c>
      <c r="AK734" s="244">
        <v>3.6513762474060059</v>
      </c>
      <c r="AL734" s="244">
        <v>6.4499416351318359</v>
      </c>
      <c r="AM734" s="244">
        <v>37.783885955810547</v>
      </c>
      <c r="AN734" s="244">
        <v>0</v>
      </c>
      <c r="AO734" s="244">
        <v>6.6564040184020996</v>
      </c>
      <c r="AP734" s="244">
        <v>28.7801513671875</v>
      </c>
      <c r="AQ734" s="244">
        <v>73.220443725585938</v>
      </c>
      <c r="AR734" s="244">
        <v>0.65745168924331665</v>
      </c>
      <c r="AS734" s="228">
        <v>111.37007104761116</v>
      </c>
      <c r="AT734" s="244">
        <v>37.783885955810547</v>
      </c>
      <c r="AU734" s="244">
        <v>5.669306755065918</v>
      </c>
      <c r="AV734" s="244">
        <v>7.223334789276123</v>
      </c>
      <c r="AW734" s="244">
        <v>28.7801513671875</v>
      </c>
      <c r="AX734" s="244">
        <v>79.456680297851563</v>
      </c>
      <c r="AY734" s="244">
        <v>2.1411135196685791</v>
      </c>
      <c r="AZ734" s="228">
        <v>37.109978488068222</v>
      </c>
      <c r="BA734" s="244">
        <v>37.783885955810547</v>
      </c>
      <c r="BB734" s="244">
        <v>5.669306755065918</v>
      </c>
      <c r="BC734" s="244">
        <v>7.223334789276123</v>
      </c>
      <c r="BD734" s="244">
        <v>28.7801513671875</v>
      </c>
      <c r="BE734" s="244">
        <v>79.456680297851563</v>
      </c>
      <c r="BF734" s="244">
        <v>2.7985653877258301</v>
      </c>
      <c r="BG734" s="244">
        <v>-58.081432342529297</v>
      </c>
      <c r="BH734" s="228">
        <v>28.391933452907594</v>
      </c>
      <c r="BI734" s="244">
        <v>0.98228919506072998</v>
      </c>
      <c r="BJ734" s="244">
        <v>3.1990072727203369</v>
      </c>
      <c r="BK734" s="244">
        <v>0</v>
      </c>
      <c r="BL734" s="244">
        <v>5.4554696083068848</v>
      </c>
      <c r="BM734" s="244">
        <v>9.6367654800415039</v>
      </c>
      <c r="BN734" s="244">
        <v>37.783885955810547</v>
      </c>
      <c r="BO734" s="244">
        <v>26.564701080322266</v>
      </c>
      <c r="BP734" s="244">
        <v>5.669306755065918</v>
      </c>
      <c r="BQ734" s="244">
        <v>0</v>
      </c>
      <c r="BR734" s="244">
        <v>0</v>
      </c>
      <c r="BS734" s="244">
        <v>0</v>
      </c>
      <c r="BT734" s="244">
        <v>28.7801513671875</v>
      </c>
      <c r="BU734" s="244">
        <v>0</v>
      </c>
      <c r="BV734" s="244">
        <v>165.37046813964844</v>
      </c>
      <c r="BW734" s="244">
        <v>7.223334789276123</v>
      </c>
      <c r="BX734" s="244">
        <v>5.7906060218811035</v>
      </c>
      <c r="BY734" s="244">
        <v>0.65933549404144287</v>
      </c>
      <c r="BZ734" s="244">
        <v>0</v>
      </c>
      <c r="CA734" s="244">
        <v>0</v>
      </c>
      <c r="CB734" s="244">
        <v>271.391845703125</v>
      </c>
      <c r="CC734" s="244">
        <v>6.4499416351318359</v>
      </c>
      <c r="CD734" s="228">
        <v>42.076637038854322</v>
      </c>
      <c r="CE734" s="244">
        <v>-339.39358520507812</v>
      </c>
      <c r="CF734" s="244">
        <v>0.40550193911092225</v>
      </c>
      <c r="CG734" s="244">
        <v>0.30080994760090563</v>
      </c>
      <c r="CH734" s="244">
        <v>0.70631188671182787</v>
      </c>
      <c r="CI734" s="244">
        <v>1.9885849964122005E-2</v>
      </c>
      <c r="CJ734" s="244">
        <v>1.880062172505657E-2</v>
      </c>
      <c r="CK734" s="244">
        <v>3.8686471689178575E-2</v>
      </c>
      <c r="CL734" s="244"/>
      <c r="CM734" s="244">
        <v>3.2137815952301025</v>
      </c>
      <c r="CN734" s="244"/>
      <c r="CO734" s="244">
        <v>0.28600001335144043</v>
      </c>
      <c r="CP734" s="244">
        <v>0.31700000166893005</v>
      </c>
      <c r="CQ734" s="244">
        <v>26.564701080322266</v>
      </c>
      <c r="CR734" s="244">
        <v>0</v>
      </c>
      <c r="CS734" s="244">
        <v>0</v>
      </c>
      <c r="CT734" s="244">
        <v>26.564701080322266</v>
      </c>
      <c r="CU734" s="244">
        <v>0</v>
      </c>
      <c r="CV734" s="244">
        <v>0</v>
      </c>
      <c r="CW734" s="228">
        <v>9999</v>
      </c>
    </row>
    <row r="735" spans="1:101">
      <c r="A735" s="221" t="s">
        <v>476</v>
      </c>
      <c r="C735" s="244">
        <v>10</v>
      </c>
      <c r="D735" s="244">
        <v>6.5530738830566406</v>
      </c>
      <c r="E735" s="244">
        <v>6.3164849281311035</v>
      </c>
      <c r="F735" s="244">
        <v>3.2966773509979248</v>
      </c>
      <c r="G735" s="244">
        <v>0</v>
      </c>
      <c r="H735" s="244">
        <v>0</v>
      </c>
      <c r="I735" s="244"/>
      <c r="J735" s="244">
        <v>1</v>
      </c>
      <c r="K735" s="244">
        <v>0.63999998569488525</v>
      </c>
      <c r="L735" s="244">
        <v>7.1471939086914062</v>
      </c>
      <c r="M735" s="244">
        <v>5.2216940093785524E-4</v>
      </c>
      <c r="N735" s="244">
        <v>8.1588973989710212E-4</v>
      </c>
      <c r="O735" s="244">
        <v>6.3796496391296387</v>
      </c>
      <c r="P735" s="244">
        <v>1.9359752535820007E-2</v>
      </c>
      <c r="Q735" s="244">
        <v>6.1071775853633881E-2</v>
      </c>
      <c r="R735" s="244">
        <v>0.32778394222259521</v>
      </c>
      <c r="S735" s="244">
        <v>1.8114458322525024</v>
      </c>
      <c r="T735" s="244">
        <v>0</v>
      </c>
      <c r="U735" s="244">
        <v>3.6513762474060059</v>
      </c>
      <c r="V735" s="244">
        <v>0.32966774702072144</v>
      </c>
      <c r="W735" s="244">
        <v>0.32966774702072144</v>
      </c>
      <c r="X735" s="244">
        <v>0</v>
      </c>
      <c r="Y735" s="244">
        <v>0</v>
      </c>
      <c r="Z735" s="244">
        <v>0</v>
      </c>
      <c r="AA735" s="244">
        <v>0</v>
      </c>
      <c r="AB735" s="244">
        <v>0</v>
      </c>
      <c r="AC735" s="244">
        <v>0</v>
      </c>
      <c r="AD735" s="244">
        <v>0</v>
      </c>
      <c r="AE735" s="244">
        <v>0</v>
      </c>
      <c r="AF735" s="244">
        <v>0</v>
      </c>
      <c r="AG735" s="244">
        <v>0</v>
      </c>
      <c r="AH735" s="244">
        <v>0.65745168924331665</v>
      </c>
      <c r="AI735" s="244">
        <v>2.1411135196685791</v>
      </c>
      <c r="AJ735" s="244">
        <v>0</v>
      </c>
      <c r="AK735" s="244">
        <v>3.6513762474060059</v>
      </c>
      <c r="AL735" s="244">
        <v>6.4499416351318359</v>
      </c>
      <c r="AM735" s="244">
        <v>4.9519796371459961</v>
      </c>
      <c r="AN735" s="244">
        <v>0</v>
      </c>
      <c r="AO735" s="244">
        <v>0.87819844484329224</v>
      </c>
      <c r="AP735" s="244">
        <v>3.8300044536590576</v>
      </c>
      <c r="AQ735" s="244">
        <v>9.6601829528808594</v>
      </c>
      <c r="AR735" s="244">
        <v>0.65745168924331665</v>
      </c>
      <c r="AS735" s="228">
        <v>14.693372446523906</v>
      </c>
      <c r="AT735" s="244">
        <v>4.9519796371459961</v>
      </c>
      <c r="AU735" s="244">
        <v>0.23385927081108093</v>
      </c>
      <c r="AV735" s="244">
        <v>0.90158438682556152</v>
      </c>
      <c r="AW735" s="244">
        <v>3.8300044536590576</v>
      </c>
      <c r="AX735" s="244">
        <v>9.9174280166625977</v>
      </c>
      <c r="AY735" s="244">
        <v>2.1411135196685791</v>
      </c>
      <c r="AZ735" s="228">
        <v>4.6319017563785909</v>
      </c>
      <c r="BA735" s="244">
        <v>4.9519796371459961</v>
      </c>
      <c r="BB735" s="244">
        <v>0.23385927081108093</v>
      </c>
      <c r="BC735" s="244">
        <v>0.90158438682556152</v>
      </c>
      <c r="BD735" s="244">
        <v>3.8300044536590576</v>
      </c>
      <c r="BE735" s="244">
        <v>9.9174280166625977</v>
      </c>
      <c r="BF735" s="244">
        <v>2.7985653877258301</v>
      </c>
      <c r="BG735" s="244">
        <v>-24.327907562255859</v>
      </c>
      <c r="BH735" s="228">
        <v>3.5437543158315234</v>
      </c>
      <c r="BI735" s="244">
        <v>7.3813052177429199</v>
      </c>
      <c r="BJ735" s="244">
        <v>24.038591384887695</v>
      </c>
      <c r="BK735" s="244">
        <v>0</v>
      </c>
      <c r="BL735" s="244">
        <v>40.994529724121094</v>
      </c>
      <c r="BM735" s="244">
        <v>72.4144287109375</v>
      </c>
      <c r="BN735" s="244">
        <v>4.9519796371459961</v>
      </c>
      <c r="BO735" s="244">
        <v>52.733356475830078</v>
      </c>
      <c r="BP735" s="244">
        <v>0.23385927081108093</v>
      </c>
      <c r="BQ735" s="244">
        <v>0</v>
      </c>
      <c r="BR735" s="244">
        <v>0</v>
      </c>
      <c r="BS735" s="244">
        <v>0</v>
      </c>
      <c r="BT735" s="244">
        <v>3.8300044536590576</v>
      </c>
      <c r="BU735" s="244">
        <v>0</v>
      </c>
      <c r="BV735" s="244">
        <v>203.2025146484375</v>
      </c>
      <c r="BW735" s="244">
        <v>0.90158438682556152</v>
      </c>
      <c r="BX735" s="244">
        <v>5.7906060218811035</v>
      </c>
      <c r="BY735" s="244">
        <v>0.65933549404144287</v>
      </c>
      <c r="BZ735" s="244">
        <v>0</v>
      </c>
      <c r="CA735" s="244">
        <v>0</v>
      </c>
      <c r="CB735" s="244">
        <v>265.85330200195312</v>
      </c>
      <c r="CC735" s="244">
        <v>6.4499416351318359</v>
      </c>
      <c r="CD735" s="228">
        <v>41.217939452073281</v>
      </c>
      <c r="CE735" s="244">
        <v>-2856.762451171875</v>
      </c>
      <c r="CF735" s="244">
        <v>5.4198945901448685E-2</v>
      </c>
      <c r="CG735" s="244">
        <v>0.59713521444856743</v>
      </c>
      <c r="CH735" s="244">
        <v>0.65133416035001612</v>
      </c>
      <c r="CI735" s="244">
        <v>2.6604345700551577E-3</v>
      </c>
      <c r="CJ735" s="244">
        <v>3.7320950903035437E-2</v>
      </c>
      <c r="CK735" s="244">
        <v>3.9981385473090596E-2</v>
      </c>
      <c r="CL735" s="244"/>
      <c r="CM735" s="244">
        <v>6.3796496391296387</v>
      </c>
      <c r="CN735" s="244"/>
      <c r="CO735" s="244">
        <v>0.28600001335144043</v>
      </c>
      <c r="CP735" s="244">
        <v>0.31700000166893005</v>
      </c>
      <c r="CQ735" s="244">
        <v>52.733356475830078</v>
      </c>
      <c r="CR735" s="244">
        <v>0</v>
      </c>
      <c r="CS735" s="244">
        <v>0</v>
      </c>
      <c r="CT735" s="244">
        <v>52.733356475830078</v>
      </c>
      <c r="CU735" s="244">
        <v>0</v>
      </c>
      <c r="CV735" s="244">
        <v>0</v>
      </c>
      <c r="CW735" s="228">
        <v>9999</v>
      </c>
    </row>
    <row r="736" spans="1:101">
      <c r="A736" s="221" t="s">
        <v>555</v>
      </c>
      <c r="C736" s="244">
        <v>10</v>
      </c>
      <c r="D736" s="244">
        <v>43.964073181152344</v>
      </c>
      <c r="E736" s="244">
        <v>3.1851246356964111</v>
      </c>
      <c r="F736" s="244">
        <v>3.2966773509979248</v>
      </c>
      <c r="G736" s="244">
        <v>0</v>
      </c>
      <c r="H736" s="244">
        <v>0</v>
      </c>
      <c r="I736" s="244"/>
      <c r="J736" s="244">
        <v>0.37382987141609192</v>
      </c>
      <c r="K736" s="244">
        <v>0.35673254728317261</v>
      </c>
      <c r="L736" s="244">
        <v>47.942691802978516</v>
      </c>
      <c r="M736" s="244">
        <v>5.7507450692355633E-3</v>
      </c>
      <c r="N736" s="244">
        <v>1.7455076798796654E-2</v>
      </c>
      <c r="O736" s="244">
        <v>3.2169759273529053</v>
      </c>
      <c r="P736" s="244">
        <v>9.7622694447636604E-3</v>
      </c>
      <c r="Q736" s="244">
        <v>3.0795803293585777E-2</v>
      </c>
      <c r="R736" s="244">
        <v>0.32778394222259521</v>
      </c>
      <c r="S736" s="244">
        <v>1.8114458322525024</v>
      </c>
      <c r="T736" s="244">
        <v>0</v>
      </c>
      <c r="U736" s="244">
        <v>3.6513762474060059</v>
      </c>
      <c r="V736" s="244">
        <v>0.32966774702072144</v>
      </c>
      <c r="W736" s="244">
        <v>0.32966774702072144</v>
      </c>
      <c r="X736" s="244">
        <v>0</v>
      </c>
      <c r="Y736" s="244">
        <v>0</v>
      </c>
      <c r="Z736" s="244">
        <v>0</v>
      </c>
      <c r="AA736" s="244">
        <v>0</v>
      </c>
      <c r="AB736" s="244">
        <v>0</v>
      </c>
      <c r="AC736" s="244">
        <v>0</v>
      </c>
      <c r="AD736" s="244">
        <v>0</v>
      </c>
      <c r="AE736" s="244">
        <v>0</v>
      </c>
      <c r="AF736" s="244">
        <v>0</v>
      </c>
      <c r="AG736" s="244">
        <v>0</v>
      </c>
      <c r="AH736" s="244">
        <v>0.65745168924331665</v>
      </c>
      <c r="AI736" s="244">
        <v>2.1411135196685791</v>
      </c>
      <c r="AJ736" s="244">
        <v>0</v>
      </c>
      <c r="AK736" s="244">
        <v>3.6513762474060059</v>
      </c>
      <c r="AL736" s="244">
        <v>6.4499416351318359</v>
      </c>
      <c r="AM736" s="244">
        <v>33.720260620117187</v>
      </c>
      <c r="AN736" s="244">
        <v>0</v>
      </c>
      <c r="AO736" s="244">
        <v>5.9411568641662598</v>
      </c>
      <c r="AP736" s="244">
        <v>25.691305160522461</v>
      </c>
      <c r="AQ736" s="244">
        <v>65.35272216796875</v>
      </c>
      <c r="AR736" s="244">
        <v>0.65745168924331665</v>
      </c>
      <c r="AS736" s="228">
        <v>99.403079669659931</v>
      </c>
      <c r="AT736" s="244">
        <v>33.720260620117187</v>
      </c>
      <c r="AU736" s="244">
        <v>5.0031657218933105</v>
      </c>
      <c r="AV736" s="244">
        <v>6.4414730072021484</v>
      </c>
      <c r="AW736" s="244">
        <v>25.691305160522461</v>
      </c>
      <c r="AX736" s="244">
        <v>70.856201171875</v>
      </c>
      <c r="AY736" s="244">
        <v>2.1411135196685791</v>
      </c>
      <c r="AZ736" s="228">
        <v>33.093155447543523</v>
      </c>
      <c r="BA736" s="244">
        <v>33.720260620117187</v>
      </c>
      <c r="BB736" s="244">
        <v>5.0031657218933105</v>
      </c>
      <c r="BC736" s="244">
        <v>6.4414730072021484</v>
      </c>
      <c r="BD736" s="244">
        <v>25.691305160522461</v>
      </c>
      <c r="BE736" s="244">
        <v>70.856201171875</v>
      </c>
      <c r="BF736" s="244">
        <v>2.7985653877258301</v>
      </c>
      <c r="BG736" s="244">
        <v>-57.471115112304688</v>
      </c>
      <c r="BH736" s="228">
        <v>25.318760761757922</v>
      </c>
      <c r="BI736" s="244">
        <v>1.1003892421722412</v>
      </c>
      <c r="BJ736" s="244">
        <v>3.5836219787597656</v>
      </c>
      <c r="BK736" s="244">
        <v>0</v>
      </c>
      <c r="BL736" s="244">
        <v>6.1113772392272949</v>
      </c>
      <c r="BM736" s="244">
        <v>10.795388221740723</v>
      </c>
      <c r="BN736" s="244">
        <v>33.720260620117187</v>
      </c>
      <c r="BO736" s="244">
        <v>26.591104507446289</v>
      </c>
      <c r="BP736" s="244">
        <v>5.0031657218933105</v>
      </c>
      <c r="BQ736" s="244">
        <v>0</v>
      </c>
      <c r="BR736" s="244">
        <v>0</v>
      </c>
      <c r="BS736" s="244">
        <v>0</v>
      </c>
      <c r="BT736" s="244">
        <v>25.691305160522461</v>
      </c>
      <c r="BU736" s="244">
        <v>0</v>
      </c>
      <c r="BV736" s="244">
        <v>167.69723510742187</v>
      </c>
      <c r="BW736" s="244">
        <v>6.4414730072021484</v>
      </c>
      <c r="BX736" s="244">
        <v>5.7906060218811035</v>
      </c>
      <c r="BY736" s="244">
        <v>0.65933549404144287</v>
      </c>
      <c r="BZ736" s="244">
        <v>0</v>
      </c>
      <c r="CA736" s="244">
        <v>0</v>
      </c>
      <c r="CB736" s="244">
        <v>265.14453125</v>
      </c>
      <c r="CC736" s="244">
        <v>6.4499416351318359</v>
      </c>
      <c r="CD736" s="228">
        <v>41.10805399863834</v>
      </c>
      <c r="CE736" s="244">
        <v>-376.54379272460937</v>
      </c>
      <c r="CF736" s="244">
        <v>0.36200727789355941</v>
      </c>
      <c r="CG736" s="244">
        <v>0.3011089409276082</v>
      </c>
      <c r="CH736" s="244">
        <v>0.66311621882116767</v>
      </c>
      <c r="CI736" s="244">
        <v>1.7753146528130943E-2</v>
      </c>
      <c r="CJ736" s="244">
        <v>1.8819308807975457E-2</v>
      </c>
      <c r="CK736" s="244">
        <v>3.6572455336106396E-2</v>
      </c>
      <c r="CL736" s="244"/>
      <c r="CM736" s="244">
        <v>3.2169759273529053</v>
      </c>
      <c r="CN736" s="244"/>
      <c r="CO736" s="244">
        <v>0.28600001335144043</v>
      </c>
      <c r="CP736" s="244">
        <v>0.31700003147125244</v>
      </c>
      <c r="CQ736" s="244">
        <v>26.591104507446289</v>
      </c>
      <c r="CR736" s="244">
        <v>0</v>
      </c>
      <c r="CS736" s="244">
        <v>0</v>
      </c>
      <c r="CT736" s="244">
        <v>26.591104507446289</v>
      </c>
      <c r="CU736" s="244">
        <v>0</v>
      </c>
      <c r="CV736" s="244">
        <v>0</v>
      </c>
      <c r="CW736" s="228">
        <v>9999</v>
      </c>
    </row>
    <row r="737" spans="1:101">
      <c r="A737" s="221" t="s">
        <v>504</v>
      </c>
      <c r="C737" s="244">
        <v>10</v>
      </c>
      <c r="D737" s="244">
        <v>56.905754089355469</v>
      </c>
      <c r="E737" s="244">
        <v>2.4134752750396729</v>
      </c>
      <c r="F737" s="244">
        <v>3.2966773509979248</v>
      </c>
      <c r="G737" s="244">
        <v>0</v>
      </c>
      <c r="H737" s="244">
        <v>0</v>
      </c>
      <c r="I737" s="244"/>
      <c r="J737" s="244">
        <v>0.34760051965713501</v>
      </c>
      <c r="K737" s="244">
        <v>0.34486690163612366</v>
      </c>
      <c r="L737" s="244">
        <v>62.055160522460938</v>
      </c>
      <c r="M737" s="244">
        <v>7.5654489919543266E-3</v>
      </c>
      <c r="N737" s="244">
        <v>2.3242935538291931E-2</v>
      </c>
      <c r="O737" s="244">
        <v>2.4376099109649658</v>
      </c>
      <c r="P737" s="244">
        <v>7.3971976526081562E-3</v>
      </c>
      <c r="Q737" s="244">
        <v>2.3335007950663567E-2</v>
      </c>
      <c r="R737" s="244">
        <v>0.32778394222259521</v>
      </c>
      <c r="S737" s="244">
        <v>1.8114458322525024</v>
      </c>
      <c r="T737" s="244">
        <v>0</v>
      </c>
      <c r="U737" s="244">
        <v>3.6513762474060059</v>
      </c>
      <c r="V737" s="244">
        <v>0.32966774702072144</v>
      </c>
      <c r="W737" s="244">
        <v>0.32966774702072144</v>
      </c>
      <c r="X737" s="244">
        <v>0</v>
      </c>
      <c r="Y737" s="244">
        <v>0</v>
      </c>
      <c r="Z737" s="244">
        <v>0</v>
      </c>
      <c r="AA737" s="244">
        <v>0</v>
      </c>
      <c r="AB737" s="244">
        <v>0</v>
      </c>
      <c r="AC737" s="244">
        <v>0</v>
      </c>
      <c r="AD737" s="244">
        <v>0</v>
      </c>
      <c r="AE737" s="244">
        <v>0</v>
      </c>
      <c r="AF737" s="244">
        <v>0</v>
      </c>
      <c r="AG737" s="244">
        <v>0</v>
      </c>
      <c r="AH737" s="244">
        <v>0.65745168924331665</v>
      </c>
      <c r="AI737" s="244">
        <v>2.1411135196685791</v>
      </c>
      <c r="AJ737" s="244">
        <v>0</v>
      </c>
      <c r="AK737" s="244">
        <v>3.6513762474060059</v>
      </c>
      <c r="AL737" s="244">
        <v>6.4499416351318359</v>
      </c>
      <c r="AM737" s="244">
        <v>43.673465728759766</v>
      </c>
      <c r="AN737" s="244">
        <v>0</v>
      </c>
      <c r="AO737" s="244">
        <v>7.6927289962768555</v>
      </c>
      <c r="AP737" s="244">
        <v>33.253822326660156</v>
      </c>
      <c r="AQ737" s="244">
        <v>84.620018005371094</v>
      </c>
      <c r="AR737" s="244">
        <v>0.65745168924331665</v>
      </c>
      <c r="AS737" s="228">
        <v>128.70910279215923</v>
      </c>
      <c r="AT737" s="244">
        <v>43.673465728759766</v>
      </c>
      <c r="AU737" s="244">
        <v>6.6621441841125488</v>
      </c>
      <c r="AV737" s="244">
        <v>8.3589439392089844</v>
      </c>
      <c r="AW737" s="244">
        <v>33.253822326660156</v>
      </c>
      <c r="AX737" s="244">
        <v>91.948379516601563</v>
      </c>
      <c r="AY737" s="244">
        <v>2.1411135196685791</v>
      </c>
      <c r="AZ737" s="228">
        <v>42.944184310835233</v>
      </c>
      <c r="BA737" s="244">
        <v>43.673465728759766</v>
      </c>
      <c r="BB737" s="244">
        <v>6.6621441841125488</v>
      </c>
      <c r="BC737" s="244">
        <v>8.3589439392089844</v>
      </c>
      <c r="BD737" s="244">
        <v>33.253822326660156</v>
      </c>
      <c r="BE737" s="244">
        <v>91.948379516601563</v>
      </c>
      <c r="BF737" s="244">
        <v>2.7985653877258301</v>
      </c>
      <c r="BG737" s="244">
        <v>-58.804771423339844</v>
      </c>
      <c r="BH737" s="228">
        <v>32.855541092125868</v>
      </c>
      <c r="BI737" s="244">
        <v>0.85014075040817261</v>
      </c>
      <c r="BJ737" s="244">
        <v>2.768641471862793</v>
      </c>
      <c r="BK737" s="244">
        <v>0</v>
      </c>
      <c r="BL737" s="244">
        <v>4.7215390205383301</v>
      </c>
      <c r="BM737" s="244">
        <v>8.3403215408325195</v>
      </c>
      <c r="BN737" s="244">
        <v>43.673465728759766</v>
      </c>
      <c r="BO737" s="244">
        <v>20.148967742919922</v>
      </c>
      <c r="BP737" s="244">
        <v>6.6621441841125488</v>
      </c>
      <c r="BQ737" s="244">
        <v>0</v>
      </c>
      <c r="BR737" s="244">
        <v>0</v>
      </c>
      <c r="BS737" s="244">
        <v>0</v>
      </c>
      <c r="BT737" s="244">
        <v>33.253822326660156</v>
      </c>
      <c r="BU737" s="244">
        <v>0</v>
      </c>
      <c r="BV737" s="244">
        <v>152.23915100097656</v>
      </c>
      <c r="BW737" s="244">
        <v>8.3589439392089844</v>
      </c>
      <c r="BX737" s="244">
        <v>5.7906060218811035</v>
      </c>
      <c r="BY737" s="244">
        <v>0.65933549404144287</v>
      </c>
      <c r="BZ737" s="244">
        <v>0</v>
      </c>
      <c r="CA737" s="244">
        <v>0</v>
      </c>
      <c r="CB737" s="244">
        <v>264.33648681640625</v>
      </c>
      <c r="CC737" s="244">
        <v>6.4499416351318359</v>
      </c>
      <c r="CD737" s="228">
        <v>40.982773916645264</v>
      </c>
      <c r="CE737" s="244">
        <v>-276.99569702148437</v>
      </c>
      <c r="CF737" s="244">
        <v>0.46848387705442146</v>
      </c>
      <c r="CG737" s="244">
        <v>0.22816029724417114</v>
      </c>
      <c r="CH737" s="244">
        <v>0.6966441742985926</v>
      </c>
      <c r="CI737" s="244">
        <v>2.2973950856887748E-2</v>
      </c>
      <c r="CJ737" s="244">
        <v>1.4260018577760634E-2</v>
      </c>
      <c r="CK737" s="244">
        <v>3.7233969434648378E-2</v>
      </c>
      <c r="CL737" s="244"/>
      <c r="CM737" s="244">
        <v>2.4376099109649658</v>
      </c>
      <c r="CN737" s="244"/>
      <c r="CO737" s="244">
        <v>0.28600001335144043</v>
      </c>
      <c r="CP737" s="244">
        <v>0.31700000166893005</v>
      </c>
      <c r="CQ737" s="244">
        <v>20.148967742919922</v>
      </c>
      <c r="CR737" s="244">
        <v>0</v>
      </c>
      <c r="CS737" s="244">
        <v>0</v>
      </c>
      <c r="CT737" s="244">
        <v>20.148967742919922</v>
      </c>
      <c r="CU737" s="244">
        <v>0</v>
      </c>
      <c r="CV737" s="244">
        <v>0</v>
      </c>
      <c r="CW737" s="228">
        <v>9999</v>
      </c>
    </row>
    <row r="738" spans="1:101">
      <c r="A738" s="221" t="s">
        <v>552</v>
      </c>
      <c r="C738" s="244">
        <v>9.9999990463256836</v>
      </c>
      <c r="D738" s="244">
        <v>43.663845062255859</v>
      </c>
      <c r="E738" s="244">
        <v>3.1834878921508789</v>
      </c>
      <c r="F738" s="244">
        <v>3.2966773509979248</v>
      </c>
      <c r="G738" s="244">
        <v>0</v>
      </c>
      <c r="H738" s="244">
        <v>0</v>
      </c>
      <c r="I738" s="244"/>
      <c r="J738" s="244">
        <v>0.36984828114509583</v>
      </c>
      <c r="K738" s="244">
        <v>0.35493135452270508</v>
      </c>
      <c r="L738" s="244">
        <v>47.615245819091797</v>
      </c>
      <c r="M738" s="244">
        <v>5.725666880607605E-3</v>
      </c>
      <c r="N738" s="244">
        <v>1.7411539331078529E-2</v>
      </c>
      <c r="O738" s="244">
        <v>3.215322732925415</v>
      </c>
      <c r="P738" s="244">
        <v>9.7572524100542068E-3</v>
      </c>
      <c r="Q738" s="244">
        <v>3.0779976397752762E-2</v>
      </c>
      <c r="R738" s="244">
        <v>0.32778394222259521</v>
      </c>
      <c r="S738" s="244">
        <v>1.8114458322525024</v>
      </c>
      <c r="T738" s="244">
        <v>0</v>
      </c>
      <c r="U738" s="244">
        <v>3.6513762474060059</v>
      </c>
      <c r="V738" s="244">
        <v>0.32966774702072144</v>
      </c>
      <c r="W738" s="244">
        <v>0.32966774702072144</v>
      </c>
      <c r="X738" s="244">
        <v>0</v>
      </c>
      <c r="Y738" s="244">
        <v>0</v>
      </c>
      <c r="Z738" s="244">
        <v>0</v>
      </c>
      <c r="AA738" s="244">
        <v>0</v>
      </c>
      <c r="AB738" s="244">
        <v>0</v>
      </c>
      <c r="AC738" s="244">
        <v>0</v>
      </c>
      <c r="AD738" s="244">
        <v>0</v>
      </c>
      <c r="AE738" s="244">
        <v>0</v>
      </c>
      <c r="AF738" s="244">
        <v>0</v>
      </c>
      <c r="AG738" s="244">
        <v>0</v>
      </c>
      <c r="AH738" s="244">
        <v>0.65745168924331665</v>
      </c>
      <c r="AI738" s="244">
        <v>2.1411135196685791</v>
      </c>
      <c r="AJ738" s="244">
        <v>0</v>
      </c>
      <c r="AK738" s="244">
        <v>3.6513762474060059</v>
      </c>
      <c r="AL738" s="244">
        <v>6.4499416351318359</v>
      </c>
      <c r="AM738" s="244">
        <v>33.493129730224609</v>
      </c>
      <c r="AN738" s="244">
        <v>0</v>
      </c>
      <c r="AO738" s="244">
        <v>5.9008960723876953</v>
      </c>
      <c r="AP738" s="244">
        <v>25.515830993652344</v>
      </c>
      <c r="AQ738" s="244">
        <v>64.909858703613281</v>
      </c>
      <c r="AR738" s="244">
        <v>0.65745168924331665</v>
      </c>
      <c r="AS738" s="228">
        <v>98.729469949300139</v>
      </c>
      <c r="AT738" s="244">
        <v>33.493129730224609</v>
      </c>
      <c r="AU738" s="244">
        <v>4.9906854629516602</v>
      </c>
      <c r="AV738" s="244">
        <v>6.3999643325805664</v>
      </c>
      <c r="AW738" s="244">
        <v>25.515830993652344</v>
      </c>
      <c r="AX738" s="244">
        <v>70.399612426757813</v>
      </c>
      <c r="AY738" s="244">
        <v>2.1411135196685791</v>
      </c>
      <c r="AZ738" s="228">
        <v>32.879904737844647</v>
      </c>
      <c r="BA738" s="244">
        <v>33.493129730224609</v>
      </c>
      <c r="BB738" s="244">
        <v>4.9906854629516602</v>
      </c>
      <c r="BC738" s="244">
        <v>6.3999643325805664</v>
      </c>
      <c r="BD738" s="244">
        <v>25.515830993652344</v>
      </c>
      <c r="BE738" s="244">
        <v>70.399612426757813</v>
      </c>
      <c r="BF738" s="244">
        <v>2.7985653877258301</v>
      </c>
      <c r="BG738" s="244">
        <v>-57.479640960693359</v>
      </c>
      <c r="BH738" s="228">
        <v>25.155607879292557</v>
      </c>
      <c r="BI738" s="244">
        <v>1.1079565286636353</v>
      </c>
      <c r="BJ738" s="244">
        <v>3.6082661151885986</v>
      </c>
      <c r="BK738" s="244">
        <v>0</v>
      </c>
      <c r="BL738" s="244">
        <v>6.1534042358398437</v>
      </c>
      <c r="BM738" s="244">
        <v>10.869626998901367</v>
      </c>
      <c r="BN738" s="244">
        <v>33.493129730224609</v>
      </c>
      <c r="BO738" s="244">
        <v>26.57744026184082</v>
      </c>
      <c r="BP738" s="244">
        <v>4.9906854629516602</v>
      </c>
      <c r="BQ738" s="244">
        <v>0</v>
      </c>
      <c r="BR738" s="244">
        <v>0</v>
      </c>
      <c r="BS738" s="244">
        <v>0</v>
      </c>
      <c r="BT738" s="244">
        <v>25.515830993652344</v>
      </c>
      <c r="BU738" s="244">
        <v>0</v>
      </c>
      <c r="BV738" s="244">
        <v>159.00178527832031</v>
      </c>
      <c r="BW738" s="244">
        <v>6.3999643325805664</v>
      </c>
      <c r="BX738" s="244">
        <v>5.7906060218811035</v>
      </c>
      <c r="BY738" s="244">
        <v>0.65933549404144287</v>
      </c>
      <c r="BZ738" s="244">
        <v>0</v>
      </c>
      <c r="CA738" s="244">
        <v>0</v>
      </c>
      <c r="CB738" s="244">
        <v>255.97883605957031</v>
      </c>
      <c r="CC738" s="244">
        <v>6.4499416351318359</v>
      </c>
      <c r="CD738" s="228">
        <v>39.687001103444459</v>
      </c>
      <c r="CE738" s="244">
        <v>-364.0697021484375</v>
      </c>
      <c r="CF738" s="244">
        <v>0.35952496163761632</v>
      </c>
      <c r="CG738" s="244">
        <v>0.3009542067472733</v>
      </c>
      <c r="CH738" s="244">
        <v>0.66047916838488963</v>
      </c>
      <c r="CI738" s="244">
        <v>1.7631306886683667E-2</v>
      </c>
      <c r="CJ738" s="244">
        <v>1.8809637921704536E-2</v>
      </c>
      <c r="CK738" s="244">
        <v>3.6440944808388206E-2</v>
      </c>
      <c r="CL738" s="244"/>
      <c r="CM738" s="244">
        <v>3.215322732925415</v>
      </c>
      <c r="CN738" s="244"/>
      <c r="CO738" s="244">
        <v>0.28600001335144043</v>
      </c>
      <c r="CP738" s="244">
        <v>0.31700000166893005</v>
      </c>
      <c r="CQ738" s="244">
        <v>26.57744026184082</v>
      </c>
      <c r="CR738" s="244">
        <v>0</v>
      </c>
      <c r="CS738" s="244">
        <v>0</v>
      </c>
      <c r="CT738" s="244">
        <v>26.57744026184082</v>
      </c>
      <c r="CU738" s="244">
        <v>0</v>
      </c>
      <c r="CV738" s="244">
        <v>0</v>
      </c>
      <c r="CW738" s="228">
        <v>9999</v>
      </c>
    </row>
    <row r="739" spans="1:101">
      <c r="A739" s="221" t="s">
        <v>446</v>
      </c>
      <c r="C739" s="244">
        <v>10</v>
      </c>
      <c r="D739" s="244">
        <v>6.2647542953491211</v>
      </c>
      <c r="E739" s="244">
        <v>5.6815061569213867</v>
      </c>
      <c r="F739" s="244">
        <v>3.2966773509979248</v>
      </c>
      <c r="G739" s="244">
        <v>0</v>
      </c>
      <c r="H739" s="244">
        <v>0</v>
      </c>
      <c r="I739" s="244"/>
      <c r="J739" s="244">
        <v>1</v>
      </c>
      <c r="K739" s="244">
        <v>0.63999992609024048</v>
      </c>
      <c r="L739" s="244">
        <v>6.8327341079711914</v>
      </c>
      <c r="M739" s="244">
        <v>4.9919518642127514E-4</v>
      </c>
      <c r="N739" s="244">
        <v>7.7999249333515763E-4</v>
      </c>
      <c r="O739" s="244">
        <v>5.7383213043212891</v>
      </c>
      <c r="P739" s="244">
        <v>1.741357147693634E-2</v>
      </c>
      <c r="Q739" s="244">
        <v>5.4932400584220886E-2</v>
      </c>
      <c r="R739" s="244">
        <v>0.32778394222259521</v>
      </c>
      <c r="S739" s="244">
        <v>1.8114458322525024</v>
      </c>
      <c r="T739" s="244">
        <v>0</v>
      </c>
      <c r="U739" s="244">
        <v>3.6513762474060059</v>
      </c>
      <c r="V739" s="244">
        <v>0.32966774702072144</v>
      </c>
      <c r="W739" s="244">
        <v>0.32966774702072144</v>
      </c>
      <c r="X739" s="244">
        <v>0</v>
      </c>
      <c r="Y739" s="244">
        <v>0</v>
      </c>
      <c r="Z739" s="244">
        <v>0</v>
      </c>
      <c r="AA739" s="244">
        <v>0</v>
      </c>
      <c r="AB739" s="244">
        <v>0</v>
      </c>
      <c r="AC739" s="244">
        <v>0</v>
      </c>
      <c r="AD739" s="244">
        <v>0</v>
      </c>
      <c r="AE739" s="244">
        <v>0</v>
      </c>
      <c r="AF739" s="244">
        <v>0</v>
      </c>
      <c r="AG739" s="244">
        <v>0</v>
      </c>
      <c r="AH739" s="244">
        <v>0.65745168924331665</v>
      </c>
      <c r="AI739" s="244">
        <v>2.1411135196685791</v>
      </c>
      <c r="AJ739" s="244">
        <v>0</v>
      </c>
      <c r="AK739" s="244">
        <v>3.6513762474060059</v>
      </c>
      <c r="AL739" s="244">
        <v>6.4499416351318359</v>
      </c>
      <c r="AM739" s="244">
        <v>4.7341041564941406</v>
      </c>
      <c r="AN739" s="244">
        <v>0</v>
      </c>
      <c r="AO739" s="244">
        <v>0.83955979347229004</v>
      </c>
      <c r="AP739" s="244">
        <v>3.6614935398101807</v>
      </c>
      <c r="AQ739" s="244">
        <v>9.2351570129394531</v>
      </c>
      <c r="AR739" s="244">
        <v>0.65745168924331665</v>
      </c>
      <c r="AS739" s="228">
        <v>14.046899020680387</v>
      </c>
      <c r="AT739" s="244">
        <v>4.7341041564941406</v>
      </c>
      <c r="AU739" s="244">
        <v>0.22357000410556793</v>
      </c>
      <c r="AV739" s="244">
        <v>0.86191678047180176</v>
      </c>
      <c r="AW739" s="244">
        <v>3.6614935398101807</v>
      </c>
      <c r="AX739" s="244">
        <v>9.4810848236083984</v>
      </c>
      <c r="AY739" s="244">
        <v>2.1411135196685791</v>
      </c>
      <c r="AZ739" s="228">
        <v>4.4281090796219855</v>
      </c>
      <c r="BA739" s="244">
        <v>4.7341041564941406</v>
      </c>
      <c r="BB739" s="244">
        <v>0.22357000410556793</v>
      </c>
      <c r="BC739" s="244">
        <v>0.86191678047180176</v>
      </c>
      <c r="BD739" s="244">
        <v>3.6614935398101807</v>
      </c>
      <c r="BE739" s="244">
        <v>9.4810848236083984</v>
      </c>
      <c r="BF739" s="244">
        <v>2.7985653877258301</v>
      </c>
      <c r="BG739" s="244">
        <v>-22.881889343261719</v>
      </c>
      <c r="BH739" s="228">
        <v>3.3878375421658151</v>
      </c>
      <c r="BI739" s="244">
        <v>7.7210121154785156</v>
      </c>
      <c r="BJ739" s="244">
        <v>25.14491081237793</v>
      </c>
      <c r="BK739" s="244">
        <v>0</v>
      </c>
      <c r="BL739" s="244">
        <v>42.881206512451172</v>
      </c>
      <c r="BM739" s="244">
        <v>75.747123718261719</v>
      </c>
      <c r="BN739" s="244">
        <v>4.7341041564941406</v>
      </c>
      <c r="BO739" s="244">
        <v>47.432216644287109</v>
      </c>
      <c r="BP739" s="244">
        <v>0.22357000410556793</v>
      </c>
      <c r="BQ739" s="244">
        <v>0</v>
      </c>
      <c r="BR739" s="244">
        <v>0</v>
      </c>
      <c r="BS739" s="244">
        <v>0</v>
      </c>
      <c r="BT739" s="244">
        <v>3.6614935398101807</v>
      </c>
      <c r="BU739" s="244">
        <v>0</v>
      </c>
      <c r="BV739" s="244">
        <v>194.2620849609375</v>
      </c>
      <c r="BW739" s="244">
        <v>0.86191678047180176</v>
      </c>
      <c r="BX739" s="244">
        <v>5.7906060218811035</v>
      </c>
      <c r="BY739" s="244">
        <v>0.65933549404144287</v>
      </c>
      <c r="BZ739" s="244">
        <v>0</v>
      </c>
      <c r="CA739" s="244">
        <v>0</v>
      </c>
      <c r="CB739" s="244">
        <v>251.17538452148437</v>
      </c>
      <c r="CC739" s="244">
        <v>6.4499416351318359</v>
      </c>
      <c r="CD739" s="228">
        <v>38.942273424657593</v>
      </c>
      <c r="CE739" s="244">
        <v>-2818.421630859375</v>
      </c>
      <c r="CF739" s="244">
        <v>5.1814320742769149E-2</v>
      </c>
      <c r="CG739" s="244">
        <v>0.53710687025606751</v>
      </c>
      <c r="CH739" s="244">
        <v>0.58892119099883666</v>
      </c>
      <c r="CI739" s="244">
        <v>2.5433817546681144E-3</v>
      </c>
      <c r="CJ739" s="244">
        <v>3.3569179391004386E-2</v>
      </c>
      <c r="CK739" s="244">
        <v>3.6112561145672503E-2</v>
      </c>
      <c r="CL739" s="244"/>
      <c r="CM739" s="244">
        <v>5.7383213043212891</v>
      </c>
      <c r="CN739" s="244"/>
      <c r="CO739" s="244">
        <v>0.28600001335144043</v>
      </c>
      <c r="CP739" s="244">
        <v>0.31700000166893005</v>
      </c>
      <c r="CQ739" s="244">
        <v>47.432216644287109</v>
      </c>
      <c r="CR739" s="244">
        <v>0</v>
      </c>
      <c r="CS739" s="244">
        <v>0</v>
      </c>
      <c r="CT739" s="244">
        <v>47.432216644287109</v>
      </c>
      <c r="CU739" s="244">
        <v>0</v>
      </c>
      <c r="CV739" s="244">
        <v>0</v>
      </c>
      <c r="CW739" s="228">
        <v>9999</v>
      </c>
    </row>
    <row r="740" spans="1:101">
      <c r="A740" s="221" t="s">
        <v>526</v>
      </c>
      <c r="C740" s="244">
        <v>10.000000953674316</v>
      </c>
      <c r="D740" s="244">
        <v>78.372100830078125</v>
      </c>
      <c r="E740" s="244">
        <v>0</v>
      </c>
      <c r="F740" s="244">
        <v>3.2966773509979248</v>
      </c>
      <c r="G740" s="244">
        <v>0</v>
      </c>
      <c r="H740" s="244">
        <v>0</v>
      </c>
      <c r="I740" s="244"/>
      <c r="J740" s="244">
        <v>0.31946483254432678</v>
      </c>
      <c r="K740" s="244">
        <v>0.33213883638381958</v>
      </c>
      <c r="L740" s="244">
        <v>85.463417053222656</v>
      </c>
      <c r="M740" s="244">
        <v>1.0599362663924694E-2</v>
      </c>
      <c r="N740" s="244">
        <v>3.2970480620861053E-2</v>
      </c>
      <c r="O740" s="244">
        <v>0</v>
      </c>
      <c r="P740" s="244">
        <v>0</v>
      </c>
      <c r="Q740" s="244">
        <v>0</v>
      </c>
      <c r="R740" s="244">
        <v>0.32778394222259521</v>
      </c>
      <c r="S740" s="244">
        <v>1.8114458322525024</v>
      </c>
      <c r="T740" s="244">
        <v>0</v>
      </c>
      <c r="U740" s="244">
        <v>3.6513762474060059</v>
      </c>
      <c r="V740" s="244">
        <v>0.32966774702072144</v>
      </c>
      <c r="W740" s="244">
        <v>0.32966774702072144</v>
      </c>
      <c r="X740" s="244">
        <v>0</v>
      </c>
      <c r="Y740" s="244">
        <v>0</v>
      </c>
      <c r="Z740" s="244">
        <v>0</v>
      </c>
      <c r="AA740" s="244">
        <v>0</v>
      </c>
      <c r="AB740" s="244">
        <v>0</v>
      </c>
      <c r="AC740" s="244">
        <v>0</v>
      </c>
      <c r="AD740" s="244">
        <v>0</v>
      </c>
      <c r="AE740" s="244">
        <v>0</v>
      </c>
      <c r="AF740" s="244">
        <v>0</v>
      </c>
      <c r="AG740" s="244">
        <v>0</v>
      </c>
      <c r="AH740" s="244">
        <v>0.65745168924331665</v>
      </c>
      <c r="AI740" s="244">
        <v>2.1411135196685791</v>
      </c>
      <c r="AJ740" s="244">
        <v>0</v>
      </c>
      <c r="AK740" s="244">
        <v>3.6513762474060059</v>
      </c>
      <c r="AL740" s="244">
        <v>6.4499416351318359</v>
      </c>
      <c r="AM740" s="244">
        <v>60.188125610351562</v>
      </c>
      <c r="AN740" s="244">
        <v>0</v>
      </c>
      <c r="AO740" s="244">
        <v>10.598586082458496</v>
      </c>
      <c r="AP740" s="244">
        <v>45.7977294921875</v>
      </c>
      <c r="AQ740" s="244">
        <v>116.58444213867187</v>
      </c>
      <c r="AR740" s="244">
        <v>0.65745168924331665</v>
      </c>
      <c r="AS740" s="228">
        <v>177.32776885732628</v>
      </c>
      <c r="AT740" s="244">
        <v>60.188125610351562</v>
      </c>
      <c r="AU740" s="244">
        <v>9.4503612518310547</v>
      </c>
      <c r="AV740" s="244">
        <v>11.543621063232422</v>
      </c>
      <c r="AW740" s="244">
        <v>45.7977294921875</v>
      </c>
      <c r="AX740" s="244">
        <v>126.97983551025391</v>
      </c>
      <c r="AY740" s="244">
        <v>2.1411135196685791</v>
      </c>
      <c r="AZ740" s="228">
        <v>59.305512162836486</v>
      </c>
      <c r="BA740" s="244">
        <v>60.188125610351562</v>
      </c>
      <c r="BB740" s="244">
        <v>9.4503612518310547</v>
      </c>
      <c r="BC740" s="244">
        <v>11.543621063232422</v>
      </c>
      <c r="BD740" s="244">
        <v>45.7977294921875</v>
      </c>
      <c r="BE740" s="244">
        <v>126.97983551025391</v>
      </c>
      <c r="BF740" s="244">
        <v>2.7985653877258301</v>
      </c>
      <c r="BG740" s="244">
        <v>-60.083900451660156</v>
      </c>
      <c r="BH740" s="228">
        <v>45.373191344188953</v>
      </c>
      <c r="BI740" s="244">
        <v>0.61728894710540771</v>
      </c>
      <c r="BJ740" s="244">
        <v>2.0103161334991455</v>
      </c>
      <c r="BK740" s="244">
        <v>0</v>
      </c>
      <c r="BL740" s="244">
        <v>3.4283192157745361</v>
      </c>
      <c r="BM740" s="244">
        <v>6.0559239387512207</v>
      </c>
      <c r="BN740" s="244">
        <v>60.188125610351562</v>
      </c>
      <c r="BO740" s="244">
        <v>0</v>
      </c>
      <c r="BP740" s="244">
        <v>9.4503612518310547</v>
      </c>
      <c r="BQ740" s="244">
        <v>0</v>
      </c>
      <c r="BR740" s="244">
        <v>0</v>
      </c>
      <c r="BS740" s="244">
        <v>0</v>
      </c>
      <c r="BT740" s="244">
        <v>45.7977294921875</v>
      </c>
      <c r="BU740" s="244">
        <v>0</v>
      </c>
      <c r="BV740" s="244">
        <v>113.90313720703125</v>
      </c>
      <c r="BW740" s="244">
        <v>11.543621063232422</v>
      </c>
      <c r="BX740" s="244">
        <v>5.7906060218811035</v>
      </c>
      <c r="BY740" s="244">
        <v>0.65933549404144287</v>
      </c>
      <c r="BZ740" s="244">
        <v>0</v>
      </c>
      <c r="CA740" s="244">
        <v>0</v>
      </c>
      <c r="CB740" s="244">
        <v>240.88298034667969</v>
      </c>
      <c r="CC740" s="244">
        <v>6.4499416351318359</v>
      </c>
      <c r="CD740" s="228">
        <v>37.346536248426723</v>
      </c>
      <c r="CE740" s="244">
        <v>-163.60054016113281</v>
      </c>
      <c r="CF740" s="244">
        <v>0.64507946105051739</v>
      </c>
      <c r="CG740" s="244">
        <v>0</v>
      </c>
      <c r="CH740" s="244">
        <v>0.64507946105051739</v>
      </c>
      <c r="CI740" s="244">
        <v>3.1632681793552074E-2</v>
      </c>
      <c r="CJ740" s="244">
        <v>0</v>
      </c>
      <c r="CK740" s="244">
        <v>3.1632681793552074E-2</v>
      </c>
      <c r="CL740" s="244"/>
      <c r="CM740" s="244">
        <v>0</v>
      </c>
      <c r="CN740" s="244"/>
      <c r="CO740" s="244">
        <v>0</v>
      </c>
      <c r="CP740" s="244">
        <v>0</v>
      </c>
      <c r="CQ740" s="244">
        <v>0</v>
      </c>
      <c r="CR740" s="244">
        <v>0</v>
      </c>
      <c r="CS740" s="244">
        <v>0</v>
      </c>
      <c r="CT740" s="244">
        <v>0</v>
      </c>
      <c r="CU740" s="244">
        <v>0</v>
      </c>
      <c r="CV740" s="244">
        <v>9999</v>
      </c>
      <c r="CW740" s="228">
        <v>9999</v>
      </c>
    </row>
    <row r="741" spans="1:101">
      <c r="A741" s="221" t="s">
        <v>443</v>
      </c>
      <c r="C741" s="244">
        <v>10</v>
      </c>
      <c r="D741" s="244">
        <v>5.9399151802062988</v>
      </c>
      <c r="E741" s="244">
        <v>5.678586483001709</v>
      </c>
      <c r="F741" s="244">
        <v>3.2966773509979248</v>
      </c>
      <c r="G741" s="244">
        <v>0</v>
      </c>
      <c r="H741" s="244">
        <v>0</v>
      </c>
      <c r="I741" s="244"/>
      <c r="J741" s="244">
        <v>1</v>
      </c>
      <c r="K741" s="244">
        <v>0.63999998569488525</v>
      </c>
      <c r="L741" s="244">
        <v>6.4784445762634277</v>
      </c>
      <c r="M741" s="244">
        <v>4.7331102541647851E-4</v>
      </c>
      <c r="N741" s="244">
        <v>7.3954847175627947E-4</v>
      </c>
      <c r="O741" s="244">
        <v>5.7353725433349609</v>
      </c>
      <c r="P741" s="244">
        <v>1.7404621466994286E-2</v>
      </c>
      <c r="Q741" s="244">
        <v>5.4904170334339142E-2</v>
      </c>
      <c r="R741" s="244">
        <v>0.32778394222259521</v>
      </c>
      <c r="S741" s="244">
        <v>1.8114458322525024</v>
      </c>
      <c r="T741" s="244">
        <v>0</v>
      </c>
      <c r="U741" s="244">
        <v>3.6513762474060059</v>
      </c>
      <c r="V741" s="244">
        <v>0.32966774702072144</v>
      </c>
      <c r="W741" s="244">
        <v>0.32966774702072144</v>
      </c>
      <c r="X741" s="244">
        <v>0</v>
      </c>
      <c r="Y741" s="244">
        <v>0</v>
      </c>
      <c r="Z741" s="244">
        <v>0</v>
      </c>
      <c r="AA741" s="244">
        <v>0</v>
      </c>
      <c r="AB741" s="244">
        <v>0</v>
      </c>
      <c r="AC741" s="244">
        <v>0</v>
      </c>
      <c r="AD741" s="244">
        <v>0</v>
      </c>
      <c r="AE741" s="244">
        <v>0</v>
      </c>
      <c r="AF741" s="244">
        <v>0</v>
      </c>
      <c r="AG741" s="244">
        <v>0</v>
      </c>
      <c r="AH741" s="244">
        <v>0.65745168924331665</v>
      </c>
      <c r="AI741" s="244">
        <v>2.1411135196685791</v>
      </c>
      <c r="AJ741" s="244">
        <v>0</v>
      </c>
      <c r="AK741" s="244">
        <v>3.6513762474060059</v>
      </c>
      <c r="AL741" s="244">
        <v>6.4499416351318359</v>
      </c>
      <c r="AM741" s="244">
        <v>4.4886322021484375</v>
      </c>
      <c r="AN741" s="244">
        <v>0</v>
      </c>
      <c r="AO741" s="244">
        <v>0.79602706432342529</v>
      </c>
      <c r="AP741" s="244">
        <v>3.4716382026672363</v>
      </c>
      <c r="AQ741" s="244">
        <v>8.7562971115112305</v>
      </c>
      <c r="AR741" s="244">
        <v>0.65745168924331665</v>
      </c>
      <c r="AS741" s="228">
        <v>13.318541289652806</v>
      </c>
      <c r="AT741" s="244">
        <v>4.4886322021484375</v>
      </c>
      <c r="AU741" s="244">
        <v>0.21197745203971863</v>
      </c>
      <c r="AV741" s="244">
        <v>0.81722480058670044</v>
      </c>
      <c r="AW741" s="244">
        <v>3.4716382026672363</v>
      </c>
      <c r="AX741" s="244">
        <v>8.9894723892211914</v>
      </c>
      <c r="AY741" s="244">
        <v>2.1411135196685791</v>
      </c>
      <c r="AZ741" s="228">
        <v>4.1985034070417999</v>
      </c>
      <c r="BA741" s="244">
        <v>4.4886322021484375</v>
      </c>
      <c r="BB741" s="244">
        <v>0.21197745203971863</v>
      </c>
      <c r="BC741" s="244">
        <v>0.81722480058670044</v>
      </c>
      <c r="BD741" s="244">
        <v>3.4716382026672363</v>
      </c>
      <c r="BE741" s="244">
        <v>8.9894723892211914</v>
      </c>
      <c r="BF741" s="244">
        <v>2.7985653877258301</v>
      </c>
      <c r="BG741" s="244">
        <v>-21.084529876708984</v>
      </c>
      <c r="BH741" s="228">
        <v>3.2121718791312022</v>
      </c>
      <c r="BI741" s="244">
        <v>8.143254280090332</v>
      </c>
      <c r="BJ741" s="244">
        <v>26.520021438598633</v>
      </c>
      <c r="BK741" s="244">
        <v>0</v>
      </c>
      <c r="BL741" s="244">
        <v>45.226268768310547</v>
      </c>
      <c r="BM741" s="244">
        <v>79.889541625976563</v>
      </c>
      <c r="BN741" s="244">
        <v>4.4886322021484375</v>
      </c>
      <c r="BO741" s="244">
        <v>47.407844543457031</v>
      </c>
      <c r="BP741" s="244">
        <v>0.21197745203971863</v>
      </c>
      <c r="BQ741" s="244">
        <v>0</v>
      </c>
      <c r="BR741" s="244">
        <v>0</v>
      </c>
      <c r="BS741" s="244">
        <v>0</v>
      </c>
      <c r="BT741" s="244">
        <v>3.4716382026672363</v>
      </c>
      <c r="BU741" s="244">
        <v>0</v>
      </c>
      <c r="BV741" s="244">
        <v>184.18925476074219</v>
      </c>
      <c r="BW741" s="244">
        <v>0.81722480058670044</v>
      </c>
      <c r="BX741" s="244">
        <v>5.7906060218811035</v>
      </c>
      <c r="BY741" s="244">
        <v>0.65933549404144287</v>
      </c>
      <c r="BZ741" s="244">
        <v>0</v>
      </c>
      <c r="CA741" s="244">
        <v>0</v>
      </c>
      <c r="CB741" s="244">
        <v>240.58657836914062</v>
      </c>
      <c r="CC741" s="244">
        <v>6.4499416351318359</v>
      </c>
      <c r="CD741" s="228">
        <v>37.300581930506048</v>
      </c>
      <c r="CE741" s="244">
        <v>-2844.4404296875</v>
      </c>
      <c r="CF741" s="244">
        <v>4.9127652259810549E-2</v>
      </c>
      <c r="CG741" s="244">
        <v>0.53683086121075529</v>
      </c>
      <c r="CH741" s="244">
        <v>0.58595851347056582</v>
      </c>
      <c r="CI741" s="244">
        <v>2.4115027007223606E-3</v>
      </c>
      <c r="CJ741" s="244">
        <v>3.3551928825672206E-2</v>
      </c>
      <c r="CK741" s="244">
        <v>3.5963431526394564E-2</v>
      </c>
      <c r="CL741" s="244"/>
      <c r="CM741" s="244">
        <v>5.7353725433349609</v>
      </c>
      <c r="CN741" s="244"/>
      <c r="CO741" s="244">
        <v>0.28600001335144043</v>
      </c>
      <c r="CP741" s="244">
        <v>0.31700000166893005</v>
      </c>
      <c r="CQ741" s="244">
        <v>47.407844543457031</v>
      </c>
      <c r="CR741" s="244">
        <v>0</v>
      </c>
      <c r="CS741" s="244">
        <v>0</v>
      </c>
      <c r="CT741" s="244">
        <v>47.407844543457031</v>
      </c>
      <c r="CU741" s="244">
        <v>0</v>
      </c>
      <c r="CV741" s="244">
        <v>0</v>
      </c>
      <c r="CW741" s="228">
        <v>9999</v>
      </c>
    </row>
    <row r="742" spans="1:101">
      <c r="A742" s="221" t="s">
        <v>523</v>
      </c>
      <c r="C742" s="244">
        <v>9.9999990463256836</v>
      </c>
      <c r="D742" s="244">
        <v>78.143257141113281</v>
      </c>
      <c r="E742" s="244">
        <v>0</v>
      </c>
      <c r="F742" s="244">
        <v>3.2966773509979248</v>
      </c>
      <c r="G742" s="244">
        <v>0</v>
      </c>
      <c r="H742" s="244">
        <v>0</v>
      </c>
      <c r="I742" s="244"/>
      <c r="J742" s="244">
        <v>0.31782251596450806</v>
      </c>
      <c r="K742" s="244">
        <v>0.33139589428901672</v>
      </c>
      <c r="L742" s="244">
        <v>85.213829040527344</v>
      </c>
      <c r="M742" s="244">
        <v>1.0578891262412071E-2</v>
      </c>
      <c r="N742" s="244">
        <v>3.2930061221122742E-2</v>
      </c>
      <c r="O742" s="244">
        <v>0</v>
      </c>
      <c r="P742" s="244">
        <v>0</v>
      </c>
      <c r="Q742" s="244">
        <v>0</v>
      </c>
      <c r="R742" s="244">
        <v>0.32778394222259521</v>
      </c>
      <c r="S742" s="244">
        <v>1.8114458322525024</v>
      </c>
      <c r="T742" s="244">
        <v>0</v>
      </c>
      <c r="U742" s="244">
        <v>3.6513762474060059</v>
      </c>
      <c r="V742" s="244">
        <v>0.32966774702072144</v>
      </c>
      <c r="W742" s="244">
        <v>0.32966774702072144</v>
      </c>
      <c r="X742" s="244">
        <v>0</v>
      </c>
      <c r="Y742" s="244">
        <v>0</v>
      </c>
      <c r="Z742" s="244">
        <v>0</v>
      </c>
      <c r="AA742" s="244">
        <v>0</v>
      </c>
      <c r="AB742" s="244">
        <v>0</v>
      </c>
      <c r="AC742" s="244">
        <v>0</v>
      </c>
      <c r="AD742" s="244">
        <v>0</v>
      </c>
      <c r="AE742" s="244">
        <v>0</v>
      </c>
      <c r="AF742" s="244">
        <v>0</v>
      </c>
      <c r="AG742" s="244">
        <v>0</v>
      </c>
      <c r="AH742" s="244">
        <v>0.65745168924331665</v>
      </c>
      <c r="AI742" s="244">
        <v>2.1411135196685791</v>
      </c>
      <c r="AJ742" s="244">
        <v>0</v>
      </c>
      <c r="AK742" s="244">
        <v>3.6513762474060059</v>
      </c>
      <c r="AL742" s="244">
        <v>6.4499416351318359</v>
      </c>
      <c r="AM742" s="244">
        <v>60.014686584472656</v>
      </c>
      <c r="AN742" s="244">
        <v>0</v>
      </c>
      <c r="AO742" s="244">
        <v>10.567868232727051</v>
      </c>
      <c r="AP742" s="244">
        <v>45.663986206054687</v>
      </c>
      <c r="AQ742" s="244">
        <v>116.24654388427734</v>
      </c>
      <c r="AR742" s="244">
        <v>0.65745168924331665</v>
      </c>
      <c r="AS742" s="228">
        <v>176.81381449798457</v>
      </c>
      <c r="AT742" s="244">
        <v>60.014686584472656</v>
      </c>
      <c r="AU742" s="244">
        <v>9.4387760162353516</v>
      </c>
      <c r="AV742" s="244">
        <v>11.511745452880859</v>
      </c>
      <c r="AW742" s="244">
        <v>45.663986206054687</v>
      </c>
      <c r="AX742" s="244">
        <v>126.62919616699219</v>
      </c>
      <c r="AY742" s="244">
        <v>2.1411135196685791</v>
      </c>
      <c r="AZ742" s="228">
        <v>59.141745438196864</v>
      </c>
      <c r="BA742" s="244">
        <v>60.014686584472656</v>
      </c>
      <c r="BB742" s="244">
        <v>9.4387760162353516</v>
      </c>
      <c r="BC742" s="244">
        <v>11.511745452880859</v>
      </c>
      <c r="BD742" s="244">
        <v>45.663986206054687</v>
      </c>
      <c r="BE742" s="244">
        <v>126.62919616699219</v>
      </c>
      <c r="BF742" s="244">
        <v>2.7985653877258301</v>
      </c>
      <c r="BG742" s="244">
        <v>-60.093021392822266</v>
      </c>
      <c r="BH742" s="228">
        <v>45.247897443809478</v>
      </c>
      <c r="BI742" s="244">
        <v>0.61909699440002441</v>
      </c>
      <c r="BJ742" s="244">
        <v>2.0162043571472168</v>
      </c>
      <c r="BK742" s="244">
        <v>0</v>
      </c>
      <c r="BL742" s="244">
        <v>3.4383606910705566</v>
      </c>
      <c r="BM742" s="244">
        <v>6.0736618041992187</v>
      </c>
      <c r="BN742" s="244">
        <v>60.014686584472656</v>
      </c>
      <c r="BO742" s="244">
        <v>0</v>
      </c>
      <c r="BP742" s="244">
        <v>9.4387760162353516</v>
      </c>
      <c r="BQ742" s="244">
        <v>0</v>
      </c>
      <c r="BR742" s="244">
        <v>0</v>
      </c>
      <c r="BS742" s="244">
        <v>0</v>
      </c>
      <c r="BT742" s="244">
        <v>45.663986206054687</v>
      </c>
      <c r="BU742" s="244">
        <v>0</v>
      </c>
      <c r="BV742" s="244">
        <v>107.99705505371094</v>
      </c>
      <c r="BW742" s="244">
        <v>11.511745452880859</v>
      </c>
      <c r="BX742" s="244">
        <v>5.7906060218811035</v>
      </c>
      <c r="BY742" s="244">
        <v>0.65933549404144287</v>
      </c>
      <c r="BZ742" s="244">
        <v>0</v>
      </c>
      <c r="CA742" s="244">
        <v>0</v>
      </c>
      <c r="CB742" s="244">
        <v>234.62625122070312</v>
      </c>
      <c r="CC742" s="244">
        <v>6.4499416351318359</v>
      </c>
      <c r="CD742" s="228">
        <v>36.376492520769084</v>
      </c>
      <c r="CE742" s="244">
        <v>-158.35133361816406</v>
      </c>
      <c r="CF742" s="244">
        <v>0.64318828480154899</v>
      </c>
      <c r="CG742" s="244">
        <v>0</v>
      </c>
      <c r="CH742" s="244">
        <v>0.64318828480154899</v>
      </c>
      <c r="CI742" s="244">
        <v>3.1539867077748363E-2</v>
      </c>
      <c r="CJ742" s="244">
        <v>0</v>
      </c>
      <c r="CK742" s="244">
        <v>3.1539867077748363E-2</v>
      </c>
      <c r="CL742" s="244"/>
      <c r="CM742" s="244">
        <v>0</v>
      </c>
      <c r="CN742" s="244"/>
      <c r="CO742" s="244">
        <v>0</v>
      </c>
      <c r="CP742" s="244">
        <v>0</v>
      </c>
      <c r="CQ742" s="244">
        <v>0</v>
      </c>
      <c r="CR742" s="244">
        <v>0</v>
      </c>
      <c r="CS742" s="244">
        <v>0</v>
      </c>
      <c r="CT742" s="244">
        <v>0</v>
      </c>
      <c r="CU742" s="244">
        <v>0</v>
      </c>
      <c r="CV742" s="244">
        <v>9999</v>
      </c>
      <c r="CW742" s="228">
        <v>9999</v>
      </c>
    </row>
    <row r="743" spans="1:101">
      <c r="A743" s="221" t="s">
        <v>457</v>
      </c>
      <c r="C743" s="244">
        <v>10</v>
      </c>
      <c r="D743" s="244">
        <v>264.45169067382812</v>
      </c>
      <c r="E743" s="244">
        <v>0</v>
      </c>
      <c r="F743" s="244">
        <v>11.336667060852051</v>
      </c>
      <c r="G743" s="244">
        <v>0</v>
      </c>
      <c r="H743" s="244">
        <v>0</v>
      </c>
      <c r="I743" s="244"/>
      <c r="J743" s="244">
        <v>0.31757348775863647</v>
      </c>
      <c r="K743" s="244">
        <v>0.33128324151039124</v>
      </c>
      <c r="L743" s="244">
        <v>288.37982177734375</v>
      </c>
      <c r="M743" s="244">
        <v>3.5806357860565186E-2</v>
      </c>
      <c r="N743" s="244">
        <v>0.11147027462720871</v>
      </c>
      <c r="O743" s="244">
        <v>0</v>
      </c>
      <c r="P743" s="244">
        <v>0</v>
      </c>
      <c r="Q743" s="244">
        <v>0</v>
      </c>
      <c r="R743" s="244">
        <v>1.1271885633468628</v>
      </c>
      <c r="S743" s="244">
        <v>6.2292284965515137</v>
      </c>
      <c r="T743" s="244">
        <v>0</v>
      </c>
      <c r="U743" s="244">
        <v>12.556410789489746</v>
      </c>
      <c r="V743" s="244">
        <v>1.1336666345596313</v>
      </c>
      <c r="W743" s="244">
        <v>1.1336666345596313</v>
      </c>
      <c r="X743" s="244">
        <v>0</v>
      </c>
      <c r="Y743" s="244">
        <v>0</v>
      </c>
      <c r="Z743" s="244">
        <v>0</v>
      </c>
      <c r="AA743" s="244">
        <v>0</v>
      </c>
      <c r="AB743" s="244">
        <v>0</v>
      </c>
      <c r="AC743" s="244">
        <v>0</v>
      </c>
      <c r="AD743" s="244">
        <v>0</v>
      </c>
      <c r="AE743" s="244">
        <v>0</v>
      </c>
      <c r="AF743" s="244">
        <v>0</v>
      </c>
      <c r="AG743" s="244">
        <v>0</v>
      </c>
      <c r="AH743" s="244">
        <v>2.2608551979064941</v>
      </c>
      <c r="AI743" s="244">
        <v>7.3628950119018555</v>
      </c>
      <c r="AJ743" s="244">
        <v>0</v>
      </c>
      <c r="AK743" s="244">
        <v>12.556410789489746</v>
      </c>
      <c r="AL743" s="244">
        <v>22.18016242980957</v>
      </c>
      <c r="AM743" s="244">
        <v>203.10235595703125</v>
      </c>
      <c r="AN743" s="244">
        <v>0</v>
      </c>
      <c r="AO743" s="244">
        <v>35.763797760009766</v>
      </c>
      <c r="AP743" s="244">
        <v>154.53562927246094</v>
      </c>
      <c r="AQ743" s="244">
        <v>393.40179443359375</v>
      </c>
      <c r="AR743" s="244">
        <v>2.2608551979064941</v>
      </c>
      <c r="AS743" s="228">
        <v>174.00574055064826</v>
      </c>
      <c r="AT743" s="244">
        <v>203.10235595703125</v>
      </c>
      <c r="AU743" s="244">
        <v>31.950834274291992</v>
      </c>
      <c r="AV743" s="244">
        <v>38.958881378173828</v>
      </c>
      <c r="AW743" s="244">
        <v>154.53562927246094</v>
      </c>
      <c r="AX743" s="244">
        <v>428.54769897460937</v>
      </c>
      <c r="AY743" s="244">
        <v>7.3628950119018555</v>
      </c>
      <c r="AZ743" s="228">
        <v>58.203694776416739</v>
      </c>
      <c r="BA743" s="244">
        <v>203.10235595703125</v>
      </c>
      <c r="BB743" s="244">
        <v>31.950834274291992</v>
      </c>
      <c r="BC743" s="244">
        <v>38.958881378173828</v>
      </c>
      <c r="BD743" s="244">
        <v>154.53562927246094</v>
      </c>
      <c r="BE743" s="244">
        <v>428.54769897460937</v>
      </c>
      <c r="BF743" s="244">
        <v>9.6237506866455078</v>
      </c>
      <c r="BG743" s="244">
        <v>-60.053031921386719</v>
      </c>
      <c r="BH743" s="228">
        <v>44.530218078267907</v>
      </c>
      <c r="BI743" s="244">
        <v>0.62909001111984253</v>
      </c>
      <c r="BJ743" s="244">
        <v>2.0487484931945801</v>
      </c>
      <c r="BK743" s="244">
        <v>0</v>
      </c>
      <c r="BL743" s="244">
        <v>3.4938604831695557</v>
      </c>
      <c r="BM743" s="244">
        <v>6.1716995239257812</v>
      </c>
      <c r="BN743" s="244">
        <v>203.10235595703125</v>
      </c>
      <c r="BO743" s="244">
        <v>0</v>
      </c>
      <c r="BP743" s="244">
        <v>31.950834274291992</v>
      </c>
      <c r="BQ743" s="244">
        <v>0</v>
      </c>
      <c r="BR743" s="244">
        <v>0</v>
      </c>
      <c r="BS743" s="244">
        <v>0</v>
      </c>
      <c r="BT743" s="244">
        <v>154.53562927246094</v>
      </c>
      <c r="BU743" s="244">
        <v>0</v>
      </c>
      <c r="BV743" s="244">
        <v>362.62252807617187</v>
      </c>
      <c r="BW743" s="244">
        <v>38.958881378173828</v>
      </c>
      <c r="BX743" s="244">
        <v>19.91282844543457</v>
      </c>
      <c r="BY743" s="244">
        <v>2.2673332691192627</v>
      </c>
      <c r="BZ743" s="244">
        <v>0</v>
      </c>
      <c r="CA743" s="244">
        <v>0</v>
      </c>
      <c r="CB743" s="244">
        <v>791.17022705078125</v>
      </c>
      <c r="CC743" s="244">
        <v>22.18016242980957</v>
      </c>
      <c r="CD743" s="228">
        <v>35.670174056440359</v>
      </c>
      <c r="CE743" s="244">
        <v>-157.46002197265625</v>
      </c>
      <c r="CF743" s="244">
        <v>2.1766680947866481</v>
      </c>
      <c r="CG743" s="244">
        <v>0</v>
      </c>
      <c r="CH743" s="244">
        <v>2.1766680947866481</v>
      </c>
      <c r="CI743" s="244">
        <v>0.1067367028873841</v>
      </c>
      <c r="CJ743" s="244">
        <v>0</v>
      </c>
      <c r="CK743" s="244">
        <v>0.1067367028873841</v>
      </c>
      <c r="CL743" s="244"/>
      <c r="CM743" s="244">
        <v>0</v>
      </c>
      <c r="CN743" s="244"/>
      <c r="CO743" s="244">
        <v>0</v>
      </c>
      <c r="CP743" s="244">
        <v>0</v>
      </c>
      <c r="CQ743" s="244">
        <v>0</v>
      </c>
      <c r="CR743" s="244">
        <v>0</v>
      </c>
      <c r="CS743" s="244">
        <v>0</v>
      </c>
      <c r="CT743" s="244">
        <v>0</v>
      </c>
      <c r="CU743" s="244">
        <v>0</v>
      </c>
      <c r="CV743" s="244">
        <v>9999</v>
      </c>
      <c r="CW743" s="228">
        <v>9999</v>
      </c>
    </row>
    <row r="744" spans="1:101">
      <c r="A744" s="221" t="s">
        <v>499</v>
      </c>
      <c r="C744" s="244">
        <v>9.9999990463256836</v>
      </c>
      <c r="D744" s="244">
        <v>72.14892578125</v>
      </c>
      <c r="E744" s="244">
        <v>0</v>
      </c>
      <c r="F744" s="244">
        <v>3.2966773509979248</v>
      </c>
      <c r="G744" s="244">
        <v>0</v>
      </c>
      <c r="H744" s="244">
        <v>0</v>
      </c>
      <c r="I744" s="244"/>
      <c r="J744" s="244">
        <v>0.31946483254432678</v>
      </c>
      <c r="K744" s="244">
        <v>0.33213883638381958</v>
      </c>
      <c r="L744" s="244">
        <v>78.677146911621094</v>
      </c>
      <c r="M744" s="244">
        <v>9.7577143460512161E-3</v>
      </c>
      <c r="N744" s="244">
        <v>3.0352441594004631E-2</v>
      </c>
      <c r="O744" s="244">
        <v>0</v>
      </c>
      <c r="P744" s="244">
        <v>0</v>
      </c>
      <c r="Q744" s="244">
        <v>0</v>
      </c>
      <c r="R744" s="244">
        <v>0.32778394222259521</v>
      </c>
      <c r="S744" s="244">
        <v>1.8114458322525024</v>
      </c>
      <c r="T744" s="244">
        <v>0</v>
      </c>
      <c r="U744" s="244">
        <v>3.6513762474060059</v>
      </c>
      <c r="V744" s="244">
        <v>0.32966774702072144</v>
      </c>
      <c r="W744" s="244">
        <v>0.32966774702072144</v>
      </c>
      <c r="X744" s="244">
        <v>0</v>
      </c>
      <c r="Y744" s="244">
        <v>0</v>
      </c>
      <c r="Z744" s="244">
        <v>0</v>
      </c>
      <c r="AA744" s="244">
        <v>0</v>
      </c>
      <c r="AB744" s="244">
        <v>0</v>
      </c>
      <c r="AC744" s="244">
        <v>0</v>
      </c>
      <c r="AD744" s="244">
        <v>0</v>
      </c>
      <c r="AE744" s="244">
        <v>0</v>
      </c>
      <c r="AF744" s="244">
        <v>0</v>
      </c>
      <c r="AG744" s="244">
        <v>0</v>
      </c>
      <c r="AH744" s="244">
        <v>0.65745168924331665</v>
      </c>
      <c r="AI744" s="244">
        <v>2.1411135196685791</v>
      </c>
      <c r="AJ744" s="244">
        <v>0</v>
      </c>
      <c r="AK744" s="244">
        <v>3.6513762474060059</v>
      </c>
      <c r="AL744" s="244">
        <v>6.4499416351318359</v>
      </c>
      <c r="AM744" s="244">
        <v>55.408851623535156</v>
      </c>
      <c r="AN744" s="244">
        <v>0</v>
      </c>
      <c r="AO744" s="244">
        <v>9.7569990158081055</v>
      </c>
      <c r="AP744" s="244">
        <v>42.161140441894531</v>
      </c>
      <c r="AQ744" s="244">
        <v>107.32698822021484</v>
      </c>
      <c r="AR744" s="244">
        <v>0.65745168924331665</v>
      </c>
      <c r="AS744" s="228">
        <v>163.24696222891154</v>
      </c>
      <c r="AT744" s="244">
        <v>55.408851623535156</v>
      </c>
      <c r="AU744" s="244">
        <v>8.6999502182006836</v>
      </c>
      <c r="AV744" s="244">
        <v>10.626994132995605</v>
      </c>
      <c r="AW744" s="244">
        <v>42.161140441894531</v>
      </c>
      <c r="AX744" s="244">
        <v>116.89693450927734</v>
      </c>
      <c r="AY744" s="244">
        <v>2.1411135196685791</v>
      </c>
      <c r="AZ744" s="228">
        <v>54.596326672359567</v>
      </c>
      <c r="BA744" s="244">
        <v>55.408851623535156</v>
      </c>
      <c r="BB744" s="244">
        <v>8.6999502182006836</v>
      </c>
      <c r="BC744" s="244">
        <v>10.626994132995605</v>
      </c>
      <c r="BD744" s="244">
        <v>42.161140441894531</v>
      </c>
      <c r="BE744" s="244">
        <v>116.89693450927734</v>
      </c>
      <c r="BF744" s="244">
        <v>2.7985653877258301</v>
      </c>
      <c r="BG744" s="244">
        <v>-59.857265472412109</v>
      </c>
      <c r="BH744" s="228">
        <v>41.770309140794325</v>
      </c>
      <c r="BI744" s="244">
        <v>0.67053300142288208</v>
      </c>
      <c r="BJ744" s="244">
        <v>2.1837153434753418</v>
      </c>
      <c r="BK744" s="244">
        <v>0</v>
      </c>
      <c r="BL744" s="244">
        <v>3.7240276336669922</v>
      </c>
      <c r="BM744" s="244">
        <v>6.5782761573791504</v>
      </c>
      <c r="BN744" s="244">
        <v>55.408851623535156</v>
      </c>
      <c r="BO744" s="244">
        <v>0</v>
      </c>
      <c r="BP744" s="244">
        <v>8.6999502182006836</v>
      </c>
      <c r="BQ744" s="244">
        <v>0</v>
      </c>
      <c r="BR744" s="244">
        <v>0</v>
      </c>
      <c r="BS744" s="244">
        <v>0</v>
      </c>
      <c r="BT744" s="244">
        <v>42.161140441894531</v>
      </c>
      <c r="BU744" s="244">
        <v>0</v>
      </c>
      <c r="BV744" s="244">
        <v>104.85858917236328</v>
      </c>
      <c r="BW744" s="244">
        <v>10.626994132995605</v>
      </c>
      <c r="BX744" s="244">
        <v>5.7906060218811035</v>
      </c>
      <c r="BY744" s="244">
        <v>0.65933549404144287</v>
      </c>
      <c r="BZ744" s="244">
        <v>0</v>
      </c>
      <c r="CA744" s="244">
        <v>0</v>
      </c>
      <c r="CB744" s="244">
        <v>221.75552368164062</v>
      </c>
      <c r="CC744" s="244">
        <v>6.4499416351318359</v>
      </c>
      <c r="CD744" s="228">
        <v>34.3810133846262</v>
      </c>
      <c r="CE744" s="244">
        <v>-163.07820129394531</v>
      </c>
      <c r="CF744" s="244">
        <v>0.59385657240219203</v>
      </c>
      <c r="CG744" s="244">
        <v>0</v>
      </c>
      <c r="CH744" s="244">
        <v>0.59385657240219203</v>
      </c>
      <c r="CI744" s="244">
        <v>2.9120871334542272E-2</v>
      </c>
      <c r="CJ744" s="244">
        <v>0</v>
      </c>
      <c r="CK744" s="244">
        <v>2.9120871334542272E-2</v>
      </c>
      <c r="CL744" s="244"/>
      <c r="CM744" s="244">
        <v>0</v>
      </c>
      <c r="CN744" s="244"/>
      <c r="CO744" s="244">
        <v>0</v>
      </c>
      <c r="CP744" s="244">
        <v>0</v>
      </c>
      <c r="CQ744" s="244">
        <v>0</v>
      </c>
      <c r="CR744" s="244">
        <v>0</v>
      </c>
      <c r="CS744" s="244">
        <v>0</v>
      </c>
      <c r="CT744" s="244">
        <v>0</v>
      </c>
      <c r="CU744" s="244">
        <v>0</v>
      </c>
      <c r="CV744" s="244">
        <v>9999</v>
      </c>
      <c r="CW744" s="228">
        <v>9999</v>
      </c>
    </row>
    <row r="745" spans="1:101">
      <c r="A745" s="221" t="s">
        <v>554</v>
      </c>
      <c r="C745" s="244">
        <v>9.9999990463256836</v>
      </c>
      <c r="D745" s="244">
        <v>5.4080638885498047</v>
      </c>
      <c r="E745" s="244">
        <v>4.9045734405517578</v>
      </c>
      <c r="F745" s="244">
        <v>3.2966773509979248</v>
      </c>
      <c r="G745" s="244">
        <v>0</v>
      </c>
      <c r="H745" s="244">
        <v>0</v>
      </c>
      <c r="I745" s="244"/>
      <c r="J745" s="244">
        <v>1</v>
      </c>
      <c r="K745" s="244">
        <v>0.63999998569488525</v>
      </c>
      <c r="L745" s="244">
        <v>5.898374080657959</v>
      </c>
      <c r="M745" s="244">
        <v>4.3093139538541436E-4</v>
      </c>
      <c r="N745" s="244">
        <v>6.7333033075556159E-4</v>
      </c>
      <c r="O745" s="244">
        <v>4.9536194801330566</v>
      </c>
      <c r="P745" s="244">
        <v>1.5032306313514709E-2</v>
      </c>
      <c r="Q745" s="244">
        <v>4.7420524060726166E-2</v>
      </c>
      <c r="R745" s="244">
        <v>0.32778394222259521</v>
      </c>
      <c r="S745" s="244">
        <v>1.8114458322525024</v>
      </c>
      <c r="T745" s="244">
        <v>0</v>
      </c>
      <c r="U745" s="244">
        <v>3.6513762474060059</v>
      </c>
      <c r="V745" s="244">
        <v>0.32966774702072144</v>
      </c>
      <c r="W745" s="244">
        <v>0.32966774702072144</v>
      </c>
      <c r="X745" s="244">
        <v>0</v>
      </c>
      <c r="Y745" s="244">
        <v>0</v>
      </c>
      <c r="Z745" s="244">
        <v>0</v>
      </c>
      <c r="AA745" s="244">
        <v>0</v>
      </c>
      <c r="AB745" s="244">
        <v>0</v>
      </c>
      <c r="AC745" s="244">
        <v>0</v>
      </c>
      <c r="AD745" s="244">
        <v>0</v>
      </c>
      <c r="AE745" s="244">
        <v>0</v>
      </c>
      <c r="AF745" s="244">
        <v>0</v>
      </c>
      <c r="AG745" s="244">
        <v>0</v>
      </c>
      <c r="AH745" s="244">
        <v>0.65745168924331665</v>
      </c>
      <c r="AI745" s="244">
        <v>2.1411135196685791</v>
      </c>
      <c r="AJ745" s="244">
        <v>0</v>
      </c>
      <c r="AK745" s="244">
        <v>3.6513762474060059</v>
      </c>
      <c r="AL745" s="244">
        <v>6.4499416351318359</v>
      </c>
      <c r="AM745" s="244">
        <v>4.0867266654968262</v>
      </c>
      <c r="AN745" s="244">
        <v>0</v>
      </c>
      <c r="AO745" s="244">
        <v>0.72475194931030273</v>
      </c>
      <c r="AP745" s="244">
        <v>3.1607925891876221</v>
      </c>
      <c r="AQ745" s="244">
        <v>7.9722709655761719</v>
      </c>
      <c r="AR745" s="244">
        <v>0.65745168924331665</v>
      </c>
      <c r="AS745" s="228">
        <v>12.126018283062452</v>
      </c>
      <c r="AT745" s="244">
        <v>4.0867266654968262</v>
      </c>
      <c r="AU745" s="244">
        <v>0.19299733638763428</v>
      </c>
      <c r="AV745" s="244">
        <v>0.74405169486999512</v>
      </c>
      <c r="AW745" s="244">
        <v>3.1607925891876221</v>
      </c>
      <c r="AX745" s="244">
        <v>8.1845684051513672</v>
      </c>
      <c r="AY745" s="244">
        <v>2.1411135196685791</v>
      </c>
      <c r="AZ745" s="228">
        <v>3.8225754883681762</v>
      </c>
      <c r="BA745" s="244">
        <v>4.0867266654968262</v>
      </c>
      <c r="BB745" s="244">
        <v>0.19299733638763428</v>
      </c>
      <c r="BC745" s="244">
        <v>0.74405169486999512</v>
      </c>
      <c r="BD745" s="244">
        <v>3.1607925891876221</v>
      </c>
      <c r="BE745" s="244">
        <v>8.1845684051513672</v>
      </c>
      <c r="BF745" s="244">
        <v>2.7985653877258301</v>
      </c>
      <c r="BG745" s="244">
        <v>-17.67559814453125</v>
      </c>
      <c r="BH745" s="228">
        <v>2.9245586579728196</v>
      </c>
      <c r="BI745" s="244">
        <v>8.9440956115722656</v>
      </c>
      <c r="BJ745" s="244">
        <v>29.128108978271484</v>
      </c>
      <c r="BK745" s="244">
        <v>0</v>
      </c>
      <c r="BL745" s="244">
        <v>49.674003601074219</v>
      </c>
      <c r="BM745" s="244">
        <v>87.746208190917969</v>
      </c>
      <c r="BN745" s="244">
        <v>4.0867266654968262</v>
      </c>
      <c r="BO745" s="244">
        <v>40.945972442626953</v>
      </c>
      <c r="BP745" s="244">
        <v>0.19299733638763428</v>
      </c>
      <c r="BQ745" s="244">
        <v>0</v>
      </c>
      <c r="BR745" s="244">
        <v>0</v>
      </c>
      <c r="BS745" s="244">
        <v>0</v>
      </c>
      <c r="BT745" s="244">
        <v>3.1607925891876221</v>
      </c>
      <c r="BU745" s="244">
        <v>0</v>
      </c>
      <c r="BV745" s="244">
        <v>167.69723510742187</v>
      </c>
      <c r="BW745" s="244">
        <v>0.74405169486999512</v>
      </c>
      <c r="BX745" s="244">
        <v>5.7906060218811035</v>
      </c>
      <c r="BY745" s="244">
        <v>0.65933549404144287</v>
      </c>
      <c r="BZ745" s="244">
        <v>0</v>
      </c>
      <c r="CA745" s="244">
        <v>0</v>
      </c>
      <c r="CB745" s="244">
        <v>216.82777404785156</v>
      </c>
      <c r="CC745" s="244">
        <v>6.4499416351318359</v>
      </c>
      <c r="CD745" s="228">
        <v>33.617014247450527</v>
      </c>
      <c r="CE745" s="244">
        <v>-2806.4228515625</v>
      </c>
      <c r="CF745" s="244">
        <v>4.4728834005578096E-2</v>
      </c>
      <c r="CG745" s="244">
        <v>0.46365876650601395</v>
      </c>
      <c r="CH745" s="244">
        <v>0.50838760051159204</v>
      </c>
      <c r="CI745" s="244">
        <v>2.1955802698280492E-3</v>
      </c>
      <c r="CJ745" s="244">
        <v>2.8978672906625931E-2</v>
      </c>
      <c r="CK745" s="244">
        <v>3.1174253176453979E-2</v>
      </c>
      <c r="CL745" s="244"/>
      <c r="CM745" s="244">
        <v>4.9536194801330566</v>
      </c>
      <c r="CN745" s="244"/>
      <c r="CO745" s="244">
        <v>0.28600001335144043</v>
      </c>
      <c r="CP745" s="244">
        <v>0.31700000166893005</v>
      </c>
      <c r="CQ745" s="244">
        <v>40.945972442626953</v>
      </c>
      <c r="CR745" s="244">
        <v>0</v>
      </c>
      <c r="CS745" s="244">
        <v>0</v>
      </c>
      <c r="CT745" s="244">
        <v>40.945972442626953</v>
      </c>
      <c r="CU745" s="244">
        <v>0</v>
      </c>
      <c r="CV745" s="244">
        <v>0</v>
      </c>
      <c r="CW745" s="228">
        <v>9999</v>
      </c>
    </row>
    <row r="746" spans="1:101">
      <c r="A746" s="221" t="s">
        <v>530</v>
      </c>
      <c r="C746" s="244">
        <v>10</v>
      </c>
      <c r="D746" s="244">
        <v>5.3330287933349609</v>
      </c>
      <c r="E746" s="244">
        <v>5.1404876708984375</v>
      </c>
      <c r="F746" s="244">
        <v>3.2966773509979248</v>
      </c>
      <c r="G746" s="244">
        <v>0</v>
      </c>
      <c r="H746" s="244">
        <v>0</v>
      </c>
      <c r="I746" s="244"/>
      <c r="J746" s="244">
        <v>1</v>
      </c>
      <c r="K746" s="244">
        <v>0.63999998569488525</v>
      </c>
      <c r="L746" s="244">
        <v>5.8165359497070313</v>
      </c>
      <c r="M746" s="244">
        <v>4.2495239176787436E-4</v>
      </c>
      <c r="N746" s="244">
        <v>6.639881175942719E-4</v>
      </c>
      <c r="O746" s="244">
        <v>5.1918926239013672</v>
      </c>
      <c r="P746" s="244">
        <v>1.5755372121930122E-2</v>
      </c>
      <c r="Q746" s="244">
        <v>4.9701489508152008E-2</v>
      </c>
      <c r="R746" s="244">
        <v>0.32778394222259521</v>
      </c>
      <c r="S746" s="244">
        <v>1.8114458322525024</v>
      </c>
      <c r="T746" s="244">
        <v>0</v>
      </c>
      <c r="U746" s="244">
        <v>3.6513762474060059</v>
      </c>
      <c r="V746" s="244">
        <v>0.32966774702072144</v>
      </c>
      <c r="W746" s="244">
        <v>0.32966774702072144</v>
      </c>
      <c r="X746" s="244">
        <v>0</v>
      </c>
      <c r="Y746" s="244">
        <v>0</v>
      </c>
      <c r="Z746" s="244">
        <v>0</v>
      </c>
      <c r="AA746" s="244">
        <v>0</v>
      </c>
      <c r="AB746" s="244">
        <v>0</v>
      </c>
      <c r="AC746" s="244">
        <v>0</v>
      </c>
      <c r="AD746" s="244">
        <v>0</v>
      </c>
      <c r="AE746" s="244">
        <v>0</v>
      </c>
      <c r="AF746" s="244">
        <v>0</v>
      </c>
      <c r="AG746" s="244">
        <v>0</v>
      </c>
      <c r="AH746" s="244">
        <v>0.65745168924331665</v>
      </c>
      <c r="AI746" s="244">
        <v>2.1411135196685791</v>
      </c>
      <c r="AJ746" s="244">
        <v>0</v>
      </c>
      <c r="AK746" s="244">
        <v>3.6513762474060059</v>
      </c>
      <c r="AL746" s="244">
        <v>6.4499416351318359</v>
      </c>
      <c r="AM746" s="244">
        <v>4.0300250053405762</v>
      </c>
      <c r="AN746" s="244">
        <v>0</v>
      </c>
      <c r="AO746" s="244">
        <v>0.71469628810882568</v>
      </c>
      <c r="AP746" s="244">
        <v>3.1169378757476807</v>
      </c>
      <c r="AQ746" s="244">
        <v>7.861659049987793</v>
      </c>
      <c r="AR746" s="244">
        <v>0.65745168924331665</v>
      </c>
      <c r="AS746" s="228">
        <v>11.957774689491378</v>
      </c>
      <c r="AT746" s="244">
        <v>4.0300250053405762</v>
      </c>
      <c r="AU746" s="244">
        <v>0.19031953811645508</v>
      </c>
      <c r="AV746" s="244">
        <v>0.73372822999954224</v>
      </c>
      <c r="AW746" s="244">
        <v>3.1169378757476807</v>
      </c>
      <c r="AX746" s="244">
        <v>8.0710105895996094</v>
      </c>
      <c r="AY746" s="244">
        <v>2.1411135196685791</v>
      </c>
      <c r="AZ746" s="228">
        <v>3.7695387705419461</v>
      </c>
      <c r="BA746" s="244">
        <v>4.0300250053405762</v>
      </c>
      <c r="BB746" s="244">
        <v>0.19031953811645508</v>
      </c>
      <c r="BC746" s="244">
        <v>0.73372822999954224</v>
      </c>
      <c r="BD746" s="244">
        <v>3.1169378757476807</v>
      </c>
      <c r="BE746" s="244">
        <v>8.0710105895996094</v>
      </c>
      <c r="BF746" s="244">
        <v>2.7985653877258301</v>
      </c>
      <c r="BG746" s="244">
        <v>-17.139930725097656</v>
      </c>
      <c r="BH746" s="228">
        <v>2.8839815672701907</v>
      </c>
      <c r="BI746" s="244">
        <v>9.0699386596679687</v>
      </c>
      <c r="BJ746" s="244">
        <v>29.537940979003906</v>
      </c>
      <c r="BK746" s="244">
        <v>0</v>
      </c>
      <c r="BL746" s="244">
        <v>50.372917175292969</v>
      </c>
      <c r="BM746" s="244">
        <v>88.980796813964844</v>
      </c>
      <c r="BN746" s="244">
        <v>4.0300250053405762</v>
      </c>
      <c r="BO746" s="244">
        <v>42.915508270263672</v>
      </c>
      <c r="BP746" s="244">
        <v>0.19031953811645508</v>
      </c>
      <c r="BQ746" s="244">
        <v>0</v>
      </c>
      <c r="BR746" s="244">
        <v>0</v>
      </c>
      <c r="BS746" s="244">
        <v>0</v>
      </c>
      <c r="BT746" s="244">
        <v>3.1169378757476807</v>
      </c>
      <c r="BU746" s="244">
        <v>0</v>
      </c>
      <c r="BV746" s="244">
        <v>165.37046813964844</v>
      </c>
      <c r="BW746" s="244">
        <v>0.73372822999954224</v>
      </c>
      <c r="BX746" s="244">
        <v>5.7906060218811035</v>
      </c>
      <c r="BY746" s="244">
        <v>0.65933549404144287</v>
      </c>
      <c r="BZ746" s="244">
        <v>0</v>
      </c>
      <c r="CA746" s="244">
        <v>0</v>
      </c>
      <c r="CB746" s="244">
        <v>216.35699462890625</v>
      </c>
      <c r="CC746" s="244">
        <v>6.4499416351318359</v>
      </c>
      <c r="CD746" s="228">
        <v>33.544023077575218</v>
      </c>
      <c r="CE746" s="244">
        <v>-2840.196533203125</v>
      </c>
      <c r="CF746" s="244">
        <v>4.4108237246286958E-2</v>
      </c>
      <c r="CG746" s="244">
        <v>0.48596114313554573</v>
      </c>
      <c r="CH746" s="244">
        <v>0.53006938038183271</v>
      </c>
      <c r="CI746" s="244">
        <v>2.165117369765668E-3</v>
      </c>
      <c r="CJ746" s="244">
        <v>3.0372571445971868E-2</v>
      </c>
      <c r="CK746" s="244">
        <v>3.2537688815737535E-2</v>
      </c>
      <c r="CL746" s="244"/>
      <c r="CM746" s="244">
        <v>5.1918926239013672</v>
      </c>
      <c r="CN746" s="244"/>
      <c r="CO746" s="244">
        <v>0.28600001335144043</v>
      </c>
      <c r="CP746" s="244">
        <v>0.31700000166893005</v>
      </c>
      <c r="CQ746" s="244">
        <v>42.915508270263672</v>
      </c>
      <c r="CR746" s="244">
        <v>0</v>
      </c>
      <c r="CS746" s="244">
        <v>0</v>
      </c>
      <c r="CT746" s="244">
        <v>42.915508270263672</v>
      </c>
      <c r="CU746" s="244">
        <v>0</v>
      </c>
      <c r="CV746" s="244">
        <v>0</v>
      </c>
      <c r="CW746" s="228">
        <v>9999</v>
      </c>
    </row>
    <row r="747" spans="1:101">
      <c r="A747" s="221" t="s">
        <v>496</v>
      </c>
      <c r="C747" s="244">
        <v>10.000000953674316</v>
      </c>
      <c r="D747" s="244">
        <v>71.938240051269531</v>
      </c>
      <c r="E747" s="244">
        <v>0</v>
      </c>
      <c r="F747" s="244">
        <v>3.2966773509979248</v>
      </c>
      <c r="G747" s="244">
        <v>0</v>
      </c>
      <c r="H747" s="244">
        <v>0</v>
      </c>
      <c r="I747" s="244"/>
      <c r="J747" s="244">
        <v>0.31782257556915283</v>
      </c>
      <c r="K747" s="244">
        <v>0.33139592409133911</v>
      </c>
      <c r="L747" s="244">
        <v>78.447372436523438</v>
      </c>
      <c r="M747" s="244">
        <v>9.7388671711087227E-3</v>
      </c>
      <c r="N747" s="244">
        <v>3.0315231531858444E-2</v>
      </c>
      <c r="O747" s="244">
        <v>0</v>
      </c>
      <c r="P747" s="244">
        <v>0</v>
      </c>
      <c r="Q747" s="244">
        <v>0</v>
      </c>
      <c r="R747" s="244">
        <v>0.32778394222259521</v>
      </c>
      <c r="S747" s="244">
        <v>1.8114458322525024</v>
      </c>
      <c r="T747" s="244">
        <v>0</v>
      </c>
      <c r="U747" s="244">
        <v>3.6513762474060059</v>
      </c>
      <c r="V747" s="244">
        <v>0.32966774702072144</v>
      </c>
      <c r="W747" s="244">
        <v>0.32966774702072144</v>
      </c>
      <c r="X747" s="244">
        <v>0</v>
      </c>
      <c r="Y747" s="244">
        <v>0</v>
      </c>
      <c r="Z747" s="244">
        <v>0</v>
      </c>
      <c r="AA747" s="244">
        <v>0</v>
      </c>
      <c r="AB747" s="244">
        <v>0</v>
      </c>
      <c r="AC747" s="244">
        <v>0</v>
      </c>
      <c r="AD747" s="244">
        <v>0</v>
      </c>
      <c r="AE747" s="244">
        <v>0</v>
      </c>
      <c r="AF747" s="244">
        <v>0</v>
      </c>
      <c r="AG747" s="244">
        <v>0</v>
      </c>
      <c r="AH747" s="244">
        <v>0.65745168924331665</v>
      </c>
      <c r="AI747" s="244">
        <v>2.1411135196685791</v>
      </c>
      <c r="AJ747" s="244">
        <v>0</v>
      </c>
      <c r="AK747" s="244">
        <v>3.6513762474060059</v>
      </c>
      <c r="AL747" s="244">
        <v>6.4499416351318359</v>
      </c>
      <c r="AM747" s="244">
        <v>55.249191284179688</v>
      </c>
      <c r="AN747" s="244">
        <v>0</v>
      </c>
      <c r="AO747" s="244">
        <v>9.7287197113037109</v>
      </c>
      <c r="AP747" s="244">
        <v>42.038005828857422</v>
      </c>
      <c r="AQ747" s="244">
        <v>107.01591491699219</v>
      </c>
      <c r="AR747" s="244">
        <v>0.65745168924331665</v>
      </c>
      <c r="AS747" s="228">
        <v>162.77381072289745</v>
      </c>
      <c r="AT747" s="244">
        <v>55.249191284179688</v>
      </c>
      <c r="AU747" s="244">
        <v>8.6892824172973633</v>
      </c>
      <c r="AV747" s="244">
        <v>10.597648620605469</v>
      </c>
      <c r="AW747" s="244">
        <v>42.038005828857422</v>
      </c>
      <c r="AX747" s="244">
        <v>116.57412719726562</v>
      </c>
      <c r="AY747" s="244">
        <v>2.1411135196685791</v>
      </c>
      <c r="AZ747" s="228">
        <v>54.445560141891058</v>
      </c>
      <c r="BA747" s="244">
        <v>55.249191284179688</v>
      </c>
      <c r="BB747" s="244">
        <v>8.6892824172973633</v>
      </c>
      <c r="BC747" s="244">
        <v>10.597648620605469</v>
      </c>
      <c r="BD747" s="244">
        <v>42.038005828857422</v>
      </c>
      <c r="BE747" s="244">
        <v>116.57412719726562</v>
      </c>
      <c r="BF747" s="244">
        <v>2.7985653877258301</v>
      </c>
      <c r="BG747" s="244">
        <v>-59.865707397460938</v>
      </c>
      <c r="BH747" s="228">
        <v>41.654961369806962</v>
      </c>
      <c r="BI747" s="244">
        <v>0.6724969744682312</v>
      </c>
      <c r="BJ747" s="244">
        <v>2.1901113986968994</v>
      </c>
      <c r="BK747" s="244">
        <v>0</v>
      </c>
      <c r="BL747" s="244">
        <v>3.7349352836608887</v>
      </c>
      <c r="BM747" s="244">
        <v>6.5975437164306641</v>
      </c>
      <c r="BN747" s="244">
        <v>55.249191284179688</v>
      </c>
      <c r="BO747" s="244">
        <v>0</v>
      </c>
      <c r="BP747" s="244">
        <v>8.6892824172973633</v>
      </c>
      <c r="BQ747" s="244">
        <v>0</v>
      </c>
      <c r="BR747" s="244">
        <v>0</v>
      </c>
      <c r="BS747" s="244">
        <v>0</v>
      </c>
      <c r="BT747" s="244">
        <v>42.038005828857422</v>
      </c>
      <c r="BU747" s="244">
        <v>0</v>
      </c>
      <c r="BV747" s="244">
        <v>99.421493530273438</v>
      </c>
      <c r="BW747" s="244">
        <v>10.597648620605469</v>
      </c>
      <c r="BX747" s="244">
        <v>5.7906060218811035</v>
      </c>
      <c r="BY747" s="244">
        <v>0.65933549404144287</v>
      </c>
      <c r="BZ747" s="244">
        <v>0</v>
      </c>
      <c r="CA747" s="244">
        <v>0</v>
      </c>
      <c r="CB747" s="244">
        <v>215.99562072753906</v>
      </c>
      <c r="CC747" s="244">
        <v>6.4499416351318359</v>
      </c>
      <c r="CD747" s="228">
        <v>33.487996929584433</v>
      </c>
      <c r="CE747" s="244">
        <v>-157.82745361328125</v>
      </c>
      <c r="CF747" s="244">
        <v>0.59211556604121995</v>
      </c>
      <c r="CG747" s="244">
        <v>0</v>
      </c>
      <c r="CH747" s="244">
        <v>0.59211556604121995</v>
      </c>
      <c r="CI747" s="244">
        <v>2.9035426622187107E-2</v>
      </c>
      <c r="CJ747" s="244">
        <v>0</v>
      </c>
      <c r="CK747" s="244">
        <v>2.9035426622187107E-2</v>
      </c>
      <c r="CL747" s="244"/>
      <c r="CM747" s="244">
        <v>0</v>
      </c>
      <c r="CN747" s="244"/>
      <c r="CO747" s="244">
        <v>0</v>
      </c>
      <c r="CP747" s="244">
        <v>0</v>
      </c>
      <c r="CQ747" s="244">
        <v>0</v>
      </c>
      <c r="CR747" s="244">
        <v>0</v>
      </c>
      <c r="CS747" s="244">
        <v>0</v>
      </c>
      <c r="CT747" s="244">
        <v>0</v>
      </c>
      <c r="CU747" s="244">
        <v>0</v>
      </c>
      <c r="CV747" s="244">
        <v>9999</v>
      </c>
      <c r="CW747" s="228">
        <v>9999</v>
      </c>
    </row>
    <row r="748" spans="1:101">
      <c r="A748" s="221" t="s">
        <v>474</v>
      </c>
      <c r="C748" s="244">
        <v>9.9999990463256836</v>
      </c>
      <c r="D748" s="244">
        <v>31.545108795166016</v>
      </c>
      <c r="E748" s="244">
        <v>2.8878805637359619</v>
      </c>
      <c r="F748" s="244">
        <v>3.2966773509979248</v>
      </c>
      <c r="G748" s="244">
        <v>0</v>
      </c>
      <c r="H748" s="244">
        <v>0</v>
      </c>
      <c r="I748" s="244"/>
      <c r="J748" s="244">
        <v>0.38816189765930176</v>
      </c>
      <c r="K748" s="244">
        <v>0.36321607232093811</v>
      </c>
      <c r="L748" s="244">
        <v>34.399967193603516</v>
      </c>
      <c r="M748" s="244">
        <v>4.0893638506531715E-3</v>
      </c>
      <c r="N748" s="244">
        <v>1.232760027050972E-2</v>
      </c>
      <c r="O748" s="244">
        <v>2.9167594909667969</v>
      </c>
      <c r="P748" s="244">
        <v>8.8512292131781578E-3</v>
      </c>
      <c r="Q748" s="244">
        <v>2.7921859174966812E-2</v>
      </c>
      <c r="R748" s="244">
        <v>0.32778394222259521</v>
      </c>
      <c r="S748" s="244">
        <v>1.8114458322525024</v>
      </c>
      <c r="T748" s="244">
        <v>0</v>
      </c>
      <c r="U748" s="244">
        <v>3.6513762474060059</v>
      </c>
      <c r="V748" s="244">
        <v>0.32966774702072144</v>
      </c>
      <c r="W748" s="244">
        <v>0.32966774702072144</v>
      </c>
      <c r="X748" s="244">
        <v>0</v>
      </c>
      <c r="Y748" s="244">
        <v>0</v>
      </c>
      <c r="Z748" s="244">
        <v>0</v>
      </c>
      <c r="AA748" s="244">
        <v>0</v>
      </c>
      <c r="AB748" s="244">
        <v>0</v>
      </c>
      <c r="AC748" s="244">
        <v>0</v>
      </c>
      <c r="AD748" s="244">
        <v>0</v>
      </c>
      <c r="AE748" s="244">
        <v>0</v>
      </c>
      <c r="AF748" s="244">
        <v>0</v>
      </c>
      <c r="AG748" s="244">
        <v>0</v>
      </c>
      <c r="AH748" s="244">
        <v>0.65745168924331665</v>
      </c>
      <c r="AI748" s="244">
        <v>2.1411135196685791</v>
      </c>
      <c r="AJ748" s="244">
        <v>0</v>
      </c>
      <c r="AK748" s="244">
        <v>3.6513762474060059</v>
      </c>
      <c r="AL748" s="244">
        <v>6.4499416351318359</v>
      </c>
      <c r="AM748" s="244">
        <v>24.186790466308594</v>
      </c>
      <c r="AN748" s="244">
        <v>0</v>
      </c>
      <c r="AO748" s="244">
        <v>4.2620882987976074</v>
      </c>
      <c r="AP748" s="244">
        <v>18.434089660644531</v>
      </c>
      <c r="AQ748" s="244">
        <v>46.882968902587891</v>
      </c>
      <c r="AR748" s="244">
        <v>0.65745168924331665</v>
      </c>
      <c r="AS748" s="228">
        <v>71.310134558647079</v>
      </c>
      <c r="AT748" s="244">
        <v>24.186790466308594</v>
      </c>
      <c r="AU748" s="244">
        <v>3.5334715843200684</v>
      </c>
      <c r="AV748" s="244">
        <v>4.6154351234436035</v>
      </c>
      <c r="AW748" s="244">
        <v>18.434089660644531</v>
      </c>
      <c r="AX748" s="244">
        <v>50.769786834716797</v>
      </c>
      <c r="AY748" s="244">
        <v>2.1411135196685791</v>
      </c>
      <c r="AZ748" s="228">
        <v>23.711860653347504</v>
      </c>
      <c r="BA748" s="244">
        <v>24.186790466308594</v>
      </c>
      <c r="BB748" s="244">
        <v>3.5334715843200684</v>
      </c>
      <c r="BC748" s="244">
        <v>4.6154351234436035</v>
      </c>
      <c r="BD748" s="244">
        <v>18.434089660644531</v>
      </c>
      <c r="BE748" s="244">
        <v>50.769786834716797</v>
      </c>
      <c r="BF748" s="244">
        <v>2.7985653877258301</v>
      </c>
      <c r="BG748" s="244">
        <v>-55.48040771484375</v>
      </c>
      <c r="BH748" s="228">
        <v>18.141362435198367</v>
      </c>
      <c r="BI748" s="244">
        <v>1.533595085144043</v>
      </c>
      <c r="BJ748" s="244">
        <v>4.9944372177124023</v>
      </c>
      <c r="BK748" s="244">
        <v>0</v>
      </c>
      <c r="BL748" s="244">
        <v>8.517329216003418</v>
      </c>
      <c r="BM748" s="244">
        <v>15.04536247253418</v>
      </c>
      <c r="BN748" s="244">
        <v>24.186790466308594</v>
      </c>
      <c r="BO748" s="244">
        <v>24.109554290771484</v>
      </c>
      <c r="BP748" s="244">
        <v>3.5334715843200684</v>
      </c>
      <c r="BQ748" s="244">
        <v>0</v>
      </c>
      <c r="BR748" s="244">
        <v>0</v>
      </c>
      <c r="BS748" s="244">
        <v>0</v>
      </c>
      <c r="BT748" s="244">
        <v>18.434089660644531</v>
      </c>
      <c r="BU748" s="244">
        <v>0</v>
      </c>
      <c r="BV748" s="244">
        <v>139.96092224121094</v>
      </c>
      <c r="BW748" s="244">
        <v>4.6154351234436035</v>
      </c>
      <c r="BX748" s="244">
        <v>5.7906060218811035</v>
      </c>
      <c r="BY748" s="244">
        <v>0.65933549404144287</v>
      </c>
      <c r="BZ748" s="244">
        <v>0</v>
      </c>
      <c r="CA748" s="244">
        <v>0</v>
      </c>
      <c r="CB748" s="244">
        <v>214.84027099609375</v>
      </c>
      <c r="CC748" s="244">
        <v>6.4499416351318359</v>
      </c>
      <c r="CD748" s="228">
        <v>33.308869985307183</v>
      </c>
      <c r="CE748" s="244">
        <v>-429.6796875</v>
      </c>
      <c r="CF748" s="244">
        <v>0.25977393235308488</v>
      </c>
      <c r="CG748" s="244">
        <v>0.27300867914252763</v>
      </c>
      <c r="CH748" s="244">
        <v>0.53278261149561246</v>
      </c>
      <c r="CI748" s="244">
        <v>1.2739808179011804E-2</v>
      </c>
      <c r="CJ748" s="244">
        <v>1.7063042446408033E-2</v>
      </c>
      <c r="CK748" s="244">
        <v>2.9802850625419836E-2</v>
      </c>
      <c r="CL748" s="244"/>
      <c r="CM748" s="244">
        <v>2.9167594909667969</v>
      </c>
      <c r="CN748" s="244"/>
      <c r="CO748" s="244">
        <v>0.28600001335144043</v>
      </c>
      <c r="CP748" s="244">
        <v>0.31700000166893005</v>
      </c>
      <c r="CQ748" s="244">
        <v>24.109554290771484</v>
      </c>
      <c r="CR748" s="244">
        <v>0</v>
      </c>
      <c r="CS748" s="244">
        <v>0</v>
      </c>
      <c r="CT748" s="244">
        <v>24.109554290771484</v>
      </c>
      <c r="CU748" s="244">
        <v>0</v>
      </c>
      <c r="CV748" s="244">
        <v>0</v>
      </c>
      <c r="CW748" s="228">
        <v>9999</v>
      </c>
    </row>
    <row r="749" spans="1:101">
      <c r="A749" s="221" t="s">
        <v>466</v>
      </c>
      <c r="C749" s="244">
        <v>9.9999990463256836</v>
      </c>
      <c r="D749" s="244">
        <v>176.30113220214844</v>
      </c>
      <c r="E749" s="244">
        <v>0</v>
      </c>
      <c r="F749" s="244">
        <v>8.1096944808959961</v>
      </c>
      <c r="G749" s="244">
        <v>0</v>
      </c>
      <c r="H749" s="244">
        <v>0</v>
      </c>
      <c r="I749" s="244"/>
      <c r="J749" s="244">
        <v>0.31757348775863647</v>
      </c>
      <c r="K749" s="244">
        <v>0.33128324151039124</v>
      </c>
      <c r="L749" s="244">
        <v>192.25323486328125</v>
      </c>
      <c r="M749" s="244">
        <v>2.3870905861258507E-2</v>
      </c>
      <c r="N749" s="244">
        <v>7.4313513934612274E-2</v>
      </c>
      <c r="O749" s="244">
        <v>0</v>
      </c>
      <c r="P749" s="244">
        <v>0</v>
      </c>
      <c r="Q749" s="244">
        <v>0</v>
      </c>
      <c r="R749" s="244">
        <v>0.80633538961410522</v>
      </c>
      <c r="S749" s="244">
        <v>4.4560842514038086</v>
      </c>
      <c r="T749" s="244">
        <v>0</v>
      </c>
      <c r="U749" s="244">
        <v>8.9822397232055664</v>
      </c>
      <c r="V749" s="244">
        <v>0.81096947193145752</v>
      </c>
      <c r="W749" s="244">
        <v>0.81096947193145752</v>
      </c>
      <c r="X749" s="244">
        <v>0</v>
      </c>
      <c r="Y749" s="244">
        <v>0</v>
      </c>
      <c r="Z749" s="244">
        <v>0</v>
      </c>
      <c r="AA749" s="244">
        <v>0</v>
      </c>
      <c r="AB749" s="244">
        <v>0</v>
      </c>
      <c r="AC749" s="244">
        <v>0</v>
      </c>
      <c r="AD749" s="244">
        <v>0</v>
      </c>
      <c r="AE749" s="244">
        <v>0</v>
      </c>
      <c r="AF749" s="244">
        <v>0</v>
      </c>
      <c r="AG749" s="244">
        <v>0</v>
      </c>
      <c r="AH749" s="244">
        <v>1.617304801940918</v>
      </c>
      <c r="AI749" s="244">
        <v>5.2670536041259766</v>
      </c>
      <c r="AJ749" s="244">
        <v>0</v>
      </c>
      <c r="AK749" s="244">
        <v>8.9822397232055664</v>
      </c>
      <c r="AL749" s="244">
        <v>15.866598129272461</v>
      </c>
      <c r="AM749" s="244">
        <v>135.40156555175781</v>
      </c>
      <c r="AN749" s="244">
        <v>0</v>
      </c>
      <c r="AO749" s="244">
        <v>23.842531204223633</v>
      </c>
      <c r="AP749" s="244">
        <v>103.02375030517578</v>
      </c>
      <c r="AQ749" s="244">
        <v>262.26785278320312</v>
      </c>
      <c r="AR749" s="244">
        <v>1.617304801940918</v>
      </c>
      <c r="AS749" s="228">
        <v>162.16351863959855</v>
      </c>
      <c r="AT749" s="244">
        <v>135.40156555175781</v>
      </c>
      <c r="AU749" s="244">
        <v>21.300559997558594</v>
      </c>
      <c r="AV749" s="244">
        <v>25.972587585449219</v>
      </c>
      <c r="AW749" s="244">
        <v>103.02375030517578</v>
      </c>
      <c r="AX749" s="244">
        <v>285.69845581054687</v>
      </c>
      <c r="AY749" s="244">
        <v>5.2670536041259766</v>
      </c>
      <c r="AZ749" s="228">
        <v>54.242557309445488</v>
      </c>
      <c r="BA749" s="244">
        <v>135.40156555175781</v>
      </c>
      <c r="BB749" s="244">
        <v>21.300559997558594</v>
      </c>
      <c r="BC749" s="244">
        <v>25.972587585449219</v>
      </c>
      <c r="BD749" s="244">
        <v>103.02375030517578</v>
      </c>
      <c r="BE749" s="244">
        <v>285.69845581054687</v>
      </c>
      <c r="BF749" s="244">
        <v>6.8843584060668945</v>
      </c>
      <c r="BG749" s="244">
        <v>-59.857471466064453</v>
      </c>
      <c r="BH749" s="228">
        <v>41.499648793335908</v>
      </c>
      <c r="BI749" s="244">
        <v>0.67503005266189575</v>
      </c>
      <c r="BJ749" s="244">
        <v>2.1983609199523926</v>
      </c>
      <c r="BK749" s="244">
        <v>0</v>
      </c>
      <c r="BL749" s="244">
        <v>3.7490036487579346</v>
      </c>
      <c r="BM749" s="244">
        <v>6.6223945617675781</v>
      </c>
      <c r="BN749" s="244">
        <v>135.40156555175781</v>
      </c>
      <c r="BO749" s="244">
        <v>0</v>
      </c>
      <c r="BP749" s="244">
        <v>21.300559997558594</v>
      </c>
      <c r="BQ749" s="244">
        <v>0</v>
      </c>
      <c r="BR749" s="244">
        <v>0</v>
      </c>
      <c r="BS749" s="244">
        <v>0</v>
      </c>
      <c r="BT749" s="244">
        <v>103.02375030517578</v>
      </c>
      <c r="BU749" s="244">
        <v>0</v>
      </c>
      <c r="BV749" s="244">
        <v>241.74838256835937</v>
      </c>
      <c r="BW749" s="244">
        <v>25.972587585449219</v>
      </c>
      <c r="BX749" s="244">
        <v>14.244659423828125</v>
      </c>
      <c r="BY749" s="244">
        <v>1.621938943862915</v>
      </c>
      <c r="BZ749" s="244">
        <v>0</v>
      </c>
      <c r="CA749" s="244">
        <v>0</v>
      </c>
      <c r="CB749" s="244">
        <v>527.44683837890625</v>
      </c>
      <c r="CC749" s="244">
        <v>15.866598129272461</v>
      </c>
      <c r="CD749" s="228">
        <v>33.242591372473029</v>
      </c>
      <c r="CE749" s="244">
        <v>-157.00932312011719</v>
      </c>
      <c r="CF749" s="244">
        <v>1.4511120631910981</v>
      </c>
      <c r="CG749" s="244">
        <v>0</v>
      </c>
      <c r="CH749" s="244">
        <v>1.4511120631910981</v>
      </c>
      <c r="CI749" s="244">
        <v>7.1157801924922659E-2</v>
      </c>
      <c r="CJ749" s="244">
        <v>0</v>
      </c>
      <c r="CK749" s="244">
        <v>7.1157801924922659E-2</v>
      </c>
      <c r="CL749" s="244"/>
      <c r="CM749" s="244">
        <v>0</v>
      </c>
      <c r="CN749" s="244"/>
      <c r="CO749" s="244">
        <v>0</v>
      </c>
      <c r="CP749" s="244">
        <v>0</v>
      </c>
      <c r="CQ749" s="244">
        <v>0</v>
      </c>
      <c r="CR749" s="244">
        <v>0</v>
      </c>
      <c r="CS749" s="244">
        <v>0</v>
      </c>
      <c r="CT749" s="244">
        <v>0</v>
      </c>
      <c r="CU749" s="244">
        <v>0</v>
      </c>
      <c r="CV749" s="244">
        <v>9999</v>
      </c>
      <c r="CW749" s="228">
        <v>9999</v>
      </c>
    </row>
    <row r="750" spans="1:101">
      <c r="A750" s="221" t="s">
        <v>551</v>
      </c>
      <c r="C750" s="244">
        <v>10</v>
      </c>
      <c r="D750" s="244">
        <v>5.1276454925537109</v>
      </c>
      <c r="E750" s="244">
        <v>4.9020533561706543</v>
      </c>
      <c r="F750" s="244">
        <v>3.2966773509979248</v>
      </c>
      <c r="G750" s="244">
        <v>0</v>
      </c>
      <c r="H750" s="244">
        <v>0</v>
      </c>
      <c r="I750" s="244"/>
      <c r="J750" s="244">
        <v>1</v>
      </c>
      <c r="K750" s="244">
        <v>0.63999998569488525</v>
      </c>
      <c r="L750" s="244">
        <v>5.5925321578979492</v>
      </c>
      <c r="M750" s="244">
        <v>4.0858681313693523E-4</v>
      </c>
      <c r="N750" s="244">
        <v>6.3841691007837653E-4</v>
      </c>
      <c r="O750" s="244">
        <v>4.9510736465454102</v>
      </c>
      <c r="P750" s="244">
        <v>1.5024581924080849E-2</v>
      </c>
      <c r="Q750" s="244">
        <v>4.7396156936883926E-2</v>
      </c>
      <c r="R750" s="244">
        <v>0.32778394222259521</v>
      </c>
      <c r="S750" s="244">
        <v>1.8114458322525024</v>
      </c>
      <c r="T750" s="244">
        <v>0</v>
      </c>
      <c r="U750" s="244">
        <v>3.6513762474060059</v>
      </c>
      <c r="V750" s="244">
        <v>0.32966774702072144</v>
      </c>
      <c r="W750" s="244">
        <v>0.32966774702072144</v>
      </c>
      <c r="X750" s="244">
        <v>0</v>
      </c>
      <c r="Y750" s="244">
        <v>0</v>
      </c>
      <c r="Z750" s="244">
        <v>0</v>
      </c>
      <c r="AA750" s="244">
        <v>0</v>
      </c>
      <c r="AB750" s="244">
        <v>0</v>
      </c>
      <c r="AC750" s="244">
        <v>0</v>
      </c>
      <c r="AD750" s="244">
        <v>0</v>
      </c>
      <c r="AE750" s="244">
        <v>0</v>
      </c>
      <c r="AF750" s="244">
        <v>0</v>
      </c>
      <c r="AG750" s="244">
        <v>0</v>
      </c>
      <c r="AH750" s="244">
        <v>0.65745168924331665</v>
      </c>
      <c r="AI750" s="244">
        <v>2.1411135196685791</v>
      </c>
      <c r="AJ750" s="244">
        <v>0</v>
      </c>
      <c r="AK750" s="244">
        <v>3.6513762474060059</v>
      </c>
      <c r="AL750" s="244">
        <v>6.4499416351318359</v>
      </c>
      <c r="AM750" s="244">
        <v>3.8748223781585693</v>
      </c>
      <c r="AN750" s="244">
        <v>0</v>
      </c>
      <c r="AO750" s="244">
        <v>0.68717223405838013</v>
      </c>
      <c r="AP750" s="244">
        <v>2.9968996047973633</v>
      </c>
      <c r="AQ750" s="244">
        <v>7.558894157409668</v>
      </c>
      <c r="AR750" s="244">
        <v>0.65745168924331665</v>
      </c>
      <c r="AS750" s="228">
        <v>11.497261837921657</v>
      </c>
      <c r="AT750" s="244">
        <v>3.8748223781585693</v>
      </c>
      <c r="AU750" s="244">
        <v>0.18299005925655365</v>
      </c>
      <c r="AV750" s="244">
        <v>0.7054712176322937</v>
      </c>
      <c r="AW750" s="244">
        <v>2.9968996047973633</v>
      </c>
      <c r="AX750" s="244">
        <v>7.7601833343505859</v>
      </c>
      <c r="AY750" s="244">
        <v>2.1411135196685791</v>
      </c>
      <c r="AZ750" s="228">
        <v>3.6243678686484646</v>
      </c>
      <c r="BA750" s="244">
        <v>3.8748223781585693</v>
      </c>
      <c r="BB750" s="244">
        <v>0.18299005925655365</v>
      </c>
      <c r="BC750" s="244">
        <v>0.7054712176322937</v>
      </c>
      <c r="BD750" s="244">
        <v>2.9968996047973633</v>
      </c>
      <c r="BE750" s="244">
        <v>7.7601833343505859</v>
      </c>
      <c r="BF750" s="244">
        <v>2.7985653877258301</v>
      </c>
      <c r="BG750" s="244">
        <v>-15.593524932861328</v>
      </c>
      <c r="BH750" s="228">
        <v>2.7729148743271179</v>
      </c>
      <c r="BI750" s="244">
        <v>9.4332265853881836</v>
      </c>
      <c r="BJ750" s="244">
        <v>30.721054077148437</v>
      </c>
      <c r="BK750" s="244">
        <v>0</v>
      </c>
      <c r="BL750" s="244">
        <v>52.390556335449219</v>
      </c>
      <c r="BM750" s="244">
        <v>92.544837951660156</v>
      </c>
      <c r="BN750" s="244">
        <v>3.8748223781585693</v>
      </c>
      <c r="BO750" s="244">
        <v>40.924934387207031</v>
      </c>
      <c r="BP750" s="244">
        <v>0.18299005925655365</v>
      </c>
      <c r="BQ750" s="244">
        <v>0</v>
      </c>
      <c r="BR750" s="244">
        <v>0</v>
      </c>
      <c r="BS750" s="244">
        <v>0</v>
      </c>
      <c r="BT750" s="244">
        <v>2.9968996047973633</v>
      </c>
      <c r="BU750" s="244">
        <v>0</v>
      </c>
      <c r="BV750" s="244">
        <v>159.00178527832031</v>
      </c>
      <c r="BW750" s="244">
        <v>0.7054712176322937</v>
      </c>
      <c r="BX750" s="244">
        <v>5.7906060218811035</v>
      </c>
      <c r="BY750" s="244">
        <v>0.65933549404144287</v>
      </c>
      <c r="BZ750" s="244">
        <v>0</v>
      </c>
      <c r="CA750" s="244">
        <v>0</v>
      </c>
      <c r="CB750" s="244">
        <v>207.68690490722656</v>
      </c>
      <c r="CC750" s="244">
        <v>6.4499416351318359</v>
      </c>
      <c r="CD750" s="228">
        <v>32.199811798706875</v>
      </c>
      <c r="CE750" s="244">
        <v>-2831.784912109375</v>
      </c>
      <c r="CF750" s="244">
        <v>4.2409561131214711E-2</v>
      </c>
      <c r="CG750" s="244">
        <v>0.46342050104976634</v>
      </c>
      <c r="CH750" s="244">
        <v>0.50583006218098103</v>
      </c>
      <c r="CI750" s="244">
        <v>2.0817353669480786E-3</v>
      </c>
      <c r="CJ750" s="244">
        <v>2.8963781315610455E-2</v>
      </c>
      <c r="CK750" s="244">
        <v>3.1045516682558533E-2</v>
      </c>
      <c r="CL750" s="244"/>
      <c r="CM750" s="244">
        <v>4.9510736465454102</v>
      </c>
      <c r="CN750" s="244"/>
      <c r="CO750" s="244">
        <v>0.28600001335144043</v>
      </c>
      <c r="CP750" s="244">
        <v>0.31700000166893005</v>
      </c>
      <c r="CQ750" s="244">
        <v>40.924934387207031</v>
      </c>
      <c r="CR750" s="244">
        <v>0</v>
      </c>
      <c r="CS750" s="244">
        <v>0</v>
      </c>
      <c r="CT750" s="244">
        <v>40.924934387207031</v>
      </c>
      <c r="CU750" s="244">
        <v>0</v>
      </c>
      <c r="CV750" s="244">
        <v>0</v>
      </c>
      <c r="CW750" s="228">
        <v>9999</v>
      </c>
    </row>
    <row r="751" spans="1:101">
      <c r="A751" s="221" t="s">
        <v>471</v>
      </c>
      <c r="C751" s="244">
        <v>10.000000953674316</v>
      </c>
      <c r="D751" s="244">
        <v>31.297178268432617</v>
      </c>
      <c r="E751" s="244">
        <v>2.8863966464996338</v>
      </c>
      <c r="F751" s="244">
        <v>3.2966773509979248</v>
      </c>
      <c r="G751" s="244">
        <v>0</v>
      </c>
      <c r="H751" s="244">
        <v>0</v>
      </c>
      <c r="I751" s="244"/>
      <c r="J751" s="244">
        <v>0.38363197445869446</v>
      </c>
      <c r="K751" s="244">
        <v>0.36116683483123779</v>
      </c>
      <c r="L751" s="244">
        <v>34.129562377929688</v>
      </c>
      <c r="M751" s="244">
        <v>4.0687983855605125E-3</v>
      </c>
      <c r="N751" s="244">
        <v>1.2292414903640747E-2</v>
      </c>
      <c r="O751" s="244">
        <v>2.9152605533599854</v>
      </c>
      <c r="P751" s="244">
        <v>8.8466815650463104E-3</v>
      </c>
      <c r="Q751" s="244">
        <v>2.7907511219382286E-2</v>
      </c>
      <c r="R751" s="244">
        <v>0.32778394222259521</v>
      </c>
      <c r="S751" s="244">
        <v>1.8114458322525024</v>
      </c>
      <c r="T751" s="244">
        <v>0</v>
      </c>
      <c r="U751" s="244">
        <v>3.6513762474060059</v>
      </c>
      <c r="V751" s="244">
        <v>0.32966774702072144</v>
      </c>
      <c r="W751" s="244">
        <v>0.32966774702072144</v>
      </c>
      <c r="X751" s="244">
        <v>0</v>
      </c>
      <c r="Y751" s="244">
        <v>0</v>
      </c>
      <c r="Z751" s="244">
        <v>0</v>
      </c>
      <c r="AA751" s="244">
        <v>0</v>
      </c>
      <c r="AB751" s="244">
        <v>0</v>
      </c>
      <c r="AC751" s="244">
        <v>0</v>
      </c>
      <c r="AD751" s="244">
        <v>0</v>
      </c>
      <c r="AE751" s="244">
        <v>0</v>
      </c>
      <c r="AF751" s="244">
        <v>0</v>
      </c>
      <c r="AG751" s="244">
        <v>0</v>
      </c>
      <c r="AH751" s="244">
        <v>0.65745168924331665</v>
      </c>
      <c r="AI751" s="244">
        <v>2.1411135196685791</v>
      </c>
      <c r="AJ751" s="244">
        <v>0</v>
      </c>
      <c r="AK751" s="244">
        <v>3.6513762474060059</v>
      </c>
      <c r="AL751" s="244">
        <v>6.4499416351318359</v>
      </c>
      <c r="AM751" s="244">
        <v>23.999258041381836</v>
      </c>
      <c r="AN751" s="244">
        <v>0</v>
      </c>
      <c r="AO751" s="244">
        <v>4.2288446426391602</v>
      </c>
      <c r="AP751" s="244">
        <v>18.289186477661133</v>
      </c>
      <c r="AQ751" s="244">
        <v>46.517288208007812</v>
      </c>
      <c r="AR751" s="244">
        <v>0.65745168924331665</v>
      </c>
      <c r="AS751" s="228">
        <v>70.753927509442477</v>
      </c>
      <c r="AT751" s="244">
        <v>23.999258041381836</v>
      </c>
      <c r="AU751" s="244">
        <v>3.5233864784240723</v>
      </c>
      <c r="AV751" s="244">
        <v>4.5811834335327148</v>
      </c>
      <c r="AW751" s="244">
        <v>18.289186477661133</v>
      </c>
      <c r="AX751" s="244">
        <v>50.393013000488281</v>
      </c>
      <c r="AY751" s="244">
        <v>2.1411135196685791</v>
      </c>
      <c r="AZ751" s="228">
        <v>23.535890351087811</v>
      </c>
      <c r="BA751" s="244">
        <v>23.999258041381836</v>
      </c>
      <c r="BB751" s="244">
        <v>3.5233864784240723</v>
      </c>
      <c r="BC751" s="244">
        <v>4.5811834335327148</v>
      </c>
      <c r="BD751" s="244">
        <v>18.289186477661133</v>
      </c>
      <c r="BE751" s="244">
        <v>50.393013000488281</v>
      </c>
      <c r="BF751" s="244">
        <v>2.7985653877258301</v>
      </c>
      <c r="BG751" s="244">
        <v>-55.475048065185547</v>
      </c>
      <c r="BH751" s="228">
        <v>18.006731877192205</v>
      </c>
      <c r="BI751" s="244">
        <v>1.5457456111907959</v>
      </c>
      <c r="BJ751" s="244">
        <v>5.0340075492858887</v>
      </c>
      <c r="BK751" s="244">
        <v>0</v>
      </c>
      <c r="BL751" s="244">
        <v>8.5848112106323242</v>
      </c>
      <c r="BM751" s="244">
        <v>15.164565086364746</v>
      </c>
      <c r="BN751" s="244">
        <v>23.999258041381836</v>
      </c>
      <c r="BO751" s="244">
        <v>24.097164154052734</v>
      </c>
      <c r="BP751" s="244">
        <v>3.5233864784240723</v>
      </c>
      <c r="BQ751" s="244">
        <v>0</v>
      </c>
      <c r="BR751" s="244">
        <v>0</v>
      </c>
      <c r="BS751" s="244">
        <v>0</v>
      </c>
      <c r="BT751" s="244">
        <v>18.289186477661133</v>
      </c>
      <c r="BU751" s="244">
        <v>0</v>
      </c>
      <c r="BV751" s="244">
        <v>132.70368957519531</v>
      </c>
      <c r="BW751" s="244">
        <v>4.5811834335327148</v>
      </c>
      <c r="BX751" s="244">
        <v>5.7906060218811035</v>
      </c>
      <c r="BY751" s="244">
        <v>0.65933549404144287</v>
      </c>
      <c r="BZ751" s="244">
        <v>0</v>
      </c>
      <c r="CA751" s="244">
        <v>0</v>
      </c>
      <c r="CB751" s="244">
        <v>207.19386291503906</v>
      </c>
      <c r="CC751" s="244">
        <v>6.4499416351318359</v>
      </c>
      <c r="CD751" s="228">
        <v>32.123371607131929</v>
      </c>
      <c r="CE751" s="244">
        <v>-415.54733276367188</v>
      </c>
      <c r="CF751" s="244">
        <v>0.25772394645692975</v>
      </c>
      <c r="CG751" s="244">
        <v>0.27286838515437289</v>
      </c>
      <c r="CH751" s="244">
        <v>0.53059233161130259</v>
      </c>
      <c r="CI751" s="244">
        <v>1.263918756990135E-2</v>
      </c>
      <c r="CJ751" s="244">
        <v>1.7054274072148441E-2</v>
      </c>
      <c r="CK751" s="244">
        <v>2.9693461642049793E-2</v>
      </c>
      <c r="CL751" s="244"/>
      <c r="CM751" s="244">
        <v>2.9152605533599854</v>
      </c>
      <c r="CN751" s="244"/>
      <c r="CO751" s="244">
        <v>0.28599998354911804</v>
      </c>
      <c r="CP751" s="244">
        <v>0.31700000166893005</v>
      </c>
      <c r="CQ751" s="244">
        <v>24.097164154052734</v>
      </c>
      <c r="CR751" s="244">
        <v>0</v>
      </c>
      <c r="CS751" s="244">
        <v>0</v>
      </c>
      <c r="CT751" s="244">
        <v>24.097164154052734</v>
      </c>
      <c r="CU751" s="244">
        <v>0</v>
      </c>
      <c r="CV751" s="244">
        <v>0</v>
      </c>
      <c r="CW751" s="228">
        <v>9999</v>
      </c>
    </row>
    <row r="752" spans="1:101">
      <c r="A752" s="221" t="s">
        <v>503</v>
      </c>
      <c r="C752" s="244">
        <v>9.9999990463256836</v>
      </c>
      <c r="D752" s="244">
        <v>4.9095568656921387</v>
      </c>
      <c r="E752" s="244">
        <v>4.732304573059082</v>
      </c>
      <c r="F752" s="244">
        <v>3.2966773509979248</v>
      </c>
      <c r="G752" s="244">
        <v>0</v>
      </c>
      <c r="H752" s="244">
        <v>0</v>
      </c>
      <c r="I752" s="244"/>
      <c r="J752" s="244">
        <v>1</v>
      </c>
      <c r="K752" s="244">
        <v>0.63999992609024048</v>
      </c>
      <c r="L752" s="244">
        <v>5.3546710014343262</v>
      </c>
      <c r="M752" s="244">
        <v>3.9120882865972817E-4</v>
      </c>
      <c r="N752" s="244">
        <v>6.1126379296183586E-4</v>
      </c>
      <c r="O752" s="244">
        <v>4.7796273231506348</v>
      </c>
      <c r="P752" s="244">
        <v>1.4504308812320232E-2</v>
      </c>
      <c r="Q752" s="244">
        <v>4.5754916965961456E-2</v>
      </c>
      <c r="R752" s="244">
        <v>0.32778394222259521</v>
      </c>
      <c r="S752" s="244">
        <v>1.8114458322525024</v>
      </c>
      <c r="T752" s="244">
        <v>0</v>
      </c>
      <c r="U752" s="244">
        <v>3.6513762474060059</v>
      </c>
      <c r="V752" s="244">
        <v>0.32966774702072144</v>
      </c>
      <c r="W752" s="244">
        <v>0.32966774702072144</v>
      </c>
      <c r="X752" s="244">
        <v>0</v>
      </c>
      <c r="Y752" s="244">
        <v>0</v>
      </c>
      <c r="Z752" s="244">
        <v>0</v>
      </c>
      <c r="AA752" s="244">
        <v>0</v>
      </c>
      <c r="AB752" s="244">
        <v>0</v>
      </c>
      <c r="AC752" s="244">
        <v>0</v>
      </c>
      <c r="AD752" s="244">
        <v>0</v>
      </c>
      <c r="AE752" s="244">
        <v>0</v>
      </c>
      <c r="AF752" s="244">
        <v>0</v>
      </c>
      <c r="AG752" s="244">
        <v>0</v>
      </c>
      <c r="AH752" s="244">
        <v>0.65745168924331665</v>
      </c>
      <c r="AI752" s="244">
        <v>2.1411135196685791</v>
      </c>
      <c r="AJ752" s="244">
        <v>0</v>
      </c>
      <c r="AK752" s="244">
        <v>3.6513762474060059</v>
      </c>
      <c r="AL752" s="244">
        <v>6.4499416351318359</v>
      </c>
      <c r="AM752" s="244">
        <v>3.7100183963775635</v>
      </c>
      <c r="AN752" s="244">
        <v>0</v>
      </c>
      <c r="AO752" s="244">
        <v>0.65794539451599121</v>
      </c>
      <c r="AP752" s="244">
        <v>2.8694355487823486</v>
      </c>
      <c r="AQ752" s="244">
        <v>7.2373991012573242</v>
      </c>
      <c r="AR752" s="244">
        <v>0.65745168924331665</v>
      </c>
      <c r="AS752" s="228">
        <v>11.00826031492241</v>
      </c>
      <c r="AT752" s="244">
        <v>3.7100183963775635</v>
      </c>
      <c r="AU752" s="244">
        <v>0.17520710825920105</v>
      </c>
      <c r="AV752" s="244">
        <v>0.67546612024307251</v>
      </c>
      <c r="AW752" s="244">
        <v>2.8694355487823486</v>
      </c>
      <c r="AX752" s="244">
        <v>7.4301271438598633</v>
      </c>
      <c r="AY752" s="244">
        <v>2.1411135196685791</v>
      </c>
      <c r="AZ752" s="228">
        <v>3.4702162676415589</v>
      </c>
      <c r="BA752" s="244">
        <v>3.7100183963775635</v>
      </c>
      <c r="BB752" s="244">
        <v>0.17520710825920105</v>
      </c>
      <c r="BC752" s="244">
        <v>0.67546612024307251</v>
      </c>
      <c r="BD752" s="244">
        <v>2.8694355487823486</v>
      </c>
      <c r="BE752" s="244">
        <v>7.4301271438598633</v>
      </c>
      <c r="BF752" s="244">
        <v>2.7985653877258301</v>
      </c>
      <c r="BG752" s="244">
        <v>-13.809817314147949</v>
      </c>
      <c r="BH752" s="228">
        <v>2.6549772689778064</v>
      </c>
      <c r="BI752" s="244">
        <v>9.8522615432739258</v>
      </c>
      <c r="BJ752" s="244">
        <v>32.085720062255859</v>
      </c>
      <c r="BK752" s="244">
        <v>0</v>
      </c>
      <c r="BL752" s="244">
        <v>54.717807769775391</v>
      </c>
      <c r="BM752" s="244">
        <v>96.655792236328125</v>
      </c>
      <c r="BN752" s="244">
        <v>3.7100183963775635</v>
      </c>
      <c r="BO752" s="244">
        <v>39.507781982421875</v>
      </c>
      <c r="BP752" s="244">
        <v>0.17520710825920105</v>
      </c>
      <c r="BQ752" s="244">
        <v>0</v>
      </c>
      <c r="BR752" s="244">
        <v>0</v>
      </c>
      <c r="BS752" s="244">
        <v>0</v>
      </c>
      <c r="BT752" s="244">
        <v>2.8694355487823486</v>
      </c>
      <c r="BU752" s="244">
        <v>0</v>
      </c>
      <c r="BV752" s="244">
        <v>152.23915100097656</v>
      </c>
      <c r="BW752" s="244">
        <v>0.67546612024307251</v>
      </c>
      <c r="BX752" s="244">
        <v>5.7906060218811035</v>
      </c>
      <c r="BY752" s="244">
        <v>0.65933549404144287</v>
      </c>
      <c r="BZ752" s="244">
        <v>0</v>
      </c>
      <c r="CA752" s="244">
        <v>0</v>
      </c>
      <c r="CB752" s="244">
        <v>199.17706298828125</v>
      </c>
      <c r="CC752" s="244">
        <v>6.4499416351318359</v>
      </c>
      <c r="CD752" s="228">
        <v>30.880444367652842</v>
      </c>
      <c r="CE752" s="244">
        <v>-2832.521484375</v>
      </c>
      <c r="CF752" s="244">
        <v>4.0605798459503697E-2</v>
      </c>
      <c r="CG752" s="244">
        <v>0.44737313185131677</v>
      </c>
      <c r="CH752" s="244">
        <v>0.48797893031082046</v>
      </c>
      <c r="CI752" s="244">
        <v>1.993195036722449E-3</v>
      </c>
      <c r="CJ752" s="244">
        <v>2.7960820740707087E-2</v>
      </c>
      <c r="CK752" s="244">
        <v>2.9954015777429534E-2</v>
      </c>
      <c r="CL752" s="244"/>
      <c r="CM752" s="244">
        <v>4.7796273231506348</v>
      </c>
      <c r="CN752" s="244"/>
      <c r="CO752" s="244">
        <v>0.28599998354911804</v>
      </c>
      <c r="CP752" s="244">
        <v>0.31700000166893005</v>
      </c>
      <c r="CQ752" s="244">
        <v>39.507781982421875</v>
      </c>
      <c r="CR752" s="244">
        <v>0</v>
      </c>
      <c r="CS752" s="244">
        <v>0</v>
      </c>
      <c r="CT752" s="244">
        <v>39.507781982421875</v>
      </c>
      <c r="CU752" s="244">
        <v>0</v>
      </c>
      <c r="CV752" s="244">
        <v>0</v>
      </c>
      <c r="CW752" s="228">
        <v>9999</v>
      </c>
    </row>
    <row r="753" spans="1:101">
      <c r="A753" s="221" t="s">
        <v>565</v>
      </c>
      <c r="C753" s="244">
        <v>10</v>
      </c>
      <c r="D753" s="244">
        <v>228.28852844238281</v>
      </c>
      <c r="E753" s="244">
        <v>0</v>
      </c>
      <c r="F753" s="244">
        <v>11.336667060852051</v>
      </c>
      <c r="G753" s="244">
        <v>0</v>
      </c>
      <c r="H753" s="244">
        <v>0</v>
      </c>
      <c r="I753" s="244"/>
      <c r="J753" s="244">
        <v>0.31757351756095886</v>
      </c>
      <c r="K753" s="244">
        <v>0.33128324151039124</v>
      </c>
      <c r="L753" s="244">
        <v>248.944580078125</v>
      </c>
      <c r="M753" s="244">
        <v>3.0909925699234009E-2</v>
      </c>
      <c r="N753" s="244">
        <v>9.6226975321769714E-2</v>
      </c>
      <c r="O753" s="244">
        <v>0</v>
      </c>
      <c r="P753" s="244">
        <v>0</v>
      </c>
      <c r="Q753" s="244">
        <v>0</v>
      </c>
      <c r="R753" s="244">
        <v>1.1271885633468628</v>
      </c>
      <c r="S753" s="244">
        <v>6.2292284965515137</v>
      </c>
      <c r="T753" s="244">
        <v>0</v>
      </c>
      <c r="U753" s="244">
        <v>12.556410789489746</v>
      </c>
      <c r="V753" s="244">
        <v>1.1336666345596313</v>
      </c>
      <c r="W753" s="244">
        <v>1.1336666345596313</v>
      </c>
      <c r="X753" s="244">
        <v>0</v>
      </c>
      <c r="Y753" s="244">
        <v>0</v>
      </c>
      <c r="Z753" s="244">
        <v>0</v>
      </c>
      <c r="AA753" s="244">
        <v>0</v>
      </c>
      <c r="AB753" s="244">
        <v>0</v>
      </c>
      <c r="AC753" s="244">
        <v>0</v>
      </c>
      <c r="AD753" s="244">
        <v>0</v>
      </c>
      <c r="AE753" s="244">
        <v>0</v>
      </c>
      <c r="AF753" s="244">
        <v>0</v>
      </c>
      <c r="AG753" s="244">
        <v>0</v>
      </c>
      <c r="AH753" s="244">
        <v>2.2608551979064941</v>
      </c>
      <c r="AI753" s="244">
        <v>7.3628950119018555</v>
      </c>
      <c r="AJ753" s="244">
        <v>0</v>
      </c>
      <c r="AK753" s="244">
        <v>12.556410789489746</v>
      </c>
      <c r="AL753" s="244">
        <v>22.18016242980957</v>
      </c>
      <c r="AM753" s="244">
        <v>175.32858276367188</v>
      </c>
      <c r="AN753" s="244">
        <v>0</v>
      </c>
      <c r="AO753" s="244">
        <v>30.873184204101563</v>
      </c>
      <c r="AP753" s="244">
        <v>133.40322875976562</v>
      </c>
      <c r="AQ753" s="244">
        <v>339.60498046875</v>
      </c>
      <c r="AR753" s="244">
        <v>2.2608551979064941</v>
      </c>
      <c r="AS753" s="228">
        <v>150.21085651217572</v>
      </c>
      <c r="AT753" s="244">
        <v>175.32858276367188</v>
      </c>
      <c r="AU753" s="244">
        <v>27.581626892089844</v>
      </c>
      <c r="AV753" s="244">
        <v>33.63134765625</v>
      </c>
      <c r="AW753" s="244">
        <v>133.40322875976562</v>
      </c>
      <c r="AX753" s="244">
        <v>369.94479370117187</v>
      </c>
      <c r="AY753" s="244">
        <v>7.3628950119018555</v>
      </c>
      <c r="AZ753" s="228">
        <v>50.244473061773519</v>
      </c>
      <c r="BA753" s="244">
        <v>175.32858276367188</v>
      </c>
      <c r="BB753" s="244">
        <v>27.581626892089844</v>
      </c>
      <c r="BC753" s="244">
        <v>33.63134765625</v>
      </c>
      <c r="BD753" s="244">
        <v>133.40322875976562</v>
      </c>
      <c r="BE753" s="244">
        <v>369.94479370117187</v>
      </c>
      <c r="BF753" s="244">
        <v>9.6237506866455078</v>
      </c>
      <c r="BG753" s="244">
        <v>-59.628822326660156</v>
      </c>
      <c r="BH753" s="228">
        <v>38.440812928855365</v>
      </c>
      <c r="BI753" s="244">
        <v>0.72874397039413452</v>
      </c>
      <c r="BJ753" s="244">
        <v>2.3732900619506836</v>
      </c>
      <c r="BK753" s="244">
        <v>0</v>
      </c>
      <c r="BL753" s="244">
        <v>4.0473217964172363</v>
      </c>
      <c r="BM753" s="244">
        <v>7.1493563652038574</v>
      </c>
      <c r="BN753" s="244">
        <v>175.32858276367188</v>
      </c>
      <c r="BO753" s="244">
        <v>0</v>
      </c>
      <c r="BP753" s="244">
        <v>27.581626892089844</v>
      </c>
      <c r="BQ753" s="244">
        <v>0</v>
      </c>
      <c r="BR753" s="244">
        <v>0</v>
      </c>
      <c r="BS753" s="244">
        <v>0</v>
      </c>
      <c r="BT753" s="244">
        <v>133.40322875976562</v>
      </c>
      <c r="BU753" s="244">
        <v>0</v>
      </c>
      <c r="BV753" s="244">
        <v>313.0347900390625</v>
      </c>
      <c r="BW753" s="244">
        <v>33.63134765625</v>
      </c>
      <c r="BX753" s="244">
        <v>19.91282844543457</v>
      </c>
      <c r="BY753" s="244">
        <v>2.2673332691192627</v>
      </c>
      <c r="BZ753" s="244">
        <v>0</v>
      </c>
      <c r="CA753" s="244">
        <v>0</v>
      </c>
      <c r="CB753" s="244">
        <v>682.97955322265625</v>
      </c>
      <c r="CC753" s="244">
        <v>22.18016242980957</v>
      </c>
      <c r="CD753" s="228">
        <v>30.792362332628663</v>
      </c>
      <c r="CE753" s="244">
        <v>-156.48234558105469</v>
      </c>
      <c r="CF753" s="244">
        <v>1.8790138421439555</v>
      </c>
      <c r="CG753" s="244">
        <v>0</v>
      </c>
      <c r="CH753" s="244">
        <v>1.8790138421439555</v>
      </c>
      <c r="CI753" s="244">
        <v>9.2140709311889821E-2</v>
      </c>
      <c r="CJ753" s="244">
        <v>0</v>
      </c>
      <c r="CK753" s="244">
        <v>9.2140709311889821E-2</v>
      </c>
      <c r="CL753" s="244"/>
      <c r="CM753" s="244">
        <v>0</v>
      </c>
      <c r="CN753" s="244"/>
      <c r="CO753" s="244">
        <v>0</v>
      </c>
      <c r="CP753" s="244">
        <v>0</v>
      </c>
      <c r="CQ753" s="244">
        <v>0</v>
      </c>
      <c r="CR753" s="244">
        <v>0</v>
      </c>
      <c r="CS753" s="244">
        <v>0</v>
      </c>
      <c r="CT753" s="244">
        <v>0</v>
      </c>
      <c r="CU753" s="244">
        <v>0</v>
      </c>
      <c r="CV753" s="244">
        <v>9999</v>
      </c>
      <c r="CW753" s="228">
        <v>9999</v>
      </c>
    </row>
    <row r="754" spans="1:101">
      <c r="A754" s="221" t="s">
        <v>574</v>
      </c>
      <c r="C754" s="244">
        <v>9.9999990463256836</v>
      </c>
      <c r="D754" s="244">
        <v>152.19236755371094</v>
      </c>
      <c r="E754" s="244">
        <v>0</v>
      </c>
      <c r="F754" s="244">
        <v>8.1096944808959961</v>
      </c>
      <c r="G754" s="244">
        <v>0</v>
      </c>
      <c r="H754" s="244">
        <v>0</v>
      </c>
      <c r="I754" s="244"/>
      <c r="J754" s="244">
        <v>0.31757348775863647</v>
      </c>
      <c r="K754" s="244">
        <v>0.33128321170806885</v>
      </c>
      <c r="L754" s="244">
        <v>165.96304321289062</v>
      </c>
      <c r="M754" s="244">
        <v>2.0606616511940956E-2</v>
      </c>
      <c r="N754" s="244">
        <v>6.415131688117981E-2</v>
      </c>
      <c r="O754" s="244">
        <v>0</v>
      </c>
      <c r="P754" s="244">
        <v>0</v>
      </c>
      <c r="Q754" s="244">
        <v>0</v>
      </c>
      <c r="R754" s="244">
        <v>0.80633538961410522</v>
      </c>
      <c r="S754" s="244">
        <v>4.4560842514038086</v>
      </c>
      <c r="T754" s="244">
        <v>0</v>
      </c>
      <c r="U754" s="244">
        <v>8.9822397232055664</v>
      </c>
      <c r="V754" s="244">
        <v>0.81096947193145752</v>
      </c>
      <c r="W754" s="244">
        <v>0.81096947193145752</v>
      </c>
      <c r="X754" s="244">
        <v>0</v>
      </c>
      <c r="Y754" s="244">
        <v>0</v>
      </c>
      <c r="Z754" s="244">
        <v>0</v>
      </c>
      <c r="AA754" s="244">
        <v>0</v>
      </c>
      <c r="AB754" s="244">
        <v>0</v>
      </c>
      <c r="AC754" s="244">
        <v>0</v>
      </c>
      <c r="AD754" s="244">
        <v>0</v>
      </c>
      <c r="AE754" s="244">
        <v>0</v>
      </c>
      <c r="AF754" s="244">
        <v>0</v>
      </c>
      <c r="AG754" s="244">
        <v>0</v>
      </c>
      <c r="AH754" s="244">
        <v>1.617304801940918</v>
      </c>
      <c r="AI754" s="244">
        <v>5.2670536041259766</v>
      </c>
      <c r="AJ754" s="244">
        <v>0</v>
      </c>
      <c r="AK754" s="244">
        <v>8.9822397232055664</v>
      </c>
      <c r="AL754" s="244">
        <v>15.866598129272461</v>
      </c>
      <c r="AM754" s="244">
        <v>116.88571929931641</v>
      </c>
      <c r="AN754" s="244">
        <v>0</v>
      </c>
      <c r="AO754" s="244">
        <v>20.582120895385742</v>
      </c>
      <c r="AP754" s="244">
        <v>88.935493469238281</v>
      </c>
      <c r="AQ754" s="244">
        <v>226.40333557128906</v>
      </c>
      <c r="AR754" s="244">
        <v>1.617304801940918</v>
      </c>
      <c r="AS754" s="228">
        <v>139.98803753522395</v>
      </c>
      <c r="AT754" s="244">
        <v>116.88571929931641</v>
      </c>
      <c r="AU754" s="244">
        <v>18.387754440307617</v>
      </c>
      <c r="AV754" s="244">
        <v>22.4208984375</v>
      </c>
      <c r="AW754" s="244">
        <v>88.935493469238281</v>
      </c>
      <c r="AX754" s="244">
        <v>246.62986755371094</v>
      </c>
      <c r="AY754" s="244">
        <v>5.2670536041259766</v>
      </c>
      <c r="AZ754" s="228">
        <v>46.825014249178459</v>
      </c>
      <c r="BA754" s="244">
        <v>116.88571929931641</v>
      </c>
      <c r="BB754" s="244">
        <v>18.387754440307617</v>
      </c>
      <c r="BC754" s="244">
        <v>22.4208984375</v>
      </c>
      <c r="BD754" s="244">
        <v>88.935493469238281</v>
      </c>
      <c r="BE754" s="244">
        <v>246.62986755371094</v>
      </c>
      <c r="BF754" s="244">
        <v>6.8843584060668945</v>
      </c>
      <c r="BG754" s="244">
        <v>-59.402305603027344</v>
      </c>
      <c r="BH754" s="228">
        <v>35.824668719029482</v>
      </c>
      <c r="BI754" s="244">
        <v>0.78196156024932861</v>
      </c>
      <c r="BJ754" s="244">
        <v>2.5466032028198242</v>
      </c>
      <c r="BK754" s="244">
        <v>0</v>
      </c>
      <c r="BL754" s="244">
        <v>4.3428831100463867</v>
      </c>
      <c r="BM754" s="244">
        <v>7.67144775390625</v>
      </c>
      <c r="BN754" s="244">
        <v>116.88571929931641</v>
      </c>
      <c r="BO754" s="244">
        <v>0</v>
      </c>
      <c r="BP754" s="244">
        <v>18.387754440307617</v>
      </c>
      <c r="BQ754" s="244">
        <v>0</v>
      </c>
      <c r="BR754" s="244">
        <v>0</v>
      </c>
      <c r="BS754" s="244">
        <v>0</v>
      </c>
      <c r="BT754" s="244">
        <v>88.935493469238281</v>
      </c>
      <c r="BU754" s="244">
        <v>0</v>
      </c>
      <c r="BV754" s="244">
        <v>208.68986511230469</v>
      </c>
      <c r="BW754" s="244">
        <v>22.4208984375</v>
      </c>
      <c r="BX754" s="244">
        <v>14.244659423828125</v>
      </c>
      <c r="BY754" s="244">
        <v>1.621938943862915</v>
      </c>
      <c r="BZ754" s="244">
        <v>0</v>
      </c>
      <c r="CA754" s="244">
        <v>0</v>
      </c>
      <c r="CB754" s="244">
        <v>455.31973266601562</v>
      </c>
      <c r="CC754" s="244">
        <v>15.866598129272461</v>
      </c>
      <c r="CD754" s="228">
        <v>28.696745213254342</v>
      </c>
      <c r="CE754" s="244">
        <v>-155.96028137207031</v>
      </c>
      <c r="CF754" s="244">
        <v>1.2526758947626362</v>
      </c>
      <c r="CG754" s="244">
        <v>0</v>
      </c>
      <c r="CH754" s="244">
        <v>1.2526758947626362</v>
      </c>
      <c r="CI754" s="244">
        <v>6.1427139541259862E-2</v>
      </c>
      <c r="CJ754" s="244">
        <v>0</v>
      </c>
      <c r="CK754" s="244">
        <v>6.1427139541259862E-2</v>
      </c>
      <c r="CL754" s="244"/>
      <c r="CM754" s="244">
        <v>0</v>
      </c>
      <c r="CN754" s="244"/>
      <c r="CO754" s="244">
        <v>0</v>
      </c>
      <c r="CP754" s="244">
        <v>0</v>
      </c>
      <c r="CQ754" s="244">
        <v>0</v>
      </c>
      <c r="CR754" s="244">
        <v>0</v>
      </c>
      <c r="CS754" s="244">
        <v>0</v>
      </c>
      <c r="CT754" s="244">
        <v>0</v>
      </c>
      <c r="CU754" s="244">
        <v>0</v>
      </c>
      <c r="CV754" s="244">
        <v>9999</v>
      </c>
      <c r="CW754" s="228">
        <v>9999</v>
      </c>
    </row>
    <row r="755" spans="1:101">
      <c r="A755" s="221" t="s">
        <v>528</v>
      </c>
      <c r="C755" s="244">
        <v>10.000000953674316</v>
      </c>
      <c r="D755" s="244">
        <v>32.133518218994141</v>
      </c>
      <c r="E755" s="244">
        <v>2.0620620250701904</v>
      </c>
      <c r="F755" s="244">
        <v>3.2966773509979248</v>
      </c>
      <c r="G755" s="244">
        <v>0</v>
      </c>
      <c r="H755" s="244">
        <v>0</v>
      </c>
      <c r="I755" s="244"/>
      <c r="J755" s="244">
        <v>0.3676190972328186</v>
      </c>
      <c r="K755" s="244">
        <v>0.35392290353775024</v>
      </c>
      <c r="L755" s="244">
        <v>35.041454315185547</v>
      </c>
      <c r="M755" s="244">
        <v>4.2195371352136135E-3</v>
      </c>
      <c r="N755" s="244">
        <v>1.2844846583902836E-2</v>
      </c>
      <c r="O755" s="244">
        <v>2.0826826095581055</v>
      </c>
      <c r="P755" s="244">
        <v>6.3201310113072395E-3</v>
      </c>
      <c r="Q755" s="244">
        <v>1.9937321543693542E-2</v>
      </c>
      <c r="R755" s="244">
        <v>0.32778394222259521</v>
      </c>
      <c r="S755" s="244">
        <v>1.8114458322525024</v>
      </c>
      <c r="T755" s="244">
        <v>0</v>
      </c>
      <c r="U755" s="244">
        <v>3.6513762474060059</v>
      </c>
      <c r="V755" s="244">
        <v>0.32966774702072144</v>
      </c>
      <c r="W755" s="244">
        <v>0.32966774702072144</v>
      </c>
      <c r="X755" s="244">
        <v>0</v>
      </c>
      <c r="Y755" s="244">
        <v>0</v>
      </c>
      <c r="Z755" s="244">
        <v>0</v>
      </c>
      <c r="AA755" s="244">
        <v>0</v>
      </c>
      <c r="AB755" s="244">
        <v>0</v>
      </c>
      <c r="AC755" s="244">
        <v>0</v>
      </c>
      <c r="AD755" s="244">
        <v>0</v>
      </c>
      <c r="AE755" s="244">
        <v>0</v>
      </c>
      <c r="AF755" s="244">
        <v>0</v>
      </c>
      <c r="AG755" s="244">
        <v>0</v>
      </c>
      <c r="AH755" s="244">
        <v>0.65745168924331665</v>
      </c>
      <c r="AI755" s="244">
        <v>2.1411135196685791</v>
      </c>
      <c r="AJ755" s="244">
        <v>0</v>
      </c>
      <c r="AK755" s="244">
        <v>3.6513762474060059</v>
      </c>
      <c r="AL755" s="244">
        <v>6.4499416351318359</v>
      </c>
      <c r="AM755" s="244">
        <v>24.649883270263672</v>
      </c>
      <c r="AN755" s="244">
        <v>0</v>
      </c>
      <c r="AO755" s="244">
        <v>4.3427734375</v>
      </c>
      <c r="AP755" s="244">
        <v>18.777849197387695</v>
      </c>
      <c r="AQ755" s="244">
        <v>47.7705078125</v>
      </c>
      <c r="AR755" s="244">
        <v>0.65745168924331665</v>
      </c>
      <c r="AS755" s="228">
        <v>72.660100638165602</v>
      </c>
      <c r="AT755" s="244">
        <v>24.649883270263672</v>
      </c>
      <c r="AU755" s="244">
        <v>3.6817307472229004</v>
      </c>
      <c r="AV755" s="244">
        <v>4.7109465599060059</v>
      </c>
      <c r="AW755" s="244">
        <v>18.777849197387695</v>
      </c>
      <c r="AX755" s="244">
        <v>51.820411682128906</v>
      </c>
      <c r="AY755" s="244">
        <v>2.1411135196685791</v>
      </c>
      <c r="AZ755" s="228">
        <v>24.202550614979572</v>
      </c>
      <c r="BA755" s="244">
        <v>24.649883270263672</v>
      </c>
      <c r="BB755" s="244">
        <v>3.6817307472229004</v>
      </c>
      <c r="BC755" s="244">
        <v>4.7109465599060059</v>
      </c>
      <c r="BD755" s="244">
        <v>18.777849197387695</v>
      </c>
      <c r="BE755" s="244">
        <v>51.820411682128906</v>
      </c>
      <c r="BF755" s="244">
        <v>2.7985653877258301</v>
      </c>
      <c r="BG755" s="244">
        <v>-55.810157775878906</v>
      </c>
      <c r="BH755" s="228">
        <v>18.516777277897528</v>
      </c>
      <c r="BI755" s="244">
        <v>1.505520224571228</v>
      </c>
      <c r="BJ755" s="244">
        <v>4.9030065536499023</v>
      </c>
      <c r="BK755" s="244">
        <v>0</v>
      </c>
      <c r="BL755" s="244">
        <v>8.3614072799682617</v>
      </c>
      <c r="BM755" s="244">
        <v>14.769933700561523</v>
      </c>
      <c r="BN755" s="244">
        <v>24.649883270263672</v>
      </c>
      <c r="BO755" s="244">
        <v>17.215185165405273</v>
      </c>
      <c r="BP755" s="244">
        <v>3.6817307472229004</v>
      </c>
      <c r="BQ755" s="244">
        <v>0</v>
      </c>
      <c r="BR755" s="244">
        <v>0</v>
      </c>
      <c r="BS755" s="244">
        <v>0</v>
      </c>
      <c r="BT755" s="244">
        <v>18.777849197387695</v>
      </c>
      <c r="BU755" s="244">
        <v>0</v>
      </c>
      <c r="BV755" s="244">
        <v>113.90313720703125</v>
      </c>
      <c r="BW755" s="244">
        <v>4.7109465599060059</v>
      </c>
      <c r="BX755" s="244">
        <v>5.7906060218811035</v>
      </c>
      <c r="BY755" s="244">
        <v>0.65933549404144287</v>
      </c>
      <c r="BZ755" s="244">
        <v>0</v>
      </c>
      <c r="CA755" s="244">
        <v>0</v>
      </c>
      <c r="CB755" s="244">
        <v>182.93873596191406</v>
      </c>
      <c r="CC755" s="244">
        <v>6.4499416351318359</v>
      </c>
      <c r="CD755" s="228">
        <v>28.362851305799904</v>
      </c>
      <c r="CE755" s="244">
        <v>-347.700927734375</v>
      </c>
      <c r="CF755" s="244">
        <v>0.26458091162701225</v>
      </c>
      <c r="CG755" s="244">
        <v>0.19493909540058241</v>
      </c>
      <c r="CH755" s="244">
        <v>0.45952000702759466</v>
      </c>
      <c r="CI755" s="244">
        <v>1.2975153972549806E-2</v>
      </c>
      <c r="CJ755" s="244">
        <v>1.2183693462536459E-2</v>
      </c>
      <c r="CK755" s="244">
        <v>2.5158847435086264E-2</v>
      </c>
      <c r="CL755" s="244"/>
      <c r="CM755" s="244">
        <v>2.0826826095581055</v>
      </c>
      <c r="CN755" s="244"/>
      <c r="CO755" s="244">
        <v>0.28600001335144043</v>
      </c>
      <c r="CP755" s="244">
        <v>0.31700000166893005</v>
      </c>
      <c r="CQ755" s="244">
        <v>17.215185165405273</v>
      </c>
      <c r="CR755" s="244">
        <v>0</v>
      </c>
      <c r="CS755" s="244">
        <v>0</v>
      </c>
      <c r="CT755" s="244">
        <v>17.215185165405273</v>
      </c>
      <c r="CU755" s="244">
        <v>0</v>
      </c>
      <c r="CV755" s="244">
        <v>0</v>
      </c>
      <c r="CW755" s="228">
        <v>9999</v>
      </c>
    </row>
    <row r="756" spans="1:101">
      <c r="A756" s="221" t="s">
        <v>473</v>
      </c>
      <c r="C756" s="244">
        <v>10</v>
      </c>
      <c r="D756" s="244">
        <v>4.5135965347290039</v>
      </c>
      <c r="E756" s="244">
        <v>4.093381404876709</v>
      </c>
      <c r="F756" s="244">
        <v>3.2966773509979248</v>
      </c>
      <c r="G756" s="244">
        <v>0</v>
      </c>
      <c r="H756" s="244">
        <v>0</v>
      </c>
      <c r="I756" s="244"/>
      <c r="J756" s="244">
        <v>1</v>
      </c>
      <c r="K756" s="244">
        <v>0.64000004529953003</v>
      </c>
      <c r="L756" s="244">
        <v>4.9228119850158691</v>
      </c>
      <c r="M756" s="244">
        <v>3.5965751158073545E-4</v>
      </c>
      <c r="N756" s="244">
        <v>5.6196487275883555E-4</v>
      </c>
      <c r="O756" s="244">
        <v>4.134315013885498</v>
      </c>
      <c r="P756" s="244">
        <v>1.2546037323772907E-2</v>
      </c>
      <c r="Q756" s="244">
        <v>3.9577405899763107E-2</v>
      </c>
      <c r="R756" s="244">
        <v>0.32778394222259521</v>
      </c>
      <c r="S756" s="244">
        <v>1.8114458322525024</v>
      </c>
      <c r="T756" s="244">
        <v>0</v>
      </c>
      <c r="U756" s="244">
        <v>3.6513762474060059</v>
      </c>
      <c r="V756" s="244">
        <v>0.32966774702072144</v>
      </c>
      <c r="W756" s="244">
        <v>0.32966774702072144</v>
      </c>
      <c r="X756" s="244">
        <v>0</v>
      </c>
      <c r="Y756" s="244">
        <v>0</v>
      </c>
      <c r="Z756" s="244">
        <v>0</v>
      </c>
      <c r="AA756" s="244">
        <v>0</v>
      </c>
      <c r="AB756" s="244">
        <v>0</v>
      </c>
      <c r="AC756" s="244">
        <v>0</v>
      </c>
      <c r="AD756" s="244">
        <v>0</v>
      </c>
      <c r="AE756" s="244">
        <v>0</v>
      </c>
      <c r="AF756" s="244">
        <v>0</v>
      </c>
      <c r="AG756" s="244">
        <v>0</v>
      </c>
      <c r="AH756" s="244">
        <v>0.65745168924331665</v>
      </c>
      <c r="AI756" s="244">
        <v>2.1411135196685791</v>
      </c>
      <c r="AJ756" s="244">
        <v>0</v>
      </c>
      <c r="AK756" s="244">
        <v>3.6513762474060059</v>
      </c>
      <c r="AL756" s="244">
        <v>6.4499416351318359</v>
      </c>
      <c r="AM756" s="244">
        <v>3.4108023643493652</v>
      </c>
      <c r="AN756" s="244">
        <v>0</v>
      </c>
      <c r="AO756" s="244">
        <v>0.60488158464431763</v>
      </c>
      <c r="AP756" s="244">
        <v>2.6380131244659424</v>
      </c>
      <c r="AQ756" s="244">
        <v>6.6536970138549805</v>
      </c>
      <c r="AR756" s="244">
        <v>0.65745168924331665</v>
      </c>
      <c r="AS756" s="228">
        <v>10.120434979971821</v>
      </c>
      <c r="AT756" s="244">
        <v>3.4108023643493652</v>
      </c>
      <c r="AU756" s="244">
        <v>0.16107653081417084</v>
      </c>
      <c r="AV756" s="244">
        <v>0.62098920345306396</v>
      </c>
      <c r="AW756" s="244">
        <v>2.6380131244659424</v>
      </c>
      <c r="AX756" s="244">
        <v>6.8308811187744141</v>
      </c>
      <c r="AY756" s="244">
        <v>2.1411135196685791</v>
      </c>
      <c r="AZ756" s="228">
        <v>3.1903404327579885</v>
      </c>
      <c r="BA756" s="244">
        <v>3.4108023643493652</v>
      </c>
      <c r="BB756" s="244">
        <v>0.16107653081417084</v>
      </c>
      <c r="BC756" s="244">
        <v>0.62098920345306396</v>
      </c>
      <c r="BD756" s="244">
        <v>2.6380131244659424</v>
      </c>
      <c r="BE756" s="244">
        <v>6.8308811187744141</v>
      </c>
      <c r="BF756" s="244">
        <v>2.7985653877258301</v>
      </c>
      <c r="BG756" s="244">
        <v>-10.130765914916992</v>
      </c>
      <c r="BH756" s="228">
        <v>2.4408511389492968</v>
      </c>
      <c r="BI756" s="244">
        <v>10.716562271118164</v>
      </c>
      <c r="BJ756" s="244">
        <v>34.900474548339844</v>
      </c>
      <c r="BK756" s="244">
        <v>0</v>
      </c>
      <c r="BL756" s="244">
        <v>59.517986297607422</v>
      </c>
      <c r="BM756" s="244">
        <v>105.13502502441406</v>
      </c>
      <c r="BN756" s="244">
        <v>3.4108023643493652</v>
      </c>
      <c r="BO756" s="244">
        <v>34.173713684082031</v>
      </c>
      <c r="BP756" s="244">
        <v>0.16107653081417084</v>
      </c>
      <c r="BQ756" s="244">
        <v>0</v>
      </c>
      <c r="BR756" s="244">
        <v>0</v>
      </c>
      <c r="BS756" s="244">
        <v>0</v>
      </c>
      <c r="BT756" s="244">
        <v>2.6380131244659424</v>
      </c>
      <c r="BU756" s="244">
        <v>0</v>
      </c>
      <c r="BV756" s="244">
        <v>139.96092224121094</v>
      </c>
      <c r="BW756" s="244">
        <v>0.62098920345306396</v>
      </c>
      <c r="BX756" s="244">
        <v>5.7906060218811035</v>
      </c>
      <c r="BY756" s="244">
        <v>0.65933549404144287</v>
      </c>
      <c r="BZ756" s="244">
        <v>0</v>
      </c>
      <c r="CA756" s="244">
        <v>0</v>
      </c>
      <c r="CB756" s="244">
        <v>180.96551513671875</v>
      </c>
      <c r="CC756" s="244">
        <v>6.4499416351318359</v>
      </c>
      <c r="CD756" s="228">
        <v>28.056923725841209</v>
      </c>
      <c r="CE756" s="244">
        <v>-2789.033935546875</v>
      </c>
      <c r="CF756" s="244">
        <v>3.7330906615793719E-2</v>
      </c>
      <c r="CG756" s="244">
        <v>0.38697190523391367</v>
      </c>
      <c r="CH756" s="244">
        <v>0.42430281184970742</v>
      </c>
      <c r="CI756" s="244">
        <v>1.8324421783543173E-3</v>
      </c>
      <c r="CJ756" s="244">
        <v>2.4185744077119795E-2</v>
      </c>
      <c r="CK756" s="244">
        <v>2.6018186255474113E-2</v>
      </c>
      <c r="CL756" s="244"/>
      <c r="CM756" s="244">
        <v>4.134315013885498</v>
      </c>
      <c r="CN756" s="244"/>
      <c r="CO756" s="244">
        <v>0.28600001335144043</v>
      </c>
      <c r="CP756" s="244">
        <v>0.31700000166893005</v>
      </c>
      <c r="CQ756" s="244">
        <v>34.173713684082031</v>
      </c>
      <c r="CR756" s="244">
        <v>0</v>
      </c>
      <c r="CS756" s="244">
        <v>0</v>
      </c>
      <c r="CT756" s="244">
        <v>34.173713684082031</v>
      </c>
      <c r="CU756" s="244">
        <v>0</v>
      </c>
      <c r="CV756" s="244">
        <v>0</v>
      </c>
      <c r="CW756" s="228">
        <v>9999</v>
      </c>
    </row>
    <row r="757" spans="1:101">
      <c r="A757" s="221" t="s">
        <v>501</v>
      </c>
      <c r="C757" s="244">
        <v>9.9999990463256836</v>
      </c>
      <c r="D757" s="244">
        <v>37.077583312988281</v>
      </c>
      <c r="E757" s="244">
        <v>1.5640462636947632</v>
      </c>
      <c r="F757" s="244">
        <v>3.2966773509979248</v>
      </c>
      <c r="G757" s="244">
        <v>0</v>
      </c>
      <c r="H757" s="244">
        <v>0</v>
      </c>
      <c r="I757" s="244"/>
      <c r="J757" s="244">
        <v>0.35111883282661438</v>
      </c>
      <c r="K757" s="244">
        <v>0.34645849466323853</v>
      </c>
      <c r="L757" s="244">
        <v>40.432769775390625</v>
      </c>
      <c r="M757" s="244">
        <v>4.9187024123966694E-3</v>
      </c>
      <c r="N757" s="244">
        <v>1.508741918951273E-2</v>
      </c>
      <c r="O757" s="244">
        <v>1.5796867609024048</v>
      </c>
      <c r="P757" s="244">
        <v>4.7937342897057533E-3</v>
      </c>
      <c r="Q757" s="244">
        <v>1.5122190117835999E-2</v>
      </c>
      <c r="R757" s="244">
        <v>0.32778394222259521</v>
      </c>
      <c r="S757" s="244">
        <v>1.8114458322525024</v>
      </c>
      <c r="T757" s="244">
        <v>0</v>
      </c>
      <c r="U757" s="244">
        <v>3.6513762474060059</v>
      </c>
      <c r="V757" s="244">
        <v>0.32966774702072144</v>
      </c>
      <c r="W757" s="244">
        <v>0.32966774702072144</v>
      </c>
      <c r="X757" s="244">
        <v>0</v>
      </c>
      <c r="Y757" s="244">
        <v>0</v>
      </c>
      <c r="Z757" s="244">
        <v>0</v>
      </c>
      <c r="AA757" s="244">
        <v>0</v>
      </c>
      <c r="AB757" s="244">
        <v>0</v>
      </c>
      <c r="AC757" s="244">
        <v>0</v>
      </c>
      <c r="AD757" s="244">
        <v>0</v>
      </c>
      <c r="AE757" s="244">
        <v>0</v>
      </c>
      <c r="AF757" s="244">
        <v>0</v>
      </c>
      <c r="AG757" s="244">
        <v>0</v>
      </c>
      <c r="AH757" s="244">
        <v>0.65745168924331665</v>
      </c>
      <c r="AI757" s="244">
        <v>2.1411135196685791</v>
      </c>
      <c r="AJ757" s="244">
        <v>0</v>
      </c>
      <c r="AK757" s="244">
        <v>3.6513762474060059</v>
      </c>
      <c r="AL757" s="244">
        <v>6.4499416351318359</v>
      </c>
      <c r="AM757" s="244">
        <v>28.453577041625977</v>
      </c>
      <c r="AN757" s="244">
        <v>0</v>
      </c>
      <c r="AO757" s="244">
        <v>5.012049674987793</v>
      </c>
      <c r="AP757" s="244">
        <v>21.666919708251953</v>
      </c>
      <c r="AQ757" s="244">
        <v>55.132545471191406</v>
      </c>
      <c r="AR757" s="244">
        <v>0.65745168924331665</v>
      </c>
      <c r="AS757" s="228">
        <v>83.857943217576391</v>
      </c>
      <c r="AT757" s="244">
        <v>28.453577041625977</v>
      </c>
      <c r="AU757" s="244">
        <v>4.324521541595459</v>
      </c>
      <c r="AV757" s="244">
        <v>5.4445018768310547</v>
      </c>
      <c r="AW757" s="244">
        <v>21.666919708251953</v>
      </c>
      <c r="AX757" s="244">
        <v>59.889518737792969</v>
      </c>
      <c r="AY757" s="244">
        <v>2.1411135196685791</v>
      </c>
      <c r="AZ757" s="228">
        <v>27.971201877404955</v>
      </c>
      <c r="BA757" s="244">
        <v>28.453577041625977</v>
      </c>
      <c r="BB757" s="244">
        <v>4.324521541595459</v>
      </c>
      <c r="BC757" s="244">
        <v>5.4445018768310547</v>
      </c>
      <c r="BD757" s="244">
        <v>21.666919708251953</v>
      </c>
      <c r="BE757" s="244">
        <v>59.889518737792969</v>
      </c>
      <c r="BF757" s="244">
        <v>2.7985653877258301</v>
      </c>
      <c r="BG757" s="244">
        <v>-56.833534240722656</v>
      </c>
      <c r="BH757" s="228">
        <v>21.400079834496978</v>
      </c>
      <c r="BI757" s="244">
        <v>1.3047739267349243</v>
      </c>
      <c r="BJ757" s="244">
        <v>4.2492384910583496</v>
      </c>
      <c r="BK757" s="244">
        <v>0</v>
      </c>
      <c r="BL757" s="244">
        <v>7.246495246887207</v>
      </c>
      <c r="BM757" s="244">
        <v>12.800507545471191</v>
      </c>
      <c r="BN757" s="244">
        <v>28.453577041625977</v>
      </c>
      <c r="BO757" s="244">
        <v>13.057485580444336</v>
      </c>
      <c r="BP757" s="244">
        <v>4.324521541595459</v>
      </c>
      <c r="BQ757" s="244">
        <v>0</v>
      </c>
      <c r="BR757" s="244">
        <v>0</v>
      </c>
      <c r="BS757" s="244">
        <v>0</v>
      </c>
      <c r="BT757" s="244">
        <v>21.666919708251953</v>
      </c>
      <c r="BU757" s="244">
        <v>0</v>
      </c>
      <c r="BV757" s="244">
        <v>104.85858917236328</v>
      </c>
      <c r="BW757" s="244">
        <v>5.4445018768310547</v>
      </c>
      <c r="BX757" s="244">
        <v>5.7906060218811035</v>
      </c>
      <c r="BY757" s="244">
        <v>0.65933549404144287</v>
      </c>
      <c r="BZ757" s="244">
        <v>0</v>
      </c>
      <c r="CA757" s="244">
        <v>0</v>
      </c>
      <c r="CB757" s="244">
        <v>177.80558776855469</v>
      </c>
      <c r="CC757" s="244">
        <v>6.4499416351318359</v>
      </c>
      <c r="CD757" s="228">
        <v>27.567008860805185</v>
      </c>
      <c r="CE757" s="244">
        <v>-283.60244750976562</v>
      </c>
      <c r="CF757" s="244">
        <v>0.30525354304817942</v>
      </c>
      <c r="CG757" s="244">
        <v>0.1478586805583845</v>
      </c>
      <c r="CH757" s="244">
        <v>0.45311222360656389</v>
      </c>
      <c r="CI757" s="244">
        <v>1.4969387557386639E-2</v>
      </c>
      <c r="CJ757" s="244">
        <v>9.2411675348990415E-3</v>
      </c>
      <c r="CK757" s="244">
        <v>2.4210555092285681E-2</v>
      </c>
      <c r="CL757" s="244"/>
      <c r="CM757" s="244">
        <v>1.5796867609024048</v>
      </c>
      <c r="CN757" s="244"/>
      <c r="CO757" s="244">
        <v>0.28600001335144043</v>
      </c>
      <c r="CP757" s="244">
        <v>0.31700000166893005</v>
      </c>
      <c r="CQ757" s="244">
        <v>13.057485580444336</v>
      </c>
      <c r="CR757" s="244">
        <v>0</v>
      </c>
      <c r="CS757" s="244">
        <v>0</v>
      </c>
      <c r="CT757" s="244">
        <v>13.057485580444336</v>
      </c>
      <c r="CU757" s="244">
        <v>0</v>
      </c>
      <c r="CV757" s="244">
        <v>0</v>
      </c>
      <c r="CW757" s="228">
        <v>9999</v>
      </c>
    </row>
    <row r="758" spans="1:101">
      <c r="A758" s="221" t="s">
        <v>525</v>
      </c>
      <c r="C758" s="244">
        <v>10.000000953674316</v>
      </c>
      <c r="D758" s="244">
        <v>31.928428649902344</v>
      </c>
      <c r="E758" s="244">
        <v>2.061002254486084</v>
      </c>
      <c r="F758" s="244">
        <v>3.2966773509979248</v>
      </c>
      <c r="G758" s="244">
        <v>0</v>
      </c>
      <c r="H758" s="244">
        <v>0</v>
      </c>
      <c r="I758" s="244"/>
      <c r="J758" s="244">
        <v>0.36388406157493591</v>
      </c>
      <c r="K758" s="244">
        <v>0.35223326086997986</v>
      </c>
      <c r="L758" s="244">
        <v>34.817771911621094</v>
      </c>
      <c r="M758" s="244">
        <v>4.2023416608572006E-3</v>
      </c>
      <c r="N758" s="244">
        <v>1.2814766727387905E-2</v>
      </c>
      <c r="O758" s="244">
        <v>2.0816123485565186</v>
      </c>
      <c r="P758" s="244">
        <v>6.3168834894895554E-3</v>
      </c>
      <c r="Q758" s="244">
        <v>1.9927076995372772E-2</v>
      </c>
      <c r="R758" s="244">
        <v>0.32778394222259521</v>
      </c>
      <c r="S758" s="244">
        <v>1.8114458322525024</v>
      </c>
      <c r="T758" s="244">
        <v>0</v>
      </c>
      <c r="U758" s="244">
        <v>3.6513762474060059</v>
      </c>
      <c r="V758" s="244">
        <v>0.32966774702072144</v>
      </c>
      <c r="W758" s="244">
        <v>0.32966774702072144</v>
      </c>
      <c r="X758" s="244">
        <v>0</v>
      </c>
      <c r="Y758" s="244">
        <v>0</v>
      </c>
      <c r="Z758" s="244">
        <v>0</v>
      </c>
      <c r="AA758" s="244">
        <v>0</v>
      </c>
      <c r="AB758" s="244">
        <v>0</v>
      </c>
      <c r="AC758" s="244">
        <v>0</v>
      </c>
      <c r="AD758" s="244">
        <v>0</v>
      </c>
      <c r="AE758" s="244">
        <v>0</v>
      </c>
      <c r="AF758" s="244">
        <v>0</v>
      </c>
      <c r="AG758" s="244">
        <v>0</v>
      </c>
      <c r="AH758" s="244">
        <v>0.65745168924331665</v>
      </c>
      <c r="AI758" s="244">
        <v>2.1411135196685791</v>
      </c>
      <c r="AJ758" s="244">
        <v>0</v>
      </c>
      <c r="AK758" s="244">
        <v>3.6513762474060059</v>
      </c>
      <c r="AL758" s="244">
        <v>6.4499416351318359</v>
      </c>
      <c r="AM758" s="244">
        <v>24.494714736938477</v>
      </c>
      <c r="AN758" s="244">
        <v>0</v>
      </c>
      <c r="AO758" s="244">
        <v>4.315269947052002</v>
      </c>
      <c r="AP758" s="244">
        <v>18.657985687255859</v>
      </c>
      <c r="AQ758" s="244">
        <v>47.467971801757813</v>
      </c>
      <c r="AR758" s="244">
        <v>0.65745168924331665</v>
      </c>
      <c r="AS758" s="228">
        <v>72.199936737372795</v>
      </c>
      <c r="AT758" s="244">
        <v>24.494714736938477</v>
      </c>
      <c r="AU758" s="244">
        <v>3.6731088161468506</v>
      </c>
      <c r="AV758" s="244">
        <v>4.6825809478759766</v>
      </c>
      <c r="AW758" s="244">
        <v>18.657985687255859</v>
      </c>
      <c r="AX758" s="244">
        <v>51.508388519287109</v>
      </c>
      <c r="AY758" s="244">
        <v>2.1411135196685791</v>
      </c>
      <c r="AZ758" s="228">
        <v>24.056822901333934</v>
      </c>
      <c r="BA758" s="244">
        <v>24.494714736938477</v>
      </c>
      <c r="BB758" s="244">
        <v>3.6731088161468506</v>
      </c>
      <c r="BC758" s="244">
        <v>4.6825809478759766</v>
      </c>
      <c r="BD758" s="244">
        <v>18.657985687255859</v>
      </c>
      <c r="BE758" s="244">
        <v>51.508388519287109</v>
      </c>
      <c r="BF758" s="244">
        <v>2.7985653877258301</v>
      </c>
      <c r="BG758" s="244">
        <v>-55.807220458984375</v>
      </c>
      <c r="BH758" s="228">
        <v>18.405284581953186</v>
      </c>
      <c r="BI758" s="244">
        <v>1.5151923894882202</v>
      </c>
      <c r="BJ758" s="244">
        <v>4.9345054626464844</v>
      </c>
      <c r="BK758" s="244">
        <v>0</v>
      </c>
      <c r="BL758" s="244">
        <v>8.4151239395141602</v>
      </c>
      <c r="BM758" s="244">
        <v>14.864822387695313</v>
      </c>
      <c r="BN758" s="244">
        <v>24.494714736938477</v>
      </c>
      <c r="BO758" s="244">
        <v>17.206336975097656</v>
      </c>
      <c r="BP758" s="244">
        <v>3.6731088161468506</v>
      </c>
      <c r="BQ758" s="244">
        <v>0</v>
      </c>
      <c r="BR758" s="244">
        <v>0</v>
      </c>
      <c r="BS758" s="244">
        <v>0</v>
      </c>
      <c r="BT758" s="244">
        <v>18.657985687255859</v>
      </c>
      <c r="BU758" s="244">
        <v>0</v>
      </c>
      <c r="BV758" s="244">
        <v>107.99705505371094</v>
      </c>
      <c r="BW758" s="244">
        <v>4.6825809478759766</v>
      </c>
      <c r="BX758" s="244">
        <v>5.7906060218811035</v>
      </c>
      <c r="BY758" s="244">
        <v>0.65933549404144287</v>
      </c>
      <c r="BZ758" s="244">
        <v>0</v>
      </c>
      <c r="CA758" s="244">
        <v>0</v>
      </c>
      <c r="CB758" s="244">
        <v>176.71177673339844</v>
      </c>
      <c r="CC758" s="244">
        <v>6.4499416351318359</v>
      </c>
      <c r="CD758" s="228">
        <v>27.397423958153574</v>
      </c>
      <c r="CE758" s="244">
        <v>-335.94140625</v>
      </c>
      <c r="CF758" s="244">
        <v>0.26288526637417509</v>
      </c>
      <c r="CG758" s="244">
        <v>0.19483891989251098</v>
      </c>
      <c r="CH758" s="244">
        <v>0.45772418626668609</v>
      </c>
      <c r="CI758" s="244">
        <v>1.2891927006832699E-2</v>
      </c>
      <c r="CJ758" s="244">
        <v>1.2177432493282053E-2</v>
      </c>
      <c r="CK758" s="244">
        <v>2.5069359500114751E-2</v>
      </c>
      <c r="CL758" s="244"/>
      <c r="CM758" s="244">
        <v>2.0816123485565186</v>
      </c>
      <c r="CN758" s="244"/>
      <c r="CO758" s="244">
        <v>0.28600004315376282</v>
      </c>
      <c r="CP758" s="244">
        <v>0.31700003147125244</v>
      </c>
      <c r="CQ758" s="244">
        <v>17.206336975097656</v>
      </c>
      <c r="CR758" s="244">
        <v>0</v>
      </c>
      <c r="CS758" s="244">
        <v>0</v>
      </c>
      <c r="CT758" s="244">
        <v>17.206336975097656</v>
      </c>
      <c r="CU758" s="244">
        <v>0</v>
      </c>
      <c r="CV758" s="244">
        <v>0</v>
      </c>
      <c r="CW758" s="228">
        <v>9999</v>
      </c>
    </row>
    <row r="759" spans="1:101">
      <c r="A759" s="221" t="s">
        <v>470</v>
      </c>
      <c r="C759" s="244">
        <v>10.000000953674316</v>
      </c>
      <c r="D759" s="244">
        <v>4.2795581817626953</v>
      </c>
      <c r="E759" s="244">
        <v>4.091278076171875</v>
      </c>
      <c r="F759" s="244">
        <v>3.2966773509979248</v>
      </c>
      <c r="G759" s="244">
        <v>0</v>
      </c>
      <c r="H759" s="244">
        <v>0</v>
      </c>
      <c r="I759" s="244"/>
      <c r="J759" s="244">
        <v>1</v>
      </c>
      <c r="K759" s="244">
        <v>0.64000004529953003</v>
      </c>
      <c r="L759" s="244">
        <v>4.6675553321838379</v>
      </c>
      <c r="M759" s="244">
        <v>3.4100859193131328E-4</v>
      </c>
      <c r="N759" s="244">
        <v>5.3282594308257103E-4</v>
      </c>
      <c r="O759" s="244">
        <v>4.1321907043457031</v>
      </c>
      <c r="P759" s="244">
        <v>1.2539589777588844E-2</v>
      </c>
      <c r="Q759" s="244">
        <v>3.9557065814733505E-2</v>
      </c>
      <c r="R759" s="244">
        <v>0.32778394222259521</v>
      </c>
      <c r="S759" s="244">
        <v>1.8114458322525024</v>
      </c>
      <c r="T759" s="244">
        <v>0</v>
      </c>
      <c r="U759" s="244">
        <v>3.6513762474060059</v>
      </c>
      <c r="V759" s="244">
        <v>0.32966774702072144</v>
      </c>
      <c r="W759" s="244">
        <v>0.32966774702072144</v>
      </c>
      <c r="X759" s="244">
        <v>0</v>
      </c>
      <c r="Y759" s="244">
        <v>0</v>
      </c>
      <c r="Z759" s="244">
        <v>0</v>
      </c>
      <c r="AA759" s="244">
        <v>0</v>
      </c>
      <c r="AB759" s="244">
        <v>0</v>
      </c>
      <c r="AC759" s="244">
        <v>0</v>
      </c>
      <c r="AD759" s="244">
        <v>0</v>
      </c>
      <c r="AE759" s="244">
        <v>0</v>
      </c>
      <c r="AF759" s="244">
        <v>0</v>
      </c>
      <c r="AG759" s="244">
        <v>0</v>
      </c>
      <c r="AH759" s="244">
        <v>0.65745168924331665</v>
      </c>
      <c r="AI759" s="244">
        <v>2.1411135196685791</v>
      </c>
      <c r="AJ759" s="244">
        <v>0</v>
      </c>
      <c r="AK759" s="244">
        <v>3.6513762474060059</v>
      </c>
      <c r="AL759" s="244">
        <v>6.4499416351318359</v>
      </c>
      <c r="AM759" s="244">
        <v>3.2339458465576172</v>
      </c>
      <c r="AN759" s="244">
        <v>0</v>
      </c>
      <c r="AO759" s="244">
        <v>0.5735173225402832</v>
      </c>
      <c r="AP759" s="244">
        <v>2.5012271404266357</v>
      </c>
      <c r="AQ759" s="244">
        <v>6.308690071105957</v>
      </c>
      <c r="AR759" s="244">
        <v>0.65745168924331665</v>
      </c>
      <c r="AS759" s="228">
        <v>9.5956713059562162</v>
      </c>
      <c r="AT759" s="244">
        <v>3.2339458465576172</v>
      </c>
      <c r="AU759" s="244">
        <v>0.15272438526153564</v>
      </c>
      <c r="AV759" s="244">
        <v>0.58878976106643677</v>
      </c>
      <c r="AW759" s="244">
        <v>2.5012271404266357</v>
      </c>
      <c r="AX759" s="244">
        <v>6.476686954498291</v>
      </c>
      <c r="AY759" s="244">
        <v>2.1411135196685791</v>
      </c>
      <c r="AZ759" s="228">
        <v>3.0249152571862448</v>
      </c>
      <c r="BA759" s="244">
        <v>3.2339458465576172</v>
      </c>
      <c r="BB759" s="244">
        <v>0.15272438526153564</v>
      </c>
      <c r="BC759" s="244">
        <v>0.58878976106643677</v>
      </c>
      <c r="BD759" s="244">
        <v>2.5012271404266357</v>
      </c>
      <c r="BE759" s="244">
        <v>6.476686954498291</v>
      </c>
      <c r="BF759" s="244">
        <v>2.7985653877258301</v>
      </c>
      <c r="BG759" s="244">
        <v>-7.6360816955566406</v>
      </c>
      <c r="BH759" s="228">
        <v>2.3142883984783311</v>
      </c>
      <c r="BI759" s="244">
        <v>11.302623748779297</v>
      </c>
      <c r="BJ759" s="244">
        <v>36.809093475341797</v>
      </c>
      <c r="BK759" s="244">
        <v>0</v>
      </c>
      <c r="BL759" s="244">
        <v>62.772876739501953</v>
      </c>
      <c r="BM759" s="244">
        <v>110.88459777832031</v>
      </c>
      <c r="BN759" s="244">
        <v>3.2339458465576172</v>
      </c>
      <c r="BO759" s="244">
        <v>34.156150817871094</v>
      </c>
      <c r="BP759" s="244">
        <v>0.15272438526153564</v>
      </c>
      <c r="BQ759" s="244">
        <v>0</v>
      </c>
      <c r="BR759" s="244">
        <v>0</v>
      </c>
      <c r="BS759" s="244">
        <v>0</v>
      </c>
      <c r="BT759" s="244">
        <v>2.5012271404266357</v>
      </c>
      <c r="BU759" s="244">
        <v>0</v>
      </c>
      <c r="BV759" s="244">
        <v>132.70368957519531</v>
      </c>
      <c r="BW759" s="244">
        <v>0.58878976106643677</v>
      </c>
      <c r="BX759" s="244">
        <v>5.7906060218811035</v>
      </c>
      <c r="BY759" s="244">
        <v>0.65933549404144287</v>
      </c>
      <c r="BZ759" s="244">
        <v>0</v>
      </c>
      <c r="CA759" s="244">
        <v>0</v>
      </c>
      <c r="CB759" s="244">
        <v>173.33653259277344</v>
      </c>
      <c r="CC759" s="244">
        <v>6.4499416351318359</v>
      </c>
      <c r="CD759" s="228">
        <v>26.874123912360158</v>
      </c>
      <c r="CE759" s="244">
        <v>-2813.4453125</v>
      </c>
      <c r="CF759" s="244">
        <v>3.5395229976456333E-2</v>
      </c>
      <c r="CG759" s="244">
        <v>0.38677304770286869</v>
      </c>
      <c r="CH759" s="244">
        <v>0.42216827767932502</v>
      </c>
      <c r="CI759" s="244">
        <v>1.7374266579952033E-3</v>
      </c>
      <c r="CJ759" s="244">
        <v>2.4173315481429383E-2</v>
      </c>
      <c r="CK759" s="244">
        <v>2.5910742139424587E-2</v>
      </c>
      <c r="CL759" s="244"/>
      <c r="CM759" s="244">
        <v>4.1321907043457031</v>
      </c>
      <c r="CN759" s="244"/>
      <c r="CO759" s="244">
        <v>0.28600001335144043</v>
      </c>
      <c r="CP759" s="244">
        <v>0.31699997186660767</v>
      </c>
      <c r="CQ759" s="244">
        <v>34.156150817871094</v>
      </c>
      <c r="CR759" s="244">
        <v>0</v>
      </c>
      <c r="CS759" s="244">
        <v>0</v>
      </c>
      <c r="CT759" s="244">
        <v>34.156150817871094</v>
      </c>
      <c r="CU759" s="244">
        <v>0</v>
      </c>
      <c r="CV759" s="244">
        <v>0</v>
      </c>
      <c r="CW759" s="228">
        <v>9999</v>
      </c>
    </row>
    <row r="760" spans="1:101">
      <c r="A760" s="221" t="s">
        <v>498</v>
      </c>
      <c r="C760" s="244">
        <v>10</v>
      </c>
      <c r="D760" s="244">
        <v>36.884922027587891</v>
      </c>
      <c r="E760" s="244">
        <v>1.5632425546646118</v>
      </c>
      <c r="F760" s="244">
        <v>3.2966773509979248</v>
      </c>
      <c r="G760" s="244">
        <v>0</v>
      </c>
      <c r="H760" s="244">
        <v>0</v>
      </c>
      <c r="I760" s="244"/>
      <c r="J760" s="244">
        <v>0.34806481003761292</v>
      </c>
      <c r="K760" s="244">
        <v>0.34507694840431213</v>
      </c>
      <c r="L760" s="244">
        <v>40.222648620605469</v>
      </c>
      <c r="M760" s="244">
        <v>4.902341403067112E-3</v>
      </c>
      <c r="N760" s="244">
        <v>1.505805179476738E-2</v>
      </c>
      <c r="O760" s="244">
        <v>1.578874945640564</v>
      </c>
      <c r="P760" s="244">
        <v>4.7912709414958954E-3</v>
      </c>
      <c r="Q760" s="244">
        <v>1.5114419162273407E-2</v>
      </c>
      <c r="R760" s="244">
        <v>0.32778394222259521</v>
      </c>
      <c r="S760" s="244">
        <v>1.8114458322525024</v>
      </c>
      <c r="T760" s="244">
        <v>0</v>
      </c>
      <c r="U760" s="244">
        <v>3.6513762474060059</v>
      </c>
      <c r="V760" s="244">
        <v>0.32966774702072144</v>
      </c>
      <c r="W760" s="244">
        <v>0.32966774702072144</v>
      </c>
      <c r="X760" s="244">
        <v>0</v>
      </c>
      <c r="Y760" s="244">
        <v>0</v>
      </c>
      <c r="Z760" s="244">
        <v>0</v>
      </c>
      <c r="AA760" s="244">
        <v>0</v>
      </c>
      <c r="AB760" s="244">
        <v>0</v>
      </c>
      <c r="AC760" s="244">
        <v>0</v>
      </c>
      <c r="AD760" s="244">
        <v>0</v>
      </c>
      <c r="AE760" s="244">
        <v>0</v>
      </c>
      <c r="AF760" s="244">
        <v>0</v>
      </c>
      <c r="AG760" s="244">
        <v>0</v>
      </c>
      <c r="AH760" s="244">
        <v>0.65745168924331665</v>
      </c>
      <c r="AI760" s="244">
        <v>2.1411135196685791</v>
      </c>
      <c r="AJ760" s="244">
        <v>0</v>
      </c>
      <c r="AK760" s="244">
        <v>3.6513762474060059</v>
      </c>
      <c r="AL760" s="244">
        <v>6.4499416351318359</v>
      </c>
      <c r="AM760" s="244">
        <v>28.307765960693359</v>
      </c>
      <c r="AN760" s="244">
        <v>0</v>
      </c>
      <c r="AO760" s="244">
        <v>4.9862089157104492</v>
      </c>
      <c r="AP760" s="244">
        <v>21.5543212890625</v>
      </c>
      <c r="AQ760" s="244">
        <v>54.848297119140625</v>
      </c>
      <c r="AR760" s="244">
        <v>0.65745168924331665</v>
      </c>
      <c r="AS760" s="228">
        <v>83.425591663766298</v>
      </c>
      <c r="AT760" s="244">
        <v>28.307765960693359</v>
      </c>
      <c r="AU760" s="244">
        <v>4.3161039352416992</v>
      </c>
      <c r="AV760" s="244">
        <v>5.4178190231323242</v>
      </c>
      <c r="AW760" s="244">
        <v>21.5543212890625</v>
      </c>
      <c r="AX760" s="244">
        <v>59.59600830078125</v>
      </c>
      <c r="AY760" s="244">
        <v>2.1411135196685791</v>
      </c>
      <c r="AZ760" s="228">
        <v>27.834119023409798</v>
      </c>
      <c r="BA760" s="244">
        <v>28.307765960693359</v>
      </c>
      <c r="BB760" s="244">
        <v>4.3161039352416992</v>
      </c>
      <c r="BC760" s="244">
        <v>5.4178190231323242</v>
      </c>
      <c r="BD760" s="244">
        <v>21.5543212890625</v>
      </c>
      <c r="BE760" s="244">
        <v>59.59600830078125</v>
      </c>
      <c r="BF760" s="244">
        <v>2.7985653877258301</v>
      </c>
      <c r="BG760" s="244">
        <v>-56.835777282714844</v>
      </c>
      <c r="BH760" s="228">
        <v>21.295201108430984</v>
      </c>
      <c r="BI760" s="244">
        <v>1.3115899562835693</v>
      </c>
      <c r="BJ760" s="244">
        <v>4.2714362144470215</v>
      </c>
      <c r="BK760" s="244">
        <v>0</v>
      </c>
      <c r="BL760" s="244">
        <v>7.2843503952026367</v>
      </c>
      <c r="BM760" s="244">
        <v>12.867376327514648</v>
      </c>
      <c r="BN760" s="244">
        <v>28.307765960693359</v>
      </c>
      <c r="BO760" s="244">
        <v>13.050775527954102</v>
      </c>
      <c r="BP760" s="244">
        <v>4.3161039352416992</v>
      </c>
      <c r="BQ760" s="244">
        <v>0</v>
      </c>
      <c r="BR760" s="244">
        <v>0</v>
      </c>
      <c r="BS760" s="244">
        <v>0</v>
      </c>
      <c r="BT760" s="244">
        <v>21.5543212890625</v>
      </c>
      <c r="BU760" s="244">
        <v>0</v>
      </c>
      <c r="BV760" s="244">
        <v>99.421493530273438</v>
      </c>
      <c r="BW760" s="244">
        <v>5.4178190231323242</v>
      </c>
      <c r="BX760" s="244">
        <v>5.7906060218811035</v>
      </c>
      <c r="BY760" s="244">
        <v>0.65933549404144287</v>
      </c>
      <c r="BZ760" s="244">
        <v>0</v>
      </c>
      <c r="CA760" s="244">
        <v>0</v>
      </c>
      <c r="CB760" s="244">
        <v>172.06828308105469</v>
      </c>
      <c r="CC760" s="244">
        <v>6.4499416351318359</v>
      </c>
      <c r="CD760" s="228">
        <v>26.677494492249856</v>
      </c>
      <c r="CE760" s="244">
        <v>-273.92913818359375</v>
      </c>
      <c r="CF760" s="244">
        <v>0.30366084431650575</v>
      </c>
      <c r="CG760" s="244">
        <v>0.14778269878357908</v>
      </c>
      <c r="CH760" s="244">
        <v>0.45144354310008483</v>
      </c>
      <c r="CI760" s="244">
        <v>1.4891215024449442E-2</v>
      </c>
      <c r="CJ760" s="244">
        <v>9.2364186739736839E-3</v>
      </c>
      <c r="CK760" s="244">
        <v>2.4127633698423127E-2</v>
      </c>
      <c r="CL760" s="244"/>
      <c r="CM760" s="244">
        <v>1.578874945640564</v>
      </c>
      <c r="CN760" s="244"/>
      <c r="CO760" s="244">
        <v>0.28600001335144043</v>
      </c>
      <c r="CP760" s="244">
        <v>0.31700000166893005</v>
      </c>
      <c r="CQ760" s="244">
        <v>13.050775527954102</v>
      </c>
      <c r="CR760" s="244">
        <v>0</v>
      </c>
      <c r="CS760" s="244">
        <v>0</v>
      </c>
      <c r="CT760" s="244">
        <v>13.050775527954102</v>
      </c>
      <c r="CU760" s="244">
        <v>0</v>
      </c>
      <c r="CV760" s="244">
        <v>0</v>
      </c>
      <c r="CW760" s="228">
        <v>9999</v>
      </c>
    </row>
    <row r="761" spans="1:101">
      <c r="A761" s="221" t="s">
        <v>459</v>
      </c>
      <c r="C761" s="244">
        <v>10</v>
      </c>
      <c r="D761" s="244">
        <v>91.312812805175781</v>
      </c>
      <c r="E761" s="244">
        <v>7.7213239669799805</v>
      </c>
      <c r="F761" s="244">
        <v>11.336667060852051</v>
      </c>
      <c r="G761" s="244">
        <v>0</v>
      </c>
      <c r="H761" s="244">
        <v>0</v>
      </c>
      <c r="I761" s="244"/>
      <c r="J761" s="244">
        <v>0.37744024395942688</v>
      </c>
      <c r="K761" s="244">
        <v>0.35836580395698547</v>
      </c>
      <c r="L761" s="244">
        <v>99.576446533203125</v>
      </c>
      <c r="M761" s="244">
        <v>1.191730797290802E-2</v>
      </c>
      <c r="N761" s="244">
        <v>3.6110486835241318E-2</v>
      </c>
      <c r="O761" s="244">
        <v>7.7985372543334961</v>
      </c>
      <c r="P761" s="244">
        <v>2.3665525019168854E-2</v>
      </c>
      <c r="Q761" s="244">
        <v>7.4654653668403625E-2</v>
      </c>
      <c r="R761" s="244">
        <v>1.1271885633468628</v>
      </c>
      <c r="S761" s="244">
        <v>6.2292284965515137</v>
      </c>
      <c r="T761" s="244">
        <v>0</v>
      </c>
      <c r="U761" s="244">
        <v>12.556410789489746</v>
      </c>
      <c r="V761" s="244">
        <v>1.1336666345596313</v>
      </c>
      <c r="W761" s="244">
        <v>1.1336666345596313</v>
      </c>
      <c r="X761" s="244">
        <v>0</v>
      </c>
      <c r="Y761" s="244">
        <v>0</v>
      </c>
      <c r="Z761" s="244">
        <v>0</v>
      </c>
      <c r="AA761" s="244">
        <v>0</v>
      </c>
      <c r="AB761" s="244">
        <v>0</v>
      </c>
      <c r="AC761" s="244">
        <v>0</v>
      </c>
      <c r="AD761" s="244">
        <v>0</v>
      </c>
      <c r="AE761" s="244">
        <v>0</v>
      </c>
      <c r="AF761" s="244">
        <v>0</v>
      </c>
      <c r="AG761" s="244">
        <v>0</v>
      </c>
      <c r="AH761" s="244">
        <v>2.2608551979064941</v>
      </c>
      <c r="AI761" s="244">
        <v>7.3628950119018555</v>
      </c>
      <c r="AJ761" s="244">
        <v>0</v>
      </c>
      <c r="AK761" s="244">
        <v>12.556410789489746</v>
      </c>
      <c r="AL761" s="244">
        <v>22.18016242980957</v>
      </c>
      <c r="AM761" s="244">
        <v>70.030586242675781</v>
      </c>
      <c r="AN761" s="244">
        <v>0</v>
      </c>
      <c r="AO761" s="244">
        <v>12.339113235473633</v>
      </c>
      <c r="AP761" s="244">
        <v>53.360549926757813</v>
      </c>
      <c r="AQ761" s="244">
        <v>135.73025512695312</v>
      </c>
      <c r="AR761" s="244">
        <v>2.2608551979064941</v>
      </c>
      <c r="AS761" s="228">
        <v>60.034914898835922</v>
      </c>
      <c r="AT761" s="244">
        <v>70.030586242675781</v>
      </c>
      <c r="AU761" s="244">
        <v>10.350383758544922</v>
      </c>
      <c r="AV761" s="244">
        <v>13.374152183532715</v>
      </c>
      <c r="AW761" s="244">
        <v>53.360549926757813</v>
      </c>
      <c r="AX761" s="244">
        <v>147.11567687988281</v>
      </c>
      <c r="AY761" s="244">
        <v>7.3628950119018555</v>
      </c>
      <c r="AZ761" s="228">
        <v>19.980682800966335</v>
      </c>
      <c r="BA761" s="244">
        <v>70.030586242675781</v>
      </c>
      <c r="BB761" s="244">
        <v>10.350383758544922</v>
      </c>
      <c r="BC761" s="244">
        <v>13.374152183532715</v>
      </c>
      <c r="BD761" s="244">
        <v>53.360549926757813</v>
      </c>
      <c r="BE761" s="244">
        <v>147.11567687988281</v>
      </c>
      <c r="BF761" s="244">
        <v>9.6237506866455078</v>
      </c>
      <c r="BG761" s="244">
        <v>-54.36297607421875</v>
      </c>
      <c r="BH761" s="228">
        <v>15.28672992148668</v>
      </c>
      <c r="BI761" s="244">
        <v>1.821885347366333</v>
      </c>
      <c r="BJ761" s="244">
        <v>5.9333081245422363</v>
      </c>
      <c r="BK761" s="244">
        <v>0</v>
      </c>
      <c r="BL761" s="244">
        <v>10.118446350097656</v>
      </c>
      <c r="BM761" s="244">
        <v>17.873640060424805</v>
      </c>
      <c r="BN761" s="244">
        <v>70.030586242675781</v>
      </c>
      <c r="BO761" s="244">
        <v>64.461692810058594</v>
      </c>
      <c r="BP761" s="244">
        <v>10.350383758544922</v>
      </c>
      <c r="BQ761" s="244">
        <v>0</v>
      </c>
      <c r="BR761" s="244">
        <v>0</v>
      </c>
      <c r="BS761" s="244">
        <v>0</v>
      </c>
      <c r="BT761" s="244">
        <v>53.360549926757813</v>
      </c>
      <c r="BU761" s="244">
        <v>0</v>
      </c>
      <c r="BV761" s="244">
        <v>362.62252807617187</v>
      </c>
      <c r="BW761" s="244">
        <v>13.374152183532715</v>
      </c>
      <c r="BX761" s="244">
        <v>19.91282844543457</v>
      </c>
      <c r="BY761" s="244">
        <v>2.2673332691192627</v>
      </c>
      <c r="BZ761" s="244">
        <v>0</v>
      </c>
      <c r="CA761" s="244">
        <v>0</v>
      </c>
      <c r="CB761" s="244">
        <v>574.19989013671875</v>
      </c>
      <c r="CC761" s="244">
        <v>22.18016242980957</v>
      </c>
      <c r="CD761" s="228">
        <v>25.887993982522325</v>
      </c>
      <c r="CE761" s="244">
        <v>-388.40567016601562</v>
      </c>
      <c r="CF761" s="244">
        <v>0.75190369464754658</v>
      </c>
      <c r="CG761" s="244">
        <v>0.72994308057909307</v>
      </c>
      <c r="CH761" s="244">
        <v>1.4818467752266398</v>
      </c>
      <c r="CI761" s="244">
        <v>3.6874198879828284E-2</v>
      </c>
      <c r="CJ761" s="244">
        <v>4.5621442536193456E-2</v>
      </c>
      <c r="CK761" s="244">
        <v>8.2495641416021739E-2</v>
      </c>
      <c r="CL761" s="244"/>
      <c r="CM761" s="244">
        <v>7.7985372543334961</v>
      </c>
      <c r="CN761" s="244"/>
      <c r="CO761" s="244">
        <v>0.28600001335144043</v>
      </c>
      <c r="CP761" s="244">
        <v>0.31700000166893005</v>
      </c>
      <c r="CQ761" s="244">
        <v>64.461692810058594</v>
      </c>
      <c r="CR761" s="244">
        <v>0</v>
      </c>
      <c r="CS761" s="244">
        <v>0</v>
      </c>
      <c r="CT761" s="244">
        <v>64.461692810058594</v>
      </c>
      <c r="CU761" s="244">
        <v>0</v>
      </c>
      <c r="CV761" s="244">
        <v>0</v>
      </c>
      <c r="CW761" s="228">
        <v>9999</v>
      </c>
    </row>
    <row r="762" spans="1:101">
      <c r="A762" s="221" t="s">
        <v>484</v>
      </c>
      <c r="C762" s="244">
        <v>9.9999990463256836</v>
      </c>
      <c r="D762" s="244">
        <v>190.53074645996094</v>
      </c>
      <c r="E762" s="244">
        <v>0</v>
      </c>
      <c r="F762" s="244">
        <v>11.336667060852051</v>
      </c>
      <c r="G762" s="244">
        <v>0</v>
      </c>
      <c r="H762" s="244">
        <v>0</v>
      </c>
      <c r="I762" s="244"/>
      <c r="J762" s="244">
        <v>0.31757351756095886</v>
      </c>
      <c r="K762" s="244">
        <v>0.33128324151039124</v>
      </c>
      <c r="L762" s="244">
        <v>207.7703857421875</v>
      </c>
      <c r="M762" s="244">
        <v>2.5797575712203979E-2</v>
      </c>
      <c r="N762" s="244">
        <v>8.0311514437198639E-2</v>
      </c>
      <c r="O762" s="244">
        <v>0</v>
      </c>
      <c r="P762" s="244">
        <v>0</v>
      </c>
      <c r="Q762" s="244">
        <v>0</v>
      </c>
      <c r="R762" s="244">
        <v>1.1271885633468628</v>
      </c>
      <c r="S762" s="244">
        <v>6.2292284965515137</v>
      </c>
      <c r="T762" s="244">
        <v>0</v>
      </c>
      <c r="U762" s="244">
        <v>12.556410789489746</v>
      </c>
      <c r="V762" s="244">
        <v>1.1336666345596313</v>
      </c>
      <c r="W762" s="244">
        <v>1.1336666345596313</v>
      </c>
      <c r="X762" s="244">
        <v>0</v>
      </c>
      <c r="Y762" s="244">
        <v>0</v>
      </c>
      <c r="Z762" s="244">
        <v>0</v>
      </c>
      <c r="AA762" s="244">
        <v>0</v>
      </c>
      <c r="AB762" s="244">
        <v>0</v>
      </c>
      <c r="AC762" s="244">
        <v>0</v>
      </c>
      <c r="AD762" s="244">
        <v>0</v>
      </c>
      <c r="AE762" s="244">
        <v>0</v>
      </c>
      <c r="AF762" s="244">
        <v>0</v>
      </c>
      <c r="AG762" s="244">
        <v>0</v>
      </c>
      <c r="AH762" s="244">
        <v>2.2608551979064941</v>
      </c>
      <c r="AI762" s="244">
        <v>7.3628950119018555</v>
      </c>
      <c r="AJ762" s="244">
        <v>0</v>
      </c>
      <c r="AK762" s="244">
        <v>12.556410789489746</v>
      </c>
      <c r="AL762" s="244">
        <v>22.18016242980957</v>
      </c>
      <c r="AM762" s="244">
        <v>146.33010864257812</v>
      </c>
      <c r="AN762" s="244">
        <v>0</v>
      </c>
      <c r="AO762" s="244">
        <v>25.766910552978516</v>
      </c>
      <c r="AP762" s="244">
        <v>111.33900451660156</v>
      </c>
      <c r="AQ762" s="244">
        <v>283.43603515625</v>
      </c>
      <c r="AR762" s="244">
        <v>2.2608551979064941</v>
      </c>
      <c r="AS762" s="228">
        <v>125.36673024199612</v>
      </c>
      <c r="AT762" s="244">
        <v>146.33010864257812</v>
      </c>
      <c r="AU762" s="244">
        <v>23.019767761230469</v>
      </c>
      <c r="AV762" s="244">
        <v>28.068887710571289</v>
      </c>
      <c r="AW762" s="244">
        <v>111.33900451660156</v>
      </c>
      <c r="AX762" s="244">
        <v>308.75778198242187</v>
      </c>
      <c r="AY762" s="244">
        <v>7.3628950119018555</v>
      </c>
      <c r="AZ762" s="228">
        <v>41.934288501048684</v>
      </c>
      <c r="BA762" s="244">
        <v>146.33010864257812</v>
      </c>
      <c r="BB762" s="244">
        <v>23.019767761230469</v>
      </c>
      <c r="BC762" s="244">
        <v>28.068887710571289</v>
      </c>
      <c r="BD762" s="244">
        <v>111.33900451660156</v>
      </c>
      <c r="BE762" s="244">
        <v>308.75778198242187</v>
      </c>
      <c r="BF762" s="244">
        <v>9.6237506866455078</v>
      </c>
      <c r="BG762" s="244">
        <v>-59.014091491699219</v>
      </c>
      <c r="BH762" s="228">
        <v>32.082894721407264</v>
      </c>
      <c r="BI762" s="244">
        <v>0.87316036224365234</v>
      </c>
      <c r="BJ762" s="244">
        <v>2.8436088562011719</v>
      </c>
      <c r="BK762" s="244">
        <v>0</v>
      </c>
      <c r="BL762" s="244">
        <v>4.8493862152099609</v>
      </c>
      <c r="BM762" s="244">
        <v>8.5661563873291016</v>
      </c>
      <c r="BN762" s="244">
        <v>146.33010864257812</v>
      </c>
      <c r="BO762" s="244">
        <v>0</v>
      </c>
      <c r="BP762" s="244">
        <v>23.019767761230469</v>
      </c>
      <c r="BQ762" s="244">
        <v>0</v>
      </c>
      <c r="BR762" s="244">
        <v>0</v>
      </c>
      <c r="BS762" s="244">
        <v>0</v>
      </c>
      <c r="BT762" s="244">
        <v>111.33900451660156</v>
      </c>
      <c r="BU762" s="244">
        <v>0</v>
      </c>
      <c r="BV762" s="244">
        <v>261.2603759765625</v>
      </c>
      <c r="BW762" s="244">
        <v>28.068887710571289</v>
      </c>
      <c r="BX762" s="244">
        <v>19.91282844543457</v>
      </c>
      <c r="BY762" s="244">
        <v>2.2673332691192627</v>
      </c>
      <c r="BZ762" s="244">
        <v>0</v>
      </c>
      <c r="CA762" s="244">
        <v>0</v>
      </c>
      <c r="CB762" s="244">
        <v>570.01812744140625</v>
      </c>
      <c r="CC762" s="244">
        <v>22.18016242980957</v>
      </c>
      <c r="CD762" s="228">
        <v>25.699458459471842</v>
      </c>
      <c r="CE762" s="244">
        <v>-155.0655517578125</v>
      </c>
      <c r="CF762" s="244">
        <v>1.5682342683494026</v>
      </c>
      <c r="CG762" s="244">
        <v>0</v>
      </c>
      <c r="CH762" s="244">
        <v>1.5682342683494026</v>
      </c>
      <c r="CI762" s="244">
        <v>7.6901092803049506E-2</v>
      </c>
      <c r="CJ762" s="244">
        <v>0</v>
      </c>
      <c r="CK762" s="244">
        <v>7.6901092803049506E-2</v>
      </c>
      <c r="CL762" s="244"/>
      <c r="CM762" s="244">
        <v>0</v>
      </c>
      <c r="CN762" s="244"/>
      <c r="CO762" s="244">
        <v>0</v>
      </c>
      <c r="CP762" s="244">
        <v>0</v>
      </c>
      <c r="CQ762" s="244">
        <v>0</v>
      </c>
      <c r="CR762" s="244">
        <v>0</v>
      </c>
      <c r="CS762" s="244">
        <v>0</v>
      </c>
      <c r="CT762" s="244">
        <v>0</v>
      </c>
      <c r="CU762" s="244">
        <v>0</v>
      </c>
      <c r="CV762" s="244">
        <v>9999</v>
      </c>
      <c r="CW762" s="228">
        <v>9999</v>
      </c>
    </row>
    <row r="763" spans="1:101">
      <c r="A763" s="221" t="s">
        <v>468</v>
      </c>
      <c r="C763" s="244">
        <v>10</v>
      </c>
      <c r="D763" s="244">
        <v>60.875209808349609</v>
      </c>
      <c r="E763" s="244">
        <v>5.1475491523742676</v>
      </c>
      <c r="F763" s="244">
        <v>8.1096944808959961</v>
      </c>
      <c r="G763" s="244">
        <v>0</v>
      </c>
      <c r="H763" s="244">
        <v>0</v>
      </c>
      <c r="I763" s="244"/>
      <c r="J763" s="244">
        <v>0.37744024395942688</v>
      </c>
      <c r="K763" s="244">
        <v>0.35836580395698547</v>
      </c>
      <c r="L763" s="244">
        <v>66.384292602539063</v>
      </c>
      <c r="M763" s="244">
        <v>7.9448716714978218E-3</v>
      </c>
      <c r="N763" s="244">
        <v>2.4073658511042595E-2</v>
      </c>
      <c r="O763" s="244">
        <v>5.1990246772766113</v>
      </c>
      <c r="P763" s="244">
        <v>1.5777016058564186E-2</v>
      </c>
      <c r="Q763" s="244">
        <v>4.9769766628742218E-2</v>
      </c>
      <c r="R763" s="244">
        <v>0.80633538961410522</v>
      </c>
      <c r="S763" s="244">
        <v>4.4560842514038086</v>
      </c>
      <c r="T763" s="244">
        <v>0</v>
      </c>
      <c r="U763" s="244">
        <v>8.9822397232055664</v>
      </c>
      <c r="V763" s="244">
        <v>0.81096947193145752</v>
      </c>
      <c r="W763" s="244">
        <v>0.81096947193145752</v>
      </c>
      <c r="X763" s="244">
        <v>0</v>
      </c>
      <c r="Y763" s="244">
        <v>0</v>
      </c>
      <c r="Z763" s="244">
        <v>0</v>
      </c>
      <c r="AA763" s="244">
        <v>0</v>
      </c>
      <c r="AB763" s="244">
        <v>0</v>
      </c>
      <c r="AC763" s="244">
        <v>0</v>
      </c>
      <c r="AD763" s="244">
        <v>0</v>
      </c>
      <c r="AE763" s="244">
        <v>0</v>
      </c>
      <c r="AF763" s="244">
        <v>0</v>
      </c>
      <c r="AG763" s="244">
        <v>0</v>
      </c>
      <c r="AH763" s="244">
        <v>1.617304801940918</v>
      </c>
      <c r="AI763" s="244">
        <v>5.2670536041259766</v>
      </c>
      <c r="AJ763" s="244">
        <v>0</v>
      </c>
      <c r="AK763" s="244">
        <v>8.9822397232055664</v>
      </c>
      <c r="AL763" s="244">
        <v>15.866598129272461</v>
      </c>
      <c r="AM763" s="244">
        <v>46.687057495117188</v>
      </c>
      <c r="AN763" s="244">
        <v>0</v>
      </c>
      <c r="AO763" s="244">
        <v>8.2260751724243164</v>
      </c>
      <c r="AP763" s="244">
        <v>35.573699951171875</v>
      </c>
      <c r="AQ763" s="244">
        <v>90.486831665039063</v>
      </c>
      <c r="AR763" s="244">
        <v>1.617304801940918</v>
      </c>
      <c r="AS763" s="228">
        <v>55.949150200562961</v>
      </c>
      <c r="AT763" s="244">
        <v>46.687057495117188</v>
      </c>
      <c r="AU763" s="244">
        <v>6.9002566337585449</v>
      </c>
      <c r="AV763" s="244">
        <v>8.9161014556884766</v>
      </c>
      <c r="AW763" s="244">
        <v>35.573699951171875</v>
      </c>
      <c r="AX763" s="244">
        <v>98.077117919921875</v>
      </c>
      <c r="AY763" s="244">
        <v>5.2670536041259766</v>
      </c>
      <c r="AZ763" s="228">
        <v>18.620868646395831</v>
      </c>
      <c r="BA763" s="244">
        <v>46.687057495117188</v>
      </c>
      <c r="BB763" s="244">
        <v>6.9002566337585449</v>
      </c>
      <c r="BC763" s="244">
        <v>8.9161014556884766</v>
      </c>
      <c r="BD763" s="244">
        <v>35.573699951171875</v>
      </c>
      <c r="BE763" s="244">
        <v>98.077117919921875</v>
      </c>
      <c r="BF763" s="244">
        <v>6.8843584060668945</v>
      </c>
      <c r="BG763" s="244">
        <v>-53.796646118164063</v>
      </c>
      <c r="BH763" s="228">
        <v>14.246369407765798</v>
      </c>
      <c r="BI763" s="244">
        <v>1.9549311399459839</v>
      </c>
      <c r="BJ763" s="244">
        <v>6.3665966987609863</v>
      </c>
      <c r="BK763" s="244">
        <v>0</v>
      </c>
      <c r="BL763" s="244">
        <v>10.857358932495117</v>
      </c>
      <c r="BM763" s="244">
        <v>19.178886413574219</v>
      </c>
      <c r="BN763" s="244">
        <v>46.687057495117188</v>
      </c>
      <c r="BO763" s="244">
        <v>42.974464416503906</v>
      </c>
      <c r="BP763" s="244">
        <v>6.9002566337585449</v>
      </c>
      <c r="BQ763" s="244">
        <v>0</v>
      </c>
      <c r="BR763" s="244">
        <v>0</v>
      </c>
      <c r="BS763" s="244">
        <v>0</v>
      </c>
      <c r="BT763" s="244">
        <v>35.573699951171875</v>
      </c>
      <c r="BU763" s="244">
        <v>0</v>
      </c>
      <c r="BV763" s="244">
        <v>241.74838256835937</v>
      </c>
      <c r="BW763" s="244">
        <v>8.9161014556884766</v>
      </c>
      <c r="BX763" s="244">
        <v>14.244659423828125</v>
      </c>
      <c r="BY763" s="244">
        <v>1.621938943862915</v>
      </c>
      <c r="BZ763" s="244">
        <v>0</v>
      </c>
      <c r="CA763" s="244">
        <v>0</v>
      </c>
      <c r="CB763" s="244">
        <v>382.79995727539062</v>
      </c>
      <c r="CC763" s="244">
        <v>15.866598129272461</v>
      </c>
      <c r="CD763" s="228">
        <v>24.126151910423992</v>
      </c>
      <c r="CE763" s="244">
        <v>-387.1004638671875</v>
      </c>
      <c r="CF763" s="244">
        <v>0.5012691297650318</v>
      </c>
      <c r="CG763" s="244">
        <v>0.48662872038606325</v>
      </c>
      <c r="CH763" s="244">
        <v>0.9878978501510951</v>
      </c>
      <c r="CI763" s="244">
        <v>2.4582799253218861E-2</v>
      </c>
      <c r="CJ763" s="244">
        <v>3.0414295024128967E-2</v>
      </c>
      <c r="CK763" s="244">
        <v>5.4997094277347829E-2</v>
      </c>
      <c r="CL763" s="244"/>
      <c r="CM763" s="244">
        <v>5.1990246772766113</v>
      </c>
      <c r="CN763" s="244"/>
      <c r="CO763" s="244">
        <v>0.28600001335144043</v>
      </c>
      <c r="CP763" s="244">
        <v>0.31700000166893005</v>
      </c>
      <c r="CQ763" s="244">
        <v>42.974464416503906</v>
      </c>
      <c r="CR763" s="244">
        <v>0</v>
      </c>
      <c r="CS763" s="244">
        <v>0</v>
      </c>
      <c r="CT763" s="244">
        <v>42.974464416503906</v>
      </c>
      <c r="CU763" s="244">
        <v>0</v>
      </c>
      <c r="CV763" s="244">
        <v>0</v>
      </c>
      <c r="CW763" s="228">
        <v>9999</v>
      </c>
    </row>
    <row r="764" spans="1:101">
      <c r="A764" s="221" t="s">
        <v>493</v>
      </c>
      <c r="C764" s="244">
        <v>10</v>
      </c>
      <c r="D764" s="244">
        <v>127.02050018310547</v>
      </c>
      <c r="E764" s="244">
        <v>0</v>
      </c>
      <c r="F764" s="244">
        <v>8.1096944808959961</v>
      </c>
      <c r="G764" s="244">
        <v>0</v>
      </c>
      <c r="H764" s="244">
        <v>0</v>
      </c>
      <c r="I764" s="244"/>
      <c r="J764" s="244">
        <v>0.31757348775863647</v>
      </c>
      <c r="K764" s="244">
        <v>0.33128324151039124</v>
      </c>
      <c r="L764" s="244">
        <v>138.51358032226562</v>
      </c>
      <c r="M764" s="244">
        <v>1.7198383808135986E-2</v>
      </c>
      <c r="N764" s="244">
        <v>5.354100838303566E-2</v>
      </c>
      <c r="O764" s="244">
        <v>0</v>
      </c>
      <c r="P764" s="244">
        <v>0</v>
      </c>
      <c r="Q764" s="244">
        <v>0</v>
      </c>
      <c r="R764" s="244">
        <v>0.80633538961410522</v>
      </c>
      <c r="S764" s="244">
        <v>4.4560842514038086</v>
      </c>
      <c r="T764" s="244">
        <v>0</v>
      </c>
      <c r="U764" s="244">
        <v>8.9822397232055664</v>
      </c>
      <c r="V764" s="244">
        <v>0.81096947193145752</v>
      </c>
      <c r="W764" s="244">
        <v>0.81096947193145752</v>
      </c>
      <c r="X764" s="244">
        <v>0</v>
      </c>
      <c r="Y764" s="244">
        <v>0</v>
      </c>
      <c r="Z764" s="244">
        <v>0</v>
      </c>
      <c r="AA764" s="244">
        <v>0</v>
      </c>
      <c r="AB764" s="244">
        <v>0</v>
      </c>
      <c r="AC764" s="244">
        <v>0</v>
      </c>
      <c r="AD764" s="244">
        <v>0</v>
      </c>
      <c r="AE764" s="244">
        <v>0</v>
      </c>
      <c r="AF764" s="244">
        <v>0</v>
      </c>
      <c r="AG764" s="244">
        <v>0</v>
      </c>
      <c r="AH764" s="244">
        <v>1.617304801940918</v>
      </c>
      <c r="AI764" s="244">
        <v>5.2670536041259766</v>
      </c>
      <c r="AJ764" s="244">
        <v>0</v>
      </c>
      <c r="AK764" s="244">
        <v>8.9822397232055664</v>
      </c>
      <c r="AL764" s="244">
        <v>15.866598129272461</v>
      </c>
      <c r="AM764" s="244">
        <v>97.55340576171875</v>
      </c>
      <c r="AN764" s="244">
        <v>0</v>
      </c>
      <c r="AO764" s="244">
        <v>17.177940368652344</v>
      </c>
      <c r="AP764" s="244">
        <v>74.226005554199219</v>
      </c>
      <c r="AQ764" s="244">
        <v>188.95735168457031</v>
      </c>
      <c r="AR764" s="244">
        <v>1.617304801940918</v>
      </c>
      <c r="AS764" s="228">
        <v>116.83471445451227</v>
      </c>
      <c r="AT764" s="244">
        <v>97.55340576171875</v>
      </c>
      <c r="AU764" s="244">
        <v>15.346510887145996</v>
      </c>
      <c r="AV764" s="244">
        <v>18.712593078613281</v>
      </c>
      <c r="AW764" s="244">
        <v>74.226005554199219</v>
      </c>
      <c r="AX764" s="244">
        <v>205.83851623535156</v>
      </c>
      <c r="AY764" s="244">
        <v>5.2670536041259766</v>
      </c>
      <c r="AZ764" s="228">
        <v>39.080390308100704</v>
      </c>
      <c r="BA764" s="244">
        <v>97.55340576171875</v>
      </c>
      <c r="BB764" s="244">
        <v>15.346510887145996</v>
      </c>
      <c r="BC764" s="244">
        <v>18.712593078613281</v>
      </c>
      <c r="BD764" s="244">
        <v>74.226005554199219</v>
      </c>
      <c r="BE764" s="244">
        <v>205.83851623535156</v>
      </c>
      <c r="BF764" s="244">
        <v>6.8843584060668945</v>
      </c>
      <c r="BG764" s="244">
        <v>-58.74267578125</v>
      </c>
      <c r="BH764" s="228">
        <v>29.899447093550894</v>
      </c>
      <c r="BI764" s="244">
        <v>0.93692415952682495</v>
      </c>
      <c r="BJ764" s="244">
        <v>3.0512676239013672</v>
      </c>
      <c r="BK764" s="244">
        <v>0</v>
      </c>
      <c r="BL764" s="244">
        <v>5.203519344329834</v>
      </c>
      <c r="BM764" s="244">
        <v>9.19171142578125</v>
      </c>
      <c r="BN764" s="244">
        <v>97.55340576171875</v>
      </c>
      <c r="BO764" s="244">
        <v>0</v>
      </c>
      <c r="BP764" s="244">
        <v>15.346510887145996</v>
      </c>
      <c r="BQ764" s="244">
        <v>0</v>
      </c>
      <c r="BR764" s="244">
        <v>0</v>
      </c>
      <c r="BS764" s="244">
        <v>0</v>
      </c>
      <c r="BT764" s="244">
        <v>74.226005554199219</v>
      </c>
      <c r="BU764" s="244">
        <v>0</v>
      </c>
      <c r="BV764" s="244">
        <v>174.173583984375</v>
      </c>
      <c r="BW764" s="244">
        <v>18.712593078613281</v>
      </c>
      <c r="BX764" s="244">
        <v>14.244659423828125</v>
      </c>
      <c r="BY764" s="244">
        <v>1.621938943862915</v>
      </c>
      <c r="BZ764" s="244">
        <v>0</v>
      </c>
      <c r="CA764" s="244">
        <v>0</v>
      </c>
      <c r="CB764" s="244">
        <v>380.0120849609375</v>
      </c>
      <c r="CC764" s="244">
        <v>15.866598129272461</v>
      </c>
      <c r="CD764" s="228">
        <v>23.950445486782236</v>
      </c>
      <c r="CE764" s="244">
        <v>-154.44001770019531</v>
      </c>
      <c r="CF764" s="244">
        <v>1.0454895122329386</v>
      </c>
      <c r="CG764" s="244">
        <v>0</v>
      </c>
      <c r="CH764" s="244">
        <v>1.0454895122329386</v>
      </c>
      <c r="CI764" s="244">
        <v>5.1267395202033036E-2</v>
      </c>
      <c r="CJ764" s="244">
        <v>0</v>
      </c>
      <c r="CK764" s="244">
        <v>5.1267395202033036E-2</v>
      </c>
      <c r="CL764" s="244"/>
      <c r="CM764" s="244">
        <v>0</v>
      </c>
      <c r="CN764" s="244"/>
      <c r="CO764" s="244">
        <v>0</v>
      </c>
      <c r="CP764" s="244">
        <v>0</v>
      </c>
      <c r="CQ764" s="244">
        <v>0</v>
      </c>
      <c r="CR764" s="244">
        <v>0</v>
      </c>
      <c r="CS764" s="244">
        <v>0</v>
      </c>
      <c r="CT764" s="244">
        <v>0</v>
      </c>
      <c r="CU764" s="244">
        <v>0</v>
      </c>
      <c r="CV764" s="244">
        <v>9999</v>
      </c>
      <c r="CW764" s="228">
        <v>9999</v>
      </c>
    </row>
    <row r="765" spans="1:101">
      <c r="A765" s="221" t="s">
        <v>527</v>
      </c>
      <c r="C765" s="244">
        <v>10.000000953674316</v>
      </c>
      <c r="D765" s="244">
        <v>3.6732594966888428</v>
      </c>
      <c r="E765" s="244">
        <v>3.3312795162200928</v>
      </c>
      <c r="F765" s="244">
        <v>3.2966773509979248</v>
      </c>
      <c r="G765" s="244">
        <v>0</v>
      </c>
      <c r="H765" s="244">
        <v>0</v>
      </c>
      <c r="I765" s="244"/>
      <c r="J765" s="244">
        <v>1</v>
      </c>
      <c r="K765" s="244">
        <v>0.63999998569488525</v>
      </c>
      <c r="L765" s="244">
        <v>4.0062875747680664</v>
      </c>
      <c r="M765" s="244">
        <v>2.9269678634591401E-4</v>
      </c>
      <c r="N765" s="244">
        <v>4.5733875595033169E-4</v>
      </c>
      <c r="O765" s="244">
        <v>3.3645923137664795</v>
      </c>
      <c r="P765" s="244">
        <v>1.0210227221250534E-2</v>
      </c>
      <c r="Q765" s="244">
        <v>3.2208919525146484E-2</v>
      </c>
      <c r="R765" s="244">
        <v>0.32778394222259521</v>
      </c>
      <c r="S765" s="244">
        <v>1.8114458322525024</v>
      </c>
      <c r="T765" s="244">
        <v>0</v>
      </c>
      <c r="U765" s="244">
        <v>3.6513762474060059</v>
      </c>
      <c r="V765" s="244">
        <v>0.32966774702072144</v>
      </c>
      <c r="W765" s="244">
        <v>0.32966774702072144</v>
      </c>
      <c r="X765" s="244">
        <v>0</v>
      </c>
      <c r="Y765" s="244">
        <v>0</v>
      </c>
      <c r="Z765" s="244">
        <v>0</v>
      </c>
      <c r="AA765" s="244">
        <v>0</v>
      </c>
      <c r="AB765" s="244">
        <v>0</v>
      </c>
      <c r="AC765" s="244">
        <v>0</v>
      </c>
      <c r="AD765" s="244">
        <v>0</v>
      </c>
      <c r="AE765" s="244">
        <v>0</v>
      </c>
      <c r="AF765" s="244">
        <v>0</v>
      </c>
      <c r="AG765" s="244">
        <v>0</v>
      </c>
      <c r="AH765" s="244">
        <v>0.65745168924331665</v>
      </c>
      <c r="AI765" s="244">
        <v>2.1411135196685791</v>
      </c>
      <c r="AJ765" s="244">
        <v>0</v>
      </c>
      <c r="AK765" s="244">
        <v>3.6513762474060059</v>
      </c>
      <c r="AL765" s="244">
        <v>6.4499416351318359</v>
      </c>
      <c r="AM765" s="244">
        <v>2.7757823467254639</v>
      </c>
      <c r="AN765" s="244">
        <v>0</v>
      </c>
      <c r="AO765" s="244">
        <v>0.49226528406143188</v>
      </c>
      <c r="AP765" s="244">
        <v>2.1468703746795654</v>
      </c>
      <c r="AQ765" s="244">
        <v>5.4149179458618164</v>
      </c>
      <c r="AR765" s="244">
        <v>0.65745168924331665</v>
      </c>
      <c r="AS765" s="228">
        <v>8.2362219065840012</v>
      </c>
      <c r="AT765" s="244">
        <v>2.7757823467254639</v>
      </c>
      <c r="AU765" s="244">
        <v>0.13108743727207184</v>
      </c>
      <c r="AV765" s="244">
        <v>0.50537401437759399</v>
      </c>
      <c r="AW765" s="244">
        <v>2.1468703746795654</v>
      </c>
      <c r="AX765" s="244">
        <v>5.5591139793395996</v>
      </c>
      <c r="AY765" s="244">
        <v>2.1411135196685791</v>
      </c>
      <c r="AZ765" s="228">
        <v>2.5963658475986464</v>
      </c>
      <c r="BA765" s="244">
        <v>2.7757823467254639</v>
      </c>
      <c r="BB765" s="244">
        <v>0.13108743727207184</v>
      </c>
      <c r="BC765" s="244">
        <v>0.50537401437759399</v>
      </c>
      <c r="BD765" s="244">
        <v>2.1468703746795654</v>
      </c>
      <c r="BE765" s="244">
        <v>5.5591139793395996</v>
      </c>
      <c r="BF765" s="244">
        <v>2.7985653877258301</v>
      </c>
      <c r="BG765" s="244">
        <v>0.30511307716369629</v>
      </c>
      <c r="BH765" s="228">
        <v>1.9864157665336362</v>
      </c>
      <c r="BI765" s="244">
        <v>13.168206214904785</v>
      </c>
      <c r="BJ765" s="244">
        <v>42.884712219238281</v>
      </c>
      <c r="BK765" s="244">
        <v>0</v>
      </c>
      <c r="BL765" s="244">
        <v>73.134010314941406</v>
      </c>
      <c r="BM765" s="244">
        <v>129.18692016601562</v>
      </c>
      <c r="BN765" s="244">
        <v>2.7757823467254639</v>
      </c>
      <c r="BO765" s="244">
        <v>27.811283111572266</v>
      </c>
      <c r="BP765" s="244">
        <v>0.13108743727207184</v>
      </c>
      <c r="BQ765" s="244">
        <v>0</v>
      </c>
      <c r="BR765" s="244">
        <v>0</v>
      </c>
      <c r="BS765" s="244">
        <v>0</v>
      </c>
      <c r="BT765" s="244">
        <v>2.1468703746795654</v>
      </c>
      <c r="BU765" s="244">
        <v>0</v>
      </c>
      <c r="BV765" s="244">
        <v>113.90313720703125</v>
      </c>
      <c r="BW765" s="244">
        <v>0.50537401437759399</v>
      </c>
      <c r="BX765" s="244">
        <v>5.7906060218811035</v>
      </c>
      <c r="BY765" s="244">
        <v>0.65933549404144287</v>
      </c>
      <c r="BZ765" s="244">
        <v>0</v>
      </c>
      <c r="CA765" s="244">
        <v>0</v>
      </c>
      <c r="CB765" s="244">
        <v>147.27352905273437</v>
      </c>
      <c r="CC765" s="244">
        <v>6.4499416351318359</v>
      </c>
      <c r="CD765" s="228">
        <v>22.8333131592114</v>
      </c>
      <c r="CE765" s="244">
        <v>-2764.98193359375</v>
      </c>
      <c r="CF765" s="244">
        <v>3.0380673613513903E-2</v>
      </c>
      <c r="CG765" s="244">
        <v>0.31492584071176716</v>
      </c>
      <c r="CH765" s="244">
        <v>0.34530651432528103</v>
      </c>
      <c r="CI765" s="244">
        <v>1.4912798210120666E-3</v>
      </c>
      <c r="CJ765" s="244">
        <v>1.9682865044485406E-2</v>
      </c>
      <c r="CK765" s="244">
        <v>2.1174144865497471E-2</v>
      </c>
      <c r="CL765" s="244"/>
      <c r="CM765" s="244">
        <v>3.3645923137664795</v>
      </c>
      <c r="CN765" s="244"/>
      <c r="CO765" s="244">
        <v>0.28600001335144043</v>
      </c>
      <c r="CP765" s="244">
        <v>0.31700000166893005</v>
      </c>
      <c r="CQ765" s="244">
        <v>27.811283111572266</v>
      </c>
      <c r="CR765" s="244">
        <v>0</v>
      </c>
      <c r="CS765" s="244">
        <v>0</v>
      </c>
      <c r="CT765" s="244">
        <v>27.811283111572266</v>
      </c>
      <c r="CU765" s="244">
        <v>0</v>
      </c>
      <c r="CV765" s="244">
        <v>0</v>
      </c>
      <c r="CW765" s="228">
        <v>9999</v>
      </c>
    </row>
    <row r="766" spans="1:101">
      <c r="A766" s="221" t="s">
        <v>567</v>
      </c>
      <c r="C766" s="244">
        <v>9.9999990463256836</v>
      </c>
      <c r="D766" s="244">
        <v>86.589485168457031</v>
      </c>
      <c r="E766" s="244">
        <v>6.3192296028137207</v>
      </c>
      <c r="F766" s="244">
        <v>11.336667060852051</v>
      </c>
      <c r="G766" s="244">
        <v>0</v>
      </c>
      <c r="H766" s="244">
        <v>0</v>
      </c>
      <c r="I766" s="244"/>
      <c r="J766" s="244">
        <v>0.36924183368682861</v>
      </c>
      <c r="K766" s="244">
        <v>0.35465699434280396</v>
      </c>
      <c r="L766" s="244">
        <v>94.425468444824219</v>
      </c>
      <c r="M766" s="244">
        <v>1.1358819901943207E-2</v>
      </c>
      <c r="N766" s="244">
        <v>3.4551564604043961E-2</v>
      </c>
      <c r="O766" s="244">
        <v>6.3824219703674316</v>
      </c>
      <c r="P766" s="244">
        <v>1.9368166103959084E-2</v>
      </c>
      <c r="Q766" s="244">
        <v>6.1098314821720123E-2</v>
      </c>
      <c r="R766" s="244">
        <v>1.1271885633468628</v>
      </c>
      <c r="S766" s="244">
        <v>6.2292284965515137</v>
      </c>
      <c r="T766" s="244">
        <v>0</v>
      </c>
      <c r="U766" s="244">
        <v>12.556410789489746</v>
      </c>
      <c r="V766" s="244">
        <v>1.1336666345596313</v>
      </c>
      <c r="W766" s="244">
        <v>1.1336666345596313</v>
      </c>
      <c r="X766" s="244">
        <v>0</v>
      </c>
      <c r="Y766" s="244">
        <v>0</v>
      </c>
      <c r="Z766" s="244">
        <v>0</v>
      </c>
      <c r="AA766" s="244">
        <v>0</v>
      </c>
      <c r="AB766" s="244">
        <v>0</v>
      </c>
      <c r="AC766" s="244">
        <v>0</v>
      </c>
      <c r="AD766" s="244">
        <v>0</v>
      </c>
      <c r="AE766" s="244">
        <v>0</v>
      </c>
      <c r="AF766" s="244">
        <v>0</v>
      </c>
      <c r="AG766" s="244">
        <v>0</v>
      </c>
      <c r="AH766" s="244">
        <v>2.2608551979064941</v>
      </c>
      <c r="AI766" s="244">
        <v>7.3628950119018555</v>
      </c>
      <c r="AJ766" s="244">
        <v>0</v>
      </c>
      <c r="AK766" s="244">
        <v>12.556410789489746</v>
      </c>
      <c r="AL766" s="244">
        <v>22.18016242980957</v>
      </c>
      <c r="AM766" s="244">
        <v>66.420951843261719</v>
      </c>
      <c r="AN766" s="244">
        <v>0</v>
      </c>
      <c r="AO766" s="244">
        <v>11.702122688293457</v>
      </c>
      <c r="AP766" s="244">
        <v>50.600276947021484</v>
      </c>
      <c r="AQ766" s="244">
        <v>128.72335815429687</v>
      </c>
      <c r="AR766" s="244">
        <v>2.2608551979064941</v>
      </c>
      <c r="AS766" s="228">
        <v>56.935690351939328</v>
      </c>
      <c r="AT766" s="244">
        <v>66.420951843261719</v>
      </c>
      <c r="AU766" s="244">
        <v>9.9035472869873047</v>
      </c>
      <c r="AV766" s="244">
        <v>12.692478179931641</v>
      </c>
      <c r="AW766" s="244">
        <v>50.600276947021484</v>
      </c>
      <c r="AX766" s="244">
        <v>139.61724853515625</v>
      </c>
      <c r="AY766" s="244">
        <v>7.3628950119018555</v>
      </c>
      <c r="AZ766" s="228">
        <v>18.962276627744433</v>
      </c>
      <c r="BA766" s="244">
        <v>66.420951843261719</v>
      </c>
      <c r="BB766" s="244">
        <v>9.9035472869873047</v>
      </c>
      <c r="BC766" s="244">
        <v>12.692478179931641</v>
      </c>
      <c r="BD766" s="244">
        <v>50.600276947021484</v>
      </c>
      <c r="BE766" s="244">
        <v>139.61724853515625</v>
      </c>
      <c r="BF766" s="244">
        <v>9.6237506866455078</v>
      </c>
      <c r="BG766" s="244">
        <v>-54.023834228515625</v>
      </c>
      <c r="BH766" s="228">
        <v>14.507572358379523</v>
      </c>
      <c r="BI766" s="244">
        <v>1.921270489692688</v>
      </c>
      <c r="BJ766" s="244">
        <v>6.2569742202758789</v>
      </c>
      <c r="BK766" s="244">
        <v>0</v>
      </c>
      <c r="BL766" s="244">
        <v>10.670413970947266</v>
      </c>
      <c r="BM766" s="244">
        <v>18.848659515380859</v>
      </c>
      <c r="BN766" s="244">
        <v>66.420951843261719</v>
      </c>
      <c r="BO766" s="244">
        <v>52.756271362304688</v>
      </c>
      <c r="BP766" s="244">
        <v>9.9035472869873047</v>
      </c>
      <c r="BQ766" s="244">
        <v>0</v>
      </c>
      <c r="BR766" s="244">
        <v>0</v>
      </c>
      <c r="BS766" s="244">
        <v>0</v>
      </c>
      <c r="BT766" s="244">
        <v>50.600276947021484</v>
      </c>
      <c r="BU766" s="244">
        <v>0</v>
      </c>
      <c r="BV766" s="244">
        <v>313.0347900390625</v>
      </c>
      <c r="BW766" s="244">
        <v>12.692478179931641</v>
      </c>
      <c r="BX766" s="244">
        <v>19.91282844543457</v>
      </c>
      <c r="BY766" s="244">
        <v>2.2673332691192627</v>
      </c>
      <c r="BZ766" s="244">
        <v>0</v>
      </c>
      <c r="CA766" s="244">
        <v>0</v>
      </c>
      <c r="CB766" s="244">
        <v>505.4083251953125</v>
      </c>
      <c r="CC766" s="244">
        <v>22.18016242980957</v>
      </c>
      <c r="CD766" s="228">
        <v>22.786502738929013</v>
      </c>
      <c r="CE766" s="244">
        <v>-354.20196533203125</v>
      </c>
      <c r="CF766" s="244">
        <v>0.71296852974914149</v>
      </c>
      <c r="CG766" s="244">
        <v>0.59739470423403918</v>
      </c>
      <c r="CH766" s="244">
        <v>1.3103632339831806</v>
      </c>
      <c r="CI766" s="244">
        <v>3.4964347169333942E-2</v>
      </c>
      <c r="CJ766" s="244">
        <v>3.7337169014627476E-2</v>
      </c>
      <c r="CK766" s="244">
        <v>7.2301516183961412E-2</v>
      </c>
      <c r="CL766" s="244"/>
      <c r="CM766" s="244">
        <v>6.3824219703674316</v>
      </c>
      <c r="CN766" s="244"/>
      <c r="CO766" s="244">
        <v>0.28600004315376282</v>
      </c>
      <c r="CP766" s="244">
        <v>0.31700000166893005</v>
      </c>
      <c r="CQ766" s="244">
        <v>52.756271362304688</v>
      </c>
      <c r="CR766" s="244">
        <v>0</v>
      </c>
      <c r="CS766" s="244">
        <v>0</v>
      </c>
      <c r="CT766" s="244">
        <v>52.756271362304688</v>
      </c>
      <c r="CU766" s="244">
        <v>0</v>
      </c>
      <c r="CV766" s="244">
        <v>0</v>
      </c>
      <c r="CW766" s="228">
        <v>9999</v>
      </c>
    </row>
    <row r="767" spans="1:101">
      <c r="A767" s="221" t="s">
        <v>454</v>
      </c>
      <c r="C767" s="244">
        <v>10</v>
      </c>
      <c r="D767" s="244">
        <v>160.39659118652344</v>
      </c>
      <c r="E767" s="244">
        <v>0</v>
      </c>
      <c r="F767" s="244">
        <v>11.336667060852051</v>
      </c>
      <c r="G767" s="244">
        <v>0</v>
      </c>
      <c r="H767" s="244">
        <v>0</v>
      </c>
      <c r="I767" s="244"/>
      <c r="J767" s="244">
        <v>0.31946483254432678</v>
      </c>
      <c r="K767" s="244">
        <v>0.33213889598846436</v>
      </c>
      <c r="L767" s="244">
        <v>174.90971374511719</v>
      </c>
      <c r="M767" s="244">
        <v>2.1692691370844841E-2</v>
      </c>
      <c r="N767" s="244">
        <v>6.7477501928806305E-2</v>
      </c>
      <c r="O767" s="244">
        <v>0</v>
      </c>
      <c r="P767" s="244">
        <v>0</v>
      </c>
      <c r="Q767" s="244">
        <v>0</v>
      </c>
      <c r="R767" s="244">
        <v>1.1271885633468628</v>
      </c>
      <c r="S767" s="244">
        <v>6.2292284965515137</v>
      </c>
      <c r="T767" s="244">
        <v>0</v>
      </c>
      <c r="U767" s="244">
        <v>12.556410789489746</v>
      </c>
      <c r="V767" s="244">
        <v>1.1336666345596313</v>
      </c>
      <c r="W767" s="244">
        <v>1.1336666345596313</v>
      </c>
      <c r="X767" s="244">
        <v>0</v>
      </c>
      <c r="Y767" s="244">
        <v>0</v>
      </c>
      <c r="Z767" s="244">
        <v>0</v>
      </c>
      <c r="AA767" s="244">
        <v>0</v>
      </c>
      <c r="AB767" s="244">
        <v>0</v>
      </c>
      <c r="AC767" s="244">
        <v>0</v>
      </c>
      <c r="AD767" s="244">
        <v>0</v>
      </c>
      <c r="AE767" s="244">
        <v>0</v>
      </c>
      <c r="AF767" s="244">
        <v>0</v>
      </c>
      <c r="AG767" s="244">
        <v>0</v>
      </c>
      <c r="AH767" s="244">
        <v>2.2608551979064941</v>
      </c>
      <c r="AI767" s="244">
        <v>7.3628950119018555</v>
      </c>
      <c r="AJ767" s="244">
        <v>0</v>
      </c>
      <c r="AK767" s="244">
        <v>12.556410789489746</v>
      </c>
      <c r="AL767" s="244">
        <v>22.18016242980957</v>
      </c>
      <c r="AM767" s="244">
        <v>123.18120574951172</v>
      </c>
      <c r="AN767" s="244">
        <v>0</v>
      </c>
      <c r="AO767" s="244">
        <v>21.691099166870117</v>
      </c>
      <c r="AP767" s="244">
        <v>93.729782104492188</v>
      </c>
      <c r="AQ767" s="244">
        <v>238.60208129882812</v>
      </c>
      <c r="AR767" s="244">
        <v>2.2608551979064941</v>
      </c>
      <c r="AS767" s="228">
        <v>105.53620914856232</v>
      </c>
      <c r="AT767" s="244">
        <v>123.18120574951172</v>
      </c>
      <c r="AU767" s="244">
        <v>19.34113883972168</v>
      </c>
      <c r="AV767" s="244">
        <v>23.625213623046875</v>
      </c>
      <c r="AW767" s="244">
        <v>93.729782104492188</v>
      </c>
      <c r="AX767" s="244">
        <v>259.87734985351562</v>
      </c>
      <c r="AY767" s="244">
        <v>7.3628950119018555</v>
      </c>
      <c r="AZ767" s="228">
        <v>35.295537378861731</v>
      </c>
      <c r="BA767" s="244">
        <v>123.18120574951172</v>
      </c>
      <c r="BB767" s="244">
        <v>19.34113883972168</v>
      </c>
      <c r="BC767" s="244">
        <v>23.625213623046875</v>
      </c>
      <c r="BD767" s="244">
        <v>93.729782104492188</v>
      </c>
      <c r="BE767" s="244">
        <v>259.87734985351562</v>
      </c>
      <c r="BF767" s="244">
        <v>9.6237506866455078</v>
      </c>
      <c r="BG767" s="244">
        <v>-58.296455383300781</v>
      </c>
      <c r="BH767" s="228">
        <v>27.003749207124319</v>
      </c>
      <c r="BI767" s="244">
        <v>1.0372029542922974</v>
      </c>
      <c r="BJ767" s="244">
        <v>3.3778440952301025</v>
      </c>
      <c r="BK767" s="244">
        <v>0</v>
      </c>
      <c r="BL767" s="244">
        <v>5.7604513168334961</v>
      </c>
      <c r="BM767" s="244">
        <v>10.175498962402344</v>
      </c>
      <c r="BN767" s="244">
        <v>123.18120574951172</v>
      </c>
      <c r="BO767" s="244">
        <v>0</v>
      </c>
      <c r="BP767" s="244">
        <v>19.34113883972168</v>
      </c>
      <c r="BQ767" s="244">
        <v>0</v>
      </c>
      <c r="BR767" s="244">
        <v>0</v>
      </c>
      <c r="BS767" s="244">
        <v>0</v>
      </c>
      <c r="BT767" s="244">
        <v>93.729782104492188</v>
      </c>
      <c r="BU767" s="244">
        <v>0</v>
      </c>
      <c r="BV767" s="244">
        <v>233.11453247070312</v>
      </c>
      <c r="BW767" s="244">
        <v>23.625213623046875</v>
      </c>
      <c r="BX767" s="244">
        <v>19.91282844543457</v>
      </c>
      <c r="BY767" s="244">
        <v>2.2673332691192627</v>
      </c>
      <c r="BZ767" s="244">
        <v>0</v>
      </c>
      <c r="CA767" s="244">
        <v>0</v>
      </c>
      <c r="CB767" s="244">
        <v>492.99188232421875</v>
      </c>
      <c r="CC767" s="244">
        <v>22.18016242980957</v>
      </c>
      <c r="CD767" s="228">
        <v>22.226703264475834</v>
      </c>
      <c r="CE767" s="244">
        <v>-159.48097229003906</v>
      </c>
      <c r="CF767" s="244">
        <v>1.3202217116572279</v>
      </c>
      <c r="CG767" s="244">
        <v>0</v>
      </c>
      <c r="CH767" s="244">
        <v>1.3202217116572279</v>
      </c>
      <c r="CI767" s="244">
        <v>6.4739548882523229E-2</v>
      </c>
      <c r="CJ767" s="244">
        <v>0</v>
      </c>
      <c r="CK767" s="244">
        <v>6.4739548882523229E-2</v>
      </c>
      <c r="CL767" s="244"/>
      <c r="CM767" s="244">
        <v>0</v>
      </c>
      <c r="CN767" s="244"/>
      <c r="CO767" s="244">
        <v>0</v>
      </c>
      <c r="CP767" s="244">
        <v>0</v>
      </c>
      <c r="CQ767" s="244">
        <v>0</v>
      </c>
      <c r="CR767" s="244">
        <v>0</v>
      </c>
      <c r="CS767" s="244">
        <v>0</v>
      </c>
      <c r="CT767" s="244">
        <v>0</v>
      </c>
      <c r="CU767" s="244">
        <v>0</v>
      </c>
      <c r="CV767" s="244">
        <v>9999</v>
      </c>
      <c r="CW767" s="228">
        <v>9999</v>
      </c>
    </row>
    <row r="768" spans="1:101">
      <c r="A768" s="221" t="s">
        <v>524</v>
      </c>
      <c r="C768" s="244">
        <v>10</v>
      </c>
      <c r="D768" s="244">
        <v>3.4827942848205566</v>
      </c>
      <c r="E768" s="244">
        <v>3.3295676708221436</v>
      </c>
      <c r="F768" s="244">
        <v>3.2966773509979248</v>
      </c>
      <c r="G768" s="244">
        <v>0</v>
      </c>
      <c r="H768" s="244">
        <v>0</v>
      </c>
      <c r="I768" s="244"/>
      <c r="J768" s="244">
        <v>1</v>
      </c>
      <c r="K768" s="244">
        <v>0.63999992609024048</v>
      </c>
      <c r="L768" s="244">
        <v>3.7985541820526123</v>
      </c>
      <c r="M768" s="244">
        <v>2.7751992456614971E-4</v>
      </c>
      <c r="N768" s="244">
        <v>4.3362489668652415E-4</v>
      </c>
      <c r="O768" s="244">
        <v>3.362863302230835</v>
      </c>
      <c r="P768" s="244">
        <v>1.0204981081187725E-2</v>
      </c>
      <c r="Q768" s="244">
        <v>3.2192368060350418E-2</v>
      </c>
      <c r="R768" s="244">
        <v>0.32778394222259521</v>
      </c>
      <c r="S768" s="244">
        <v>1.8114458322525024</v>
      </c>
      <c r="T768" s="244">
        <v>0</v>
      </c>
      <c r="U768" s="244">
        <v>3.6513762474060059</v>
      </c>
      <c r="V768" s="244">
        <v>0.32966774702072144</v>
      </c>
      <c r="W768" s="244">
        <v>0.32966774702072144</v>
      </c>
      <c r="X768" s="244">
        <v>0</v>
      </c>
      <c r="Y768" s="244">
        <v>0</v>
      </c>
      <c r="Z768" s="244">
        <v>0</v>
      </c>
      <c r="AA768" s="244">
        <v>0</v>
      </c>
      <c r="AB768" s="244">
        <v>0</v>
      </c>
      <c r="AC768" s="244">
        <v>0</v>
      </c>
      <c r="AD768" s="244">
        <v>0</v>
      </c>
      <c r="AE768" s="244">
        <v>0</v>
      </c>
      <c r="AF768" s="244">
        <v>0</v>
      </c>
      <c r="AG768" s="244">
        <v>0</v>
      </c>
      <c r="AH768" s="244">
        <v>0.65745168924331665</v>
      </c>
      <c r="AI768" s="244">
        <v>2.1411135196685791</v>
      </c>
      <c r="AJ768" s="244">
        <v>0</v>
      </c>
      <c r="AK768" s="244">
        <v>3.6513762474060059</v>
      </c>
      <c r="AL768" s="244">
        <v>6.4499416351318359</v>
      </c>
      <c r="AM768" s="244">
        <v>2.6318528652191162</v>
      </c>
      <c r="AN768" s="244">
        <v>0</v>
      </c>
      <c r="AO768" s="244">
        <v>0.46674042940139771</v>
      </c>
      <c r="AP768" s="244">
        <v>2.0355513095855713</v>
      </c>
      <c r="AQ768" s="244">
        <v>5.1341447830200195</v>
      </c>
      <c r="AR768" s="244">
        <v>0.65745168924331665</v>
      </c>
      <c r="AS768" s="228">
        <v>7.8091587385152899</v>
      </c>
      <c r="AT768" s="244">
        <v>2.6318528652191162</v>
      </c>
      <c r="AU768" s="244">
        <v>0.12429031729698181</v>
      </c>
      <c r="AV768" s="244">
        <v>0.47916945815086365</v>
      </c>
      <c r="AW768" s="244">
        <v>2.0355513095855713</v>
      </c>
      <c r="AX768" s="244">
        <v>5.2708640098571777</v>
      </c>
      <c r="AY768" s="244">
        <v>2.1411135196685791</v>
      </c>
      <c r="AZ768" s="228">
        <v>2.4617395365086923</v>
      </c>
      <c r="BA768" s="244">
        <v>2.6318528652191162</v>
      </c>
      <c r="BB768" s="244">
        <v>0.12429031729698181</v>
      </c>
      <c r="BC768" s="244">
        <v>0.47916945815086365</v>
      </c>
      <c r="BD768" s="244">
        <v>2.0355513095855713</v>
      </c>
      <c r="BE768" s="244">
        <v>5.2708640098571777</v>
      </c>
      <c r="BF768" s="244">
        <v>2.7985653877258301</v>
      </c>
      <c r="BG768" s="244">
        <v>3.3705034255981445</v>
      </c>
      <c r="BH768" s="228">
        <v>1.8834164811337435</v>
      </c>
      <c r="BI768" s="244">
        <v>13.888341903686523</v>
      </c>
      <c r="BJ768" s="244">
        <v>45.229969024658203</v>
      </c>
      <c r="BK768" s="244">
        <v>0</v>
      </c>
      <c r="BL768" s="244">
        <v>77.133522033691406</v>
      </c>
      <c r="BM768" s="244">
        <v>136.2518310546875</v>
      </c>
      <c r="BN768" s="244">
        <v>2.6318528652191162</v>
      </c>
      <c r="BO768" s="244">
        <v>27.796991348266602</v>
      </c>
      <c r="BP768" s="244">
        <v>0.12429031729698181</v>
      </c>
      <c r="BQ768" s="244">
        <v>0</v>
      </c>
      <c r="BR768" s="244">
        <v>0</v>
      </c>
      <c r="BS768" s="244">
        <v>0</v>
      </c>
      <c r="BT768" s="244">
        <v>2.0355513095855713</v>
      </c>
      <c r="BU768" s="244">
        <v>0</v>
      </c>
      <c r="BV768" s="244">
        <v>107.99705505371094</v>
      </c>
      <c r="BW768" s="244">
        <v>0.47916945815086365</v>
      </c>
      <c r="BX768" s="244">
        <v>5.7906060218811035</v>
      </c>
      <c r="BY768" s="244">
        <v>0.65933549404144287</v>
      </c>
      <c r="BZ768" s="244">
        <v>0</v>
      </c>
      <c r="CA768" s="244">
        <v>0</v>
      </c>
      <c r="CB768" s="244">
        <v>141.06491088867187</v>
      </c>
      <c r="CC768" s="244">
        <v>6.4499416351318359</v>
      </c>
      <c r="CD768" s="228">
        <v>21.870727045197604</v>
      </c>
      <c r="CE768" s="244">
        <v>-2788.078369140625</v>
      </c>
      <c r="CF768" s="244">
        <v>2.880537942614652E-2</v>
      </c>
      <c r="CG768" s="244">
        <v>0.31476400628838852</v>
      </c>
      <c r="CH768" s="244">
        <v>0.34356938571453505</v>
      </c>
      <c r="CI768" s="244">
        <v>1.4139542006632944E-3</v>
      </c>
      <c r="CJ768" s="244">
        <v>1.9672750393024331E-2</v>
      </c>
      <c r="CK768" s="244">
        <v>2.1086704593687625E-2</v>
      </c>
      <c r="CL768" s="244"/>
      <c r="CM768" s="244">
        <v>3.362863302230835</v>
      </c>
      <c r="CN768" s="244"/>
      <c r="CO768" s="244">
        <v>0.28600001335144043</v>
      </c>
      <c r="CP768" s="244">
        <v>0.31700000166893005</v>
      </c>
      <c r="CQ768" s="244">
        <v>27.796991348266602</v>
      </c>
      <c r="CR768" s="244">
        <v>0</v>
      </c>
      <c r="CS768" s="244">
        <v>0</v>
      </c>
      <c r="CT768" s="244">
        <v>27.796991348266602</v>
      </c>
      <c r="CU768" s="244">
        <v>0</v>
      </c>
      <c r="CV768" s="244">
        <v>0</v>
      </c>
      <c r="CW768" s="228">
        <v>9999</v>
      </c>
    </row>
    <row r="769" spans="1:101">
      <c r="A769" s="221" t="s">
        <v>458</v>
      </c>
      <c r="C769" s="244">
        <v>10.000000953674316</v>
      </c>
      <c r="D769" s="244">
        <v>11.694207191467285</v>
      </c>
      <c r="E769" s="244">
        <v>11.272006034851074</v>
      </c>
      <c r="F769" s="244">
        <v>11.336667060852051</v>
      </c>
      <c r="G769" s="244">
        <v>0</v>
      </c>
      <c r="H769" s="244">
        <v>0</v>
      </c>
      <c r="I769" s="244"/>
      <c r="J769" s="244">
        <v>1</v>
      </c>
      <c r="K769" s="244">
        <v>0.63999998569488525</v>
      </c>
      <c r="L769" s="244">
        <v>12.754437446594238</v>
      </c>
      <c r="M769" s="244">
        <v>9.3183107674121857E-4</v>
      </c>
      <c r="N769" s="244">
        <v>1.455986057408154E-3</v>
      </c>
      <c r="O769" s="244">
        <v>11.384725570678711</v>
      </c>
      <c r="P769" s="244">
        <v>3.4548211842775345E-2</v>
      </c>
      <c r="Q769" s="244">
        <v>0.10898489505052567</v>
      </c>
      <c r="R769" s="244">
        <v>1.1271885633468628</v>
      </c>
      <c r="S769" s="244">
        <v>6.2292284965515137</v>
      </c>
      <c r="T769" s="244">
        <v>0</v>
      </c>
      <c r="U769" s="244">
        <v>12.556410789489746</v>
      </c>
      <c r="V769" s="244">
        <v>1.1336666345596313</v>
      </c>
      <c r="W769" s="244">
        <v>1.1336666345596313</v>
      </c>
      <c r="X769" s="244">
        <v>0</v>
      </c>
      <c r="Y769" s="244">
        <v>0</v>
      </c>
      <c r="Z769" s="244">
        <v>0</v>
      </c>
      <c r="AA769" s="244">
        <v>0</v>
      </c>
      <c r="AB769" s="244">
        <v>0</v>
      </c>
      <c r="AC769" s="244">
        <v>0</v>
      </c>
      <c r="AD769" s="244">
        <v>0</v>
      </c>
      <c r="AE769" s="244">
        <v>0</v>
      </c>
      <c r="AF769" s="244">
        <v>0</v>
      </c>
      <c r="AG769" s="244">
        <v>0</v>
      </c>
      <c r="AH769" s="244">
        <v>2.2608551979064941</v>
      </c>
      <c r="AI769" s="244">
        <v>7.3628950119018555</v>
      </c>
      <c r="AJ769" s="244">
        <v>0</v>
      </c>
      <c r="AK769" s="244">
        <v>12.556410789489746</v>
      </c>
      <c r="AL769" s="244">
        <v>22.18016242980957</v>
      </c>
      <c r="AM769" s="244">
        <v>8.8369951248168945</v>
      </c>
      <c r="AN769" s="244">
        <v>0</v>
      </c>
      <c r="AO769" s="244">
        <v>1.5671782493591309</v>
      </c>
      <c r="AP769" s="244">
        <v>6.8347878456115723</v>
      </c>
      <c r="AQ769" s="244">
        <v>17.238960266113281</v>
      </c>
      <c r="AR769" s="244">
        <v>2.2608551979064941</v>
      </c>
      <c r="AS769" s="228">
        <v>7.6249736098758225</v>
      </c>
      <c r="AT769" s="244">
        <v>8.8369951248168945</v>
      </c>
      <c r="AU769" s="244">
        <v>0.41733062267303467</v>
      </c>
      <c r="AV769" s="244">
        <v>1.608911395072937</v>
      </c>
      <c r="AW769" s="244">
        <v>6.8347878456115723</v>
      </c>
      <c r="AX769" s="244">
        <v>17.698024749755859</v>
      </c>
      <c r="AY769" s="244">
        <v>7.3628950119018555</v>
      </c>
      <c r="AZ769" s="228">
        <v>2.4036774492948134</v>
      </c>
      <c r="BA769" s="244">
        <v>8.8369951248168945</v>
      </c>
      <c r="BB769" s="244">
        <v>0.41733062267303467</v>
      </c>
      <c r="BC769" s="244">
        <v>1.608911395072937</v>
      </c>
      <c r="BD769" s="244">
        <v>6.8347878456115723</v>
      </c>
      <c r="BE769" s="244">
        <v>17.698024749755859</v>
      </c>
      <c r="BF769" s="244">
        <v>9.6237506866455078</v>
      </c>
      <c r="BG769" s="244">
        <v>4.7985386848449707</v>
      </c>
      <c r="BH769" s="228">
        <v>1.8389946105325652</v>
      </c>
      <c r="BI769" s="244">
        <v>14.223823547363281</v>
      </c>
      <c r="BJ769" s="244">
        <v>46.322525024414063</v>
      </c>
      <c r="BK769" s="244">
        <v>0</v>
      </c>
      <c r="BL769" s="244">
        <v>78.996734619140625</v>
      </c>
      <c r="BM769" s="244">
        <v>139.5430908203125</v>
      </c>
      <c r="BN769" s="244">
        <v>8.8369951248168945</v>
      </c>
      <c r="BO769" s="244">
        <v>94.104667663574219</v>
      </c>
      <c r="BP769" s="244">
        <v>0.41733062267303467</v>
      </c>
      <c r="BQ769" s="244">
        <v>0</v>
      </c>
      <c r="BR769" s="244">
        <v>0</v>
      </c>
      <c r="BS769" s="244">
        <v>0</v>
      </c>
      <c r="BT769" s="244">
        <v>6.8347878456115723</v>
      </c>
      <c r="BU769" s="244">
        <v>0</v>
      </c>
      <c r="BV769" s="244">
        <v>362.62252807617187</v>
      </c>
      <c r="BW769" s="244">
        <v>1.608911395072937</v>
      </c>
      <c r="BX769" s="244">
        <v>19.91282844543457</v>
      </c>
      <c r="BY769" s="244">
        <v>2.2673332691192627</v>
      </c>
      <c r="BZ769" s="244">
        <v>0</v>
      </c>
      <c r="CA769" s="244">
        <v>0</v>
      </c>
      <c r="CB769" s="244">
        <v>474.42523193359375</v>
      </c>
      <c r="CC769" s="244">
        <v>22.18016242980957</v>
      </c>
      <c r="CD769" s="228">
        <v>21.389619554334431</v>
      </c>
      <c r="CE769" s="244">
        <v>-2789.6337890625</v>
      </c>
      <c r="CF769" s="244">
        <v>9.6720065386502241E-2</v>
      </c>
      <c r="CG769" s="244">
        <v>1.0656103366118159</v>
      </c>
      <c r="CH769" s="244">
        <v>1.1623304019983181</v>
      </c>
      <c r="CI769" s="244">
        <v>4.7476459420471512E-3</v>
      </c>
      <c r="CJ769" s="244">
        <v>6.6600646038238565E-2</v>
      </c>
      <c r="CK769" s="244">
        <v>7.1348291980285722E-2</v>
      </c>
      <c r="CL769" s="244"/>
      <c r="CM769" s="244">
        <v>11.384725570678711</v>
      </c>
      <c r="CN769" s="244"/>
      <c r="CO769" s="244">
        <v>0.28600001335144043</v>
      </c>
      <c r="CP769" s="244">
        <v>0.31699997186660767</v>
      </c>
      <c r="CQ769" s="244">
        <v>94.104667663574219</v>
      </c>
      <c r="CR769" s="244">
        <v>0</v>
      </c>
      <c r="CS769" s="244">
        <v>0</v>
      </c>
      <c r="CT769" s="244">
        <v>94.104667663574219</v>
      </c>
      <c r="CU769" s="244">
        <v>0</v>
      </c>
      <c r="CV769" s="244">
        <v>0</v>
      </c>
      <c r="CW769" s="228">
        <v>9999</v>
      </c>
    </row>
    <row r="770" spans="1:101">
      <c r="A770" s="221" t="s">
        <v>576</v>
      </c>
      <c r="C770" s="244">
        <v>10</v>
      </c>
      <c r="D770" s="244">
        <v>57.726318359375</v>
      </c>
      <c r="E770" s="244">
        <v>4.2128200531005859</v>
      </c>
      <c r="F770" s="244">
        <v>8.1096944808959961</v>
      </c>
      <c r="G770" s="244">
        <v>0</v>
      </c>
      <c r="H770" s="244">
        <v>0</v>
      </c>
      <c r="I770" s="244"/>
      <c r="J770" s="244">
        <v>0.369241863489151</v>
      </c>
      <c r="K770" s="244">
        <v>0.35465705394744873</v>
      </c>
      <c r="L770" s="244">
        <v>62.950313568115234</v>
      </c>
      <c r="M770" s="244">
        <v>7.5725466012954712E-3</v>
      </c>
      <c r="N770" s="244">
        <v>2.303437702357769E-2</v>
      </c>
      <c r="O770" s="244">
        <v>4.2549481391906738</v>
      </c>
      <c r="P770" s="244">
        <v>1.2912111356854439E-2</v>
      </c>
      <c r="Q770" s="244">
        <v>4.0732212364673615E-2</v>
      </c>
      <c r="R770" s="244">
        <v>0.80633538961410522</v>
      </c>
      <c r="S770" s="244">
        <v>4.4560842514038086</v>
      </c>
      <c r="T770" s="244">
        <v>0</v>
      </c>
      <c r="U770" s="244">
        <v>8.9822397232055664</v>
      </c>
      <c r="V770" s="244">
        <v>0.81096947193145752</v>
      </c>
      <c r="W770" s="244">
        <v>0.81096947193145752</v>
      </c>
      <c r="X770" s="244">
        <v>0</v>
      </c>
      <c r="Y770" s="244">
        <v>0</v>
      </c>
      <c r="Z770" s="244">
        <v>0</v>
      </c>
      <c r="AA770" s="244">
        <v>0</v>
      </c>
      <c r="AB770" s="244">
        <v>0</v>
      </c>
      <c r="AC770" s="244">
        <v>0</v>
      </c>
      <c r="AD770" s="244">
        <v>0</v>
      </c>
      <c r="AE770" s="244">
        <v>0</v>
      </c>
      <c r="AF770" s="244">
        <v>0</v>
      </c>
      <c r="AG770" s="244">
        <v>0</v>
      </c>
      <c r="AH770" s="244">
        <v>1.617304801940918</v>
      </c>
      <c r="AI770" s="244">
        <v>5.2670536041259766</v>
      </c>
      <c r="AJ770" s="244">
        <v>0</v>
      </c>
      <c r="AK770" s="244">
        <v>8.9822397232055664</v>
      </c>
      <c r="AL770" s="244">
        <v>15.866598129272461</v>
      </c>
      <c r="AM770" s="244">
        <v>44.280635833740234</v>
      </c>
      <c r="AN770" s="244">
        <v>0</v>
      </c>
      <c r="AO770" s="244">
        <v>7.8014154434204102</v>
      </c>
      <c r="AP770" s="244">
        <v>33.733516693115234</v>
      </c>
      <c r="AQ770" s="244">
        <v>85.815567016601563</v>
      </c>
      <c r="AR770" s="244">
        <v>1.617304801940918</v>
      </c>
      <c r="AS770" s="228">
        <v>53.060848335215546</v>
      </c>
      <c r="AT770" s="244">
        <v>44.280635833740234</v>
      </c>
      <c r="AU770" s="244">
        <v>6.6023654937744141</v>
      </c>
      <c r="AV770" s="244">
        <v>8.4616518020629883</v>
      </c>
      <c r="AW770" s="244">
        <v>33.733516693115234</v>
      </c>
      <c r="AX770" s="244">
        <v>93.078170776367188</v>
      </c>
      <c r="AY770" s="244">
        <v>5.2670536041259766</v>
      </c>
      <c r="AZ770" s="228">
        <v>17.671771489688322</v>
      </c>
      <c r="BA770" s="244">
        <v>44.280635833740234</v>
      </c>
      <c r="BB770" s="244">
        <v>6.6023654937744141</v>
      </c>
      <c r="BC770" s="244">
        <v>8.4616518020629883</v>
      </c>
      <c r="BD770" s="244">
        <v>33.733516693115234</v>
      </c>
      <c r="BE770" s="244">
        <v>93.078170776367188</v>
      </c>
      <c r="BF770" s="244">
        <v>6.8843584060668945</v>
      </c>
      <c r="BG770" s="244">
        <v>-53.426605224609375</v>
      </c>
      <c r="BH770" s="228">
        <v>13.520238476117102</v>
      </c>
      <c r="BI770" s="244">
        <v>2.0615737438201904</v>
      </c>
      <c r="BJ770" s="244">
        <v>6.7138981819152832</v>
      </c>
      <c r="BK770" s="244">
        <v>0</v>
      </c>
      <c r="BL770" s="244">
        <v>11.449634552001953</v>
      </c>
      <c r="BM770" s="244">
        <v>20.225107192993164</v>
      </c>
      <c r="BN770" s="244">
        <v>44.280635833740234</v>
      </c>
      <c r="BO770" s="244">
        <v>35.170848846435547</v>
      </c>
      <c r="BP770" s="244">
        <v>6.6023654937744141</v>
      </c>
      <c r="BQ770" s="244">
        <v>0</v>
      </c>
      <c r="BR770" s="244">
        <v>0</v>
      </c>
      <c r="BS770" s="244">
        <v>0</v>
      </c>
      <c r="BT770" s="244">
        <v>33.733516693115234</v>
      </c>
      <c r="BU770" s="244">
        <v>0</v>
      </c>
      <c r="BV770" s="244">
        <v>208.68986511230469</v>
      </c>
      <c r="BW770" s="244">
        <v>8.4616518020629883</v>
      </c>
      <c r="BX770" s="244">
        <v>14.244659423828125</v>
      </c>
      <c r="BY770" s="244">
        <v>1.621938943862915</v>
      </c>
      <c r="BZ770" s="244">
        <v>0</v>
      </c>
      <c r="CA770" s="244">
        <v>0</v>
      </c>
      <c r="CB770" s="244">
        <v>336.93887329101562</v>
      </c>
      <c r="CC770" s="244">
        <v>15.866598129272461</v>
      </c>
      <c r="CD770" s="228">
        <v>21.235735346243946</v>
      </c>
      <c r="CE770" s="244">
        <v>-352.82553100585937</v>
      </c>
      <c r="CF770" s="244">
        <v>0.47531235316609322</v>
      </c>
      <c r="CG770" s="244">
        <v>0.39826313615602493</v>
      </c>
      <c r="CH770" s="244">
        <v>0.87357548932211815</v>
      </c>
      <c r="CI770" s="244">
        <v>2.330956477955597E-2</v>
      </c>
      <c r="CJ770" s="244">
        <v>2.4891446009751649E-2</v>
      </c>
      <c r="CK770" s="244">
        <v>4.8201010789307622E-2</v>
      </c>
      <c r="CL770" s="244"/>
      <c r="CM770" s="244">
        <v>4.2549481391906738</v>
      </c>
      <c r="CN770" s="244"/>
      <c r="CO770" s="244">
        <v>0.28599998354911804</v>
      </c>
      <c r="CP770" s="244">
        <v>0.31699997186660767</v>
      </c>
      <c r="CQ770" s="244">
        <v>35.170848846435547</v>
      </c>
      <c r="CR770" s="244">
        <v>0</v>
      </c>
      <c r="CS770" s="244">
        <v>0</v>
      </c>
      <c r="CT770" s="244">
        <v>35.170848846435547</v>
      </c>
      <c r="CU770" s="244">
        <v>0</v>
      </c>
      <c r="CV770" s="244">
        <v>0</v>
      </c>
      <c r="CW770" s="228">
        <v>9999</v>
      </c>
    </row>
    <row r="771" spans="1:101">
      <c r="A771" s="221" t="s">
        <v>500</v>
      </c>
      <c r="C771" s="244">
        <v>10</v>
      </c>
      <c r="D771" s="244">
        <v>3.3815822601318359</v>
      </c>
      <c r="E771" s="244">
        <v>3.0667574405670166</v>
      </c>
      <c r="F771" s="244">
        <v>3.2966773509979248</v>
      </c>
      <c r="G771" s="244">
        <v>0</v>
      </c>
      <c r="H771" s="244">
        <v>0</v>
      </c>
      <c r="I771" s="244"/>
      <c r="J771" s="244">
        <v>1</v>
      </c>
      <c r="K771" s="244">
        <v>0.64000004529953003</v>
      </c>
      <c r="L771" s="244">
        <v>3.6881661415100098</v>
      </c>
      <c r="M771" s="244">
        <v>2.6945504941977561E-4</v>
      </c>
      <c r="N771" s="244">
        <v>4.2102352017536759E-4</v>
      </c>
      <c r="O771" s="244">
        <v>3.0974249839782715</v>
      </c>
      <c r="P771" s="244">
        <v>9.3994792550802231E-3</v>
      </c>
      <c r="Q771" s="244">
        <v>2.9651353135704994E-2</v>
      </c>
      <c r="R771" s="244">
        <v>0.32778394222259521</v>
      </c>
      <c r="S771" s="244">
        <v>1.8114458322525024</v>
      </c>
      <c r="T771" s="244">
        <v>0</v>
      </c>
      <c r="U771" s="244">
        <v>3.6513762474060059</v>
      </c>
      <c r="V771" s="244">
        <v>0.32966774702072144</v>
      </c>
      <c r="W771" s="244">
        <v>0.32966774702072144</v>
      </c>
      <c r="X771" s="244">
        <v>0</v>
      </c>
      <c r="Y771" s="244">
        <v>0</v>
      </c>
      <c r="Z771" s="244">
        <v>0</v>
      </c>
      <c r="AA771" s="244">
        <v>0</v>
      </c>
      <c r="AB771" s="244">
        <v>0</v>
      </c>
      <c r="AC771" s="244">
        <v>0</v>
      </c>
      <c r="AD771" s="244">
        <v>0</v>
      </c>
      <c r="AE771" s="244">
        <v>0</v>
      </c>
      <c r="AF771" s="244">
        <v>0</v>
      </c>
      <c r="AG771" s="244">
        <v>0</v>
      </c>
      <c r="AH771" s="244">
        <v>0.65745168924331665</v>
      </c>
      <c r="AI771" s="244">
        <v>2.1411135196685791</v>
      </c>
      <c r="AJ771" s="244">
        <v>0</v>
      </c>
      <c r="AK771" s="244">
        <v>3.6513762474060059</v>
      </c>
      <c r="AL771" s="244">
        <v>6.4499416351318359</v>
      </c>
      <c r="AM771" s="244">
        <v>2.5553698539733887</v>
      </c>
      <c r="AN771" s="244">
        <v>0</v>
      </c>
      <c r="AO771" s="244">
        <v>0.45317670702934265</v>
      </c>
      <c r="AP771" s="244">
        <v>1.9763971567153931</v>
      </c>
      <c r="AQ771" s="244">
        <v>4.9849438667297363</v>
      </c>
      <c r="AR771" s="244">
        <v>0.65745168924331665</v>
      </c>
      <c r="AS771" s="228">
        <v>7.5822205635450786</v>
      </c>
      <c r="AT771" s="244">
        <v>2.5553698539733887</v>
      </c>
      <c r="AU771" s="244">
        <v>0.1206783801317215</v>
      </c>
      <c r="AV771" s="244">
        <v>0.46524456143379211</v>
      </c>
      <c r="AW771" s="244">
        <v>1.9763971567153931</v>
      </c>
      <c r="AX771" s="244">
        <v>5.1176900863647461</v>
      </c>
      <c r="AY771" s="244">
        <v>2.1411135196685791</v>
      </c>
      <c r="AZ771" s="228">
        <v>2.3902001284730705</v>
      </c>
      <c r="BA771" s="244">
        <v>2.5553698539733887</v>
      </c>
      <c r="BB771" s="244">
        <v>0.1206783801317215</v>
      </c>
      <c r="BC771" s="244">
        <v>0.46524456143379211</v>
      </c>
      <c r="BD771" s="244">
        <v>1.9763971567153931</v>
      </c>
      <c r="BE771" s="244">
        <v>5.1176900863647461</v>
      </c>
      <c r="BF771" s="244">
        <v>2.7985653877258301</v>
      </c>
      <c r="BG771" s="244">
        <v>5.1399321556091309</v>
      </c>
      <c r="BH771" s="228">
        <v>1.8286834364120703</v>
      </c>
      <c r="BI771" s="244">
        <v>14.304024696350098</v>
      </c>
      <c r="BJ771" s="244">
        <v>46.583717346191406</v>
      </c>
      <c r="BK771" s="244">
        <v>0</v>
      </c>
      <c r="BL771" s="244">
        <v>79.442153930664063</v>
      </c>
      <c r="BM771" s="244">
        <v>140.32989501953125</v>
      </c>
      <c r="BN771" s="244">
        <v>2.5553698539733887</v>
      </c>
      <c r="BO771" s="244">
        <v>25.602912902832031</v>
      </c>
      <c r="BP771" s="244">
        <v>0.1206783801317215</v>
      </c>
      <c r="BQ771" s="244">
        <v>0</v>
      </c>
      <c r="BR771" s="244">
        <v>0</v>
      </c>
      <c r="BS771" s="244">
        <v>0</v>
      </c>
      <c r="BT771" s="244">
        <v>1.9763971567153931</v>
      </c>
      <c r="BU771" s="244">
        <v>0</v>
      </c>
      <c r="BV771" s="244">
        <v>104.85858917236328</v>
      </c>
      <c r="BW771" s="244">
        <v>0.46524456143379211</v>
      </c>
      <c r="BX771" s="244">
        <v>5.7906060218811035</v>
      </c>
      <c r="BY771" s="244">
        <v>0.65933549404144287</v>
      </c>
      <c r="BZ771" s="244">
        <v>0</v>
      </c>
      <c r="CA771" s="244">
        <v>0</v>
      </c>
      <c r="CB771" s="244">
        <v>135.57919311523437</v>
      </c>
      <c r="CC771" s="244">
        <v>6.4499416351318359</v>
      </c>
      <c r="CD771" s="228">
        <v>21.020220368317165</v>
      </c>
      <c r="CE771" s="244">
        <v>-2753.8388671875</v>
      </c>
      <c r="CF771" s="244">
        <v>2.7968279551188694E-2</v>
      </c>
      <c r="CG771" s="244">
        <v>0.28991898148703049</v>
      </c>
      <c r="CH771" s="244">
        <v>0.31788726103821918</v>
      </c>
      <c r="CI771" s="244">
        <v>1.3728639283547492E-3</v>
      </c>
      <c r="CJ771" s="244">
        <v>1.8119936342939302E-2</v>
      </c>
      <c r="CK771" s="244">
        <v>1.9492800271294051E-2</v>
      </c>
      <c r="CL771" s="244"/>
      <c r="CM771" s="244">
        <v>3.0974249839782715</v>
      </c>
      <c r="CN771" s="244"/>
      <c r="CO771" s="244">
        <v>0.28600001335144043</v>
      </c>
      <c r="CP771" s="244">
        <v>0.31700000166893005</v>
      </c>
      <c r="CQ771" s="244">
        <v>25.602912902832031</v>
      </c>
      <c r="CR771" s="244">
        <v>0</v>
      </c>
      <c r="CS771" s="244">
        <v>0</v>
      </c>
      <c r="CT771" s="244">
        <v>25.602912902832031</v>
      </c>
      <c r="CU771" s="244">
        <v>0</v>
      </c>
      <c r="CV771" s="244">
        <v>0</v>
      </c>
      <c r="CW771" s="228">
        <v>9999</v>
      </c>
    </row>
    <row r="772" spans="1:101">
      <c r="A772" s="221" t="s">
        <v>538</v>
      </c>
      <c r="C772" s="244">
        <v>10</v>
      </c>
      <c r="D772" s="244">
        <v>155.05790710449219</v>
      </c>
      <c r="E772" s="244">
        <v>0</v>
      </c>
      <c r="F772" s="244">
        <v>11.336667060852051</v>
      </c>
      <c r="G772" s="244">
        <v>0</v>
      </c>
      <c r="H772" s="244">
        <v>0</v>
      </c>
      <c r="I772" s="244"/>
      <c r="J772" s="244">
        <v>0.31757351756095886</v>
      </c>
      <c r="K772" s="244">
        <v>0.33128324151039124</v>
      </c>
      <c r="L772" s="244">
        <v>169.087890625</v>
      </c>
      <c r="M772" s="244">
        <v>2.0994607359170914E-2</v>
      </c>
      <c r="N772" s="244">
        <v>6.5359190106391907E-2</v>
      </c>
      <c r="O772" s="244">
        <v>0</v>
      </c>
      <c r="P772" s="244">
        <v>0</v>
      </c>
      <c r="Q772" s="244">
        <v>0</v>
      </c>
      <c r="R772" s="244">
        <v>1.1271885633468628</v>
      </c>
      <c r="S772" s="244">
        <v>6.2292284965515137</v>
      </c>
      <c r="T772" s="244">
        <v>0</v>
      </c>
      <c r="U772" s="244">
        <v>12.556410789489746</v>
      </c>
      <c r="V772" s="244">
        <v>1.1336666345596313</v>
      </c>
      <c r="W772" s="244">
        <v>1.1336666345596313</v>
      </c>
      <c r="X772" s="244">
        <v>0</v>
      </c>
      <c r="Y772" s="244">
        <v>0</v>
      </c>
      <c r="Z772" s="244">
        <v>0</v>
      </c>
      <c r="AA772" s="244">
        <v>0</v>
      </c>
      <c r="AB772" s="244">
        <v>0</v>
      </c>
      <c r="AC772" s="244">
        <v>0</v>
      </c>
      <c r="AD772" s="244">
        <v>0</v>
      </c>
      <c r="AE772" s="244">
        <v>0</v>
      </c>
      <c r="AF772" s="244">
        <v>0</v>
      </c>
      <c r="AG772" s="244">
        <v>0</v>
      </c>
      <c r="AH772" s="244">
        <v>2.2608551979064941</v>
      </c>
      <c r="AI772" s="244">
        <v>7.3628950119018555</v>
      </c>
      <c r="AJ772" s="244">
        <v>0</v>
      </c>
      <c r="AK772" s="244">
        <v>12.556410789489746</v>
      </c>
      <c r="AL772" s="244">
        <v>22.18016242980957</v>
      </c>
      <c r="AM772" s="244">
        <v>119.08650207519531</v>
      </c>
      <c r="AN772" s="244">
        <v>0</v>
      </c>
      <c r="AO772" s="244">
        <v>20.969654083251953</v>
      </c>
      <c r="AP772" s="244">
        <v>90.610023498535156</v>
      </c>
      <c r="AQ772" s="244">
        <v>230.66618347167969</v>
      </c>
      <c r="AR772" s="244">
        <v>2.2608551979064941</v>
      </c>
      <c r="AS772" s="228">
        <v>102.02607396996261</v>
      </c>
      <c r="AT772" s="244">
        <v>119.08650207519531</v>
      </c>
      <c r="AU772" s="244">
        <v>18.733968734741211</v>
      </c>
      <c r="AV772" s="244">
        <v>22.843050003051758</v>
      </c>
      <c r="AW772" s="244">
        <v>90.610023498535156</v>
      </c>
      <c r="AX772" s="244">
        <v>251.27354431152344</v>
      </c>
      <c r="AY772" s="244">
        <v>7.3628950119018555</v>
      </c>
      <c r="AZ772" s="228">
        <v>34.127003011328149</v>
      </c>
      <c r="BA772" s="244">
        <v>119.08650207519531</v>
      </c>
      <c r="BB772" s="244">
        <v>18.733968734741211</v>
      </c>
      <c r="BC772" s="244">
        <v>22.843050003051758</v>
      </c>
      <c r="BD772" s="244">
        <v>90.610023498535156</v>
      </c>
      <c r="BE772" s="244">
        <v>251.27354431152344</v>
      </c>
      <c r="BF772" s="244">
        <v>9.6237506866455078</v>
      </c>
      <c r="BG772" s="244">
        <v>-58.163803100585938</v>
      </c>
      <c r="BH772" s="228">
        <v>26.109732247924246</v>
      </c>
      <c r="BI772" s="244">
        <v>1.0729146003723145</v>
      </c>
      <c r="BJ772" s="244">
        <v>3.4941456317901611</v>
      </c>
      <c r="BK772" s="244">
        <v>0</v>
      </c>
      <c r="BL772" s="244">
        <v>5.9587879180908203</v>
      </c>
      <c r="BM772" s="244">
        <v>10.525848388671875</v>
      </c>
      <c r="BN772" s="244">
        <v>119.08650207519531</v>
      </c>
      <c r="BO772" s="244">
        <v>0</v>
      </c>
      <c r="BP772" s="244">
        <v>18.733968734741211</v>
      </c>
      <c r="BQ772" s="244">
        <v>0</v>
      </c>
      <c r="BR772" s="244">
        <v>0</v>
      </c>
      <c r="BS772" s="244">
        <v>0</v>
      </c>
      <c r="BT772" s="244">
        <v>90.610023498535156</v>
      </c>
      <c r="BU772" s="244">
        <v>0</v>
      </c>
      <c r="BV772" s="244">
        <v>212.61918640136719</v>
      </c>
      <c r="BW772" s="244">
        <v>22.843050003051758</v>
      </c>
      <c r="BX772" s="244">
        <v>19.91282844543457</v>
      </c>
      <c r="BY772" s="244">
        <v>2.2673332691192627</v>
      </c>
      <c r="BZ772" s="244">
        <v>0</v>
      </c>
      <c r="CA772" s="244">
        <v>0</v>
      </c>
      <c r="CB772" s="244">
        <v>463.89273071289062</v>
      </c>
      <c r="CC772" s="244">
        <v>22.18016242980957</v>
      </c>
      <c r="CD772" s="228">
        <v>20.914758723715739</v>
      </c>
      <c r="CE772" s="244">
        <v>-153.10586547851563</v>
      </c>
      <c r="CF772" s="244">
        <v>1.276261890625884</v>
      </c>
      <c r="CG772" s="244">
        <v>0</v>
      </c>
      <c r="CH772" s="244">
        <v>1.276261890625884</v>
      </c>
      <c r="CI772" s="244">
        <v>6.258371983882019E-2</v>
      </c>
      <c r="CJ772" s="244">
        <v>0</v>
      </c>
      <c r="CK772" s="244">
        <v>6.258371983882019E-2</v>
      </c>
      <c r="CL772" s="244"/>
      <c r="CM772" s="244">
        <v>0</v>
      </c>
      <c r="CN772" s="244"/>
      <c r="CO772" s="244">
        <v>0</v>
      </c>
      <c r="CP772" s="244">
        <v>0</v>
      </c>
      <c r="CQ772" s="244">
        <v>0</v>
      </c>
      <c r="CR772" s="244">
        <v>0</v>
      </c>
      <c r="CS772" s="244">
        <v>0</v>
      </c>
      <c r="CT772" s="244">
        <v>0</v>
      </c>
      <c r="CU772" s="244">
        <v>0</v>
      </c>
      <c r="CV772" s="244">
        <v>9999</v>
      </c>
      <c r="CW772" s="228">
        <v>9999</v>
      </c>
    </row>
    <row r="773" spans="1:101">
      <c r="A773" s="221" t="s">
        <v>463</v>
      </c>
      <c r="C773" s="244">
        <v>10</v>
      </c>
      <c r="D773" s="244">
        <v>106.93106842041016</v>
      </c>
      <c r="E773" s="244">
        <v>0</v>
      </c>
      <c r="F773" s="244">
        <v>8.1096944808959961</v>
      </c>
      <c r="G773" s="244">
        <v>0</v>
      </c>
      <c r="H773" s="244">
        <v>0</v>
      </c>
      <c r="I773" s="244"/>
      <c r="J773" s="244">
        <v>0.31946480274200439</v>
      </c>
      <c r="K773" s="244">
        <v>0.33213883638381958</v>
      </c>
      <c r="L773" s="244">
        <v>116.60647583007812</v>
      </c>
      <c r="M773" s="244">
        <v>1.4461793936789036E-2</v>
      </c>
      <c r="N773" s="244">
        <v>4.4984996318817139E-2</v>
      </c>
      <c r="O773" s="244">
        <v>0</v>
      </c>
      <c r="P773" s="244">
        <v>0</v>
      </c>
      <c r="Q773" s="244">
        <v>0</v>
      </c>
      <c r="R773" s="244">
        <v>0.80633538961410522</v>
      </c>
      <c r="S773" s="244">
        <v>4.4560842514038086</v>
      </c>
      <c r="T773" s="244">
        <v>0</v>
      </c>
      <c r="U773" s="244">
        <v>8.9822397232055664</v>
      </c>
      <c r="V773" s="244">
        <v>0.81096947193145752</v>
      </c>
      <c r="W773" s="244">
        <v>0.81096947193145752</v>
      </c>
      <c r="X773" s="244">
        <v>0</v>
      </c>
      <c r="Y773" s="244">
        <v>0</v>
      </c>
      <c r="Z773" s="244">
        <v>0</v>
      </c>
      <c r="AA773" s="244">
        <v>0</v>
      </c>
      <c r="AB773" s="244">
        <v>0</v>
      </c>
      <c r="AC773" s="244">
        <v>0</v>
      </c>
      <c r="AD773" s="244">
        <v>0</v>
      </c>
      <c r="AE773" s="244">
        <v>0</v>
      </c>
      <c r="AF773" s="244">
        <v>0</v>
      </c>
      <c r="AG773" s="244">
        <v>0</v>
      </c>
      <c r="AH773" s="244">
        <v>1.617304801940918</v>
      </c>
      <c r="AI773" s="244">
        <v>5.2670536041259766</v>
      </c>
      <c r="AJ773" s="244">
        <v>0</v>
      </c>
      <c r="AK773" s="244">
        <v>8.9822397232055664</v>
      </c>
      <c r="AL773" s="244">
        <v>15.866598129272461</v>
      </c>
      <c r="AM773" s="244">
        <v>82.120803833007812</v>
      </c>
      <c r="AN773" s="244">
        <v>0</v>
      </c>
      <c r="AO773" s="244">
        <v>14.460733413696289</v>
      </c>
      <c r="AP773" s="244">
        <v>62.486530303955078</v>
      </c>
      <c r="AQ773" s="244">
        <v>159.06806945800781</v>
      </c>
      <c r="AR773" s="244">
        <v>1.617304801940918</v>
      </c>
      <c r="AS773" s="228">
        <v>98.353792987827433</v>
      </c>
      <c r="AT773" s="244">
        <v>82.120803833007812</v>
      </c>
      <c r="AU773" s="244">
        <v>12.894091606140137</v>
      </c>
      <c r="AV773" s="244">
        <v>15.750143051147461</v>
      </c>
      <c r="AW773" s="244">
        <v>62.486530303955078</v>
      </c>
      <c r="AX773" s="244">
        <v>173.25157165527344</v>
      </c>
      <c r="AY773" s="244">
        <v>5.2670536041259766</v>
      </c>
      <c r="AZ773" s="228">
        <v>32.893450094627489</v>
      </c>
      <c r="BA773" s="244">
        <v>82.120803833007812</v>
      </c>
      <c r="BB773" s="244">
        <v>12.894091606140137</v>
      </c>
      <c r="BC773" s="244">
        <v>15.750143051147461</v>
      </c>
      <c r="BD773" s="244">
        <v>62.486530303955078</v>
      </c>
      <c r="BE773" s="244">
        <v>173.25157165527344</v>
      </c>
      <c r="BF773" s="244">
        <v>6.8843584060668945</v>
      </c>
      <c r="BG773" s="244">
        <v>-57.974048614501953</v>
      </c>
      <c r="BH773" s="228">
        <v>25.165971042638468</v>
      </c>
      <c r="BI773" s="244">
        <v>1.1129460334777832</v>
      </c>
      <c r="BJ773" s="244">
        <v>3.6245157718658447</v>
      </c>
      <c r="BK773" s="244">
        <v>0</v>
      </c>
      <c r="BL773" s="244">
        <v>6.1811156272888184</v>
      </c>
      <c r="BM773" s="244">
        <v>10.918577194213867</v>
      </c>
      <c r="BN773" s="244">
        <v>82.120803833007812</v>
      </c>
      <c r="BO773" s="244">
        <v>0</v>
      </c>
      <c r="BP773" s="244">
        <v>12.894091606140137</v>
      </c>
      <c r="BQ773" s="244">
        <v>0</v>
      </c>
      <c r="BR773" s="244">
        <v>0</v>
      </c>
      <c r="BS773" s="244">
        <v>0</v>
      </c>
      <c r="BT773" s="244">
        <v>62.486530303955078</v>
      </c>
      <c r="BU773" s="244">
        <v>0</v>
      </c>
      <c r="BV773" s="244">
        <v>155.40969848632812</v>
      </c>
      <c r="BW773" s="244">
        <v>15.750143051147461</v>
      </c>
      <c r="BX773" s="244">
        <v>14.244659423828125</v>
      </c>
      <c r="BY773" s="244">
        <v>1.621938943862915</v>
      </c>
      <c r="BZ773" s="244">
        <v>0</v>
      </c>
      <c r="CA773" s="244">
        <v>0</v>
      </c>
      <c r="CB773" s="244">
        <v>328.6612548828125</v>
      </c>
      <c r="CC773" s="244">
        <v>15.866598129272461</v>
      </c>
      <c r="CD773" s="228">
        <v>20.714034581591701</v>
      </c>
      <c r="CE773" s="244">
        <v>-158.73789978027344</v>
      </c>
      <c r="CF773" s="244">
        <v>0.8801478077714846</v>
      </c>
      <c r="CG773" s="244">
        <v>0</v>
      </c>
      <c r="CH773" s="244">
        <v>0.8801478077714846</v>
      </c>
      <c r="CI773" s="244">
        <v>4.3159699255015456E-2</v>
      </c>
      <c r="CJ773" s="244">
        <v>0</v>
      </c>
      <c r="CK773" s="244">
        <v>4.3159699255015456E-2</v>
      </c>
      <c r="CL773" s="244"/>
      <c r="CM773" s="244">
        <v>0</v>
      </c>
      <c r="CN773" s="244"/>
      <c r="CO773" s="244">
        <v>0</v>
      </c>
      <c r="CP773" s="244">
        <v>0</v>
      </c>
      <c r="CQ773" s="244">
        <v>0</v>
      </c>
      <c r="CR773" s="244">
        <v>0</v>
      </c>
      <c r="CS773" s="244">
        <v>0</v>
      </c>
      <c r="CT773" s="244">
        <v>0</v>
      </c>
      <c r="CU773" s="244">
        <v>0</v>
      </c>
      <c r="CV773" s="244">
        <v>9999</v>
      </c>
      <c r="CW773" s="228">
        <v>9999</v>
      </c>
    </row>
    <row r="774" spans="1:101">
      <c r="A774" s="221" t="s">
        <v>451</v>
      </c>
      <c r="C774" s="244">
        <v>10</v>
      </c>
      <c r="D774" s="244">
        <v>149.93272399902344</v>
      </c>
      <c r="E774" s="244">
        <v>0</v>
      </c>
      <c r="F774" s="244">
        <v>11.336667060852051</v>
      </c>
      <c r="G774" s="244">
        <v>0</v>
      </c>
      <c r="H774" s="244">
        <v>0</v>
      </c>
      <c r="I774" s="244"/>
      <c r="J774" s="244">
        <v>0.31782251596450806</v>
      </c>
      <c r="K774" s="244">
        <v>0.33139589428901672</v>
      </c>
      <c r="L774" s="244">
        <v>163.49896240234375</v>
      </c>
      <c r="M774" s="244">
        <v>2.0297616720199585E-2</v>
      </c>
      <c r="N774" s="244">
        <v>6.318259984254837E-2</v>
      </c>
      <c r="O774" s="244">
        <v>0</v>
      </c>
      <c r="P774" s="244">
        <v>0</v>
      </c>
      <c r="Q774" s="244">
        <v>0</v>
      </c>
      <c r="R774" s="244">
        <v>1.1271885633468628</v>
      </c>
      <c r="S774" s="244">
        <v>6.2292284965515137</v>
      </c>
      <c r="T774" s="244">
        <v>0</v>
      </c>
      <c r="U774" s="244">
        <v>12.556410789489746</v>
      </c>
      <c r="V774" s="244">
        <v>1.1336666345596313</v>
      </c>
      <c r="W774" s="244">
        <v>1.1336666345596313</v>
      </c>
      <c r="X774" s="244">
        <v>0</v>
      </c>
      <c r="Y774" s="244">
        <v>0</v>
      </c>
      <c r="Z774" s="244">
        <v>0</v>
      </c>
      <c r="AA774" s="244">
        <v>0</v>
      </c>
      <c r="AB774" s="244">
        <v>0</v>
      </c>
      <c r="AC774" s="244">
        <v>0</v>
      </c>
      <c r="AD774" s="244">
        <v>0</v>
      </c>
      <c r="AE774" s="244">
        <v>0</v>
      </c>
      <c r="AF774" s="244">
        <v>0</v>
      </c>
      <c r="AG774" s="244">
        <v>0</v>
      </c>
      <c r="AH774" s="244">
        <v>2.2608551979064941</v>
      </c>
      <c r="AI774" s="244">
        <v>7.3628950119018555</v>
      </c>
      <c r="AJ774" s="244">
        <v>0</v>
      </c>
      <c r="AK774" s="244">
        <v>12.556410789489746</v>
      </c>
      <c r="AL774" s="244">
        <v>22.18016242980957</v>
      </c>
      <c r="AM774" s="244">
        <v>115.14962005615234</v>
      </c>
      <c r="AN774" s="244">
        <v>0</v>
      </c>
      <c r="AO774" s="244">
        <v>20.276468276977539</v>
      </c>
      <c r="AP774" s="244">
        <v>87.615058898925781</v>
      </c>
      <c r="AQ774" s="244">
        <v>223.04115295410156</v>
      </c>
      <c r="AR774" s="244">
        <v>2.2608551979064941</v>
      </c>
      <c r="AS774" s="228">
        <v>98.653442042014561</v>
      </c>
      <c r="AT774" s="244">
        <v>115.14962005615234</v>
      </c>
      <c r="AU774" s="244">
        <v>18.110088348388672</v>
      </c>
      <c r="AV774" s="244">
        <v>22.08747673034668</v>
      </c>
      <c r="AW774" s="244">
        <v>87.615058898925781</v>
      </c>
      <c r="AX774" s="244">
        <v>242.96224975585937</v>
      </c>
      <c r="AY774" s="244">
        <v>7.3628950119018555</v>
      </c>
      <c r="AZ774" s="228">
        <v>32.998194284637016</v>
      </c>
      <c r="BA774" s="244">
        <v>115.14962005615234</v>
      </c>
      <c r="BB774" s="244">
        <v>18.110088348388672</v>
      </c>
      <c r="BC774" s="244">
        <v>22.08747673034668</v>
      </c>
      <c r="BD774" s="244">
        <v>87.615058898925781</v>
      </c>
      <c r="BE774" s="244">
        <v>242.96224975585937</v>
      </c>
      <c r="BF774" s="244">
        <v>9.6237506866455078</v>
      </c>
      <c r="BG774" s="244">
        <v>-58.005146026611328</v>
      </c>
      <c r="BH774" s="228">
        <v>25.246108401340276</v>
      </c>
      <c r="BI774" s="244">
        <v>1.1095904111862183</v>
      </c>
      <c r="BJ774" s="244">
        <v>3.6135871410369873</v>
      </c>
      <c r="BK774" s="244">
        <v>0</v>
      </c>
      <c r="BL774" s="244">
        <v>6.1624789237976074</v>
      </c>
      <c r="BM774" s="244">
        <v>10.885656356811523</v>
      </c>
      <c r="BN774" s="244">
        <v>115.14962005615234</v>
      </c>
      <c r="BO774" s="244">
        <v>0</v>
      </c>
      <c r="BP774" s="244">
        <v>18.110088348388672</v>
      </c>
      <c r="BQ774" s="244">
        <v>0</v>
      </c>
      <c r="BR774" s="244">
        <v>0</v>
      </c>
      <c r="BS774" s="244">
        <v>0</v>
      </c>
      <c r="BT774" s="244">
        <v>87.615058898925781</v>
      </c>
      <c r="BU774" s="244">
        <v>0</v>
      </c>
      <c r="BV774" s="244">
        <v>207.21290588378906</v>
      </c>
      <c r="BW774" s="244">
        <v>22.08747673034668</v>
      </c>
      <c r="BX774" s="244">
        <v>19.91282844543457</v>
      </c>
      <c r="BY774" s="244">
        <v>2.2673332691192627</v>
      </c>
      <c r="BZ774" s="244">
        <v>0</v>
      </c>
      <c r="CA774" s="244">
        <v>0</v>
      </c>
      <c r="CB774" s="244">
        <v>450.17514038085937</v>
      </c>
      <c r="CC774" s="244">
        <v>22.18016242980957</v>
      </c>
      <c r="CD774" s="228">
        <v>20.296297011315911</v>
      </c>
      <c r="CE774" s="244">
        <v>-153.53933715820312</v>
      </c>
      <c r="CF774" s="244">
        <v>1.2340792727143173</v>
      </c>
      <c r="CG774" s="244">
        <v>0</v>
      </c>
      <c r="CH774" s="244">
        <v>1.2340792727143173</v>
      </c>
      <c r="CI774" s="244">
        <v>6.0515244360868879E-2</v>
      </c>
      <c r="CJ774" s="244">
        <v>0</v>
      </c>
      <c r="CK774" s="244">
        <v>6.0515244360868879E-2</v>
      </c>
      <c r="CL774" s="244"/>
      <c r="CM774" s="244">
        <v>0</v>
      </c>
      <c r="CN774" s="244"/>
      <c r="CO774" s="244">
        <v>0</v>
      </c>
      <c r="CP774" s="244">
        <v>0</v>
      </c>
      <c r="CQ774" s="244">
        <v>0</v>
      </c>
      <c r="CR774" s="244">
        <v>0</v>
      </c>
      <c r="CS774" s="244">
        <v>0</v>
      </c>
      <c r="CT774" s="244">
        <v>0</v>
      </c>
      <c r="CU774" s="244">
        <v>0</v>
      </c>
      <c r="CV774" s="244">
        <v>9999</v>
      </c>
      <c r="CW774" s="228">
        <v>9999</v>
      </c>
    </row>
    <row r="775" spans="1:101">
      <c r="A775" s="221" t="s">
        <v>497</v>
      </c>
      <c r="C775" s="244">
        <v>10</v>
      </c>
      <c r="D775" s="244">
        <v>3.2062411308288574</v>
      </c>
      <c r="E775" s="244">
        <v>3.0651814937591553</v>
      </c>
      <c r="F775" s="244">
        <v>3.2966773509979248</v>
      </c>
      <c r="G775" s="244">
        <v>0</v>
      </c>
      <c r="H775" s="244">
        <v>0</v>
      </c>
      <c r="I775" s="244"/>
      <c r="J775" s="244">
        <v>1</v>
      </c>
      <c r="K775" s="244">
        <v>0.63999998569488525</v>
      </c>
      <c r="L775" s="244">
        <v>3.4969279766082764</v>
      </c>
      <c r="M775" s="244">
        <v>2.5548331905156374E-4</v>
      </c>
      <c r="N775" s="244">
        <v>3.9919267874211073E-4</v>
      </c>
      <c r="O775" s="244">
        <v>3.0958333015441895</v>
      </c>
      <c r="P775" s="244">
        <v>9.3946494162082672E-3</v>
      </c>
      <c r="Q775" s="244">
        <v>2.9636116698384285E-2</v>
      </c>
      <c r="R775" s="244">
        <v>0.32778394222259521</v>
      </c>
      <c r="S775" s="244">
        <v>1.8114458322525024</v>
      </c>
      <c r="T775" s="244">
        <v>0</v>
      </c>
      <c r="U775" s="244">
        <v>3.6513762474060059</v>
      </c>
      <c r="V775" s="244">
        <v>0.32966774702072144</v>
      </c>
      <c r="W775" s="244">
        <v>0.32966774702072144</v>
      </c>
      <c r="X775" s="244">
        <v>0</v>
      </c>
      <c r="Y775" s="244">
        <v>0</v>
      </c>
      <c r="Z775" s="244">
        <v>0</v>
      </c>
      <c r="AA775" s="244">
        <v>0</v>
      </c>
      <c r="AB775" s="244">
        <v>0</v>
      </c>
      <c r="AC775" s="244">
        <v>0</v>
      </c>
      <c r="AD775" s="244">
        <v>0</v>
      </c>
      <c r="AE775" s="244">
        <v>0</v>
      </c>
      <c r="AF775" s="244">
        <v>0</v>
      </c>
      <c r="AG775" s="244">
        <v>0</v>
      </c>
      <c r="AH775" s="244">
        <v>0.65745168924331665</v>
      </c>
      <c r="AI775" s="244">
        <v>2.1411135196685791</v>
      </c>
      <c r="AJ775" s="244">
        <v>0</v>
      </c>
      <c r="AK775" s="244">
        <v>3.6513762474060059</v>
      </c>
      <c r="AL775" s="244">
        <v>6.4499416351318359</v>
      </c>
      <c r="AM775" s="244">
        <v>2.4228692054748535</v>
      </c>
      <c r="AN775" s="244">
        <v>0</v>
      </c>
      <c r="AO775" s="244">
        <v>0.42967864871025085</v>
      </c>
      <c r="AP775" s="244">
        <v>1.8739171028137207</v>
      </c>
      <c r="AQ775" s="244">
        <v>4.7264647483825684</v>
      </c>
      <c r="AR775" s="244">
        <v>0.65745168924331665</v>
      </c>
      <c r="AS775" s="228">
        <v>7.1890680856545872</v>
      </c>
      <c r="AT775" s="244">
        <v>2.4228692054748535</v>
      </c>
      <c r="AU775" s="244">
        <v>0.11442097276449203</v>
      </c>
      <c r="AV775" s="244">
        <v>0.44112074375152588</v>
      </c>
      <c r="AW775" s="244">
        <v>1.8739171028137207</v>
      </c>
      <c r="AX775" s="244">
        <v>4.852327823638916</v>
      </c>
      <c r="AY775" s="244">
        <v>2.1411135196685791</v>
      </c>
      <c r="AZ775" s="228">
        <v>2.2662637198591109</v>
      </c>
      <c r="BA775" s="244">
        <v>2.4228692054748535</v>
      </c>
      <c r="BB775" s="244">
        <v>0.11442097276449203</v>
      </c>
      <c r="BC775" s="244">
        <v>0.44112074375152588</v>
      </c>
      <c r="BD775" s="244">
        <v>1.8739171028137207</v>
      </c>
      <c r="BE775" s="244">
        <v>4.852327823638916</v>
      </c>
      <c r="BF775" s="244">
        <v>2.7985653877258301</v>
      </c>
      <c r="BG775" s="244">
        <v>8.4697360992431641</v>
      </c>
      <c r="BH775" s="228">
        <v>1.7338627329484109</v>
      </c>
      <c r="BI775" s="244">
        <v>15.086276054382324</v>
      </c>
      <c r="BJ775" s="244">
        <v>49.131263732910156</v>
      </c>
      <c r="BK775" s="244">
        <v>0</v>
      </c>
      <c r="BL775" s="244">
        <v>83.786643981933594</v>
      </c>
      <c r="BM775" s="244">
        <v>148.00418090820312</v>
      </c>
      <c r="BN775" s="244">
        <v>2.4228692054748535</v>
      </c>
      <c r="BO775" s="244">
        <v>25.589756011962891</v>
      </c>
      <c r="BP775" s="244">
        <v>0.11442097276449203</v>
      </c>
      <c r="BQ775" s="244">
        <v>0</v>
      </c>
      <c r="BR775" s="244">
        <v>0</v>
      </c>
      <c r="BS775" s="244">
        <v>0</v>
      </c>
      <c r="BT775" s="244">
        <v>1.8739171028137207</v>
      </c>
      <c r="BU775" s="244">
        <v>0</v>
      </c>
      <c r="BV775" s="244">
        <v>99.421493530273438</v>
      </c>
      <c r="BW775" s="244">
        <v>0.44112074375152588</v>
      </c>
      <c r="BX775" s="244">
        <v>5.7906060218811035</v>
      </c>
      <c r="BY775" s="244">
        <v>0.65933549404144287</v>
      </c>
      <c r="BZ775" s="244">
        <v>0</v>
      </c>
      <c r="CA775" s="244">
        <v>0</v>
      </c>
      <c r="CB775" s="244">
        <v>129.86357116699219</v>
      </c>
      <c r="CC775" s="244">
        <v>6.4499416351318359</v>
      </c>
      <c r="CD775" s="228">
        <v>20.134070556524467</v>
      </c>
      <c r="CE775" s="244">
        <v>-2776.325927734375</v>
      </c>
      <c r="CF775" s="244">
        <v>2.6518072463349373E-2</v>
      </c>
      <c r="CG775" s="244">
        <v>0.28976999761486133</v>
      </c>
      <c r="CH775" s="244">
        <v>0.31628807007821069</v>
      </c>
      <c r="CI775" s="244">
        <v>1.3016783913289481E-3</v>
      </c>
      <c r="CJ775" s="244">
        <v>1.8110624850928798E-2</v>
      </c>
      <c r="CK775" s="244">
        <v>1.9412303242257747E-2</v>
      </c>
      <c r="CL775" s="244"/>
      <c r="CM775" s="244">
        <v>3.0958333015441895</v>
      </c>
      <c r="CN775" s="244"/>
      <c r="CO775" s="244">
        <v>0.28600001335144043</v>
      </c>
      <c r="CP775" s="244">
        <v>0.31700000166893005</v>
      </c>
      <c r="CQ775" s="244">
        <v>25.589756011962891</v>
      </c>
      <c r="CR775" s="244">
        <v>0</v>
      </c>
      <c r="CS775" s="244">
        <v>0</v>
      </c>
      <c r="CT775" s="244">
        <v>25.589756011962891</v>
      </c>
      <c r="CU775" s="244">
        <v>0</v>
      </c>
      <c r="CV775" s="244">
        <v>0</v>
      </c>
      <c r="CW775" s="228">
        <v>9999</v>
      </c>
    </row>
    <row r="776" spans="1:101">
      <c r="A776" s="221" t="s">
        <v>467</v>
      </c>
      <c r="C776" s="244">
        <v>10.000000953674316</v>
      </c>
      <c r="D776" s="244">
        <v>7.7961382865905762</v>
      </c>
      <c r="E776" s="244">
        <v>7.5146703720092773</v>
      </c>
      <c r="F776" s="244">
        <v>8.1096944808959961</v>
      </c>
      <c r="G776" s="244">
        <v>0</v>
      </c>
      <c r="H776" s="244">
        <v>0</v>
      </c>
      <c r="I776" s="244"/>
      <c r="J776" s="244">
        <v>1</v>
      </c>
      <c r="K776" s="244">
        <v>0.64000004529953003</v>
      </c>
      <c r="L776" s="244">
        <v>8.5029582977294922</v>
      </c>
      <c r="M776" s="244">
        <v>6.2122067902237177E-4</v>
      </c>
      <c r="N776" s="244">
        <v>9.7065733280032873E-4</v>
      </c>
      <c r="O776" s="244">
        <v>7.5898170471191406</v>
      </c>
      <c r="P776" s="244">
        <v>2.3032139986753464E-2</v>
      </c>
      <c r="Q776" s="244">
        <v>7.2656594216823578E-2</v>
      </c>
      <c r="R776" s="244">
        <v>0.80633538961410522</v>
      </c>
      <c r="S776" s="244">
        <v>4.4560842514038086</v>
      </c>
      <c r="T776" s="244">
        <v>0</v>
      </c>
      <c r="U776" s="244">
        <v>8.9822397232055664</v>
      </c>
      <c r="V776" s="244">
        <v>0.81096947193145752</v>
      </c>
      <c r="W776" s="244">
        <v>0.81096947193145752</v>
      </c>
      <c r="X776" s="244">
        <v>0</v>
      </c>
      <c r="Y776" s="244">
        <v>0</v>
      </c>
      <c r="Z776" s="244">
        <v>0</v>
      </c>
      <c r="AA776" s="244">
        <v>0</v>
      </c>
      <c r="AB776" s="244">
        <v>0</v>
      </c>
      <c r="AC776" s="244">
        <v>0</v>
      </c>
      <c r="AD776" s="244">
        <v>0</v>
      </c>
      <c r="AE776" s="244">
        <v>0</v>
      </c>
      <c r="AF776" s="244">
        <v>0</v>
      </c>
      <c r="AG776" s="244">
        <v>0</v>
      </c>
      <c r="AH776" s="244">
        <v>1.617304801940918</v>
      </c>
      <c r="AI776" s="244">
        <v>5.2670536041259766</v>
      </c>
      <c r="AJ776" s="244">
        <v>0</v>
      </c>
      <c r="AK776" s="244">
        <v>8.9822397232055664</v>
      </c>
      <c r="AL776" s="244">
        <v>15.866598129272461</v>
      </c>
      <c r="AM776" s="244">
        <v>5.8913297653198242</v>
      </c>
      <c r="AN776" s="244">
        <v>0</v>
      </c>
      <c r="AO776" s="244">
        <v>1.0447853803634644</v>
      </c>
      <c r="AP776" s="244">
        <v>4.5565242767333984</v>
      </c>
      <c r="AQ776" s="244">
        <v>11.492639541625977</v>
      </c>
      <c r="AR776" s="244">
        <v>1.617304801940918</v>
      </c>
      <c r="AS776" s="228">
        <v>7.1060439473568699</v>
      </c>
      <c r="AT776" s="244">
        <v>5.8913297653198242</v>
      </c>
      <c r="AU776" s="244">
        <v>0.27822044491767883</v>
      </c>
      <c r="AV776" s="244">
        <v>1.0726075172424316</v>
      </c>
      <c r="AW776" s="244">
        <v>4.5565242767333984</v>
      </c>
      <c r="AX776" s="244">
        <v>11.79868221282959</v>
      </c>
      <c r="AY776" s="244">
        <v>5.2670536041259766</v>
      </c>
      <c r="AZ776" s="228">
        <v>2.2400914484582155</v>
      </c>
      <c r="BA776" s="244">
        <v>5.8913297653198242</v>
      </c>
      <c r="BB776" s="244">
        <v>0.27822044491767883</v>
      </c>
      <c r="BC776" s="244">
        <v>1.0726075172424316</v>
      </c>
      <c r="BD776" s="244">
        <v>4.5565242767333984</v>
      </c>
      <c r="BE776" s="244">
        <v>11.79868221282959</v>
      </c>
      <c r="BF776" s="244">
        <v>6.8843584060668945</v>
      </c>
      <c r="BG776" s="244">
        <v>9.2200279235839844</v>
      </c>
      <c r="BH776" s="228">
        <v>1.7138389668029725</v>
      </c>
      <c r="BI776" s="244">
        <v>15.262537002563477</v>
      </c>
      <c r="BJ776" s="244">
        <v>49.705287933349609</v>
      </c>
      <c r="BK776" s="244">
        <v>0</v>
      </c>
      <c r="BL776" s="244">
        <v>84.76556396484375</v>
      </c>
      <c r="BM776" s="244">
        <v>149.7333984375</v>
      </c>
      <c r="BN776" s="244">
        <v>5.8913297653198242</v>
      </c>
      <c r="BO776" s="244">
        <v>62.736442565917969</v>
      </c>
      <c r="BP776" s="244">
        <v>0.27822044491767883</v>
      </c>
      <c r="BQ776" s="244">
        <v>0</v>
      </c>
      <c r="BR776" s="244">
        <v>0</v>
      </c>
      <c r="BS776" s="244">
        <v>0</v>
      </c>
      <c r="BT776" s="244">
        <v>4.5565242767333984</v>
      </c>
      <c r="BU776" s="244">
        <v>0</v>
      </c>
      <c r="BV776" s="244">
        <v>241.74838256835937</v>
      </c>
      <c r="BW776" s="244">
        <v>1.0726075172424316</v>
      </c>
      <c r="BX776" s="244">
        <v>14.244659423828125</v>
      </c>
      <c r="BY776" s="244">
        <v>1.621938943862915</v>
      </c>
      <c r="BZ776" s="244">
        <v>0</v>
      </c>
      <c r="CA776" s="244">
        <v>0</v>
      </c>
      <c r="CB776" s="244">
        <v>316.28350830078125</v>
      </c>
      <c r="CC776" s="244">
        <v>15.866598129272461</v>
      </c>
      <c r="CD776" s="228">
        <v>19.933920290220172</v>
      </c>
      <c r="CE776" s="244">
        <v>-2779.443603515625</v>
      </c>
      <c r="CF776" s="244">
        <v>6.4480043591001082E-2</v>
      </c>
      <c r="CG776" s="244">
        <v>0.71040689107453914</v>
      </c>
      <c r="CH776" s="244">
        <v>0.77488693466554026</v>
      </c>
      <c r="CI776" s="244">
        <v>3.1650972946981001E-3</v>
      </c>
      <c r="CJ776" s="244">
        <v>4.4400430692159022E-2</v>
      </c>
      <c r="CK776" s="244">
        <v>4.756552798685712E-2</v>
      </c>
      <c r="CL776" s="244"/>
      <c r="CM776" s="244">
        <v>7.5898170471191406</v>
      </c>
      <c r="CN776" s="244"/>
      <c r="CO776" s="244">
        <v>0.28600001335144043</v>
      </c>
      <c r="CP776" s="244">
        <v>0.31700003147125244</v>
      </c>
      <c r="CQ776" s="244">
        <v>62.736442565917969</v>
      </c>
      <c r="CR776" s="244">
        <v>0</v>
      </c>
      <c r="CS776" s="244">
        <v>0</v>
      </c>
      <c r="CT776" s="244">
        <v>62.736442565917969</v>
      </c>
      <c r="CU776" s="244">
        <v>0</v>
      </c>
      <c r="CV776" s="244">
        <v>0</v>
      </c>
      <c r="CW776" s="228">
        <v>9999</v>
      </c>
    </row>
    <row r="777" spans="1:101">
      <c r="A777" s="221" t="s">
        <v>547</v>
      </c>
      <c r="C777" s="244">
        <v>10.000000953674316</v>
      </c>
      <c r="D777" s="244">
        <v>103.37194061279297</v>
      </c>
      <c r="E777" s="244">
        <v>0</v>
      </c>
      <c r="F777" s="244">
        <v>8.1096944808959961</v>
      </c>
      <c r="G777" s="244">
        <v>0</v>
      </c>
      <c r="H777" s="244">
        <v>0</v>
      </c>
      <c r="I777" s="244"/>
      <c r="J777" s="244">
        <v>0.31757351756095886</v>
      </c>
      <c r="K777" s="244">
        <v>0.33128324151039124</v>
      </c>
      <c r="L777" s="244">
        <v>112.72525787353516</v>
      </c>
      <c r="M777" s="244">
        <v>1.3996405526995659E-2</v>
      </c>
      <c r="N777" s="244">
        <v>4.3572790920734406E-2</v>
      </c>
      <c r="O777" s="244">
        <v>0</v>
      </c>
      <c r="P777" s="244">
        <v>0</v>
      </c>
      <c r="Q777" s="244">
        <v>0</v>
      </c>
      <c r="R777" s="244">
        <v>0.80633538961410522</v>
      </c>
      <c r="S777" s="244">
        <v>4.4560842514038086</v>
      </c>
      <c r="T777" s="244">
        <v>0</v>
      </c>
      <c r="U777" s="244">
        <v>8.9822397232055664</v>
      </c>
      <c r="V777" s="244">
        <v>0.81096947193145752</v>
      </c>
      <c r="W777" s="244">
        <v>0.81096947193145752</v>
      </c>
      <c r="X777" s="244">
        <v>0</v>
      </c>
      <c r="Y777" s="244">
        <v>0</v>
      </c>
      <c r="Z777" s="244">
        <v>0</v>
      </c>
      <c r="AA777" s="244">
        <v>0</v>
      </c>
      <c r="AB777" s="244">
        <v>0</v>
      </c>
      <c r="AC777" s="244">
        <v>0</v>
      </c>
      <c r="AD777" s="244">
        <v>0</v>
      </c>
      <c r="AE777" s="244">
        <v>0</v>
      </c>
      <c r="AF777" s="244">
        <v>0</v>
      </c>
      <c r="AG777" s="244">
        <v>0</v>
      </c>
      <c r="AH777" s="244">
        <v>1.617304801940918</v>
      </c>
      <c r="AI777" s="244">
        <v>5.2670536041259766</v>
      </c>
      <c r="AJ777" s="244">
        <v>0</v>
      </c>
      <c r="AK777" s="244">
        <v>8.9822397232055664</v>
      </c>
      <c r="AL777" s="244">
        <v>15.866598129272461</v>
      </c>
      <c r="AM777" s="244">
        <v>79.391006469726562</v>
      </c>
      <c r="AN777" s="244">
        <v>0</v>
      </c>
      <c r="AO777" s="244">
        <v>13.979767799377441</v>
      </c>
      <c r="AP777" s="244">
        <v>60.406673431396484</v>
      </c>
      <c r="AQ777" s="244">
        <v>153.77745056152344</v>
      </c>
      <c r="AR777" s="244">
        <v>1.617304801940918</v>
      </c>
      <c r="AS777" s="228">
        <v>95.082535987398487</v>
      </c>
      <c r="AT777" s="244">
        <v>79.391006469726562</v>
      </c>
      <c r="AU777" s="244">
        <v>12.489311218261719</v>
      </c>
      <c r="AV777" s="244">
        <v>15.228699684143066</v>
      </c>
      <c r="AW777" s="244">
        <v>60.406673431396484</v>
      </c>
      <c r="AX777" s="244">
        <v>167.51568603515625</v>
      </c>
      <c r="AY777" s="244">
        <v>5.2670536041259766</v>
      </c>
      <c r="AZ777" s="228">
        <v>31.804439370223768</v>
      </c>
      <c r="BA777" s="244">
        <v>79.391006469726562</v>
      </c>
      <c r="BB777" s="244">
        <v>12.489311218261719</v>
      </c>
      <c r="BC777" s="244">
        <v>15.228699684143066</v>
      </c>
      <c r="BD777" s="244">
        <v>60.406673431396484</v>
      </c>
      <c r="BE777" s="244">
        <v>167.51568603515625</v>
      </c>
      <c r="BF777" s="244">
        <v>6.8843584060668945</v>
      </c>
      <c r="BG777" s="244">
        <v>-57.830284118652344</v>
      </c>
      <c r="BH777" s="228">
        <v>24.332795675608697</v>
      </c>
      <c r="BI777" s="244">
        <v>1.1512656211853027</v>
      </c>
      <c r="BJ777" s="244">
        <v>3.7493107318878174</v>
      </c>
      <c r="BK777" s="244">
        <v>0</v>
      </c>
      <c r="BL777" s="244">
        <v>6.3939361572265625</v>
      </c>
      <c r="BM777" s="244">
        <v>11.294512748718262</v>
      </c>
      <c r="BN777" s="244">
        <v>79.391006469726562</v>
      </c>
      <c r="BO777" s="244">
        <v>0</v>
      </c>
      <c r="BP777" s="244">
        <v>12.489311218261719</v>
      </c>
      <c r="BQ777" s="244">
        <v>0</v>
      </c>
      <c r="BR777" s="244">
        <v>0</v>
      </c>
      <c r="BS777" s="244">
        <v>0</v>
      </c>
      <c r="BT777" s="244">
        <v>60.406673431396484</v>
      </c>
      <c r="BU777" s="244">
        <v>0</v>
      </c>
      <c r="BV777" s="244">
        <v>141.74610900878906</v>
      </c>
      <c r="BW777" s="244">
        <v>15.228699684143066</v>
      </c>
      <c r="BX777" s="244">
        <v>14.244659423828125</v>
      </c>
      <c r="BY777" s="244">
        <v>1.621938943862915</v>
      </c>
      <c r="BZ777" s="244">
        <v>0</v>
      </c>
      <c r="CA777" s="244">
        <v>0</v>
      </c>
      <c r="CB777" s="244">
        <v>309.26181030273437</v>
      </c>
      <c r="CC777" s="244">
        <v>15.866598129272461</v>
      </c>
      <c r="CD777" s="228">
        <v>19.491373805872776</v>
      </c>
      <c r="CE777" s="244">
        <v>-152.33720397949219</v>
      </c>
      <c r="CF777" s="244">
        <v>0.85084126041725561</v>
      </c>
      <c r="CG777" s="244">
        <v>0</v>
      </c>
      <c r="CH777" s="244">
        <v>0.85084126041725561</v>
      </c>
      <c r="CI777" s="244">
        <v>4.1722479892546793E-2</v>
      </c>
      <c r="CJ777" s="244">
        <v>0</v>
      </c>
      <c r="CK777" s="244">
        <v>4.1722479892546793E-2</v>
      </c>
      <c r="CL777" s="244"/>
      <c r="CM777" s="244">
        <v>0</v>
      </c>
      <c r="CN777" s="244"/>
      <c r="CO777" s="244">
        <v>0</v>
      </c>
      <c r="CP777" s="244">
        <v>0</v>
      </c>
      <c r="CQ777" s="244">
        <v>0</v>
      </c>
      <c r="CR777" s="244">
        <v>0</v>
      </c>
      <c r="CS777" s="244">
        <v>0</v>
      </c>
      <c r="CT777" s="244">
        <v>0</v>
      </c>
      <c r="CU777" s="244">
        <v>0</v>
      </c>
      <c r="CV777" s="244">
        <v>9999</v>
      </c>
      <c r="CW777" s="228">
        <v>9999</v>
      </c>
    </row>
    <row r="778" spans="1:101">
      <c r="A778" s="221" t="s">
        <v>511</v>
      </c>
      <c r="C778" s="244">
        <v>10</v>
      </c>
      <c r="D778" s="244">
        <v>142.74545288085937</v>
      </c>
      <c r="E778" s="244">
        <v>0</v>
      </c>
      <c r="F778" s="244">
        <v>11.336667060852051</v>
      </c>
      <c r="G778" s="244">
        <v>0</v>
      </c>
      <c r="H778" s="244">
        <v>0</v>
      </c>
      <c r="I778" s="244"/>
      <c r="J778" s="244">
        <v>0.31757348775863647</v>
      </c>
      <c r="K778" s="244">
        <v>0.33128324151039124</v>
      </c>
      <c r="L778" s="244">
        <v>155.661376953125</v>
      </c>
      <c r="M778" s="244">
        <v>1.9327519461512566E-2</v>
      </c>
      <c r="N778" s="244">
        <v>6.016930565237999E-2</v>
      </c>
      <c r="O778" s="244">
        <v>0</v>
      </c>
      <c r="P778" s="244">
        <v>0</v>
      </c>
      <c r="Q778" s="244">
        <v>0</v>
      </c>
      <c r="R778" s="244">
        <v>1.1271885633468628</v>
      </c>
      <c r="S778" s="244">
        <v>6.2292284965515137</v>
      </c>
      <c r="T778" s="244">
        <v>0</v>
      </c>
      <c r="U778" s="244">
        <v>12.556410789489746</v>
      </c>
      <c r="V778" s="244">
        <v>1.1336666345596313</v>
      </c>
      <c r="W778" s="244">
        <v>1.1336666345596313</v>
      </c>
      <c r="X778" s="244">
        <v>0</v>
      </c>
      <c r="Y778" s="244">
        <v>0</v>
      </c>
      <c r="Z778" s="244">
        <v>0</v>
      </c>
      <c r="AA778" s="244">
        <v>0</v>
      </c>
      <c r="AB778" s="244">
        <v>0</v>
      </c>
      <c r="AC778" s="244">
        <v>0</v>
      </c>
      <c r="AD778" s="244">
        <v>0</v>
      </c>
      <c r="AE778" s="244">
        <v>0</v>
      </c>
      <c r="AF778" s="244">
        <v>0</v>
      </c>
      <c r="AG778" s="244">
        <v>0</v>
      </c>
      <c r="AH778" s="244">
        <v>2.2608551979064941</v>
      </c>
      <c r="AI778" s="244">
        <v>7.3628950119018555</v>
      </c>
      <c r="AJ778" s="244">
        <v>0</v>
      </c>
      <c r="AK778" s="244">
        <v>12.556410789489746</v>
      </c>
      <c r="AL778" s="244">
        <v>22.18016242980957</v>
      </c>
      <c r="AM778" s="244">
        <v>109.63037872314453</v>
      </c>
      <c r="AN778" s="244">
        <v>0</v>
      </c>
      <c r="AO778" s="244">
        <v>19.304546356201172</v>
      </c>
      <c r="AP778" s="244">
        <v>83.415077209472656</v>
      </c>
      <c r="AQ778" s="244">
        <v>212.35000610351562</v>
      </c>
      <c r="AR778" s="244">
        <v>2.2608551979064941</v>
      </c>
      <c r="AS778" s="228">
        <v>93.924636343561559</v>
      </c>
      <c r="AT778" s="244">
        <v>109.63037872314453</v>
      </c>
      <c r="AU778" s="244">
        <v>17.24638557434082</v>
      </c>
      <c r="AV778" s="244">
        <v>21.029184341430664</v>
      </c>
      <c r="AW778" s="244">
        <v>83.415077209472656</v>
      </c>
      <c r="AX778" s="244">
        <v>231.32102966308594</v>
      </c>
      <c r="AY778" s="244">
        <v>7.3628950119018555</v>
      </c>
      <c r="AZ778" s="228">
        <v>31.417128959363527</v>
      </c>
      <c r="BA778" s="244">
        <v>109.63037872314453</v>
      </c>
      <c r="BB778" s="244">
        <v>17.24638557434082</v>
      </c>
      <c r="BC778" s="244">
        <v>21.029184341430664</v>
      </c>
      <c r="BD778" s="244">
        <v>83.415077209472656</v>
      </c>
      <c r="BE778" s="244">
        <v>231.32102966308594</v>
      </c>
      <c r="BF778" s="244">
        <v>9.6237506866455078</v>
      </c>
      <c r="BG778" s="244">
        <v>-57.769870758056641</v>
      </c>
      <c r="BH778" s="228">
        <v>24.036474133260391</v>
      </c>
      <c r="BI778" s="244">
        <v>1.1654584407806396</v>
      </c>
      <c r="BJ778" s="244">
        <v>3.7955319881439209</v>
      </c>
      <c r="BK778" s="244">
        <v>0</v>
      </c>
      <c r="BL778" s="244">
        <v>6.4727611541748047</v>
      </c>
      <c r="BM778" s="244">
        <v>11.433752059936523</v>
      </c>
      <c r="BN778" s="244">
        <v>109.63037872314453</v>
      </c>
      <c r="BO778" s="244">
        <v>0</v>
      </c>
      <c r="BP778" s="244">
        <v>17.24638557434082</v>
      </c>
      <c r="BQ778" s="244">
        <v>0</v>
      </c>
      <c r="BR778" s="244">
        <v>0</v>
      </c>
      <c r="BS778" s="244">
        <v>0</v>
      </c>
      <c r="BT778" s="244">
        <v>83.415077209472656</v>
      </c>
      <c r="BU778" s="244">
        <v>0</v>
      </c>
      <c r="BV778" s="244">
        <v>195.73603820800781</v>
      </c>
      <c r="BW778" s="244">
        <v>21.029184341430664</v>
      </c>
      <c r="BX778" s="244">
        <v>19.91282844543457</v>
      </c>
      <c r="BY778" s="244">
        <v>2.2673332691192627</v>
      </c>
      <c r="BZ778" s="244">
        <v>0</v>
      </c>
      <c r="CA778" s="244">
        <v>0</v>
      </c>
      <c r="CB778" s="244">
        <v>427.05706787109375</v>
      </c>
      <c r="CC778" s="244">
        <v>22.18016242980957</v>
      </c>
      <c r="CD778" s="228">
        <v>19.254010387858301</v>
      </c>
      <c r="CE778" s="244">
        <v>-152.19796752929687</v>
      </c>
      <c r="CF778" s="244">
        <v>1.1749196147407193</v>
      </c>
      <c r="CG778" s="244">
        <v>0</v>
      </c>
      <c r="CH778" s="244">
        <v>1.1749196147407193</v>
      </c>
      <c r="CI778" s="244">
        <v>5.7614225216744558E-2</v>
      </c>
      <c r="CJ778" s="244">
        <v>0</v>
      </c>
      <c r="CK778" s="244">
        <v>5.7614225216744558E-2</v>
      </c>
      <c r="CL778" s="244"/>
      <c r="CM778" s="244">
        <v>0</v>
      </c>
      <c r="CN778" s="244"/>
      <c r="CO778" s="244">
        <v>0</v>
      </c>
      <c r="CP778" s="244">
        <v>0</v>
      </c>
      <c r="CQ778" s="244">
        <v>0</v>
      </c>
      <c r="CR778" s="244">
        <v>0</v>
      </c>
      <c r="CS778" s="244">
        <v>0</v>
      </c>
      <c r="CT778" s="244">
        <v>0</v>
      </c>
      <c r="CU778" s="244">
        <v>0</v>
      </c>
      <c r="CV778" s="244">
        <v>9999</v>
      </c>
      <c r="CW778" s="228">
        <v>9999</v>
      </c>
    </row>
    <row r="779" spans="1:101">
      <c r="A779" s="221" t="s">
        <v>562</v>
      </c>
      <c r="C779" s="244">
        <v>10</v>
      </c>
      <c r="D779" s="244">
        <v>138.46273803710937</v>
      </c>
      <c r="E779" s="244">
        <v>0</v>
      </c>
      <c r="F779" s="244">
        <v>11.336667060852051</v>
      </c>
      <c r="G779" s="244">
        <v>0</v>
      </c>
      <c r="H779" s="244">
        <v>0</v>
      </c>
      <c r="I779" s="244"/>
      <c r="J779" s="244">
        <v>0.31946483254432678</v>
      </c>
      <c r="K779" s="244">
        <v>0.33213883638381958</v>
      </c>
      <c r="L779" s="244">
        <v>150.99122619628906</v>
      </c>
      <c r="M779" s="244">
        <v>1.872626505792141E-2</v>
      </c>
      <c r="N779" s="244">
        <v>5.8250106871128082E-2</v>
      </c>
      <c r="O779" s="244">
        <v>0</v>
      </c>
      <c r="P779" s="244">
        <v>0</v>
      </c>
      <c r="Q779" s="244">
        <v>0</v>
      </c>
      <c r="R779" s="244">
        <v>1.1271885633468628</v>
      </c>
      <c r="S779" s="244">
        <v>6.2292284965515137</v>
      </c>
      <c r="T779" s="244">
        <v>0</v>
      </c>
      <c r="U779" s="244">
        <v>12.556410789489746</v>
      </c>
      <c r="V779" s="244">
        <v>1.1336666345596313</v>
      </c>
      <c r="W779" s="244">
        <v>1.1336666345596313</v>
      </c>
      <c r="X779" s="244">
        <v>0</v>
      </c>
      <c r="Y779" s="244">
        <v>0</v>
      </c>
      <c r="Z779" s="244">
        <v>0</v>
      </c>
      <c r="AA779" s="244">
        <v>0</v>
      </c>
      <c r="AB779" s="244">
        <v>0</v>
      </c>
      <c r="AC779" s="244">
        <v>0</v>
      </c>
      <c r="AD779" s="244">
        <v>0</v>
      </c>
      <c r="AE779" s="244">
        <v>0</v>
      </c>
      <c r="AF779" s="244">
        <v>0</v>
      </c>
      <c r="AG779" s="244">
        <v>0</v>
      </c>
      <c r="AH779" s="244">
        <v>2.2608551979064941</v>
      </c>
      <c r="AI779" s="244">
        <v>7.3628950119018555</v>
      </c>
      <c r="AJ779" s="244">
        <v>0</v>
      </c>
      <c r="AK779" s="244">
        <v>12.556410789489746</v>
      </c>
      <c r="AL779" s="244">
        <v>22.18016242980957</v>
      </c>
      <c r="AM779" s="244">
        <v>106.33647155761719</v>
      </c>
      <c r="AN779" s="244">
        <v>0</v>
      </c>
      <c r="AO779" s="244">
        <v>18.724891662597656</v>
      </c>
      <c r="AP779" s="244">
        <v>80.912460327148438</v>
      </c>
      <c r="AQ779" s="244">
        <v>205.97381591796875</v>
      </c>
      <c r="AR779" s="244">
        <v>2.2608551979064941</v>
      </c>
      <c r="AS779" s="228">
        <v>91.104385516635844</v>
      </c>
      <c r="AT779" s="244">
        <v>106.33647155761719</v>
      </c>
      <c r="AU779" s="244">
        <v>16.696281433105469</v>
      </c>
      <c r="AV779" s="244">
        <v>20.394521713256836</v>
      </c>
      <c r="AW779" s="244">
        <v>80.912460327148438</v>
      </c>
      <c r="AX779" s="244">
        <v>224.33973693847656</v>
      </c>
      <c r="AY779" s="244">
        <v>7.3628950119018555</v>
      </c>
      <c r="AZ779" s="228">
        <v>30.468956984488859</v>
      </c>
      <c r="BA779" s="244">
        <v>106.33647155761719</v>
      </c>
      <c r="BB779" s="244">
        <v>16.696281433105469</v>
      </c>
      <c r="BC779" s="244">
        <v>20.394521713256836</v>
      </c>
      <c r="BD779" s="244">
        <v>80.912460327148438</v>
      </c>
      <c r="BE779" s="244">
        <v>224.33973693847656</v>
      </c>
      <c r="BF779" s="244">
        <v>9.6237506866455078</v>
      </c>
      <c r="BG779" s="244">
        <v>-57.597072601318359</v>
      </c>
      <c r="BH779" s="228">
        <v>23.311051031186487</v>
      </c>
      <c r="BI779" s="244">
        <v>1.2015060186386108</v>
      </c>
      <c r="BJ779" s="244">
        <v>3.9129276275634766</v>
      </c>
      <c r="BK779" s="244">
        <v>0</v>
      </c>
      <c r="BL779" s="244">
        <v>6.6729631423950195</v>
      </c>
      <c r="BM779" s="244">
        <v>11.787397384643555</v>
      </c>
      <c r="BN779" s="244">
        <v>106.33647155761719</v>
      </c>
      <c r="BO779" s="244">
        <v>0</v>
      </c>
      <c r="BP779" s="244">
        <v>16.696281433105469</v>
      </c>
      <c r="BQ779" s="244">
        <v>0</v>
      </c>
      <c r="BR779" s="244">
        <v>0</v>
      </c>
      <c r="BS779" s="244">
        <v>0</v>
      </c>
      <c r="BT779" s="244">
        <v>80.912460327148438</v>
      </c>
      <c r="BU779" s="244">
        <v>0</v>
      </c>
      <c r="BV779" s="244">
        <v>201.23664855957031</v>
      </c>
      <c r="BW779" s="244">
        <v>20.394521713256836</v>
      </c>
      <c r="BX779" s="244">
        <v>19.91282844543457</v>
      </c>
      <c r="BY779" s="244">
        <v>2.2673332691192627</v>
      </c>
      <c r="BZ779" s="244">
        <v>0</v>
      </c>
      <c r="CA779" s="244">
        <v>0</v>
      </c>
      <c r="CB779" s="244">
        <v>425.57638549804687</v>
      </c>
      <c r="CC779" s="244">
        <v>22.18016242980957</v>
      </c>
      <c r="CD779" s="228">
        <v>19.187253414453249</v>
      </c>
      <c r="CE779" s="244">
        <v>-157.86906433105469</v>
      </c>
      <c r="CF779" s="244">
        <v>1.1396844915605122</v>
      </c>
      <c r="CG779" s="244">
        <v>0</v>
      </c>
      <c r="CH779" s="244">
        <v>1.1396844915605122</v>
      </c>
      <c r="CI779" s="244">
        <v>5.5886567536765443E-2</v>
      </c>
      <c r="CJ779" s="244">
        <v>0</v>
      </c>
      <c r="CK779" s="244">
        <v>5.5886567536765443E-2</v>
      </c>
      <c r="CL779" s="244"/>
      <c r="CM779" s="244">
        <v>0</v>
      </c>
      <c r="CN779" s="244"/>
      <c r="CO779" s="244">
        <v>0</v>
      </c>
      <c r="CP779" s="244">
        <v>0</v>
      </c>
      <c r="CQ779" s="244">
        <v>0</v>
      </c>
      <c r="CR779" s="244">
        <v>0</v>
      </c>
      <c r="CS779" s="244">
        <v>0</v>
      </c>
      <c r="CT779" s="244">
        <v>0</v>
      </c>
      <c r="CU779" s="244">
        <v>0</v>
      </c>
      <c r="CV779" s="244">
        <v>9999</v>
      </c>
      <c r="CW779" s="228">
        <v>9999</v>
      </c>
    </row>
    <row r="780" spans="1:101">
      <c r="A780" s="221" t="s">
        <v>460</v>
      </c>
      <c r="C780" s="244">
        <v>10.000000953674316</v>
      </c>
      <c r="D780" s="244">
        <v>99.95513916015625</v>
      </c>
      <c r="E780" s="244">
        <v>0</v>
      </c>
      <c r="F780" s="244">
        <v>8.1096944808959961</v>
      </c>
      <c r="G780" s="244">
        <v>0</v>
      </c>
      <c r="H780" s="244">
        <v>0</v>
      </c>
      <c r="I780" s="244"/>
      <c r="J780" s="244">
        <v>0.31782254576683044</v>
      </c>
      <c r="K780" s="244">
        <v>0.33139592409133911</v>
      </c>
      <c r="L780" s="244">
        <v>108.99931335449219</v>
      </c>
      <c r="M780" s="244">
        <v>1.3531743548810482E-2</v>
      </c>
      <c r="N780" s="244">
        <v>4.2121730744838715E-2</v>
      </c>
      <c r="O780" s="244">
        <v>0</v>
      </c>
      <c r="P780" s="244">
        <v>0</v>
      </c>
      <c r="Q780" s="244">
        <v>0</v>
      </c>
      <c r="R780" s="244">
        <v>0.80633538961410522</v>
      </c>
      <c r="S780" s="244">
        <v>4.4560842514038086</v>
      </c>
      <c r="T780" s="244">
        <v>0</v>
      </c>
      <c r="U780" s="244">
        <v>8.9822397232055664</v>
      </c>
      <c r="V780" s="244">
        <v>0.81096947193145752</v>
      </c>
      <c r="W780" s="244">
        <v>0.81096947193145752</v>
      </c>
      <c r="X780" s="244">
        <v>0</v>
      </c>
      <c r="Y780" s="244">
        <v>0</v>
      </c>
      <c r="Z780" s="244">
        <v>0</v>
      </c>
      <c r="AA780" s="244">
        <v>0</v>
      </c>
      <c r="AB780" s="244">
        <v>0</v>
      </c>
      <c r="AC780" s="244">
        <v>0</v>
      </c>
      <c r="AD780" s="244">
        <v>0</v>
      </c>
      <c r="AE780" s="244">
        <v>0</v>
      </c>
      <c r="AF780" s="244">
        <v>0</v>
      </c>
      <c r="AG780" s="244">
        <v>0</v>
      </c>
      <c r="AH780" s="244">
        <v>1.617304801940918</v>
      </c>
      <c r="AI780" s="244">
        <v>5.2670536041259766</v>
      </c>
      <c r="AJ780" s="244">
        <v>0</v>
      </c>
      <c r="AK780" s="244">
        <v>8.9822397232055664</v>
      </c>
      <c r="AL780" s="244">
        <v>15.866598129272461</v>
      </c>
      <c r="AM780" s="244">
        <v>76.76641845703125</v>
      </c>
      <c r="AN780" s="244">
        <v>0</v>
      </c>
      <c r="AO780" s="244">
        <v>13.517643928527832</v>
      </c>
      <c r="AP780" s="244">
        <v>58.410030364990234</v>
      </c>
      <c r="AQ780" s="244">
        <v>148.694091796875</v>
      </c>
      <c r="AR780" s="244">
        <v>1.617304801940918</v>
      </c>
      <c r="AS780" s="228">
        <v>91.93943348964595</v>
      </c>
      <c r="AT780" s="244">
        <v>76.76641845703125</v>
      </c>
      <c r="AU780" s="244">
        <v>12.073392868041992</v>
      </c>
      <c r="AV780" s="244">
        <v>14.724984169006348</v>
      </c>
      <c r="AW780" s="244">
        <v>58.410030364990234</v>
      </c>
      <c r="AX780" s="244">
        <v>161.97482299804687</v>
      </c>
      <c r="AY780" s="244">
        <v>5.2670536041259766</v>
      </c>
      <c r="AZ780" s="228">
        <v>30.75245371837639</v>
      </c>
      <c r="BA780" s="244">
        <v>76.76641845703125</v>
      </c>
      <c r="BB780" s="244">
        <v>12.073392868041992</v>
      </c>
      <c r="BC780" s="244">
        <v>14.724984169006348</v>
      </c>
      <c r="BD780" s="244">
        <v>58.410030364990234</v>
      </c>
      <c r="BE780" s="244">
        <v>161.97482299804687</v>
      </c>
      <c r="BF780" s="244">
        <v>6.8843584060668945</v>
      </c>
      <c r="BG780" s="244">
        <v>-57.66021728515625</v>
      </c>
      <c r="BH780" s="228">
        <v>23.527947282524313</v>
      </c>
      <c r="BI780" s="244">
        <v>1.1906195878982544</v>
      </c>
      <c r="BJ780" s="244">
        <v>3.8774738311767578</v>
      </c>
      <c r="BK780" s="244">
        <v>0</v>
      </c>
      <c r="BL780" s="244">
        <v>6.6125011444091797</v>
      </c>
      <c r="BM780" s="244">
        <v>11.680594444274902</v>
      </c>
      <c r="BN780" s="244">
        <v>76.76641845703125</v>
      </c>
      <c r="BO780" s="244">
        <v>0</v>
      </c>
      <c r="BP780" s="244">
        <v>12.073392868041992</v>
      </c>
      <c r="BQ780" s="244">
        <v>0</v>
      </c>
      <c r="BR780" s="244">
        <v>0</v>
      </c>
      <c r="BS780" s="244">
        <v>0</v>
      </c>
      <c r="BT780" s="244">
        <v>58.410030364990234</v>
      </c>
      <c r="BU780" s="244">
        <v>0</v>
      </c>
      <c r="BV780" s="244">
        <v>138.14190673828125</v>
      </c>
      <c r="BW780" s="244">
        <v>14.724984169006348</v>
      </c>
      <c r="BX780" s="244">
        <v>14.244659423828125</v>
      </c>
      <c r="BY780" s="244">
        <v>1.621938943862915</v>
      </c>
      <c r="BZ780" s="244">
        <v>0</v>
      </c>
      <c r="CA780" s="244">
        <v>0</v>
      </c>
      <c r="CB780" s="244">
        <v>300.11672973632812</v>
      </c>
      <c r="CC780" s="244">
        <v>15.866598129272461</v>
      </c>
      <c r="CD780" s="228">
        <v>18.915001542389522</v>
      </c>
      <c r="CE780" s="244">
        <v>-152.74435424804687</v>
      </c>
      <c r="CF780" s="244">
        <v>0.82271951514287711</v>
      </c>
      <c r="CG780" s="244">
        <v>0</v>
      </c>
      <c r="CH780" s="244">
        <v>0.82271951514287711</v>
      </c>
      <c r="CI780" s="244">
        <v>4.034349624057923E-2</v>
      </c>
      <c r="CJ780" s="244">
        <v>0</v>
      </c>
      <c r="CK780" s="244">
        <v>4.034349624057923E-2</v>
      </c>
      <c r="CL780" s="244"/>
      <c r="CM780" s="244">
        <v>0</v>
      </c>
      <c r="CN780" s="244"/>
      <c r="CO780" s="244">
        <v>0</v>
      </c>
      <c r="CP780" s="244">
        <v>0</v>
      </c>
      <c r="CQ780" s="244">
        <v>0</v>
      </c>
      <c r="CR780" s="244">
        <v>0</v>
      </c>
      <c r="CS780" s="244">
        <v>0</v>
      </c>
      <c r="CT780" s="244">
        <v>0</v>
      </c>
      <c r="CU780" s="244">
        <v>0</v>
      </c>
      <c r="CV780" s="244">
        <v>9999</v>
      </c>
      <c r="CW780" s="228">
        <v>9999</v>
      </c>
    </row>
    <row r="781" spans="1:101">
      <c r="A781" s="221" t="s">
        <v>566</v>
      </c>
      <c r="C781" s="244">
        <v>10.000000953674316</v>
      </c>
      <c r="D781" s="244">
        <v>10.095051765441895</v>
      </c>
      <c r="E781" s="244">
        <v>9.7305850982666016</v>
      </c>
      <c r="F781" s="244">
        <v>11.336667060852051</v>
      </c>
      <c r="G781" s="244">
        <v>0</v>
      </c>
      <c r="H781" s="244">
        <v>0</v>
      </c>
      <c r="I781" s="244"/>
      <c r="J781" s="244">
        <v>1</v>
      </c>
      <c r="K781" s="244">
        <v>0.63999998569488525</v>
      </c>
      <c r="L781" s="244">
        <v>11.010297775268555</v>
      </c>
      <c r="M781" s="244">
        <v>8.04405368398875E-4</v>
      </c>
      <c r="N781" s="244">
        <v>1.2568833772093058E-3</v>
      </c>
      <c r="O781" s="244">
        <v>9.8278913497924805</v>
      </c>
      <c r="P781" s="244">
        <v>2.9823822900652885E-2</v>
      </c>
      <c r="Q781" s="244">
        <v>9.4081461429595947E-2</v>
      </c>
      <c r="R781" s="244">
        <v>1.1271885633468628</v>
      </c>
      <c r="S781" s="244">
        <v>6.2292284965515137</v>
      </c>
      <c r="T781" s="244">
        <v>0</v>
      </c>
      <c r="U781" s="244">
        <v>12.556410789489746</v>
      </c>
      <c r="V781" s="244">
        <v>1.1336666345596313</v>
      </c>
      <c r="W781" s="244">
        <v>1.1336666345596313</v>
      </c>
      <c r="X781" s="244">
        <v>0</v>
      </c>
      <c r="Y781" s="244">
        <v>0</v>
      </c>
      <c r="Z781" s="244">
        <v>0</v>
      </c>
      <c r="AA781" s="244">
        <v>0</v>
      </c>
      <c r="AB781" s="244">
        <v>0</v>
      </c>
      <c r="AC781" s="244">
        <v>0</v>
      </c>
      <c r="AD781" s="244">
        <v>0</v>
      </c>
      <c r="AE781" s="244">
        <v>0</v>
      </c>
      <c r="AF781" s="244">
        <v>0</v>
      </c>
      <c r="AG781" s="244">
        <v>0</v>
      </c>
      <c r="AH781" s="244">
        <v>2.2608551979064941</v>
      </c>
      <c r="AI781" s="244">
        <v>7.3628950119018555</v>
      </c>
      <c r="AJ781" s="244">
        <v>0</v>
      </c>
      <c r="AK781" s="244">
        <v>12.556410789489746</v>
      </c>
      <c r="AL781" s="244">
        <v>22.18016242980957</v>
      </c>
      <c r="AM781" s="244">
        <v>7.6285567283630371</v>
      </c>
      <c r="AN781" s="244">
        <v>0</v>
      </c>
      <c r="AO781" s="244">
        <v>1.3528702259063721</v>
      </c>
      <c r="AP781" s="244">
        <v>5.9001460075378418</v>
      </c>
      <c r="AQ781" s="244">
        <v>14.881572723388672</v>
      </c>
      <c r="AR781" s="244">
        <v>2.2608551979064941</v>
      </c>
      <c r="AS781" s="228">
        <v>6.5822760235097251</v>
      </c>
      <c r="AT781" s="244">
        <v>7.6285567283630371</v>
      </c>
      <c r="AU781" s="244">
        <v>0.36026167869567871</v>
      </c>
      <c r="AV781" s="244">
        <v>1.3888964653015137</v>
      </c>
      <c r="AW781" s="244">
        <v>5.9001460075378418</v>
      </c>
      <c r="AX781" s="244">
        <v>15.277860641479492</v>
      </c>
      <c r="AY781" s="244">
        <v>7.3628950119018555</v>
      </c>
      <c r="AZ781" s="228">
        <v>2.0749801006051363</v>
      </c>
      <c r="BA781" s="244">
        <v>7.6285567283630371</v>
      </c>
      <c r="BB781" s="244">
        <v>0.36026167869567871</v>
      </c>
      <c r="BC781" s="244">
        <v>1.3888964653015137</v>
      </c>
      <c r="BD781" s="244">
        <v>5.9001460075378418</v>
      </c>
      <c r="BE781" s="244">
        <v>15.277860641479492</v>
      </c>
      <c r="BF781" s="244">
        <v>9.6237506866455078</v>
      </c>
      <c r="BG781" s="244">
        <v>14.389680862426758</v>
      </c>
      <c r="BH781" s="228">
        <v>1.5875163379739907</v>
      </c>
      <c r="BI781" s="244">
        <v>16.477018356323242</v>
      </c>
      <c r="BJ781" s="244">
        <v>53.660469055175781</v>
      </c>
      <c r="BK781" s="244">
        <v>0</v>
      </c>
      <c r="BL781" s="244">
        <v>91.510597229003906</v>
      </c>
      <c r="BM781" s="244">
        <v>161.64808654785156</v>
      </c>
      <c r="BN781" s="244">
        <v>7.6285567283630371</v>
      </c>
      <c r="BO781" s="244">
        <v>81.236076354980469</v>
      </c>
      <c r="BP781" s="244">
        <v>0.36026167869567871</v>
      </c>
      <c r="BQ781" s="244">
        <v>0</v>
      </c>
      <c r="BR781" s="244">
        <v>0</v>
      </c>
      <c r="BS781" s="244">
        <v>0</v>
      </c>
      <c r="BT781" s="244">
        <v>5.9001460075378418</v>
      </c>
      <c r="BU781" s="244">
        <v>0</v>
      </c>
      <c r="BV781" s="244">
        <v>313.0347900390625</v>
      </c>
      <c r="BW781" s="244">
        <v>1.3888964653015137</v>
      </c>
      <c r="BX781" s="244">
        <v>19.91282844543457</v>
      </c>
      <c r="BY781" s="244">
        <v>2.2673332691192627</v>
      </c>
      <c r="BZ781" s="244">
        <v>0</v>
      </c>
      <c r="CA781" s="244">
        <v>0</v>
      </c>
      <c r="CB781" s="244">
        <v>409.54873657226562</v>
      </c>
      <c r="CC781" s="244">
        <v>22.18016242980957</v>
      </c>
      <c r="CD781" s="228">
        <v>18.464641175506387</v>
      </c>
      <c r="CE781" s="244">
        <v>-2767.529296875</v>
      </c>
      <c r="CF781" s="244">
        <v>8.3493823477079121E-2</v>
      </c>
      <c r="CG781" s="244">
        <v>0.9198906244001982</v>
      </c>
      <c r="CH781" s="244">
        <v>1.0033844478772773</v>
      </c>
      <c r="CI781" s="244">
        <v>4.0984165036790287E-3</v>
      </c>
      <c r="CJ781" s="244">
        <v>5.7493164025012602E-2</v>
      </c>
      <c r="CK781" s="244">
        <v>6.1591580528691632E-2</v>
      </c>
      <c r="CL781" s="244"/>
      <c r="CM781" s="244">
        <v>9.8278913497924805</v>
      </c>
      <c r="CN781" s="244"/>
      <c r="CO781" s="244">
        <v>0.28600001335144043</v>
      </c>
      <c r="CP781" s="244">
        <v>0.31700003147125244</v>
      </c>
      <c r="CQ781" s="244">
        <v>81.236076354980469</v>
      </c>
      <c r="CR781" s="244">
        <v>0</v>
      </c>
      <c r="CS781" s="244">
        <v>0</v>
      </c>
      <c r="CT781" s="244">
        <v>81.236076354980469</v>
      </c>
      <c r="CU781" s="244">
        <v>0</v>
      </c>
      <c r="CV781" s="244">
        <v>0</v>
      </c>
      <c r="CW781" s="228">
        <v>9999</v>
      </c>
    </row>
    <row r="782" spans="1:101">
      <c r="A782" s="221" t="s">
        <v>486</v>
      </c>
      <c r="C782" s="244">
        <v>9.9999990463256836</v>
      </c>
      <c r="D782" s="244">
        <v>62.055412292480469</v>
      </c>
      <c r="E782" s="244">
        <v>5.7295031547546387</v>
      </c>
      <c r="F782" s="244">
        <v>11.336667060852051</v>
      </c>
      <c r="G782" s="244">
        <v>0</v>
      </c>
      <c r="H782" s="244">
        <v>0</v>
      </c>
      <c r="I782" s="244"/>
      <c r="J782" s="244">
        <v>0.38294112682342529</v>
      </c>
      <c r="K782" s="244">
        <v>0.36085432767868042</v>
      </c>
      <c r="L782" s="244">
        <v>67.671394348144531</v>
      </c>
      <c r="M782" s="244">
        <v>8.0710314214229584E-3</v>
      </c>
      <c r="N782" s="244">
        <v>2.4391809478402138E-2</v>
      </c>
      <c r="O782" s="244">
        <v>5.7867980003356934</v>
      </c>
      <c r="P782" s="244">
        <v>1.7560679465532303E-2</v>
      </c>
      <c r="Q782" s="244">
        <v>5.5396463721990585E-2</v>
      </c>
      <c r="R782" s="244">
        <v>1.1271885633468628</v>
      </c>
      <c r="S782" s="244">
        <v>6.2292284965515137</v>
      </c>
      <c r="T782" s="244">
        <v>0</v>
      </c>
      <c r="U782" s="244">
        <v>12.556410789489746</v>
      </c>
      <c r="V782" s="244">
        <v>1.1336666345596313</v>
      </c>
      <c r="W782" s="244">
        <v>1.1336666345596313</v>
      </c>
      <c r="X782" s="244">
        <v>0</v>
      </c>
      <c r="Y782" s="244">
        <v>0</v>
      </c>
      <c r="Z782" s="244">
        <v>0</v>
      </c>
      <c r="AA782" s="244">
        <v>0</v>
      </c>
      <c r="AB782" s="244">
        <v>0</v>
      </c>
      <c r="AC782" s="244">
        <v>0</v>
      </c>
      <c r="AD782" s="244">
        <v>0</v>
      </c>
      <c r="AE782" s="244">
        <v>0</v>
      </c>
      <c r="AF782" s="244">
        <v>0</v>
      </c>
      <c r="AG782" s="244">
        <v>0</v>
      </c>
      <c r="AH782" s="244">
        <v>2.2608551979064941</v>
      </c>
      <c r="AI782" s="244">
        <v>7.3628950119018555</v>
      </c>
      <c r="AJ782" s="244">
        <v>0</v>
      </c>
      <c r="AK782" s="244">
        <v>12.556410789489746</v>
      </c>
      <c r="AL782" s="244">
        <v>22.18016242980957</v>
      </c>
      <c r="AM782" s="244">
        <v>47.586017608642578</v>
      </c>
      <c r="AN782" s="244">
        <v>0</v>
      </c>
      <c r="AO782" s="244">
        <v>8.384943962097168</v>
      </c>
      <c r="AP782" s="244">
        <v>36.263423919677734</v>
      </c>
      <c r="AQ782" s="244">
        <v>92.234382629394531</v>
      </c>
      <c r="AR782" s="244">
        <v>2.2608551979064941</v>
      </c>
      <c r="AS782" s="228">
        <v>40.796237448477306</v>
      </c>
      <c r="AT782" s="244">
        <v>47.586017608642578</v>
      </c>
      <c r="AU782" s="244">
        <v>6.991447925567627</v>
      </c>
      <c r="AV782" s="244">
        <v>9.0840883255004883</v>
      </c>
      <c r="AW782" s="244">
        <v>36.263423919677734</v>
      </c>
      <c r="AX782" s="244">
        <v>99.924980163574219</v>
      </c>
      <c r="AY782" s="244">
        <v>7.3628950119018555</v>
      </c>
      <c r="AZ782" s="228">
        <v>13.571424826786663</v>
      </c>
      <c r="BA782" s="244">
        <v>47.586017608642578</v>
      </c>
      <c r="BB782" s="244">
        <v>6.991447925567627</v>
      </c>
      <c r="BC782" s="244">
        <v>9.0840883255004883</v>
      </c>
      <c r="BD782" s="244">
        <v>36.263423919677734</v>
      </c>
      <c r="BE782" s="244">
        <v>99.924980163574219</v>
      </c>
      <c r="BF782" s="244">
        <v>9.6237506866455078</v>
      </c>
      <c r="BG782" s="244">
        <v>-50.650337219238281</v>
      </c>
      <c r="BH782" s="228">
        <v>10.383163981103451</v>
      </c>
      <c r="BI782" s="244">
        <v>2.6808502674102783</v>
      </c>
      <c r="BJ782" s="244">
        <v>8.730687141418457</v>
      </c>
      <c r="BK782" s="244">
        <v>0</v>
      </c>
      <c r="BL782" s="244">
        <v>14.888993263244629</v>
      </c>
      <c r="BM782" s="244">
        <v>26.300531387329102</v>
      </c>
      <c r="BN782" s="244">
        <v>47.586017608642578</v>
      </c>
      <c r="BO782" s="244">
        <v>47.832920074462891</v>
      </c>
      <c r="BP782" s="244">
        <v>6.991447925567627</v>
      </c>
      <c r="BQ782" s="244">
        <v>0</v>
      </c>
      <c r="BR782" s="244">
        <v>0</v>
      </c>
      <c r="BS782" s="244">
        <v>0</v>
      </c>
      <c r="BT782" s="244">
        <v>36.263423919677734</v>
      </c>
      <c r="BU782" s="244">
        <v>0</v>
      </c>
      <c r="BV782" s="244">
        <v>261.2603759765625</v>
      </c>
      <c r="BW782" s="244">
        <v>9.0840883255004883</v>
      </c>
      <c r="BX782" s="244">
        <v>19.91282844543457</v>
      </c>
      <c r="BY782" s="244">
        <v>2.2673332691192627</v>
      </c>
      <c r="BZ782" s="244">
        <v>0</v>
      </c>
      <c r="CA782" s="244">
        <v>0</v>
      </c>
      <c r="CB782" s="244">
        <v>409.01828002929687</v>
      </c>
      <c r="CC782" s="244">
        <v>22.18016242980957</v>
      </c>
      <c r="CD782" s="228">
        <v>18.440725504811383</v>
      </c>
      <c r="CE782" s="244">
        <v>-402.27435302734375</v>
      </c>
      <c r="CF782" s="244">
        <v>0.51100730731479305</v>
      </c>
      <c r="CG782" s="244">
        <v>0.54164429202016673</v>
      </c>
      <c r="CH782" s="244">
        <v>1.0526515993349599</v>
      </c>
      <c r="CI782" s="244">
        <v>2.5060576016578816E-2</v>
      </c>
      <c r="CJ782" s="244">
        <v>3.3852768251260497E-2</v>
      </c>
      <c r="CK782" s="244">
        <v>5.8913344267839313E-2</v>
      </c>
      <c r="CL782" s="244"/>
      <c r="CM782" s="244">
        <v>5.7867980003356934</v>
      </c>
      <c r="CN782" s="244"/>
      <c r="CO782" s="244">
        <v>0.28600001335144043</v>
      </c>
      <c r="CP782" s="244">
        <v>0.31700000166893005</v>
      </c>
      <c r="CQ782" s="244">
        <v>47.832920074462891</v>
      </c>
      <c r="CR782" s="244">
        <v>0</v>
      </c>
      <c r="CS782" s="244">
        <v>0</v>
      </c>
      <c r="CT782" s="244">
        <v>47.832920074462891</v>
      </c>
      <c r="CU782" s="244">
        <v>0</v>
      </c>
      <c r="CV782" s="244">
        <v>0</v>
      </c>
      <c r="CW782" s="228">
        <v>9999</v>
      </c>
    </row>
    <row r="783" spans="1:101">
      <c r="A783" s="221" t="s">
        <v>520</v>
      </c>
      <c r="C783" s="244">
        <v>10</v>
      </c>
      <c r="D783" s="244">
        <v>95.16363525390625</v>
      </c>
      <c r="E783" s="244">
        <v>0</v>
      </c>
      <c r="F783" s="244">
        <v>8.1096944808959961</v>
      </c>
      <c r="G783" s="244">
        <v>0</v>
      </c>
      <c r="H783" s="244">
        <v>0</v>
      </c>
      <c r="I783" s="244"/>
      <c r="J783" s="244">
        <v>0.31757348775863647</v>
      </c>
      <c r="K783" s="244">
        <v>0.33128327131271362</v>
      </c>
      <c r="L783" s="244">
        <v>103.77424621582031</v>
      </c>
      <c r="M783" s="244">
        <v>1.2885013595223427E-2</v>
      </c>
      <c r="N783" s="244">
        <v>4.0112871676683426E-2</v>
      </c>
      <c r="O783" s="244">
        <v>0</v>
      </c>
      <c r="P783" s="244">
        <v>0</v>
      </c>
      <c r="Q783" s="244">
        <v>0</v>
      </c>
      <c r="R783" s="244">
        <v>0.80633538961410522</v>
      </c>
      <c r="S783" s="244">
        <v>4.4560842514038086</v>
      </c>
      <c r="T783" s="244">
        <v>0</v>
      </c>
      <c r="U783" s="244">
        <v>8.9822397232055664</v>
      </c>
      <c r="V783" s="244">
        <v>0.81096947193145752</v>
      </c>
      <c r="W783" s="244">
        <v>0.81096947193145752</v>
      </c>
      <c r="X783" s="244">
        <v>0</v>
      </c>
      <c r="Y783" s="244">
        <v>0</v>
      </c>
      <c r="Z783" s="244">
        <v>0</v>
      </c>
      <c r="AA783" s="244">
        <v>0</v>
      </c>
      <c r="AB783" s="244">
        <v>0</v>
      </c>
      <c r="AC783" s="244">
        <v>0</v>
      </c>
      <c r="AD783" s="244">
        <v>0</v>
      </c>
      <c r="AE783" s="244">
        <v>0</v>
      </c>
      <c r="AF783" s="244">
        <v>0</v>
      </c>
      <c r="AG783" s="244">
        <v>0</v>
      </c>
      <c r="AH783" s="244">
        <v>1.617304801940918</v>
      </c>
      <c r="AI783" s="244">
        <v>5.2670536041259766</v>
      </c>
      <c r="AJ783" s="244">
        <v>0</v>
      </c>
      <c r="AK783" s="244">
        <v>8.9822397232055664</v>
      </c>
      <c r="AL783" s="244">
        <v>15.866598129272461</v>
      </c>
      <c r="AM783" s="244">
        <v>73.086921691894531</v>
      </c>
      <c r="AN783" s="244">
        <v>0</v>
      </c>
      <c r="AO783" s="244">
        <v>12.869697570800781</v>
      </c>
      <c r="AP783" s="244">
        <v>55.610050201416016</v>
      </c>
      <c r="AQ783" s="244">
        <v>141.56666564941406</v>
      </c>
      <c r="AR783" s="244">
        <v>1.617304801940918</v>
      </c>
      <c r="AS783" s="228">
        <v>87.532457751239562</v>
      </c>
      <c r="AT783" s="244">
        <v>73.086921691894531</v>
      </c>
      <c r="AU783" s="244">
        <v>11.497591018676758</v>
      </c>
      <c r="AV783" s="244">
        <v>14.019455909729004</v>
      </c>
      <c r="AW783" s="244">
        <v>55.610050201416016</v>
      </c>
      <c r="AX783" s="244">
        <v>154.21401977539062</v>
      </c>
      <c r="AY783" s="244">
        <v>5.2670536041259766</v>
      </c>
      <c r="AZ783" s="228">
        <v>29.278991049300153</v>
      </c>
      <c r="BA783" s="244">
        <v>73.086921691894531</v>
      </c>
      <c r="BB783" s="244">
        <v>11.497591018676758</v>
      </c>
      <c r="BC783" s="244">
        <v>14.019455909729004</v>
      </c>
      <c r="BD783" s="244">
        <v>55.610050201416016</v>
      </c>
      <c r="BE783" s="244">
        <v>154.21401977539062</v>
      </c>
      <c r="BF783" s="244">
        <v>6.8843584060668945</v>
      </c>
      <c r="BG783" s="244">
        <v>-57.4075927734375</v>
      </c>
      <c r="BH783" s="228">
        <v>22.400637171979302</v>
      </c>
      <c r="BI783" s="244">
        <v>1.2505676746368408</v>
      </c>
      <c r="BJ783" s="244">
        <v>4.0727062225341797</v>
      </c>
      <c r="BK783" s="244">
        <v>0</v>
      </c>
      <c r="BL783" s="244">
        <v>6.9454431533813477</v>
      </c>
      <c r="BM783" s="244">
        <v>12.268716812133789</v>
      </c>
      <c r="BN783" s="244">
        <v>73.086921691894531</v>
      </c>
      <c r="BO783" s="244">
        <v>0</v>
      </c>
      <c r="BP783" s="244">
        <v>11.497591018676758</v>
      </c>
      <c r="BQ783" s="244">
        <v>0</v>
      </c>
      <c r="BR783" s="244">
        <v>0</v>
      </c>
      <c r="BS783" s="244">
        <v>0</v>
      </c>
      <c r="BT783" s="244">
        <v>55.610050201416016</v>
      </c>
      <c r="BU783" s="244">
        <v>0</v>
      </c>
      <c r="BV783" s="244">
        <v>130.49069213867187</v>
      </c>
      <c r="BW783" s="244">
        <v>14.019455909729004</v>
      </c>
      <c r="BX783" s="244">
        <v>14.244659423828125</v>
      </c>
      <c r="BY783" s="244">
        <v>1.621938943862915</v>
      </c>
      <c r="BZ783" s="244">
        <v>0</v>
      </c>
      <c r="CA783" s="244">
        <v>0</v>
      </c>
      <c r="CB783" s="244">
        <v>284.7047119140625</v>
      </c>
      <c r="CC783" s="244">
        <v>15.866598129272461</v>
      </c>
      <c r="CD783" s="228">
        <v>17.943651459668185</v>
      </c>
      <c r="CE783" s="244">
        <v>-151.36300659179687</v>
      </c>
      <c r="CF783" s="244">
        <v>0.7832797431604801</v>
      </c>
      <c r="CG783" s="244">
        <v>0</v>
      </c>
      <c r="CH783" s="244">
        <v>0.7832797431604801</v>
      </c>
      <c r="CI783" s="244">
        <v>3.8409483477829715E-2</v>
      </c>
      <c r="CJ783" s="244">
        <v>0</v>
      </c>
      <c r="CK783" s="244">
        <v>3.8409483477829715E-2</v>
      </c>
      <c r="CL783" s="244"/>
      <c r="CM783" s="244">
        <v>0</v>
      </c>
      <c r="CN783" s="244"/>
      <c r="CO783" s="244">
        <v>0</v>
      </c>
      <c r="CP783" s="244">
        <v>0</v>
      </c>
      <c r="CQ783" s="244">
        <v>0</v>
      </c>
      <c r="CR783" s="244">
        <v>0</v>
      </c>
      <c r="CS783" s="244">
        <v>0</v>
      </c>
      <c r="CT783" s="244">
        <v>0</v>
      </c>
      <c r="CU783" s="244">
        <v>0</v>
      </c>
      <c r="CV783" s="244">
        <v>9999</v>
      </c>
      <c r="CW783" s="228">
        <v>9999</v>
      </c>
    </row>
    <row r="784" spans="1:101">
      <c r="A784" s="221" t="s">
        <v>571</v>
      </c>
      <c r="C784" s="244">
        <v>10</v>
      </c>
      <c r="D784" s="244">
        <v>92.308494567871094</v>
      </c>
      <c r="E784" s="244">
        <v>0</v>
      </c>
      <c r="F784" s="244">
        <v>8.1096944808959961</v>
      </c>
      <c r="G784" s="244">
        <v>0</v>
      </c>
      <c r="H784" s="244">
        <v>0</v>
      </c>
      <c r="I784" s="244"/>
      <c r="J784" s="244">
        <v>0.31946483254432678</v>
      </c>
      <c r="K784" s="244">
        <v>0.33213883638381958</v>
      </c>
      <c r="L784" s="244">
        <v>100.66081237792969</v>
      </c>
      <c r="M784" s="244">
        <v>1.2484177947044373E-2</v>
      </c>
      <c r="N784" s="244">
        <v>3.8833405822515488E-2</v>
      </c>
      <c r="O784" s="244">
        <v>0</v>
      </c>
      <c r="P784" s="244">
        <v>0</v>
      </c>
      <c r="Q784" s="244">
        <v>0</v>
      </c>
      <c r="R784" s="244">
        <v>0.80633538961410522</v>
      </c>
      <c r="S784" s="244">
        <v>4.4560842514038086</v>
      </c>
      <c r="T784" s="244">
        <v>0</v>
      </c>
      <c r="U784" s="244">
        <v>8.9822397232055664</v>
      </c>
      <c r="V784" s="244">
        <v>0.81096947193145752</v>
      </c>
      <c r="W784" s="244">
        <v>0.81096947193145752</v>
      </c>
      <c r="X784" s="244">
        <v>0</v>
      </c>
      <c r="Y784" s="244">
        <v>0</v>
      </c>
      <c r="Z784" s="244">
        <v>0</v>
      </c>
      <c r="AA784" s="244">
        <v>0</v>
      </c>
      <c r="AB784" s="244">
        <v>0</v>
      </c>
      <c r="AC784" s="244">
        <v>0</v>
      </c>
      <c r="AD784" s="244">
        <v>0</v>
      </c>
      <c r="AE784" s="244">
        <v>0</v>
      </c>
      <c r="AF784" s="244">
        <v>0</v>
      </c>
      <c r="AG784" s="244">
        <v>0</v>
      </c>
      <c r="AH784" s="244">
        <v>1.617304801940918</v>
      </c>
      <c r="AI784" s="244">
        <v>5.2670536041259766</v>
      </c>
      <c r="AJ784" s="244">
        <v>0</v>
      </c>
      <c r="AK784" s="244">
        <v>8.9822397232055664</v>
      </c>
      <c r="AL784" s="244">
        <v>15.866598129272461</v>
      </c>
      <c r="AM784" s="244">
        <v>70.890975952148438</v>
      </c>
      <c r="AN784" s="244">
        <v>0</v>
      </c>
      <c r="AO784" s="244">
        <v>12.483262062072754</v>
      </c>
      <c r="AP784" s="244">
        <v>53.941642761230469</v>
      </c>
      <c r="AQ784" s="244">
        <v>137.31588745117187</v>
      </c>
      <c r="AR784" s="244">
        <v>1.617304801940918</v>
      </c>
      <c r="AS784" s="228">
        <v>84.904141476596436</v>
      </c>
      <c r="AT784" s="244">
        <v>70.890975952148438</v>
      </c>
      <c r="AU784" s="244">
        <v>11.130855560302734</v>
      </c>
      <c r="AV784" s="244">
        <v>13.596347808837891</v>
      </c>
      <c r="AW784" s="244">
        <v>53.941642761230469</v>
      </c>
      <c r="AX784" s="244">
        <v>149.559814453125</v>
      </c>
      <c r="AY784" s="244">
        <v>5.2670536041259766</v>
      </c>
      <c r="AZ784" s="228">
        <v>28.395347748192986</v>
      </c>
      <c r="BA784" s="244">
        <v>70.890975952148438</v>
      </c>
      <c r="BB784" s="244">
        <v>11.130855560302734</v>
      </c>
      <c r="BC784" s="244">
        <v>13.596347808837891</v>
      </c>
      <c r="BD784" s="244">
        <v>53.941642761230469</v>
      </c>
      <c r="BE784" s="244">
        <v>149.559814453125</v>
      </c>
      <c r="BF784" s="244">
        <v>6.8843584060668945</v>
      </c>
      <c r="BG784" s="244">
        <v>-57.223587036132813</v>
      </c>
      <c r="BH784" s="228">
        <v>21.724583378178068</v>
      </c>
      <c r="BI784" s="244">
        <v>1.2892476320266724</v>
      </c>
      <c r="BJ784" s="244">
        <v>4.1986746788024902</v>
      </c>
      <c r="BK784" s="244">
        <v>0</v>
      </c>
      <c r="BL784" s="244">
        <v>7.1602649688720703</v>
      </c>
      <c r="BM784" s="244">
        <v>12.648186683654785</v>
      </c>
      <c r="BN784" s="244">
        <v>70.890975952148438</v>
      </c>
      <c r="BO784" s="244">
        <v>0</v>
      </c>
      <c r="BP784" s="244">
        <v>11.130855560302734</v>
      </c>
      <c r="BQ784" s="244">
        <v>0</v>
      </c>
      <c r="BR784" s="244">
        <v>0</v>
      </c>
      <c r="BS784" s="244">
        <v>0</v>
      </c>
      <c r="BT784" s="244">
        <v>53.941642761230469</v>
      </c>
      <c r="BU784" s="244">
        <v>0</v>
      </c>
      <c r="BV784" s="244">
        <v>134.15776062011719</v>
      </c>
      <c r="BW784" s="244">
        <v>13.596347808837891</v>
      </c>
      <c r="BX784" s="244">
        <v>14.244659423828125</v>
      </c>
      <c r="BY784" s="244">
        <v>1.621938943862915</v>
      </c>
      <c r="BZ784" s="244">
        <v>0</v>
      </c>
      <c r="CA784" s="244">
        <v>0</v>
      </c>
      <c r="CB784" s="244">
        <v>283.71759033203125</v>
      </c>
      <c r="CC784" s="244">
        <v>15.866598129272461</v>
      </c>
      <c r="CD784" s="228">
        <v>17.881437226038781</v>
      </c>
      <c r="CE784" s="244">
        <v>-157.00827026367187</v>
      </c>
      <c r="CF784" s="244">
        <v>0.75978966104034429</v>
      </c>
      <c r="CG784" s="244">
        <v>0</v>
      </c>
      <c r="CH784" s="244">
        <v>0.75978966104034429</v>
      </c>
      <c r="CI784" s="244">
        <v>3.7257711691176955E-2</v>
      </c>
      <c r="CJ784" s="244">
        <v>0</v>
      </c>
      <c r="CK784" s="244">
        <v>3.7257711691176955E-2</v>
      </c>
      <c r="CL784" s="244"/>
      <c r="CM784" s="244">
        <v>0</v>
      </c>
      <c r="CN784" s="244"/>
      <c r="CO784" s="244">
        <v>0</v>
      </c>
      <c r="CP784" s="244">
        <v>0</v>
      </c>
      <c r="CQ784" s="244">
        <v>0</v>
      </c>
      <c r="CR784" s="244">
        <v>0</v>
      </c>
      <c r="CS784" s="244">
        <v>0</v>
      </c>
      <c r="CT784" s="244">
        <v>0</v>
      </c>
      <c r="CU784" s="244">
        <v>0</v>
      </c>
      <c r="CV784" s="244">
        <v>9999</v>
      </c>
      <c r="CW784" s="228">
        <v>9999</v>
      </c>
    </row>
    <row r="785" spans="1:101">
      <c r="A785" s="221" t="s">
        <v>559</v>
      </c>
      <c r="C785" s="244">
        <v>10</v>
      </c>
      <c r="D785" s="244">
        <v>129.42977905273438</v>
      </c>
      <c r="E785" s="244">
        <v>0</v>
      </c>
      <c r="F785" s="244">
        <v>11.336667060852051</v>
      </c>
      <c r="G785" s="244">
        <v>0</v>
      </c>
      <c r="H785" s="244">
        <v>0</v>
      </c>
      <c r="I785" s="244"/>
      <c r="J785" s="244">
        <v>0.31782251596450806</v>
      </c>
      <c r="K785" s="244">
        <v>0.33139589428901672</v>
      </c>
      <c r="L785" s="244">
        <v>141.140869140625</v>
      </c>
      <c r="M785" s="244">
        <v>1.7521964386105537E-2</v>
      </c>
      <c r="N785" s="244">
        <v>5.4542522877454758E-2</v>
      </c>
      <c r="O785" s="244">
        <v>0</v>
      </c>
      <c r="P785" s="244">
        <v>0</v>
      </c>
      <c r="Q785" s="244">
        <v>0</v>
      </c>
      <c r="R785" s="244">
        <v>1.1271885633468628</v>
      </c>
      <c r="S785" s="244">
        <v>6.2292284965515137</v>
      </c>
      <c r="T785" s="244">
        <v>0</v>
      </c>
      <c r="U785" s="244">
        <v>12.556410789489746</v>
      </c>
      <c r="V785" s="244">
        <v>1.1336666345596313</v>
      </c>
      <c r="W785" s="244">
        <v>1.1336666345596313</v>
      </c>
      <c r="X785" s="244">
        <v>0</v>
      </c>
      <c r="Y785" s="244">
        <v>0</v>
      </c>
      <c r="Z785" s="244">
        <v>0</v>
      </c>
      <c r="AA785" s="244">
        <v>0</v>
      </c>
      <c r="AB785" s="244">
        <v>0</v>
      </c>
      <c r="AC785" s="244">
        <v>0</v>
      </c>
      <c r="AD785" s="244">
        <v>0</v>
      </c>
      <c r="AE785" s="244">
        <v>0</v>
      </c>
      <c r="AF785" s="244">
        <v>0</v>
      </c>
      <c r="AG785" s="244">
        <v>0</v>
      </c>
      <c r="AH785" s="244">
        <v>2.2608551979064941</v>
      </c>
      <c r="AI785" s="244">
        <v>7.3628950119018555</v>
      </c>
      <c r="AJ785" s="244">
        <v>0</v>
      </c>
      <c r="AK785" s="244">
        <v>12.556410789489746</v>
      </c>
      <c r="AL785" s="244">
        <v>22.18016242980957</v>
      </c>
      <c r="AM785" s="244">
        <v>99.403175354003906</v>
      </c>
      <c r="AN785" s="244">
        <v>0</v>
      </c>
      <c r="AO785" s="244">
        <v>17.503707885742188</v>
      </c>
      <c r="AP785" s="244">
        <v>75.633888244628906</v>
      </c>
      <c r="AQ785" s="244">
        <v>192.540771484375</v>
      </c>
      <c r="AR785" s="244">
        <v>2.2608551979064941</v>
      </c>
      <c r="AS785" s="228">
        <v>85.162805500619342</v>
      </c>
      <c r="AT785" s="244">
        <v>99.403175354003906</v>
      </c>
      <c r="AU785" s="244">
        <v>15.633574485778809</v>
      </c>
      <c r="AV785" s="244">
        <v>19.06706428527832</v>
      </c>
      <c r="AW785" s="244">
        <v>75.633888244628906</v>
      </c>
      <c r="AX785" s="244">
        <v>209.73770141601562</v>
      </c>
      <c r="AY785" s="244">
        <v>7.3628950119018555</v>
      </c>
      <c r="AZ785" s="228">
        <v>28.485765264191414</v>
      </c>
      <c r="BA785" s="244">
        <v>99.403175354003906</v>
      </c>
      <c r="BB785" s="244">
        <v>15.633574485778809</v>
      </c>
      <c r="BC785" s="244">
        <v>19.06706428527832</v>
      </c>
      <c r="BD785" s="244">
        <v>75.633888244628906</v>
      </c>
      <c r="BE785" s="244">
        <v>209.73770141601562</v>
      </c>
      <c r="BF785" s="244">
        <v>9.6237506866455078</v>
      </c>
      <c r="BG785" s="244">
        <v>-57.256931304931641</v>
      </c>
      <c r="BH785" s="228">
        <v>21.79375972974761</v>
      </c>
      <c r="BI785" s="244">
        <v>1.2853603363037109</v>
      </c>
      <c r="BJ785" s="244">
        <v>4.1860146522521973</v>
      </c>
      <c r="BK785" s="244">
        <v>0</v>
      </c>
      <c r="BL785" s="244">
        <v>7.1386756896972656</v>
      </c>
      <c r="BM785" s="244">
        <v>12.610051155090332</v>
      </c>
      <c r="BN785" s="244">
        <v>99.403175354003906</v>
      </c>
      <c r="BO785" s="244">
        <v>0</v>
      </c>
      <c r="BP785" s="244">
        <v>15.633574485778809</v>
      </c>
      <c r="BQ785" s="244">
        <v>0</v>
      </c>
      <c r="BR785" s="244">
        <v>0</v>
      </c>
      <c r="BS785" s="244">
        <v>0</v>
      </c>
      <c r="BT785" s="244">
        <v>75.633888244628906</v>
      </c>
      <c r="BU785" s="244">
        <v>0</v>
      </c>
      <c r="BV785" s="244">
        <v>178.87702941894531</v>
      </c>
      <c r="BW785" s="244">
        <v>19.06706428527832</v>
      </c>
      <c r="BX785" s="244">
        <v>19.91282844543457</v>
      </c>
      <c r="BY785" s="244">
        <v>2.2673332691192627</v>
      </c>
      <c r="BZ785" s="244">
        <v>0</v>
      </c>
      <c r="CA785" s="244">
        <v>0</v>
      </c>
      <c r="CB785" s="244">
        <v>388.61474609375</v>
      </c>
      <c r="CC785" s="244">
        <v>22.18016242980957</v>
      </c>
      <c r="CD785" s="228">
        <v>17.520824996223546</v>
      </c>
      <c r="CE785" s="244">
        <v>-151.81491088867187</v>
      </c>
      <c r="CF785" s="244">
        <v>1.0653218289398592</v>
      </c>
      <c r="CG785" s="244">
        <v>0</v>
      </c>
      <c r="CH785" s="244">
        <v>1.0653218289398592</v>
      </c>
      <c r="CI785" s="244">
        <v>5.2239926742686141E-2</v>
      </c>
      <c r="CJ785" s="244">
        <v>0</v>
      </c>
      <c r="CK785" s="244">
        <v>5.2239926742686141E-2</v>
      </c>
      <c r="CL785" s="244"/>
      <c r="CM785" s="244">
        <v>0</v>
      </c>
      <c r="CN785" s="244"/>
      <c r="CO785" s="244">
        <v>0</v>
      </c>
      <c r="CP785" s="244">
        <v>0</v>
      </c>
      <c r="CQ785" s="244">
        <v>0</v>
      </c>
      <c r="CR785" s="244">
        <v>0</v>
      </c>
      <c r="CS785" s="244">
        <v>0</v>
      </c>
      <c r="CT785" s="244">
        <v>0</v>
      </c>
      <c r="CU785" s="244">
        <v>0</v>
      </c>
      <c r="CV785" s="244">
        <v>9999</v>
      </c>
      <c r="CW785" s="228">
        <v>9999</v>
      </c>
    </row>
    <row r="786" spans="1:101">
      <c r="A786" s="221" t="s">
        <v>575</v>
      </c>
      <c r="C786" s="244">
        <v>10</v>
      </c>
      <c r="D786" s="244">
        <v>6.7300348281860352</v>
      </c>
      <c r="E786" s="244">
        <v>6.4870567321777344</v>
      </c>
      <c r="F786" s="244">
        <v>8.1096944808959961</v>
      </c>
      <c r="G786" s="244">
        <v>0</v>
      </c>
      <c r="H786" s="244">
        <v>0</v>
      </c>
      <c r="I786" s="244"/>
      <c r="J786" s="244">
        <v>1</v>
      </c>
      <c r="K786" s="244">
        <v>0.63999998569488525</v>
      </c>
      <c r="L786" s="244">
        <v>7.3401985168457031</v>
      </c>
      <c r="M786" s="244">
        <v>5.3627020679414272E-4</v>
      </c>
      <c r="N786" s="244">
        <v>8.3792221266776323E-4</v>
      </c>
      <c r="O786" s="244">
        <v>6.5519275665283203</v>
      </c>
      <c r="P786" s="244">
        <v>1.9882550463080406E-2</v>
      </c>
      <c r="Q786" s="244">
        <v>6.2720976769924164E-2</v>
      </c>
      <c r="R786" s="244">
        <v>0.80633538961410522</v>
      </c>
      <c r="S786" s="244">
        <v>4.4560842514038086</v>
      </c>
      <c r="T786" s="244">
        <v>0</v>
      </c>
      <c r="U786" s="244">
        <v>8.9822397232055664</v>
      </c>
      <c r="V786" s="244">
        <v>0.81096947193145752</v>
      </c>
      <c r="W786" s="244">
        <v>0.81096947193145752</v>
      </c>
      <c r="X786" s="244">
        <v>0</v>
      </c>
      <c r="Y786" s="244">
        <v>0</v>
      </c>
      <c r="Z786" s="244">
        <v>0</v>
      </c>
      <c r="AA786" s="244">
        <v>0</v>
      </c>
      <c r="AB786" s="244">
        <v>0</v>
      </c>
      <c r="AC786" s="244">
        <v>0</v>
      </c>
      <c r="AD786" s="244">
        <v>0</v>
      </c>
      <c r="AE786" s="244">
        <v>0</v>
      </c>
      <c r="AF786" s="244">
        <v>0</v>
      </c>
      <c r="AG786" s="244">
        <v>0</v>
      </c>
      <c r="AH786" s="244">
        <v>1.617304801940918</v>
      </c>
      <c r="AI786" s="244">
        <v>5.2670536041259766</v>
      </c>
      <c r="AJ786" s="244">
        <v>0</v>
      </c>
      <c r="AK786" s="244">
        <v>8.9822397232055664</v>
      </c>
      <c r="AL786" s="244">
        <v>15.866598129272461</v>
      </c>
      <c r="AM786" s="244">
        <v>5.0857043266296387</v>
      </c>
      <c r="AN786" s="244">
        <v>0</v>
      </c>
      <c r="AO786" s="244">
        <v>0.90191352367401123</v>
      </c>
      <c r="AP786" s="244">
        <v>3.9334309101104736</v>
      </c>
      <c r="AQ786" s="244">
        <v>9.9210491180419922</v>
      </c>
      <c r="AR786" s="244">
        <v>1.617304801940918</v>
      </c>
      <c r="AS786" s="228">
        <v>6.1343096136699691</v>
      </c>
      <c r="AT786" s="244">
        <v>5.0857043266296387</v>
      </c>
      <c r="AU786" s="244">
        <v>0.24017441272735596</v>
      </c>
      <c r="AV786" s="244">
        <v>0.92593097686767578</v>
      </c>
      <c r="AW786" s="244">
        <v>3.9334309101104736</v>
      </c>
      <c r="AX786" s="244">
        <v>10.185240745544434</v>
      </c>
      <c r="AY786" s="244">
        <v>5.2670536041259766</v>
      </c>
      <c r="AZ786" s="228">
        <v>1.9337643322699061</v>
      </c>
      <c r="BA786" s="244">
        <v>5.0857043266296387</v>
      </c>
      <c r="BB786" s="244">
        <v>0.24017441272735596</v>
      </c>
      <c r="BC786" s="244">
        <v>0.92593097686767578</v>
      </c>
      <c r="BD786" s="244">
        <v>3.9334309101104736</v>
      </c>
      <c r="BE786" s="244">
        <v>10.185240745544434</v>
      </c>
      <c r="BF786" s="244">
        <v>6.8843584060668945</v>
      </c>
      <c r="BG786" s="244">
        <v>19.511564254760742</v>
      </c>
      <c r="BH786" s="228">
        <v>1.4794756113813694</v>
      </c>
      <c r="BI786" s="244">
        <v>17.680274963378906</v>
      </c>
      <c r="BJ786" s="244">
        <v>57.579097747802734</v>
      </c>
      <c r="BK786" s="244">
        <v>0</v>
      </c>
      <c r="BL786" s="244">
        <v>98.193275451660156</v>
      </c>
      <c r="BM786" s="244">
        <v>173.45265197753906</v>
      </c>
      <c r="BN786" s="244">
        <v>5.0857043266296387</v>
      </c>
      <c r="BO786" s="244">
        <v>54.157382965087891</v>
      </c>
      <c r="BP786" s="244">
        <v>0.24017441272735596</v>
      </c>
      <c r="BQ786" s="244">
        <v>0</v>
      </c>
      <c r="BR786" s="244">
        <v>0</v>
      </c>
      <c r="BS786" s="244">
        <v>0</v>
      </c>
      <c r="BT786" s="244">
        <v>3.9334309101104736</v>
      </c>
      <c r="BU786" s="244">
        <v>0</v>
      </c>
      <c r="BV786" s="244">
        <v>208.68986511230469</v>
      </c>
      <c r="BW786" s="244">
        <v>0.92593097686767578</v>
      </c>
      <c r="BX786" s="244">
        <v>14.244659423828125</v>
      </c>
      <c r="BY786" s="244">
        <v>1.621938943862915</v>
      </c>
      <c r="BZ786" s="244">
        <v>0</v>
      </c>
      <c r="CA786" s="244">
        <v>0</v>
      </c>
      <c r="CB786" s="244">
        <v>273.03250122070312</v>
      </c>
      <c r="CC786" s="244">
        <v>15.866598129272461</v>
      </c>
      <c r="CD786" s="228">
        <v>17.208004033158137</v>
      </c>
      <c r="CE786" s="244">
        <v>-2755.724609375</v>
      </c>
      <c r="CF786" s="244">
        <v>5.5662548984719437E-2</v>
      </c>
      <c r="CG786" s="244">
        <v>0.61326041626680783</v>
      </c>
      <c r="CH786" s="244">
        <v>0.66892296525152728</v>
      </c>
      <c r="CI786" s="244">
        <v>2.7322776691193528E-3</v>
      </c>
      <c r="CJ786" s="244">
        <v>3.832877601667508E-2</v>
      </c>
      <c r="CK786" s="244">
        <v>4.1061053685794435E-2</v>
      </c>
      <c r="CL786" s="244"/>
      <c r="CM786" s="244">
        <v>6.5519275665283203</v>
      </c>
      <c r="CN786" s="244"/>
      <c r="CO786" s="244">
        <v>0.28600001335144043</v>
      </c>
      <c r="CP786" s="244">
        <v>0.31700000166893005</v>
      </c>
      <c r="CQ786" s="244">
        <v>54.157382965087891</v>
      </c>
      <c r="CR786" s="244">
        <v>0</v>
      </c>
      <c r="CS786" s="244">
        <v>0</v>
      </c>
      <c r="CT786" s="244">
        <v>54.157382965087891</v>
      </c>
      <c r="CU786" s="244">
        <v>0</v>
      </c>
      <c r="CV786" s="244">
        <v>0</v>
      </c>
      <c r="CW786" s="228">
        <v>9999</v>
      </c>
    </row>
    <row r="787" spans="1:101">
      <c r="A787" s="221" t="s">
        <v>495</v>
      </c>
      <c r="C787" s="244">
        <v>10</v>
      </c>
      <c r="D787" s="244">
        <v>41.370273590087891</v>
      </c>
      <c r="E787" s="244">
        <v>3.8196685314178467</v>
      </c>
      <c r="F787" s="244">
        <v>8.1096944808959961</v>
      </c>
      <c r="G787" s="244">
        <v>0</v>
      </c>
      <c r="H787" s="244">
        <v>0</v>
      </c>
      <c r="I787" s="244"/>
      <c r="J787" s="244">
        <v>0.38294112682342529</v>
      </c>
      <c r="K787" s="244">
        <v>0.36085429787635803</v>
      </c>
      <c r="L787" s="244">
        <v>45.114261627197266</v>
      </c>
      <c r="M787" s="244">
        <v>5.380687303841114E-3</v>
      </c>
      <c r="N787" s="244">
        <v>1.6261206939816475E-2</v>
      </c>
      <c r="O787" s="244">
        <v>3.8578653335571289</v>
      </c>
      <c r="P787" s="244">
        <v>1.1707118712365627E-2</v>
      </c>
      <c r="Q787" s="244">
        <v>3.6930974572896957E-2</v>
      </c>
      <c r="R787" s="244">
        <v>0.80633538961410522</v>
      </c>
      <c r="S787" s="244">
        <v>4.4560842514038086</v>
      </c>
      <c r="T787" s="244">
        <v>0</v>
      </c>
      <c r="U787" s="244">
        <v>8.9822397232055664</v>
      </c>
      <c r="V787" s="244">
        <v>0.81096947193145752</v>
      </c>
      <c r="W787" s="244">
        <v>0.81096947193145752</v>
      </c>
      <c r="X787" s="244">
        <v>0</v>
      </c>
      <c r="Y787" s="244">
        <v>0</v>
      </c>
      <c r="Z787" s="244">
        <v>0</v>
      </c>
      <c r="AA787" s="244">
        <v>0</v>
      </c>
      <c r="AB787" s="244">
        <v>0</v>
      </c>
      <c r="AC787" s="244">
        <v>0</v>
      </c>
      <c r="AD787" s="244">
        <v>0</v>
      </c>
      <c r="AE787" s="244">
        <v>0</v>
      </c>
      <c r="AF787" s="244">
        <v>0</v>
      </c>
      <c r="AG787" s="244">
        <v>0</v>
      </c>
      <c r="AH787" s="244">
        <v>1.617304801940918</v>
      </c>
      <c r="AI787" s="244">
        <v>5.2670536041259766</v>
      </c>
      <c r="AJ787" s="244">
        <v>0</v>
      </c>
      <c r="AK787" s="244">
        <v>8.9822397232055664</v>
      </c>
      <c r="AL787" s="244">
        <v>15.866598129272461</v>
      </c>
      <c r="AM787" s="244">
        <v>31.724010467529297</v>
      </c>
      <c r="AN787" s="244">
        <v>0</v>
      </c>
      <c r="AO787" s="244">
        <v>5.5899624824523926</v>
      </c>
      <c r="AP787" s="244">
        <v>24.175617218017578</v>
      </c>
      <c r="AQ787" s="244">
        <v>61.489589691162109</v>
      </c>
      <c r="AR787" s="244">
        <v>1.617304801940918</v>
      </c>
      <c r="AS787" s="228">
        <v>38.01978936070055</v>
      </c>
      <c r="AT787" s="244">
        <v>31.724010467529297</v>
      </c>
      <c r="AU787" s="244">
        <v>4.6609649658203125</v>
      </c>
      <c r="AV787" s="244">
        <v>6.0560593605041504</v>
      </c>
      <c r="AW787" s="244">
        <v>24.175617218017578</v>
      </c>
      <c r="AX787" s="244">
        <v>66.616653442382812</v>
      </c>
      <c r="AY787" s="244">
        <v>5.2670536041259766</v>
      </c>
      <c r="AZ787" s="228">
        <v>12.647801885280098</v>
      </c>
      <c r="BA787" s="244">
        <v>31.724010467529297</v>
      </c>
      <c r="BB787" s="244">
        <v>4.6609649658203125</v>
      </c>
      <c r="BC787" s="244">
        <v>6.0560593605041504</v>
      </c>
      <c r="BD787" s="244">
        <v>24.175617218017578</v>
      </c>
      <c r="BE787" s="244">
        <v>66.616653442382812</v>
      </c>
      <c r="BF787" s="244">
        <v>6.8843584060668945</v>
      </c>
      <c r="BG787" s="244">
        <v>-49.816993713378906</v>
      </c>
      <c r="BH787" s="228">
        <v>9.6765226840699938</v>
      </c>
      <c r="BI787" s="244">
        <v>2.8766229152679443</v>
      </c>
      <c r="BJ787" s="244">
        <v>9.3682565689086914</v>
      </c>
      <c r="BK787" s="244">
        <v>0</v>
      </c>
      <c r="BL787" s="244">
        <v>15.976280212402344</v>
      </c>
      <c r="BM787" s="244">
        <v>28.221158981323242</v>
      </c>
      <c r="BN787" s="244">
        <v>31.724010467529297</v>
      </c>
      <c r="BO787" s="244">
        <v>31.888614654541016</v>
      </c>
      <c r="BP787" s="244">
        <v>4.6609649658203125</v>
      </c>
      <c r="BQ787" s="244">
        <v>0</v>
      </c>
      <c r="BR787" s="244">
        <v>0</v>
      </c>
      <c r="BS787" s="244">
        <v>0</v>
      </c>
      <c r="BT787" s="244">
        <v>24.175617218017578</v>
      </c>
      <c r="BU787" s="244">
        <v>0</v>
      </c>
      <c r="BV787" s="244">
        <v>174.173583984375</v>
      </c>
      <c r="BW787" s="244">
        <v>6.0560593605041504</v>
      </c>
      <c r="BX787" s="244">
        <v>14.244659423828125</v>
      </c>
      <c r="BY787" s="244">
        <v>1.621938943862915</v>
      </c>
      <c r="BZ787" s="244">
        <v>0</v>
      </c>
      <c r="CA787" s="244">
        <v>0</v>
      </c>
      <c r="CB787" s="244">
        <v>272.67886352539062</v>
      </c>
      <c r="CC787" s="244">
        <v>15.866598129272461</v>
      </c>
      <c r="CD787" s="228">
        <v>17.18571582463699</v>
      </c>
      <c r="CE787" s="244">
        <v>-400.35369873046875</v>
      </c>
      <c r="CF787" s="244">
        <v>0.3406715382098614</v>
      </c>
      <c r="CG787" s="244">
        <v>0.36109619468011223</v>
      </c>
      <c r="CH787" s="244">
        <v>0.70176773288997363</v>
      </c>
      <c r="CI787" s="244">
        <v>1.6707050677719219E-2</v>
      </c>
      <c r="CJ787" s="244">
        <v>2.2568512167507E-2</v>
      </c>
      <c r="CK787" s="244">
        <v>3.9275562845226222E-2</v>
      </c>
      <c r="CL787" s="244"/>
      <c r="CM787" s="244">
        <v>3.8578653335571289</v>
      </c>
      <c r="CN787" s="244"/>
      <c r="CO787" s="244">
        <v>0.28600001335144043</v>
      </c>
      <c r="CP787" s="244">
        <v>0.31700000166893005</v>
      </c>
      <c r="CQ787" s="244">
        <v>31.888614654541016</v>
      </c>
      <c r="CR787" s="244">
        <v>0</v>
      </c>
      <c r="CS787" s="244">
        <v>0</v>
      </c>
      <c r="CT787" s="244">
        <v>31.888614654541016</v>
      </c>
      <c r="CU787" s="244">
        <v>0</v>
      </c>
      <c r="CV787" s="244">
        <v>0</v>
      </c>
      <c r="CW787" s="228">
        <v>9999</v>
      </c>
    </row>
    <row r="788" spans="1:101">
      <c r="A788" s="221" t="s">
        <v>568</v>
      </c>
      <c r="C788" s="244">
        <v>10</v>
      </c>
      <c r="D788" s="244">
        <v>86.286514282226563</v>
      </c>
      <c r="E788" s="244">
        <v>0</v>
      </c>
      <c r="F788" s="244">
        <v>8.1096944808959961</v>
      </c>
      <c r="G788" s="244">
        <v>0</v>
      </c>
      <c r="H788" s="244">
        <v>0</v>
      </c>
      <c r="I788" s="244"/>
      <c r="J788" s="244">
        <v>0.31782251596450806</v>
      </c>
      <c r="K788" s="244">
        <v>0.33139589428901672</v>
      </c>
      <c r="L788" s="244">
        <v>94.093910217285156</v>
      </c>
      <c r="M788" s="244">
        <v>1.1681310832500458E-2</v>
      </c>
      <c r="N788" s="244">
        <v>3.6361683160066605E-2</v>
      </c>
      <c r="O788" s="244">
        <v>0</v>
      </c>
      <c r="P788" s="244">
        <v>0</v>
      </c>
      <c r="Q788" s="244">
        <v>0</v>
      </c>
      <c r="R788" s="244">
        <v>0.80633538961410522</v>
      </c>
      <c r="S788" s="244">
        <v>4.4560842514038086</v>
      </c>
      <c r="T788" s="244">
        <v>0</v>
      </c>
      <c r="U788" s="244">
        <v>8.9822397232055664</v>
      </c>
      <c r="V788" s="244">
        <v>0.81096947193145752</v>
      </c>
      <c r="W788" s="244">
        <v>0.81096947193145752</v>
      </c>
      <c r="X788" s="244">
        <v>0</v>
      </c>
      <c r="Y788" s="244">
        <v>0</v>
      </c>
      <c r="Z788" s="244">
        <v>0</v>
      </c>
      <c r="AA788" s="244">
        <v>0</v>
      </c>
      <c r="AB788" s="244">
        <v>0</v>
      </c>
      <c r="AC788" s="244">
        <v>0</v>
      </c>
      <c r="AD788" s="244">
        <v>0</v>
      </c>
      <c r="AE788" s="244">
        <v>0</v>
      </c>
      <c r="AF788" s="244">
        <v>0</v>
      </c>
      <c r="AG788" s="244">
        <v>0</v>
      </c>
      <c r="AH788" s="244">
        <v>1.617304801940918</v>
      </c>
      <c r="AI788" s="244">
        <v>5.2670536041259766</v>
      </c>
      <c r="AJ788" s="244">
        <v>0</v>
      </c>
      <c r="AK788" s="244">
        <v>8.9822397232055664</v>
      </c>
      <c r="AL788" s="244">
        <v>15.866598129272461</v>
      </c>
      <c r="AM788" s="244">
        <v>66.268783569335938</v>
      </c>
      <c r="AN788" s="244">
        <v>0</v>
      </c>
      <c r="AO788" s="244">
        <v>11.669137954711914</v>
      </c>
      <c r="AP788" s="244">
        <v>50.422595977783203</v>
      </c>
      <c r="AQ788" s="244">
        <v>128.36051940917969</v>
      </c>
      <c r="AR788" s="244">
        <v>1.617304801940918</v>
      </c>
      <c r="AS788" s="228">
        <v>79.366927382611394</v>
      </c>
      <c r="AT788" s="244">
        <v>66.268783569335938</v>
      </c>
      <c r="AU788" s="244">
        <v>10.422385215759277</v>
      </c>
      <c r="AV788" s="244">
        <v>12.711377143859863</v>
      </c>
      <c r="AW788" s="244">
        <v>50.422595977783203</v>
      </c>
      <c r="AX788" s="244">
        <v>139.82513427734375</v>
      </c>
      <c r="AY788" s="244">
        <v>5.2670536041259766</v>
      </c>
      <c r="AZ788" s="228">
        <v>26.547126581841006</v>
      </c>
      <c r="BA788" s="244">
        <v>66.268783569335938</v>
      </c>
      <c r="BB788" s="244">
        <v>10.422385215759277</v>
      </c>
      <c r="BC788" s="244">
        <v>12.711377143859863</v>
      </c>
      <c r="BD788" s="244">
        <v>50.422595977783203</v>
      </c>
      <c r="BE788" s="244">
        <v>139.82513427734375</v>
      </c>
      <c r="BF788" s="244">
        <v>6.8843584060668945</v>
      </c>
      <c r="BG788" s="244">
        <v>-56.857383728027344</v>
      </c>
      <c r="BH788" s="228">
        <v>20.310554742720264</v>
      </c>
      <c r="BI788" s="244">
        <v>1.379225492477417</v>
      </c>
      <c r="BJ788" s="244">
        <v>4.491703987121582</v>
      </c>
      <c r="BK788" s="244">
        <v>0</v>
      </c>
      <c r="BL788" s="244">
        <v>7.6599864959716797</v>
      </c>
      <c r="BM788" s="244">
        <v>13.530916213989258</v>
      </c>
      <c r="BN788" s="244">
        <v>66.268783569335938</v>
      </c>
      <c r="BO788" s="244">
        <v>0</v>
      </c>
      <c r="BP788" s="244">
        <v>10.422385215759277</v>
      </c>
      <c r="BQ788" s="244">
        <v>0</v>
      </c>
      <c r="BR788" s="244">
        <v>0</v>
      </c>
      <c r="BS788" s="244">
        <v>0</v>
      </c>
      <c r="BT788" s="244">
        <v>50.422595977783203</v>
      </c>
      <c r="BU788" s="244">
        <v>0</v>
      </c>
      <c r="BV788" s="244">
        <v>119.25135803222656</v>
      </c>
      <c r="BW788" s="244">
        <v>12.711377143859863</v>
      </c>
      <c r="BX788" s="244">
        <v>14.244659423828125</v>
      </c>
      <c r="BY788" s="244">
        <v>1.621938943862915</v>
      </c>
      <c r="BZ788" s="244">
        <v>0</v>
      </c>
      <c r="CA788" s="244">
        <v>0</v>
      </c>
      <c r="CB788" s="244">
        <v>259.07650756835937</v>
      </c>
      <c r="CC788" s="244">
        <v>15.866598129272461</v>
      </c>
      <c r="CD788" s="228">
        <v>16.328421123113518</v>
      </c>
      <c r="CE788" s="244">
        <v>-150.89405822753906</v>
      </c>
      <c r="CF788" s="244">
        <v>0.71021455262656963</v>
      </c>
      <c r="CG788" s="244">
        <v>0</v>
      </c>
      <c r="CH788" s="244">
        <v>0.71021455262656963</v>
      </c>
      <c r="CI788" s="244">
        <v>3.482661782845739E-2</v>
      </c>
      <c r="CJ788" s="244">
        <v>0</v>
      </c>
      <c r="CK788" s="244">
        <v>3.482661782845739E-2</v>
      </c>
      <c r="CL788" s="244"/>
      <c r="CM788" s="244">
        <v>0</v>
      </c>
      <c r="CN788" s="244"/>
      <c r="CO788" s="244">
        <v>0</v>
      </c>
      <c r="CP788" s="244">
        <v>0</v>
      </c>
      <c r="CQ788" s="244">
        <v>0</v>
      </c>
      <c r="CR788" s="244">
        <v>0</v>
      </c>
      <c r="CS788" s="244">
        <v>0</v>
      </c>
      <c r="CT788" s="244">
        <v>0</v>
      </c>
      <c r="CU788" s="244">
        <v>0</v>
      </c>
      <c r="CV788" s="244">
        <v>9999</v>
      </c>
      <c r="CW788" s="228">
        <v>9999</v>
      </c>
    </row>
    <row r="789" spans="1:101">
      <c r="A789" s="221" t="s">
        <v>456</v>
      </c>
      <c r="C789" s="244">
        <v>10</v>
      </c>
      <c r="D789" s="244">
        <v>55.674556732177734</v>
      </c>
      <c r="E789" s="244">
        <v>4.6701979637145996</v>
      </c>
      <c r="F789" s="244">
        <v>11.336667060852051</v>
      </c>
      <c r="G789" s="244">
        <v>0</v>
      </c>
      <c r="H789" s="244">
        <v>0</v>
      </c>
      <c r="I789" s="244"/>
      <c r="J789" s="244">
        <v>0.38241103291511536</v>
      </c>
      <c r="K789" s="244">
        <v>0.36061450839042664</v>
      </c>
      <c r="L789" s="244">
        <v>60.713066101074219</v>
      </c>
      <c r="M789" s="244">
        <v>7.2435359470546246E-3</v>
      </c>
      <c r="N789" s="244">
        <v>2.1896563470363617E-2</v>
      </c>
      <c r="O789" s="244">
        <v>4.7168998718261719</v>
      </c>
      <c r="P789" s="244">
        <v>1.4313955791294575E-2</v>
      </c>
      <c r="Q789" s="244">
        <v>4.5154433697462082E-2</v>
      </c>
      <c r="R789" s="244">
        <v>1.1271885633468628</v>
      </c>
      <c r="S789" s="244">
        <v>6.2292284965515137</v>
      </c>
      <c r="T789" s="244">
        <v>0</v>
      </c>
      <c r="U789" s="244">
        <v>12.556410789489746</v>
      </c>
      <c r="V789" s="244">
        <v>1.1336666345596313</v>
      </c>
      <c r="W789" s="244">
        <v>1.1336666345596313</v>
      </c>
      <c r="X789" s="244">
        <v>0</v>
      </c>
      <c r="Y789" s="244">
        <v>0</v>
      </c>
      <c r="Z789" s="244">
        <v>0</v>
      </c>
      <c r="AA789" s="244">
        <v>0</v>
      </c>
      <c r="AB789" s="244">
        <v>0</v>
      </c>
      <c r="AC789" s="244">
        <v>0</v>
      </c>
      <c r="AD789" s="244">
        <v>0</v>
      </c>
      <c r="AE789" s="244">
        <v>0</v>
      </c>
      <c r="AF789" s="244">
        <v>0</v>
      </c>
      <c r="AG789" s="244">
        <v>0</v>
      </c>
      <c r="AH789" s="244">
        <v>2.2608551979064941</v>
      </c>
      <c r="AI789" s="244">
        <v>7.3628950119018555</v>
      </c>
      <c r="AJ789" s="244">
        <v>0</v>
      </c>
      <c r="AK789" s="244">
        <v>12.556410789489746</v>
      </c>
      <c r="AL789" s="244">
        <v>22.18016242980957</v>
      </c>
      <c r="AM789" s="244">
        <v>42.693511962890625</v>
      </c>
      <c r="AN789" s="244">
        <v>0</v>
      </c>
      <c r="AO789" s="244">
        <v>7.5228142738342285</v>
      </c>
      <c r="AP789" s="244">
        <v>32.534629821777344</v>
      </c>
      <c r="AQ789" s="244">
        <v>82.750953674316406</v>
      </c>
      <c r="AR789" s="244">
        <v>2.2608551979064941</v>
      </c>
      <c r="AS789" s="228">
        <v>36.601617005426924</v>
      </c>
      <c r="AT789" s="244">
        <v>42.693511962890625</v>
      </c>
      <c r="AU789" s="244">
        <v>6.2762327194213867</v>
      </c>
      <c r="AV789" s="244">
        <v>8.1504373550415039</v>
      </c>
      <c r="AW789" s="244">
        <v>32.534629821777344</v>
      </c>
      <c r="AX789" s="244">
        <v>89.654815673828125</v>
      </c>
      <c r="AY789" s="244">
        <v>7.3628950119018555</v>
      </c>
      <c r="AZ789" s="228">
        <v>12.176570528663897</v>
      </c>
      <c r="BA789" s="244">
        <v>42.693511962890625</v>
      </c>
      <c r="BB789" s="244">
        <v>6.2762327194213867</v>
      </c>
      <c r="BC789" s="244">
        <v>8.1504373550415039</v>
      </c>
      <c r="BD789" s="244">
        <v>32.534629821777344</v>
      </c>
      <c r="BE789" s="244">
        <v>89.654815673828125</v>
      </c>
      <c r="BF789" s="244">
        <v>9.6237506866455078</v>
      </c>
      <c r="BG789" s="244">
        <v>-49.347885131835938</v>
      </c>
      <c r="BH789" s="228">
        <v>9.3159951987535123</v>
      </c>
      <c r="BI789" s="244">
        <v>2.9881026744842529</v>
      </c>
      <c r="BJ789" s="244">
        <v>9.7313108444213867</v>
      </c>
      <c r="BK789" s="244">
        <v>0</v>
      </c>
      <c r="BL789" s="244">
        <v>16.595420837402344</v>
      </c>
      <c r="BM789" s="244">
        <v>29.314836502075195</v>
      </c>
      <c r="BN789" s="244">
        <v>42.693511962890625</v>
      </c>
      <c r="BO789" s="244">
        <v>38.989284515380859</v>
      </c>
      <c r="BP789" s="244">
        <v>6.2762327194213867</v>
      </c>
      <c r="BQ789" s="244">
        <v>0</v>
      </c>
      <c r="BR789" s="244">
        <v>0</v>
      </c>
      <c r="BS789" s="244">
        <v>0</v>
      </c>
      <c r="BT789" s="244">
        <v>32.534629821777344</v>
      </c>
      <c r="BU789" s="244">
        <v>0</v>
      </c>
      <c r="BV789" s="244">
        <v>233.11453247070312</v>
      </c>
      <c r="BW789" s="244">
        <v>8.1504373550415039</v>
      </c>
      <c r="BX789" s="244">
        <v>19.91282844543457</v>
      </c>
      <c r="BY789" s="244">
        <v>2.2673332691192627</v>
      </c>
      <c r="BZ789" s="244">
        <v>0</v>
      </c>
      <c r="CA789" s="244">
        <v>0</v>
      </c>
      <c r="CB789" s="244">
        <v>361.75863647460937</v>
      </c>
      <c r="CC789" s="244">
        <v>22.18016242980957</v>
      </c>
      <c r="CD789" s="228">
        <v>16.310008623960648</v>
      </c>
      <c r="CE789" s="244">
        <v>-392.3836669921875</v>
      </c>
      <c r="CF789" s="244">
        <v>0.45846121082258334</v>
      </c>
      <c r="CG789" s="244">
        <v>0.44150184735049042</v>
      </c>
      <c r="CH789" s="244">
        <v>0.89996305817307376</v>
      </c>
      <c r="CI789" s="244">
        <v>2.2483617700332002E-2</v>
      </c>
      <c r="CJ789" s="244">
        <v>2.7593865459405599E-2</v>
      </c>
      <c r="CK789" s="244">
        <v>5.0077483159737604E-2</v>
      </c>
      <c r="CL789" s="244"/>
      <c r="CM789" s="244">
        <v>4.7168998718261719</v>
      </c>
      <c r="CN789" s="244"/>
      <c r="CO789" s="244">
        <v>0.28600001335144043</v>
      </c>
      <c r="CP789" s="244">
        <v>0.31700000166893005</v>
      </c>
      <c r="CQ789" s="244">
        <v>38.989284515380859</v>
      </c>
      <c r="CR789" s="244">
        <v>0</v>
      </c>
      <c r="CS789" s="244">
        <v>0</v>
      </c>
      <c r="CT789" s="244">
        <v>38.989284515380859</v>
      </c>
      <c r="CU789" s="244">
        <v>0</v>
      </c>
      <c r="CV789" s="244">
        <v>0</v>
      </c>
      <c r="CW789" s="228">
        <v>9999</v>
      </c>
    </row>
    <row r="790" spans="1:101">
      <c r="A790" s="221" t="s">
        <v>481</v>
      </c>
      <c r="C790" s="244">
        <v>10</v>
      </c>
      <c r="D790" s="244">
        <v>115.56169128417969</v>
      </c>
      <c r="E790" s="244">
        <v>0</v>
      </c>
      <c r="F790" s="244">
        <v>11.336667060852051</v>
      </c>
      <c r="G790" s="244">
        <v>0</v>
      </c>
      <c r="H790" s="244">
        <v>0</v>
      </c>
      <c r="I790" s="244"/>
      <c r="J790" s="244">
        <v>0.31946483254432678</v>
      </c>
      <c r="K790" s="244">
        <v>0.33213883638381958</v>
      </c>
      <c r="L790" s="244">
        <v>126.01802062988281</v>
      </c>
      <c r="M790" s="244">
        <v>1.5629034489393234E-2</v>
      </c>
      <c r="N790" s="244">
        <v>4.8615828156471252E-2</v>
      </c>
      <c r="O790" s="244">
        <v>0</v>
      </c>
      <c r="P790" s="244">
        <v>0</v>
      </c>
      <c r="Q790" s="244">
        <v>0</v>
      </c>
      <c r="R790" s="244">
        <v>1.1271885633468628</v>
      </c>
      <c r="S790" s="244">
        <v>6.2292284965515137</v>
      </c>
      <c r="T790" s="244">
        <v>0</v>
      </c>
      <c r="U790" s="244">
        <v>12.556410789489746</v>
      </c>
      <c r="V790" s="244">
        <v>1.1336666345596313</v>
      </c>
      <c r="W790" s="244">
        <v>1.1336666345596313</v>
      </c>
      <c r="X790" s="244">
        <v>0</v>
      </c>
      <c r="Y790" s="244">
        <v>0</v>
      </c>
      <c r="Z790" s="244">
        <v>0</v>
      </c>
      <c r="AA790" s="244">
        <v>0</v>
      </c>
      <c r="AB790" s="244">
        <v>0</v>
      </c>
      <c r="AC790" s="244">
        <v>0</v>
      </c>
      <c r="AD790" s="244">
        <v>0</v>
      </c>
      <c r="AE790" s="244">
        <v>0</v>
      </c>
      <c r="AF790" s="244">
        <v>0</v>
      </c>
      <c r="AG790" s="244">
        <v>0</v>
      </c>
      <c r="AH790" s="244">
        <v>2.2608551979064941</v>
      </c>
      <c r="AI790" s="244">
        <v>7.3628950119018555</v>
      </c>
      <c r="AJ790" s="244">
        <v>0</v>
      </c>
      <c r="AK790" s="244">
        <v>12.556410789489746</v>
      </c>
      <c r="AL790" s="244">
        <v>22.18016242980957</v>
      </c>
      <c r="AM790" s="244">
        <v>88.748939514160156</v>
      </c>
      <c r="AN790" s="244">
        <v>0</v>
      </c>
      <c r="AO790" s="244">
        <v>15.627888679504395</v>
      </c>
      <c r="AP790" s="244">
        <v>67.529945373535156</v>
      </c>
      <c r="AQ790" s="244">
        <v>171.90676879882812</v>
      </c>
      <c r="AR790" s="244">
        <v>2.2608551979064941</v>
      </c>
      <c r="AS790" s="228">
        <v>76.036171501112449</v>
      </c>
      <c r="AT790" s="244">
        <v>88.748939514160156</v>
      </c>
      <c r="AU790" s="244">
        <v>13.934798240661621</v>
      </c>
      <c r="AV790" s="244">
        <v>17.021369934082031</v>
      </c>
      <c r="AW790" s="244">
        <v>67.529945373535156</v>
      </c>
      <c r="AX790" s="244">
        <v>187.23504638671875</v>
      </c>
      <c r="AY790" s="244">
        <v>7.3628950119018555</v>
      </c>
      <c r="AZ790" s="228">
        <v>25.429542283075143</v>
      </c>
      <c r="BA790" s="244">
        <v>88.748939514160156</v>
      </c>
      <c r="BB790" s="244">
        <v>13.934798240661621</v>
      </c>
      <c r="BC790" s="244">
        <v>17.021369934082031</v>
      </c>
      <c r="BD790" s="244">
        <v>67.529945373535156</v>
      </c>
      <c r="BE790" s="244">
        <v>187.23504638671875</v>
      </c>
      <c r="BF790" s="244">
        <v>9.6237506866455078</v>
      </c>
      <c r="BG790" s="244">
        <v>-56.583538055419922</v>
      </c>
      <c r="BH790" s="228">
        <v>19.455518551628021</v>
      </c>
      <c r="BI790" s="244">
        <v>1.439610481262207</v>
      </c>
      <c r="BJ790" s="244">
        <v>4.688359260559082</v>
      </c>
      <c r="BK790" s="244">
        <v>0</v>
      </c>
      <c r="BL790" s="244">
        <v>7.9953556060791016</v>
      </c>
      <c r="BM790" s="244">
        <v>14.123325347900391</v>
      </c>
      <c r="BN790" s="244">
        <v>88.748939514160156</v>
      </c>
      <c r="BO790" s="244">
        <v>0</v>
      </c>
      <c r="BP790" s="244">
        <v>13.934798240661621</v>
      </c>
      <c r="BQ790" s="244">
        <v>0</v>
      </c>
      <c r="BR790" s="244">
        <v>0</v>
      </c>
      <c r="BS790" s="244">
        <v>0</v>
      </c>
      <c r="BT790" s="244">
        <v>67.529945373535156</v>
      </c>
      <c r="BU790" s="244">
        <v>0</v>
      </c>
      <c r="BV790" s="244">
        <v>167.953125</v>
      </c>
      <c r="BW790" s="244">
        <v>17.021369934082031</v>
      </c>
      <c r="BX790" s="244">
        <v>19.91282844543457</v>
      </c>
      <c r="BY790" s="244">
        <v>2.2673332691192627</v>
      </c>
      <c r="BZ790" s="244">
        <v>0</v>
      </c>
      <c r="CA790" s="244">
        <v>0</v>
      </c>
      <c r="CB790" s="244">
        <v>355.18817138671875</v>
      </c>
      <c r="CC790" s="244">
        <v>22.18016242980957</v>
      </c>
      <c r="CD790" s="228">
        <v>16.013777655614525</v>
      </c>
      <c r="CE790" s="244">
        <v>-155.53314208984375</v>
      </c>
      <c r="CF790" s="244">
        <v>0.95118632693640492</v>
      </c>
      <c r="CG790" s="244">
        <v>0</v>
      </c>
      <c r="CH790" s="244">
        <v>0.95118632693640492</v>
      </c>
      <c r="CI790" s="244">
        <v>4.664320633826622E-2</v>
      </c>
      <c r="CJ790" s="244">
        <v>0</v>
      </c>
      <c r="CK790" s="244">
        <v>4.664320633826622E-2</v>
      </c>
      <c r="CL790" s="244"/>
      <c r="CM790" s="244">
        <v>0</v>
      </c>
      <c r="CN790" s="244"/>
      <c r="CO790" s="244">
        <v>0</v>
      </c>
      <c r="CP790" s="244">
        <v>0</v>
      </c>
      <c r="CQ790" s="244">
        <v>0</v>
      </c>
      <c r="CR790" s="244">
        <v>0</v>
      </c>
      <c r="CS790" s="244">
        <v>0</v>
      </c>
      <c r="CT790" s="244">
        <v>0</v>
      </c>
      <c r="CU790" s="244">
        <v>0</v>
      </c>
      <c r="CV790" s="244">
        <v>9999</v>
      </c>
      <c r="CW790" s="228">
        <v>9999</v>
      </c>
    </row>
    <row r="791" spans="1:101">
      <c r="A791" s="221" t="s">
        <v>540</v>
      </c>
      <c r="C791" s="244">
        <v>10</v>
      </c>
      <c r="D791" s="244">
        <v>63.321392059326172</v>
      </c>
      <c r="E791" s="244">
        <v>4.0910940170288086</v>
      </c>
      <c r="F791" s="244">
        <v>11.336667060852051</v>
      </c>
      <c r="G791" s="244">
        <v>0</v>
      </c>
      <c r="H791" s="244">
        <v>0</v>
      </c>
      <c r="I791" s="244"/>
      <c r="J791" s="244">
        <v>0.36331543326377869</v>
      </c>
      <c r="K791" s="244">
        <v>0.35197603702545166</v>
      </c>
      <c r="L791" s="244">
        <v>69.051612854003906</v>
      </c>
      <c r="M791" s="244">
        <v>8.3371475338935852E-3</v>
      </c>
      <c r="N791" s="244">
        <v>2.5430290028452873E-2</v>
      </c>
      <c r="O791" s="244">
        <v>4.1320047378540039</v>
      </c>
      <c r="P791" s="244">
        <v>1.2539025396108627E-2</v>
      </c>
      <c r="Q791" s="244">
        <v>3.955528512597084E-2</v>
      </c>
      <c r="R791" s="244">
        <v>1.1271885633468628</v>
      </c>
      <c r="S791" s="244">
        <v>6.2292284965515137</v>
      </c>
      <c r="T791" s="244">
        <v>0</v>
      </c>
      <c r="U791" s="244">
        <v>12.556410789489746</v>
      </c>
      <c r="V791" s="244">
        <v>1.1336666345596313</v>
      </c>
      <c r="W791" s="244">
        <v>1.1336666345596313</v>
      </c>
      <c r="X791" s="244">
        <v>0</v>
      </c>
      <c r="Y791" s="244">
        <v>0</v>
      </c>
      <c r="Z791" s="244">
        <v>0</v>
      </c>
      <c r="AA791" s="244">
        <v>0</v>
      </c>
      <c r="AB791" s="244">
        <v>0</v>
      </c>
      <c r="AC791" s="244">
        <v>0</v>
      </c>
      <c r="AD791" s="244">
        <v>0</v>
      </c>
      <c r="AE791" s="244">
        <v>0</v>
      </c>
      <c r="AF791" s="244">
        <v>0</v>
      </c>
      <c r="AG791" s="244">
        <v>0</v>
      </c>
      <c r="AH791" s="244">
        <v>2.2608551979064941</v>
      </c>
      <c r="AI791" s="244">
        <v>7.3628950119018555</v>
      </c>
      <c r="AJ791" s="244">
        <v>0</v>
      </c>
      <c r="AK791" s="244">
        <v>12.556410789489746</v>
      </c>
      <c r="AL791" s="244">
        <v>22.18016242980957</v>
      </c>
      <c r="AM791" s="244">
        <v>48.57928466796875</v>
      </c>
      <c r="AN791" s="244">
        <v>0</v>
      </c>
      <c r="AO791" s="244">
        <v>8.5582332611083984</v>
      </c>
      <c r="AP791" s="244">
        <v>37.0030517578125</v>
      </c>
      <c r="AQ791" s="244">
        <v>94.140571594238281</v>
      </c>
      <c r="AR791" s="244">
        <v>2.2608551979064941</v>
      </c>
      <c r="AS791" s="228">
        <v>41.639362739401399</v>
      </c>
      <c r="AT791" s="244">
        <v>48.57928466796875</v>
      </c>
      <c r="AU791" s="244">
        <v>7.2891077995300293</v>
      </c>
      <c r="AV791" s="244">
        <v>9.287144660949707</v>
      </c>
      <c r="AW791" s="244">
        <v>37.0030517578125</v>
      </c>
      <c r="AX791" s="244">
        <v>102.15859222412109</v>
      </c>
      <c r="AY791" s="244">
        <v>7.3628950119018555</v>
      </c>
      <c r="AZ791" s="228">
        <v>13.874785266817197</v>
      </c>
      <c r="BA791" s="244">
        <v>48.57928466796875</v>
      </c>
      <c r="BB791" s="244">
        <v>7.2891077995300293</v>
      </c>
      <c r="BC791" s="244">
        <v>9.287144660949707</v>
      </c>
      <c r="BD791" s="244">
        <v>37.0030517578125</v>
      </c>
      <c r="BE791" s="244">
        <v>102.15859222412109</v>
      </c>
      <c r="BF791" s="244">
        <v>9.6237506866455078</v>
      </c>
      <c r="BG791" s="244">
        <v>-51.079288482666016</v>
      </c>
      <c r="BH791" s="228">
        <v>10.61525760682208</v>
      </c>
      <c r="BI791" s="244">
        <v>2.6272647380828857</v>
      </c>
      <c r="BJ791" s="244">
        <v>8.5561752319335938</v>
      </c>
      <c r="BK791" s="244">
        <v>0</v>
      </c>
      <c r="BL791" s="244">
        <v>14.591387748718262</v>
      </c>
      <c r="BM791" s="244">
        <v>25.77482795715332</v>
      </c>
      <c r="BN791" s="244">
        <v>48.57928466796875</v>
      </c>
      <c r="BO791" s="244">
        <v>34.154613494873047</v>
      </c>
      <c r="BP791" s="244">
        <v>7.2891077995300293</v>
      </c>
      <c r="BQ791" s="244">
        <v>0</v>
      </c>
      <c r="BR791" s="244">
        <v>0</v>
      </c>
      <c r="BS791" s="244">
        <v>0</v>
      </c>
      <c r="BT791" s="244">
        <v>37.0030517578125</v>
      </c>
      <c r="BU791" s="244">
        <v>0</v>
      </c>
      <c r="BV791" s="244">
        <v>212.61918640136719</v>
      </c>
      <c r="BW791" s="244">
        <v>9.287144660949707</v>
      </c>
      <c r="BX791" s="244">
        <v>19.91282844543457</v>
      </c>
      <c r="BY791" s="244">
        <v>2.2673332691192627</v>
      </c>
      <c r="BZ791" s="244">
        <v>0</v>
      </c>
      <c r="CA791" s="244">
        <v>0</v>
      </c>
      <c r="CB791" s="244">
        <v>348.93240356445312</v>
      </c>
      <c r="CC791" s="244">
        <v>22.18016242980957</v>
      </c>
      <c r="CD791" s="228">
        <v>15.731733306233931</v>
      </c>
      <c r="CE791" s="244">
        <v>-323.25552368164062</v>
      </c>
      <c r="CF791" s="244">
        <v>0.52135963599975688</v>
      </c>
      <c r="CG791" s="244">
        <v>0.38675564691545278</v>
      </c>
      <c r="CH791" s="244">
        <v>0.90811528291520971</v>
      </c>
      <c r="CI791" s="244">
        <v>2.5567521382442577E-2</v>
      </c>
      <c r="CJ791" s="244">
        <v>2.4172227932215594E-2</v>
      </c>
      <c r="CK791" s="244">
        <v>4.9739749314658174E-2</v>
      </c>
      <c r="CL791" s="244"/>
      <c r="CM791" s="244">
        <v>4.1320047378540039</v>
      </c>
      <c r="CN791" s="244"/>
      <c r="CO791" s="244">
        <v>0.28600001335144043</v>
      </c>
      <c r="CP791" s="244">
        <v>0.31700000166893005</v>
      </c>
      <c r="CQ791" s="244">
        <v>34.154613494873047</v>
      </c>
      <c r="CR791" s="244">
        <v>0</v>
      </c>
      <c r="CS791" s="244">
        <v>0</v>
      </c>
      <c r="CT791" s="244">
        <v>34.154613494873047</v>
      </c>
      <c r="CU791" s="244">
        <v>0</v>
      </c>
      <c r="CV791" s="244">
        <v>0</v>
      </c>
      <c r="CW791" s="228">
        <v>9999</v>
      </c>
    </row>
    <row r="792" spans="1:101">
      <c r="A792" s="221" t="s">
        <v>485</v>
      </c>
      <c r="C792" s="244">
        <v>10</v>
      </c>
      <c r="D792" s="244">
        <v>8.4253807067871094</v>
      </c>
      <c r="E792" s="244">
        <v>8.1211948394775391</v>
      </c>
      <c r="F792" s="244">
        <v>11.336667060852051</v>
      </c>
      <c r="G792" s="244">
        <v>0</v>
      </c>
      <c r="H792" s="244">
        <v>0</v>
      </c>
      <c r="I792" s="244"/>
      <c r="J792" s="244">
        <v>1</v>
      </c>
      <c r="K792" s="244">
        <v>0.63999998569488525</v>
      </c>
      <c r="L792" s="244">
        <v>9.1892490386962891</v>
      </c>
      <c r="M792" s="244">
        <v>6.7136069992557168E-4</v>
      </c>
      <c r="N792" s="244">
        <v>1.0490011190995574E-3</v>
      </c>
      <c r="O792" s="244">
        <v>8.2024068832397461</v>
      </c>
      <c r="P792" s="244">
        <v>2.4891111999750137E-2</v>
      </c>
      <c r="Q792" s="244">
        <v>7.852085679769516E-2</v>
      </c>
      <c r="R792" s="244">
        <v>1.1271885633468628</v>
      </c>
      <c r="S792" s="244">
        <v>6.2292284965515137</v>
      </c>
      <c r="T792" s="244">
        <v>0</v>
      </c>
      <c r="U792" s="244">
        <v>12.556410789489746</v>
      </c>
      <c r="V792" s="244">
        <v>1.1336666345596313</v>
      </c>
      <c r="W792" s="244">
        <v>1.1336666345596313</v>
      </c>
      <c r="X792" s="244">
        <v>0</v>
      </c>
      <c r="Y792" s="244">
        <v>0</v>
      </c>
      <c r="Z792" s="244">
        <v>0</v>
      </c>
      <c r="AA792" s="244">
        <v>0</v>
      </c>
      <c r="AB792" s="244">
        <v>0</v>
      </c>
      <c r="AC792" s="244">
        <v>0</v>
      </c>
      <c r="AD792" s="244">
        <v>0</v>
      </c>
      <c r="AE792" s="244">
        <v>0</v>
      </c>
      <c r="AF792" s="244">
        <v>0</v>
      </c>
      <c r="AG792" s="244">
        <v>0</v>
      </c>
      <c r="AH792" s="244">
        <v>2.2608551979064941</v>
      </c>
      <c r="AI792" s="244">
        <v>7.3628950119018555</v>
      </c>
      <c r="AJ792" s="244">
        <v>0</v>
      </c>
      <c r="AK792" s="244">
        <v>12.556410789489746</v>
      </c>
      <c r="AL792" s="244">
        <v>22.18016242980957</v>
      </c>
      <c r="AM792" s="244">
        <v>6.3668313026428223</v>
      </c>
      <c r="AN792" s="244">
        <v>0</v>
      </c>
      <c r="AO792" s="244">
        <v>1.1291123628616333</v>
      </c>
      <c r="AP792" s="244">
        <v>4.9242920875549316</v>
      </c>
      <c r="AQ792" s="244">
        <v>12.420235633850098</v>
      </c>
      <c r="AR792" s="244">
        <v>2.2608551979064941</v>
      </c>
      <c r="AS792" s="228">
        <v>5.4936007244339544</v>
      </c>
      <c r="AT792" s="244">
        <v>6.3668313026428223</v>
      </c>
      <c r="AU792" s="244">
        <v>0.30067619681358337</v>
      </c>
      <c r="AV792" s="244">
        <v>1.1591799259185791</v>
      </c>
      <c r="AW792" s="244">
        <v>4.9242920875549316</v>
      </c>
      <c r="AX792" s="244">
        <v>12.750979423522949</v>
      </c>
      <c r="AY792" s="244">
        <v>7.3628950119018555</v>
      </c>
      <c r="AZ792" s="228">
        <v>1.7317888257096021</v>
      </c>
      <c r="BA792" s="244">
        <v>6.3668313026428223</v>
      </c>
      <c r="BB792" s="244">
        <v>0.30067619681358337</v>
      </c>
      <c r="BC792" s="244">
        <v>1.1591799259185791</v>
      </c>
      <c r="BD792" s="244">
        <v>4.9242920875549316</v>
      </c>
      <c r="BE792" s="244">
        <v>12.750979423522949</v>
      </c>
      <c r="BF792" s="244">
        <v>9.6237506866455078</v>
      </c>
      <c r="BG792" s="244">
        <v>28.288932800292969</v>
      </c>
      <c r="BH792" s="228">
        <v>1.3249491182749225</v>
      </c>
      <c r="BI792" s="244">
        <v>19.74229621887207</v>
      </c>
      <c r="BJ792" s="244">
        <v>64.294448852539062</v>
      </c>
      <c r="BK792" s="244">
        <v>0</v>
      </c>
      <c r="BL792" s="244">
        <v>109.64540100097656</v>
      </c>
      <c r="BM792" s="244">
        <v>193.68215942382812</v>
      </c>
      <c r="BN792" s="244">
        <v>6.3668313026428223</v>
      </c>
      <c r="BO792" s="244">
        <v>67.800025939941406</v>
      </c>
      <c r="BP792" s="244">
        <v>0.30067619681358337</v>
      </c>
      <c r="BQ792" s="244">
        <v>0</v>
      </c>
      <c r="BR792" s="244">
        <v>0</v>
      </c>
      <c r="BS792" s="244">
        <v>0</v>
      </c>
      <c r="BT792" s="244">
        <v>4.9242920875549316</v>
      </c>
      <c r="BU792" s="244">
        <v>0</v>
      </c>
      <c r="BV792" s="244">
        <v>261.2603759765625</v>
      </c>
      <c r="BW792" s="244">
        <v>1.1591799259185791</v>
      </c>
      <c r="BX792" s="244">
        <v>19.91282844543457</v>
      </c>
      <c r="BY792" s="244">
        <v>2.2673332691192627</v>
      </c>
      <c r="BZ792" s="244">
        <v>0</v>
      </c>
      <c r="CA792" s="244">
        <v>0</v>
      </c>
      <c r="CB792" s="244">
        <v>341.81137084960937</v>
      </c>
      <c r="CC792" s="244">
        <v>22.18016242980957</v>
      </c>
      <c r="CD792" s="228">
        <v>15.410680311007352</v>
      </c>
      <c r="CE792" s="244">
        <v>-2735.494873046875</v>
      </c>
      <c r="CF792" s="244">
        <v>6.9684359016148098E-2</v>
      </c>
      <c r="CG792" s="244">
        <v>0.76774527571958473</v>
      </c>
      <c r="CH792" s="244">
        <v>0.83742963473573284</v>
      </c>
      <c r="CI792" s="244">
        <v>3.4205587329280604E-3</v>
      </c>
      <c r="CJ792" s="244">
        <v>4.7984079732474115E-2</v>
      </c>
      <c r="CK792" s="244">
        <v>5.1404638465402178E-2</v>
      </c>
      <c r="CL792" s="244"/>
      <c r="CM792" s="244">
        <v>8.2024068832397461</v>
      </c>
      <c r="CN792" s="244"/>
      <c r="CO792" s="244">
        <v>0.28600001335144043</v>
      </c>
      <c r="CP792" s="244">
        <v>0.31700000166893005</v>
      </c>
      <c r="CQ792" s="244">
        <v>67.800025939941406</v>
      </c>
      <c r="CR792" s="244">
        <v>0</v>
      </c>
      <c r="CS792" s="244">
        <v>0</v>
      </c>
      <c r="CT792" s="244">
        <v>67.800025939941406</v>
      </c>
      <c r="CU792" s="244">
        <v>0</v>
      </c>
      <c r="CV792" s="244">
        <v>0</v>
      </c>
      <c r="CW792" s="228">
        <v>9999</v>
      </c>
    </row>
    <row r="793" spans="1:101">
      <c r="A793" s="221" t="s">
        <v>513</v>
      </c>
      <c r="C793" s="244">
        <v>10</v>
      </c>
      <c r="D793" s="244">
        <v>73.164535522460938</v>
      </c>
      <c r="E793" s="244">
        <v>3.1030395030975342</v>
      </c>
      <c r="F793" s="244">
        <v>11.336667060852051</v>
      </c>
      <c r="G793" s="244">
        <v>0</v>
      </c>
      <c r="H793" s="244">
        <v>0</v>
      </c>
      <c r="I793" s="244"/>
      <c r="J793" s="244">
        <v>0.34760051965713501</v>
      </c>
      <c r="K793" s="244">
        <v>0.34486690163612366</v>
      </c>
      <c r="L793" s="244">
        <v>79.785202026367188</v>
      </c>
      <c r="M793" s="244">
        <v>9.72700584679842E-3</v>
      </c>
      <c r="N793" s="244">
        <v>2.9883775860071182E-2</v>
      </c>
      <c r="O793" s="244">
        <v>3.1340699195861816</v>
      </c>
      <c r="P793" s="244">
        <v>9.5106819644570351E-3</v>
      </c>
      <c r="Q793" s="244">
        <v>3.0002152547240257E-2</v>
      </c>
      <c r="R793" s="244">
        <v>1.1271885633468628</v>
      </c>
      <c r="S793" s="244">
        <v>6.2292284965515137</v>
      </c>
      <c r="T793" s="244">
        <v>0</v>
      </c>
      <c r="U793" s="244">
        <v>12.556410789489746</v>
      </c>
      <c r="V793" s="244">
        <v>1.1336666345596313</v>
      </c>
      <c r="W793" s="244">
        <v>1.1336666345596313</v>
      </c>
      <c r="X793" s="244">
        <v>0</v>
      </c>
      <c r="Y793" s="244">
        <v>0</v>
      </c>
      <c r="Z793" s="244">
        <v>0</v>
      </c>
      <c r="AA793" s="244">
        <v>0</v>
      </c>
      <c r="AB793" s="244">
        <v>0</v>
      </c>
      <c r="AC793" s="244">
        <v>0</v>
      </c>
      <c r="AD793" s="244">
        <v>0</v>
      </c>
      <c r="AE793" s="244">
        <v>0</v>
      </c>
      <c r="AF793" s="244">
        <v>0</v>
      </c>
      <c r="AG793" s="244">
        <v>0</v>
      </c>
      <c r="AH793" s="244">
        <v>2.2608551979064941</v>
      </c>
      <c r="AI793" s="244">
        <v>7.3628950119018555</v>
      </c>
      <c r="AJ793" s="244">
        <v>0</v>
      </c>
      <c r="AK793" s="244">
        <v>12.556410789489746</v>
      </c>
      <c r="AL793" s="244">
        <v>22.18016242980957</v>
      </c>
      <c r="AM793" s="244">
        <v>56.151596069335937</v>
      </c>
      <c r="AN793" s="244">
        <v>0</v>
      </c>
      <c r="AO793" s="244">
        <v>9.8906526565551758</v>
      </c>
      <c r="AP793" s="244">
        <v>42.754920959472656</v>
      </c>
      <c r="AQ793" s="244">
        <v>108.79717254638672</v>
      </c>
      <c r="AR793" s="244">
        <v>2.2608551979064941</v>
      </c>
      <c r="AS793" s="228">
        <v>48.122130858317568</v>
      </c>
      <c r="AT793" s="244">
        <v>56.151596069335937</v>
      </c>
      <c r="AU793" s="244">
        <v>8.5656147003173828</v>
      </c>
      <c r="AV793" s="244">
        <v>10.747214317321777</v>
      </c>
      <c r="AW793" s="244">
        <v>42.754920959472656</v>
      </c>
      <c r="AX793" s="244">
        <v>118.21934509277344</v>
      </c>
      <c r="AY793" s="244">
        <v>7.3628950119018555</v>
      </c>
      <c r="AZ793" s="228">
        <v>16.056095318664021</v>
      </c>
      <c r="BA793" s="244">
        <v>56.151596069335937</v>
      </c>
      <c r="BB793" s="244">
        <v>8.5656147003173828</v>
      </c>
      <c r="BC793" s="244">
        <v>10.747214317321777</v>
      </c>
      <c r="BD793" s="244">
        <v>42.754920959472656</v>
      </c>
      <c r="BE793" s="244">
        <v>118.21934509277344</v>
      </c>
      <c r="BF793" s="244">
        <v>9.6237506866455078</v>
      </c>
      <c r="BG793" s="244">
        <v>-52.744644165039063</v>
      </c>
      <c r="BH793" s="228">
        <v>12.284124380283584</v>
      </c>
      <c r="BI793" s="244">
        <v>2.2738161087036133</v>
      </c>
      <c r="BJ793" s="244">
        <v>7.4051041603088379</v>
      </c>
      <c r="BK793" s="244">
        <v>0</v>
      </c>
      <c r="BL793" s="244">
        <v>12.628393173217773</v>
      </c>
      <c r="BM793" s="244">
        <v>22.307313919067383</v>
      </c>
      <c r="BN793" s="244">
        <v>56.151596069335937</v>
      </c>
      <c r="BO793" s="244">
        <v>25.905815124511719</v>
      </c>
      <c r="BP793" s="244">
        <v>8.5656147003173828</v>
      </c>
      <c r="BQ793" s="244">
        <v>0</v>
      </c>
      <c r="BR793" s="244">
        <v>0</v>
      </c>
      <c r="BS793" s="244">
        <v>0</v>
      </c>
      <c r="BT793" s="244">
        <v>42.754920959472656</v>
      </c>
      <c r="BU793" s="244">
        <v>0</v>
      </c>
      <c r="BV793" s="244">
        <v>195.73603820800781</v>
      </c>
      <c r="BW793" s="244">
        <v>10.747214317321777</v>
      </c>
      <c r="BX793" s="244">
        <v>19.91282844543457</v>
      </c>
      <c r="BY793" s="244">
        <v>2.2673332691192627</v>
      </c>
      <c r="BZ793" s="244">
        <v>0</v>
      </c>
      <c r="CA793" s="244">
        <v>0</v>
      </c>
      <c r="CB793" s="244">
        <v>339.8612060546875</v>
      </c>
      <c r="CC793" s="244">
        <v>22.18016242980957</v>
      </c>
      <c r="CD793" s="228">
        <v>15.322755701819904</v>
      </c>
      <c r="CE793" s="244">
        <v>-263.02871704101562</v>
      </c>
      <c r="CF793" s="244">
        <v>0.60233641335568588</v>
      </c>
      <c r="CG793" s="244">
        <v>0.29334895359964586</v>
      </c>
      <c r="CH793" s="244">
        <v>0.89568536695533174</v>
      </c>
      <c r="CI793" s="244">
        <v>2.9537936815998558E-2</v>
      </c>
      <c r="CJ793" s="244">
        <v>1.8334309599977942E-2</v>
      </c>
      <c r="CK793" s="244">
        <v>4.7872246415976497E-2</v>
      </c>
      <c r="CL793" s="244"/>
      <c r="CM793" s="244">
        <v>3.1340699195861816</v>
      </c>
      <c r="CN793" s="244"/>
      <c r="CO793" s="244">
        <v>0.28600001335144043</v>
      </c>
      <c r="CP793" s="244">
        <v>0.31700000166893005</v>
      </c>
      <c r="CQ793" s="244">
        <v>25.905815124511719</v>
      </c>
      <c r="CR793" s="244">
        <v>0</v>
      </c>
      <c r="CS793" s="244">
        <v>0</v>
      </c>
      <c r="CT793" s="244">
        <v>25.905815124511719</v>
      </c>
      <c r="CU793" s="244">
        <v>0</v>
      </c>
      <c r="CV793" s="244">
        <v>0</v>
      </c>
      <c r="CW793" s="228">
        <v>9999</v>
      </c>
    </row>
    <row r="794" spans="1:101">
      <c r="A794" s="221" t="s">
        <v>465</v>
      </c>
      <c r="C794" s="244">
        <v>10</v>
      </c>
      <c r="D794" s="244">
        <v>37.116371154785156</v>
      </c>
      <c r="E794" s="244">
        <v>3.1134653091430664</v>
      </c>
      <c r="F794" s="244">
        <v>8.1096944808959961</v>
      </c>
      <c r="G794" s="244">
        <v>0</v>
      </c>
      <c r="H794" s="244">
        <v>0</v>
      </c>
      <c r="I794" s="244"/>
      <c r="J794" s="244">
        <v>0.38241103291511536</v>
      </c>
      <c r="K794" s="244">
        <v>0.36061450839042664</v>
      </c>
      <c r="L794" s="244">
        <v>40.475376129150391</v>
      </c>
      <c r="M794" s="244">
        <v>4.829023964703083E-3</v>
      </c>
      <c r="N794" s="244">
        <v>1.459770929068327E-2</v>
      </c>
      <c r="O794" s="244">
        <v>3.1446001529693604</v>
      </c>
      <c r="P794" s="244">
        <v>9.5426365733146667E-3</v>
      </c>
      <c r="Q794" s="244">
        <v>3.0102955177426338E-2</v>
      </c>
      <c r="R794" s="244">
        <v>0.80633538961410522</v>
      </c>
      <c r="S794" s="244">
        <v>4.4560842514038086</v>
      </c>
      <c r="T794" s="244">
        <v>0</v>
      </c>
      <c r="U794" s="244">
        <v>8.9822397232055664</v>
      </c>
      <c r="V794" s="244">
        <v>0.81096947193145752</v>
      </c>
      <c r="W794" s="244">
        <v>0.81096947193145752</v>
      </c>
      <c r="X794" s="244">
        <v>0</v>
      </c>
      <c r="Y794" s="244">
        <v>0</v>
      </c>
      <c r="Z794" s="244">
        <v>0</v>
      </c>
      <c r="AA794" s="244">
        <v>0</v>
      </c>
      <c r="AB794" s="244">
        <v>0</v>
      </c>
      <c r="AC794" s="244">
        <v>0</v>
      </c>
      <c r="AD794" s="244">
        <v>0</v>
      </c>
      <c r="AE794" s="244">
        <v>0</v>
      </c>
      <c r="AF794" s="244">
        <v>0</v>
      </c>
      <c r="AG794" s="244">
        <v>0</v>
      </c>
      <c r="AH794" s="244">
        <v>1.617304801940918</v>
      </c>
      <c r="AI794" s="244">
        <v>5.2670536041259766</v>
      </c>
      <c r="AJ794" s="244">
        <v>0</v>
      </c>
      <c r="AK794" s="244">
        <v>8.9822397232055664</v>
      </c>
      <c r="AL794" s="244">
        <v>15.866598129272461</v>
      </c>
      <c r="AM794" s="244">
        <v>28.46234130859375</v>
      </c>
      <c r="AN794" s="244">
        <v>0</v>
      </c>
      <c r="AO794" s="244">
        <v>5.0152091979980469</v>
      </c>
      <c r="AP794" s="244">
        <v>21.689754486083984</v>
      </c>
      <c r="AQ794" s="244">
        <v>55.167304992675781</v>
      </c>
      <c r="AR794" s="244">
        <v>1.617304801940918</v>
      </c>
      <c r="AS794" s="228">
        <v>34.110640674112389</v>
      </c>
      <c r="AT794" s="244">
        <v>28.46234130859375</v>
      </c>
      <c r="AU794" s="244">
        <v>4.1841554641723633</v>
      </c>
      <c r="AV794" s="244">
        <v>5.4336252212524414</v>
      </c>
      <c r="AW794" s="244">
        <v>21.689754486083984</v>
      </c>
      <c r="AX794" s="244">
        <v>59.769874572753906</v>
      </c>
      <c r="AY794" s="244">
        <v>5.2670536041259766</v>
      </c>
      <c r="AZ794" s="228">
        <v>11.34787674849353</v>
      </c>
      <c r="BA794" s="244">
        <v>28.46234130859375</v>
      </c>
      <c r="BB794" s="244">
        <v>4.1841554641723633</v>
      </c>
      <c r="BC794" s="244">
        <v>5.4336252212524414</v>
      </c>
      <c r="BD794" s="244">
        <v>21.689754486083984</v>
      </c>
      <c r="BE794" s="244">
        <v>59.769874572753906</v>
      </c>
      <c r="BF794" s="244">
        <v>6.8843584060668945</v>
      </c>
      <c r="BG794" s="244">
        <v>-48.419040679931641</v>
      </c>
      <c r="BH794" s="228">
        <v>8.6819818786556109</v>
      </c>
      <c r="BI794" s="244">
        <v>3.206312894821167</v>
      </c>
      <c r="BJ794" s="244">
        <v>10.441953659057617</v>
      </c>
      <c r="BK794" s="244">
        <v>0</v>
      </c>
      <c r="BL794" s="244">
        <v>17.807323455810547</v>
      </c>
      <c r="BM794" s="244">
        <v>31.455589294433594</v>
      </c>
      <c r="BN794" s="244">
        <v>28.46234130859375</v>
      </c>
      <c r="BO794" s="244">
        <v>25.992855072021484</v>
      </c>
      <c r="BP794" s="244">
        <v>4.1841554641723633</v>
      </c>
      <c r="BQ794" s="244">
        <v>0</v>
      </c>
      <c r="BR794" s="244">
        <v>0</v>
      </c>
      <c r="BS794" s="244">
        <v>0</v>
      </c>
      <c r="BT794" s="244">
        <v>21.689754486083984</v>
      </c>
      <c r="BU794" s="244">
        <v>0</v>
      </c>
      <c r="BV794" s="244">
        <v>155.40969848632812</v>
      </c>
      <c r="BW794" s="244">
        <v>5.4336252212524414</v>
      </c>
      <c r="BX794" s="244">
        <v>14.244659423828125</v>
      </c>
      <c r="BY794" s="244">
        <v>1.621938943862915</v>
      </c>
      <c r="BZ794" s="244">
        <v>0</v>
      </c>
      <c r="CA794" s="244">
        <v>0</v>
      </c>
      <c r="CB794" s="244">
        <v>241.17242431640625</v>
      </c>
      <c r="CC794" s="244">
        <v>15.866598129272461</v>
      </c>
      <c r="CD794" s="228">
        <v>15.200008498957699</v>
      </c>
      <c r="CE794" s="244">
        <v>-390.24295043945312</v>
      </c>
      <c r="CF794" s="244">
        <v>0.30564080721505527</v>
      </c>
      <c r="CG794" s="244">
        <v>0.29433456490032633</v>
      </c>
      <c r="CH794" s="244">
        <v>0.59997537211538154</v>
      </c>
      <c r="CI794" s="244">
        <v>1.4989078466888003E-2</v>
      </c>
      <c r="CJ794" s="244">
        <v>1.8395910306270413E-2</v>
      </c>
      <c r="CK794" s="244">
        <v>3.3384988773158417E-2</v>
      </c>
      <c r="CL794" s="244"/>
      <c r="CM794" s="244">
        <v>3.1446001529693604</v>
      </c>
      <c r="CN794" s="244"/>
      <c r="CO794" s="244">
        <v>0.28600001335144043</v>
      </c>
      <c r="CP794" s="244">
        <v>0.31700000166893005</v>
      </c>
      <c r="CQ794" s="244">
        <v>25.992855072021484</v>
      </c>
      <c r="CR794" s="244">
        <v>0</v>
      </c>
      <c r="CS794" s="244">
        <v>0</v>
      </c>
      <c r="CT794" s="244">
        <v>25.992855072021484</v>
      </c>
      <c r="CU794" s="244">
        <v>0</v>
      </c>
      <c r="CV794" s="244">
        <v>0</v>
      </c>
      <c r="CW794" s="228">
        <v>9999</v>
      </c>
    </row>
    <row r="795" spans="1:101">
      <c r="A795" s="221" t="s">
        <v>490</v>
      </c>
      <c r="C795" s="244">
        <v>9.9999990463256836</v>
      </c>
      <c r="D795" s="244">
        <v>77.041130065917969</v>
      </c>
      <c r="E795" s="244">
        <v>0</v>
      </c>
      <c r="F795" s="244">
        <v>8.1096944808959961</v>
      </c>
      <c r="G795" s="244">
        <v>0</v>
      </c>
      <c r="H795" s="244">
        <v>0</v>
      </c>
      <c r="I795" s="244"/>
      <c r="J795" s="244">
        <v>0.31946483254432678</v>
      </c>
      <c r="K795" s="244">
        <v>0.33213883638381958</v>
      </c>
      <c r="L795" s="244">
        <v>84.012008666992188</v>
      </c>
      <c r="M795" s="244">
        <v>1.041935570538044E-2</v>
      </c>
      <c r="N795" s="244">
        <v>3.2410550862550735E-2</v>
      </c>
      <c r="O795" s="244">
        <v>0</v>
      </c>
      <c r="P795" s="244">
        <v>0</v>
      </c>
      <c r="Q795" s="244">
        <v>0</v>
      </c>
      <c r="R795" s="244">
        <v>0.80633538961410522</v>
      </c>
      <c r="S795" s="244">
        <v>4.4560842514038086</v>
      </c>
      <c r="T795" s="244">
        <v>0</v>
      </c>
      <c r="U795" s="244">
        <v>8.9822397232055664</v>
      </c>
      <c r="V795" s="244">
        <v>0.81096947193145752</v>
      </c>
      <c r="W795" s="244">
        <v>0.81096947193145752</v>
      </c>
      <c r="X795" s="244">
        <v>0</v>
      </c>
      <c r="Y795" s="244">
        <v>0</v>
      </c>
      <c r="Z795" s="244">
        <v>0</v>
      </c>
      <c r="AA795" s="244">
        <v>0</v>
      </c>
      <c r="AB795" s="244">
        <v>0</v>
      </c>
      <c r="AC795" s="244">
        <v>0</v>
      </c>
      <c r="AD795" s="244">
        <v>0</v>
      </c>
      <c r="AE795" s="244">
        <v>0</v>
      </c>
      <c r="AF795" s="244">
        <v>0</v>
      </c>
      <c r="AG795" s="244">
        <v>0</v>
      </c>
      <c r="AH795" s="244">
        <v>1.617304801940918</v>
      </c>
      <c r="AI795" s="244">
        <v>5.2670536041259766</v>
      </c>
      <c r="AJ795" s="244">
        <v>0</v>
      </c>
      <c r="AK795" s="244">
        <v>8.9822397232055664</v>
      </c>
      <c r="AL795" s="244">
        <v>15.866598129272461</v>
      </c>
      <c r="AM795" s="244">
        <v>59.165962219238281</v>
      </c>
      <c r="AN795" s="244">
        <v>0</v>
      </c>
      <c r="AO795" s="244">
        <v>10.418591499328613</v>
      </c>
      <c r="AP795" s="244">
        <v>45.019954681396484</v>
      </c>
      <c r="AQ795" s="244">
        <v>114.60450744628906</v>
      </c>
      <c r="AR795" s="244">
        <v>1.617304801940918</v>
      </c>
      <c r="AS795" s="228">
        <v>70.861413407514661</v>
      </c>
      <c r="AT795" s="244">
        <v>59.165962219238281</v>
      </c>
      <c r="AU795" s="244">
        <v>9.2898664474487305</v>
      </c>
      <c r="AV795" s="244">
        <v>11.347578048706055</v>
      </c>
      <c r="AW795" s="244">
        <v>45.019954681396484</v>
      </c>
      <c r="AX795" s="244">
        <v>124.8233642578125</v>
      </c>
      <c r="AY795" s="244">
        <v>5.2670536041259766</v>
      </c>
      <c r="AZ795" s="228">
        <v>23.698896565981375</v>
      </c>
      <c r="BA795" s="244">
        <v>59.165962219238281</v>
      </c>
      <c r="BB795" s="244">
        <v>9.2898664474487305</v>
      </c>
      <c r="BC795" s="244">
        <v>11.347578048706055</v>
      </c>
      <c r="BD795" s="244">
        <v>45.019954681396484</v>
      </c>
      <c r="BE795" s="244">
        <v>124.8233642578125</v>
      </c>
      <c r="BF795" s="244">
        <v>6.8843584060668945</v>
      </c>
      <c r="BG795" s="244">
        <v>-56.136032104492188</v>
      </c>
      <c r="BH795" s="228">
        <v>18.131443889474607</v>
      </c>
      <c r="BI795" s="244">
        <v>1.5447400808334351</v>
      </c>
      <c r="BJ795" s="244">
        <v>5.0307331085205078</v>
      </c>
      <c r="BK795" s="244">
        <v>0</v>
      </c>
      <c r="BL795" s="244">
        <v>8.5792274475097656</v>
      </c>
      <c r="BM795" s="244">
        <v>15.15470027923584</v>
      </c>
      <c r="BN795" s="244">
        <v>59.165962219238281</v>
      </c>
      <c r="BO795" s="244">
        <v>0</v>
      </c>
      <c r="BP795" s="244">
        <v>9.2898664474487305</v>
      </c>
      <c r="BQ795" s="244">
        <v>0</v>
      </c>
      <c r="BR795" s="244">
        <v>0</v>
      </c>
      <c r="BS795" s="244">
        <v>0</v>
      </c>
      <c r="BT795" s="244">
        <v>45.019954681396484</v>
      </c>
      <c r="BU795" s="244">
        <v>0</v>
      </c>
      <c r="BV795" s="244">
        <v>111.96872711181641</v>
      </c>
      <c r="BW795" s="244">
        <v>11.347578048706055</v>
      </c>
      <c r="BX795" s="244">
        <v>14.244659423828125</v>
      </c>
      <c r="BY795" s="244">
        <v>1.621938943862915</v>
      </c>
      <c r="BZ795" s="244">
        <v>0</v>
      </c>
      <c r="CA795" s="244">
        <v>0</v>
      </c>
      <c r="CB795" s="244">
        <v>236.79208374023437</v>
      </c>
      <c r="CC795" s="244">
        <v>15.866598129272461</v>
      </c>
      <c r="CD795" s="228">
        <v>14.923935365426706</v>
      </c>
      <c r="CE795" s="244">
        <v>-154.50175476074219</v>
      </c>
      <c r="CF795" s="244">
        <v>0.63412421795760454</v>
      </c>
      <c r="CG795" s="244">
        <v>0</v>
      </c>
      <c r="CH795" s="244">
        <v>0.63412421795760454</v>
      </c>
      <c r="CI795" s="244">
        <v>3.1095470892177474E-2</v>
      </c>
      <c r="CJ795" s="244">
        <v>0</v>
      </c>
      <c r="CK795" s="244">
        <v>3.1095470892177474E-2</v>
      </c>
      <c r="CL795" s="244"/>
      <c r="CM795" s="244">
        <v>0</v>
      </c>
      <c r="CN795" s="244"/>
      <c r="CO795" s="244">
        <v>0</v>
      </c>
      <c r="CP795" s="244">
        <v>0</v>
      </c>
      <c r="CQ795" s="244">
        <v>0</v>
      </c>
      <c r="CR795" s="244">
        <v>0</v>
      </c>
      <c r="CS795" s="244">
        <v>0</v>
      </c>
      <c r="CT795" s="244">
        <v>0</v>
      </c>
      <c r="CU795" s="244">
        <v>0</v>
      </c>
      <c r="CV795" s="244">
        <v>9999</v>
      </c>
      <c r="CW795" s="228">
        <v>9999</v>
      </c>
    </row>
    <row r="796" spans="1:101">
      <c r="A796" s="221" t="s">
        <v>453</v>
      </c>
      <c r="C796" s="244">
        <v>10.000000953674316</v>
      </c>
      <c r="D796" s="244">
        <v>51.806251525878906</v>
      </c>
      <c r="E796" s="244">
        <v>4.376060962677002</v>
      </c>
      <c r="F796" s="244">
        <v>11.336667060852051</v>
      </c>
      <c r="G796" s="244">
        <v>0</v>
      </c>
      <c r="H796" s="244">
        <v>0</v>
      </c>
      <c r="I796" s="244"/>
      <c r="J796" s="244">
        <v>0.37809771299362183</v>
      </c>
      <c r="K796" s="244">
        <v>0.35866326093673706</v>
      </c>
      <c r="L796" s="244">
        <v>56.494625091552734</v>
      </c>
      <c r="M796" s="244">
        <v>6.7584943026304245E-3</v>
      </c>
      <c r="N796" s="244">
        <v>2.0472431555390358E-2</v>
      </c>
      <c r="O796" s="244">
        <v>4.4198212623596191</v>
      </c>
      <c r="P796" s="244">
        <v>1.3412437401711941E-2</v>
      </c>
      <c r="Q796" s="244">
        <v>4.2310528457164764E-2</v>
      </c>
      <c r="R796" s="244">
        <v>1.1271885633468628</v>
      </c>
      <c r="S796" s="244">
        <v>6.2292284965515137</v>
      </c>
      <c r="T796" s="244">
        <v>0</v>
      </c>
      <c r="U796" s="244">
        <v>12.556410789489746</v>
      </c>
      <c r="V796" s="244">
        <v>1.1336666345596313</v>
      </c>
      <c r="W796" s="244">
        <v>1.1336666345596313</v>
      </c>
      <c r="X796" s="244">
        <v>0</v>
      </c>
      <c r="Y796" s="244">
        <v>0</v>
      </c>
      <c r="Z796" s="244">
        <v>0</v>
      </c>
      <c r="AA796" s="244">
        <v>0</v>
      </c>
      <c r="AB796" s="244">
        <v>0</v>
      </c>
      <c r="AC796" s="244">
        <v>0</v>
      </c>
      <c r="AD796" s="244">
        <v>0</v>
      </c>
      <c r="AE796" s="244">
        <v>0</v>
      </c>
      <c r="AF796" s="244">
        <v>0</v>
      </c>
      <c r="AG796" s="244">
        <v>0</v>
      </c>
      <c r="AH796" s="244">
        <v>2.2608551979064941</v>
      </c>
      <c r="AI796" s="244">
        <v>7.3628950119018555</v>
      </c>
      <c r="AJ796" s="244">
        <v>0</v>
      </c>
      <c r="AK796" s="244">
        <v>12.556410789489746</v>
      </c>
      <c r="AL796" s="244">
        <v>22.18016242980957</v>
      </c>
      <c r="AM796" s="244">
        <v>39.731182098388672</v>
      </c>
      <c r="AN796" s="244">
        <v>0</v>
      </c>
      <c r="AO796" s="244">
        <v>7.0005249977111816</v>
      </c>
      <c r="AP796" s="244">
        <v>30.274068832397461</v>
      </c>
      <c r="AQ796" s="244">
        <v>77.005775451660156</v>
      </c>
      <c r="AR796" s="244">
        <v>2.2608551979064941</v>
      </c>
      <c r="AS796" s="228">
        <v>34.060463491780936</v>
      </c>
      <c r="AT796" s="244">
        <v>39.731182098388672</v>
      </c>
      <c r="AU796" s="244">
        <v>5.8680334091186523</v>
      </c>
      <c r="AV796" s="244">
        <v>7.5873284339904785</v>
      </c>
      <c r="AW796" s="244">
        <v>30.274068832397461</v>
      </c>
      <c r="AX796" s="244">
        <v>83.460609436035156</v>
      </c>
      <c r="AY796" s="244">
        <v>7.3628950119018555</v>
      </c>
      <c r="AZ796" s="228">
        <v>11.335298315093631</v>
      </c>
      <c r="BA796" s="244">
        <v>39.731182098388672</v>
      </c>
      <c r="BB796" s="244">
        <v>5.8680334091186523</v>
      </c>
      <c r="BC796" s="244">
        <v>7.5873284339904785</v>
      </c>
      <c r="BD796" s="244">
        <v>30.274068832397461</v>
      </c>
      <c r="BE796" s="244">
        <v>83.460609436035156</v>
      </c>
      <c r="BF796" s="244">
        <v>9.6237506866455078</v>
      </c>
      <c r="BG796" s="244">
        <v>-48.442272186279297</v>
      </c>
      <c r="BH796" s="228">
        <v>8.6723584798583033</v>
      </c>
      <c r="BI796" s="244">
        <v>3.2112236022949219</v>
      </c>
      <c r="BJ796" s="244">
        <v>10.457945823669434</v>
      </c>
      <c r="BK796" s="244">
        <v>0</v>
      </c>
      <c r="BL796" s="244">
        <v>17.834596633911133</v>
      </c>
      <c r="BM796" s="244">
        <v>31.503768920898438</v>
      </c>
      <c r="BN796" s="244">
        <v>39.731182098388672</v>
      </c>
      <c r="BO796" s="244">
        <v>36.533668518066406</v>
      </c>
      <c r="BP796" s="244">
        <v>5.8680334091186523</v>
      </c>
      <c r="BQ796" s="244">
        <v>0</v>
      </c>
      <c r="BR796" s="244">
        <v>0</v>
      </c>
      <c r="BS796" s="244">
        <v>0</v>
      </c>
      <c r="BT796" s="244">
        <v>30.274068832397461</v>
      </c>
      <c r="BU796" s="244">
        <v>0</v>
      </c>
      <c r="BV796" s="244">
        <v>207.21290588378906</v>
      </c>
      <c r="BW796" s="244">
        <v>7.5873284339904785</v>
      </c>
      <c r="BX796" s="244">
        <v>19.91282844543457</v>
      </c>
      <c r="BY796" s="244">
        <v>2.2673332691192627</v>
      </c>
      <c r="BZ796" s="244">
        <v>0</v>
      </c>
      <c r="CA796" s="244">
        <v>0</v>
      </c>
      <c r="CB796" s="244">
        <v>327.20718383789062</v>
      </c>
      <c r="CC796" s="244">
        <v>22.18016242980957</v>
      </c>
      <c r="CD796" s="228">
        <v>14.752245334669901</v>
      </c>
      <c r="CE796" s="244">
        <v>-376.81503295898437</v>
      </c>
      <c r="CF796" s="244">
        <v>0.42659396792772625</v>
      </c>
      <c r="CG796" s="244">
        <v>0.41369528242054021</v>
      </c>
      <c r="CH796" s="244">
        <v>0.8402892503482664</v>
      </c>
      <c r="CI796" s="244">
        <v>2.0920666242417871E-2</v>
      </c>
      <c r="CJ796" s="244">
        <v>2.5855955151283628E-2</v>
      </c>
      <c r="CK796" s="244">
        <v>4.6776621393701499E-2</v>
      </c>
      <c r="CL796" s="244"/>
      <c r="CM796" s="244">
        <v>4.4198212623596191</v>
      </c>
      <c r="CN796" s="244"/>
      <c r="CO796" s="244">
        <v>0.28599998354911804</v>
      </c>
      <c r="CP796" s="244">
        <v>0.31700000166893005</v>
      </c>
      <c r="CQ796" s="244">
        <v>36.533668518066406</v>
      </c>
      <c r="CR796" s="244">
        <v>0</v>
      </c>
      <c r="CS796" s="244">
        <v>0</v>
      </c>
      <c r="CT796" s="244">
        <v>36.533668518066406</v>
      </c>
      <c r="CU796" s="244">
        <v>0</v>
      </c>
      <c r="CV796" s="244">
        <v>0</v>
      </c>
      <c r="CW796" s="228">
        <v>9999</v>
      </c>
    </row>
    <row r="797" spans="1:101">
      <c r="A797" s="221" t="s">
        <v>549</v>
      </c>
      <c r="C797" s="244">
        <v>10</v>
      </c>
      <c r="D797" s="244">
        <v>42.214260101318359</v>
      </c>
      <c r="E797" s="244">
        <v>2.72739577293396</v>
      </c>
      <c r="F797" s="244">
        <v>8.1096944808959961</v>
      </c>
      <c r="G797" s="244">
        <v>0</v>
      </c>
      <c r="H797" s="244">
        <v>0</v>
      </c>
      <c r="I797" s="244"/>
      <c r="J797" s="244">
        <v>0.36331543326377869</v>
      </c>
      <c r="K797" s="244">
        <v>0.35197603702545166</v>
      </c>
      <c r="L797" s="244">
        <v>46.034412384033203</v>
      </c>
      <c r="M797" s="244">
        <v>5.5580982007086277E-3</v>
      </c>
      <c r="N797" s="244">
        <v>1.6953527927398682E-2</v>
      </c>
      <c r="O797" s="244">
        <v>2.7546699047088623</v>
      </c>
      <c r="P797" s="244">
        <v>8.3593511953949928E-3</v>
      </c>
      <c r="Q797" s="244">
        <v>2.637019194662571E-2</v>
      </c>
      <c r="R797" s="244">
        <v>0.80633538961410522</v>
      </c>
      <c r="S797" s="244">
        <v>4.4560842514038086</v>
      </c>
      <c r="T797" s="244">
        <v>0</v>
      </c>
      <c r="U797" s="244">
        <v>8.9822397232055664</v>
      </c>
      <c r="V797" s="244">
        <v>0.81096947193145752</v>
      </c>
      <c r="W797" s="244">
        <v>0.81096947193145752</v>
      </c>
      <c r="X797" s="244">
        <v>0</v>
      </c>
      <c r="Y797" s="244">
        <v>0</v>
      </c>
      <c r="Z797" s="244">
        <v>0</v>
      </c>
      <c r="AA797" s="244">
        <v>0</v>
      </c>
      <c r="AB797" s="244">
        <v>0</v>
      </c>
      <c r="AC797" s="244">
        <v>0</v>
      </c>
      <c r="AD797" s="244">
        <v>0</v>
      </c>
      <c r="AE797" s="244">
        <v>0</v>
      </c>
      <c r="AF797" s="244">
        <v>0</v>
      </c>
      <c r="AG797" s="244">
        <v>0</v>
      </c>
      <c r="AH797" s="244">
        <v>1.617304801940918</v>
      </c>
      <c r="AI797" s="244">
        <v>5.2670536041259766</v>
      </c>
      <c r="AJ797" s="244">
        <v>0</v>
      </c>
      <c r="AK797" s="244">
        <v>8.9822397232055664</v>
      </c>
      <c r="AL797" s="244">
        <v>15.866598129272461</v>
      </c>
      <c r="AM797" s="244">
        <v>32.386188507080078</v>
      </c>
      <c r="AN797" s="244">
        <v>0</v>
      </c>
      <c r="AO797" s="244">
        <v>5.7054891586303711</v>
      </c>
      <c r="AP797" s="244">
        <v>24.668699264526367</v>
      </c>
      <c r="AQ797" s="244">
        <v>62.7603759765625</v>
      </c>
      <c r="AR797" s="244">
        <v>1.617304801940918</v>
      </c>
      <c r="AS797" s="228">
        <v>38.805532848185734</v>
      </c>
      <c r="AT797" s="244">
        <v>32.386188507080078</v>
      </c>
      <c r="AU797" s="244">
        <v>4.8594050407409668</v>
      </c>
      <c r="AV797" s="244">
        <v>6.191429615020752</v>
      </c>
      <c r="AW797" s="244">
        <v>24.668699264526367</v>
      </c>
      <c r="AX797" s="244">
        <v>68.105720520019531</v>
      </c>
      <c r="AY797" s="244">
        <v>5.2670536041259766</v>
      </c>
      <c r="AZ797" s="228">
        <v>12.930515997137286</v>
      </c>
      <c r="BA797" s="244">
        <v>32.386188507080078</v>
      </c>
      <c r="BB797" s="244">
        <v>4.8594050407409668</v>
      </c>
      <c r="BC797" s="244">
        <v>6.191429615020752</v>
      </c>
      <c r="BD797" s="244">
        <v>24.668699264526367</v>
      </c>
      <c r="BE797" s="244">
        <v>68.105720520019531</v>
      </c>
      <c r="BF797" s="244">
        <v>6.8843584060668945</v>
      </c>
      <c r="BG797" s="244">
        <v>-50.262592315673828</v>
      </c>
      <c r="BH797" s="228">
        <v>9.8928203096421221</v>
      </c>
      <c r="BI797" s="244">
        <v>2.8191239833831787</v>
      </c>
      <c r="BJ797" s="244">
        <v>9.1810016632080078</v>
      </c>
      <c r="BK797" s="244">
        <v>0</v>
      </c>
      <c r="BL797" s="244">
        <v>15.656941413879395</v>
      </c>
      <c r="BM797" s="244">
        <v>27.657066345214844</v>
      </c>
      <c r="BN797" s="244">
        <v>32.386188507080078</v>
      </c>
      <c r="BO797" s="244">
        <v>22.769742965698242</v>
      </c>
      <c r="BP797" s="244">
        <v>4.8594050407409668</v>
      </c>
      <c r="BQ797" s="244">
        <v>0</v>
      </c>
      <c r="BR797" s="244">
        <v>0</v>
      </c>
      <c r="BS797" s="244">
        <v>0</v>
      </c>
      <c r="BT797" s="244">
        <v>24.668699264526367</v>
      </c>
      <c r="BU797" s="244">
        <v>0</v>
      </c>
      <c r="BV797" s="244">
        <v>141.74610900878906</v>
      </c>
      <c r="BW797" s="244">
        <v>6.191429615020752</v>
      </c>
      <c r="BX797" s="244">
        <v>14.244659423828125</v>
      </c>
      <c r="BY797" s="244">
        <v>1.621938943862915</v>
      </c>
      <c r="BZ797" s="244">
        <v>0</v>
      </c>
      <c r="CA797" s="244">
        <v>0</v>
      </c>
      <c r="CB797" s="244">
        <v>232.62158203125</v>
      </c>
      <c r="CC797" s="244">
        <v>15.866598129272461</v>
      </c>
      <c r="CD797" s="228">
        <v>14.66108670624322</v>
      </c>
      <c r="CE797" s="244">
        <v>-321.37322998046875</v>
      </c>
      <c r="CF797" s="244">
        <v>0.34757309066650394</v>
      </c>
      <c r="CG797" s="244">
        <v>0.25783709794363241</v>
      </c>
      <c r="CH797" s="244">
        <v>0.6054101886101364</v>
      </c>
      <c r="CI797" s="244">
        <v>1.7045014254961712E-2</v>
      </c>
      <c r="CJ797" s="244">
        <v>1.6114818621477071E-2</v>
      </c>
      <c r="CK797" s="244">
        <v>3.3159832876438783E-2</v>
      </c>
      <c r="CL797" s="244"/>
      <c r="CM797" s="244">
        <v>2.7546699047088623</v>
      </c>
      <c r="CN797" s="244"/>
      <c r="CO797" s="244">
        <v>0.28600001335144043</v>
      </c>
      <c r="CP797" s="244">
        <v>0.31700003147125244</v>
      </c>
      <c r="CQ797" s="244">
        <v>22.769742965698242</v>
      </c>
      <c r="CR797" s="244">
        <v>0</v>
      </c>
      <c r="CS797" s="244">
        <v>0</v>
      </c>
      <c r="CT797" s="244">
        <v>22.769742965698242</v>
      </c>
      <c r="CU797" s="244">
        <v>0</v>
      </c>
      <c r="CV797" s="244">
        <v>0</v>
      </c>
      <c r="CW797" s="228">
        <v>9999</v>
      </c>
    </row>
    <row r="798" spans="1:101">
      <c r="A798" s="221" t="s">
        <v>478</v>
      </c>
      <c r="C798" s="244">
        <v>9.9999990463256836</v>
      </c>
      <c r="D798" s="244">
        <v>108.02273559570312</v>
      </c>
      <c r="E798" s="244">
        <v>0</v>
      </c>
      <c r="F798" s="244">
        <v>11.336667060852051</v>
      </c>
      <c r="G798" s="244">
        <v>0</v>
      </c>
      <c r="H798" s="244">
        <v>0</v>
      </c>
      <c r="I798" s="244"/>
      <c r="J798" s="244">
        <v>0.31782251596450806</v>
      </c>
      <c r="K798" s="244">
        <v>0.33139589428901672</v>
      </c>
      <c r="L798" s="244">
        <v>117.79686737060547</v>
      </c>
      <c r="M798" s="244">
        <v>1.4623919501900673E-2</v>
      </c>
      <c r="N798" s="244">
        <v>4.5521460473537445E-2</v>
      </c>
      <c r="O798" s="244">
        <v>0</v>
      </c>
      <c r="P798" s="244">
        <v>0</v>
      </c>
      <c r="Q798" s="244">
        <v>0</v>
      </c>
      <c r="R798" s="244">
        <v>1.1271885633468628</v>
      </c>
      <c r="S798" s="244">
        <v>6.2292284965515137</v>
      </c>
      <c r="T798" s="244">
        <v>0</v>
      </c>
      <c r="U798" s="244">
        <v>12.556410789489746</v>
      </c>
      <c r="V798" s="244">
        <v>1.1336666345596313</v>
      </c>
      <c r="W798" s="244">
        <v>1.1336666345596313</v>
      </c>
      <c r="X798" s="244">
        <v>0</v>
      </c>
      <c r="Y798" s="244">
        <v>0</v>
      </c>
      <c r="Z798" s="244">
        <v>0</v>
      </c>
      <c r="AA798" s="244">
        <v>0</v>
      </c>
      <c r="AB798" s="244">
        <v>0</v>
      </c>
      <c r="AC798" s="244">
        <v>0</v>
      </c>
      <c r="AD798" s="244">
        <v>0</v>
      </c>
      <c r="AE798" s="244">
        <v>0</v>
      </c>
      <c r="AF798" s="244">
        <v>0</v>
      </c>
      <c r="AG798" s="244">
        <v>0</v>
      </c>
      <c r="AH798" s="244">
        <v>2.2608551979064941</v>
      </c>
      <c r="AI798" s="244">
        <v>7.3628950119018555</v>
      </c>
      <c r="AJ798" s="244">
        <v>0</v>
      </c>
      <c r="AK798" s="244">
        <v>12.556410789489746</v>
      </c>
      <c r="AL798" s="244">
        <v>22.18016242980957</v>
      </c>
      <c r="AM798" s="244">
        <v>82.962387084960938</v>
      </c>
      <c r="AN798" s="244">
        <v>0</v>
      </c>
      <c r="AO798" s="244">
        <v>14.608681678771973</v>
      </c>
      <c r="AP798" s="244">
        <v>63.124427795410156</v>
      </c>
      <c r="AQ798" s="244">
        <v>160.69549560546875</v>
      </c>
      <c r="AR798" s="244">
        <v>2.2608551979064941</v>
      </c>
      <c r="AS798" s="228">
        <v>71.077305927395898</v>
      </c>
      <c r="AT798" s="244">
        <v>82.962387084960938</v>
      </c>
      <c r="AU798" s="244">
        <v>13.047859191894531</v>
      </c>
      <c r="AV798" s="244">
        <v>15.913467407226562</v>
      </c>
      <c r="AW798" s="244">
        <v>63.124427795410156</v>
      </c>
      <c r="AX798" s="244">
        <v>175.04814147949219</v>
      </c>
      <c r="AY798" s="244">
        <v>7.3628950119018555</v>
      </c>
      <c r="AZ798" s="228">
        <v>23.774362986625267</v>
      </c>
      <c r="BA798" s="244">
        <v>82.962387084960938</v>
      </c>
      <c r="BB798" s="244">
        <v>13.047859191894531</v>
      </c>
      <c r="BC798" s="244">
        <v>15.913467407226562</v>
      </c>
      <c r="BD798" s="244">
        <v>63.124427795410156</v>
      </c>
      <c r="BE798" s="244">
        <v>175.04814147949219</v>
      </c>
      <c r="BF798" s="244">
        <v>9.6237506866455078</v>
      </c>
      <c r="BG798" s="244">
        <v>-56.17266845703125</v>
      </c>
      <c r="BH798" s="228">
        <v>18.189181503564683</v>
      </c>
      <c r="BI798" s="244">
        <v>1.5400822162628174</v>
      </c>
      <c r="BJ798" s="244">
        <v>5.01556396484375</v>
      </c>
      <c r="BK798" s="244">
        <v>0</v>
      </c>
      <c r="BL798" s="244">
        <v>8.5533590316772461</v>
      </c>
      <c r="BM798" s="244">
        <v>15.109005928039551</v>
      </c>
      <c r="BN798" s="244">
        <v>82.962387084960938</v>
      </c>
      <c r="BO798" s="244">
        <v>0</v>
      </c>
      <c r="BP798" s="244">
        <v>13.047859191894531</v>
      </c>
      <c r="BQ798" s="244">
        <v>0</v>
      </c>
      <c r="BR798" s="244">
        <v>0</v>
      </c>
      <c r="BS798" s="244">
        <v>0</v>
      </c>
      <c r="BT798" s="244">
        <v>63.124427795410156</v>
      </c>
      <c r="BU798" s="244">
        <v>0</v>
      </c>
      <c r="BV798" s="244">
        <v>149.29165649414062</v>
      </c>
      <c r="BW798" s="244">
        <v>15.913467407226562</v>
      </c>
      <c r="BX798" s="244">
        <v>19.91282844543457</v>
      </c>
      <c r="BY798" s="244">
        <v>2.2673332691192627</v>
      </c>
      <c r="BZ798" s="244">
        <v>0</v>
      </c>
      <c r="CA798" s="244">
        <v>0</v>
      </c>
      <c r="CB798" s="244">
        <v>324.33978271484375</v>
      </c>
      <c r="CC798" s="244">
        <v>22.18016242980957</v>
      </c>
      <c r="CD798" s="228">
        <v>14.622968134664797</v>
      </c>
      <c r="CE798" s="244">
        <v>-149.31596374511719</v>
      </c>
      <c r="CF798" s="244">
        <v>0.88912288004111184</v>
      </c>
      <c r="CG798" s="244">
        <v>0</v>
      </c>
      <c r="CH798" s="244">
        <v>0.88912288004111184</v>
      </c>
      <c r="CI798" s="244">
        <v>4.3599701852364808E-2</v>
      </c>
      <c r="CJ798" s="244">
        <v>0</v>
      </c>
      <c r="CK798" s="244">
        <v>4.3599701852364808E-2</v>
      </c>
      <c r="CL798" s="244"/>
      <c r="CM798" s="244">
        <v>0</v>
      </c>
      <c r="CN798" s="244"/>
      <c r="CO798" s="244">
        <v>0</v>
      </c>
      <c r="CP798" s="244">
        <v>0</v>
      </c>
      <c r="CQ798" s="244">
        <v>0</v>
      </c>
      <c r="CR798" s="244">
        <v>0</v>
      </c>
      <c r="CS798" s="244">
        <v>0</v>
      </c>
      <c r="CT798" s="244">
        <v>0</v>
      </c>
      <c r="CU798" s="244">
        <v>0</v>
      </c>
      <c r="CV798" s="244">
        <v>9999</v>
      </c>
      <c r="CW798" s="228">
        <v>9999</v>
      </c>
    </row>
    <row r="799" spans="1:101">
      <c r="A799" s="221" t="s">
        <v>494</v>
      </c>
      <c r="C799" s="244">
        <v>10</v>
      </c>
      <c r="D799" s="244">
        <v>5.6169204711914062</v>
      </c>
      <c r="E799" s="244">
        <v>5.4141297340393066</v>
      </c>
      <c r="F799" s="244">
        <v>8.1096944808959961</v>
      </c>
      <c r="G799" s="244">
        <v>0</v>
      </c>
      <c r="H799" s="244">
        <v>0</v>
      </c>
      <c r="I799" s="244"/>
      <c r="J799" s="244">
        <v>1</v>
      </c>
      <c r="K799" s="244">
        <v>0.63999998569488525</v>
      </c>
      <c r="L799" s="244">
        <v>6.1261663436889648</v>
      </c>
      <c r="M799" s="244">
        <v>4.4757375144399703E-4</v>
      </c>
      <c r="N799" s="244">
        <v>6.9933402119204402E-4</v>
      </c>
      <c r="O799" s="244">
        <v>5.4682712554931641</v>
      </c>
      <c r="P799" s="244">
        <v>1.6594074666500092E-2</v>
      </c>
      <c r="Q799" s="244">
        <v>5.2347239106893539E-2</v>
      </c>
      <c r="R799" s="244">
        <v>0.80633538961410522</v>
      </c>
      <c r="S799" s="244">
        <v>4.4560842514038086</v>
      </c>
      <c r="T799" s="244">
        <v>0</v>
      </c>
      <c r="U799" s="244">
        <v>8.9822397232055664</v>
      </c>
      <c r="V799" s="244">
        <v>0.81096947193145752</v>
      </c>
      <c r="W799" s="244">
        <v>0.81096947193145752</v>
      </c>
      <c r="X799" s="244">
        <v>0</v>
      </c>
      <c r="Y799" s="244">
        <v>0</v>
      </c>
      <c r="Z799" s="244">
        <v>0</v>
      </c>
      <c r="AA799" s="244">
        <v>0</v>
      </c>
      <c r="AB799" s="244">
        <v>0</v>
      </c>
      <c r="AC799" s="244">
        <v>0</v>
      </c>
      <c r="AD799" s="244">
        <v>0</v>
      </c>
      <c r="AE799" s="244">
        <v>0</v>
      </c>
      <c r="AF799" s="244">
        <v>0</v>
      </c>
      <c r="AG799" s="244">
        <v>0</v>
      </c>
      <c r="AH799" s="244">
        <v>1.617304801940918</v>
      </c>
      <c r="AI799" s="244">
        <v>5.2670536041259766</v>
      </c>
      <c r="AJ799" s="244">
        <v>0</v>
      </c>
      <c r="AK799" s="244">
        <v>8.9822397232055664</v>
      </c>
      <c r="AL799" s="244">
        <v>15.866598129272461</v>
      </c>
      <c r="AM799" s="244">
        <v>4.2445540428161621</v>
      </c>
      <c r="AN799" s="244">
        <v>0</v>
      </c>
      <c r="AO799" s="244">
        <v>0.75274151563644409</v>
      </c>
      <c r="AP799" s="244">
        <v>3.2828609943389893</v>
      </c>
      <c r="AQ799" s="244">
        <v>8.280156135559082</v>
      </c>
      <c r="AR799" s="244">
        <v>1.617304801940918</v>
      </c>
      <c r="AS799" s="228">
        <v>5.1197252600098775</v>
      </c>
      <c r="AT799" s="244">
        <v>4.2445540428161621</v>
      </c>
      <c r="AU799" s="244">
        <v>0.20045076310634613</v>
      </c>
      <c r="AV799" s="244">
        <v>0.77278661727905273</v>
      </c>
      <c r="AW799" s="244">
        <v>3.2828609943389893</v>
      </c>
      <c r="AX799" s="244">
        <v>8.5006523132324219</v>
      </c>
      <c r="AY799" s="244">
        <v>5.2670536041259766</v>
      </c>
      <c r="AZ799" s="228">
        <v>1.6139293168549014</v>
      </c>
      <c r="BA799" s="244">
        <v>4.2445540428161621</v>
      </c>
      <c r="BB799" s="244">
        <v>0.20045076310634613</v>
      </c>
      <c r="BC799" s="244">
        <v>0.77278661727905273</v>
      </c>
      <c r="BD799" s="244">
        <v>3.2828609943389893</v>
      </c>
      <c r="BE799" s="244">
        <v>8.5006523132324219</v>
      </c>
      <c r="BF799" s="244">
        <v>6.8843584060668945</v>
      </c>
      <c r="BG799" s="244">
        <v>34.425834655761719</v>
      </c>
      <c r="BH799" s="228">
        <v>1.2347776939175372</v>
      </c>
      <c r="BI799" s="244">
        <v>21.184001922607422</v>
      </c>
      <c r="BJ799" s="244">
        <v>68.989639282226563</v>
      </c>
      <c r="BK799" s="244">
        <v>0</v>
      </c>
      <c r="BL799" s="244">
        <v>117.65238952636719</v>
      </c>
      <c r="BM799" s="244">
        <v>207.82603454589844</v>
      </c>
      <c r="BN799" s="244">
        <v>4.2445540428161621</v>
      </c>
      <c r="BO799" s="244">
        <v>45.200019836425781</v>
      </c>
      <c r="BP799" s="244">
        <v>0.20045076310634613</v>
      </c>
      <c r="BQ799" s="244">
        <v>0</v>
      </c>
      <c r="BR799" s="244">
        <v>0</v>
      </c>
      <c r="BS799" s="244">
        <v>0</v>
      </c>
      <c r="BT799" s="244">
        <v>3.2828609943389893</v>
      </c>
      <c r="BU799" s="244">
        <v>0</v>
      </c>
      <c r="BV799" s="244">
        <v>174.173583984375</v>
      </c>
      <c r="BW799" s="244">
        <v>0.77278661727905273</v>
      </c>
      <c r="BX799" s="244">
        <v>14.244659423828125</v>
      </c>
      <c r="BY799" s="244">
        <v>1.621938943862915</v>
      </c>
      <c r="BZ799" s="244">
        <v>0</v>
      </c>
      <c r="CA799" s="244">
        <v>0</v>
      </c>
      <c r="CB799" s="244">
        <v>227.87425231933594</v>
      </c>
      <c r="CC799" s="244">
        <v>15.866598129272461</v>
      </c>
      <c r="CD799" s="228">
        <v>14.361884693719789</v>
      </c>
      <c r="CE799" s="244">
        <v>-2721.35107421875</v>
      </c>
      <c r="CF799" s="244">
        <v>4.645623934409876E-2</v>
      </c>
      <c r="CG799" s="244">
        <v>0.511830183813057</v>
      </c>
      <c r="CH799" s="244">
        <v>0.55828642315715582</v>
      </c>
      <c r="CI799" s="244">
        <v>2.2803724886187042E-3</v>
      </c>
      <c r="CJ799" s="244">
        <v>3.1989386488316097E-2</v>
      </c>
      <c r="CK799" s="244">
        <v>3.4269758976934801E-2</v>
      </c>
      <c r="CL799" s="244"/>
      <c r="CM799" s="244">
        <v>5.4682712554931641</v>
      </c>
      <c r="CN799" s="244"/>
      <c r="CO799" s="244">
        <v>0.28600001335144043</v>
      </c>
      <c r="CP799" s="244">
        <v>0.31700000166893005</v>
      </c>
      <c r="CQ799" s="244">
        <v>45.200019836425781</v>
      </c>
      <c r="CR799" s="244">
        <v>0</v>
      </c>
      <c r="CS799" s="244">
        <v>0</v>
      </c>
      <c r="CT799" s="244">
        <v>45.200019836425781</v>
      </c>
      <c r="CU799" s="244">
        <v>0</v>
      </c>
      <c r="CV799" s="244">
        <v>0</v>
      </c>
      <c r="CW799" s="228">
        <v>9999</v>
      </c>
    </row>
    <row r="800" spans="1:101">
      <c r="A800" s="221" t="s">
        <v>564</v>
      </c>
      <c r="C800" s="244">
        <v>10</v>
      </c>
      <c r="D800" s="244">
        <v>52.756889343261719</v>
      </c>
      <c r="E800" s="244">
        <v>3.8221495151519775</v>
      </c>
      <c r="F800" s="244">
        <v>11.336667060852051</v>
      </c>
      <c r="G800" s="244">
        <v>0</v>
      </c>
      <c r="H800" s="244">
        <v>0</v>
      </c>
      <c r="I800" s="244"/>
      <c r="J800" s="244">
        <v>0.37382984161376953</v>
      </c>
      <c r="K800" s="244">
        <v>0.356732577085495</v>
      </c>
      <c r="L800" s="244">
        <v>57.531230926513672</v>
      </c>
      <c r="M800" s="244">
        <v>6.9008944556117058E-3</v>
      </c>
      <c r="N800" s="244">
        <v>2.0946092903614044E-2</v>
      </c>
      <c r="O800" s="244">
        <v>3.8603711128234863</v>
      </c>
      <c r="P800" s="244">
        <v>1.1714722961187363E-2</v>
      </c>
      <c r="Q800" s="244">
        <v>3.6954961717128754E-2</v>
      </c>
      <c r="R800" s="244">
        <v>1.1271885633468628</v>
      </c>
      <c r="S800" s="244">
        <v>6.2292284965515137</v>
      </c>
      <c r="T800" s="244">
        <v>0</v>
      </c>
      <c r="U800" s="244">
        <v>12.556410789489746</v>
      </c>
      <c r="V800" s="244">
        <v>1.1336666345596313</v>
      </c>
      <c r="W800" s="244">
        <v>1.1336666345596313</v>
      </c>
      <c r="X800" s="244">
        <v>0</v>
      </c>
      <c r="Y800" s="244">
        <v>0</v>
      </c>
      <c r="Z800" s="244">
        <v>0</v>
      </c>
      <c r="AA800" s="244">
        <v>0</v>
      </c>
      <c r="AB800" s="244">
        <v>0</v>
      </c>
      <c r="AC800" s="244">
        <v>0</v>
      </c>
      <c r="AD800" s="244">
        <v>0</v>
      </c>
      <c r="AE800" s="244">
        <v>0</v>
      </c>
      <c r="AF800" s="244">
        <v>0</v>
      </c>
      <c r="AG800" s="244">
        <v>0</v>
      </c>
      <c r="AH800" s="244">
        <v>2.2608551979064941</v>
      </c>
      <c r="AI800" s="244">
        <v>7.3628950119018555</v>
      </c>
      <c r="AJ800" s="244">
        <v>0</v>
      </c>
      <c r="AK800" s="244">
        <v>12.556410789489746</v>
      </c>
      <c r="AL800" s="244">
        <v>22.18016242980957</v>
      </c>
      <c r="AM800" s="244">
        <v>40.464313507080078</v>
      </c>
      <c r="AN800" s="244">
        <v>0</v>
      </c>
      <c r="AO800" s="244">
        <v>7.1293883323669434</v>
      </c>
      <c r="AP800" s="244">
        <v>30.829566955566406</v>
      </c>
      <c r="AQ800" s="244">
        <v>78.423271179199219</v>
      </c>
      <c r="AR800" s="244">
        <v>2.2608551979064941</v>
      </c>
      <c r="AS800" s="228">
        <v>34.687435474696379</v>
      </c>
      <c r="AT800" s="244">
        <v>40.464313507080078</v>
      </c>
      <c r="AU800" s="244">
        <v>6.0037989616394043</v>
      </c>
      <c r="AV800" s="244">
        <v>7.7297677993774414</v>
      </c>
      <c r="AW800" s="244">
        <v>30.829566955566406</v>
      </c>
      <c r="AX800" s="244">
        <v>85.027450561523438</v>
      </c>
      <c r="AY800" s="244">
        <v>7.3628950119018555</v>
      </c>
      <c r="AZ800" s="228">
        <v>11.548099722945764</v>
      </c>
      <c r="BA800" s="244">
        <v>40.464313507080078</v>
      </c>
      <c r="BB800" s="244">
        <v>6.0037989616394043</v>
      </c>
      <c r="BC800" s="244">
        <v>7.7297677993774414</v>
      </c>
      <c r="BD800" s="244">
        <v>30.829566955566406</v>
      </c>
      <c r="BE800" s="244">
        <v>85.027450561523438</v>
      </c>
      <c r="BF800" s="244">
        <v>9.6237506866455078</v>
      </c>
      <c r="BG800" s="244">
        <v>-48.732254028320313</v>
      </c>
      <c r="BH800" s="228">
        <v>8.8351676131172709</v>
      </c>
      <c r="BI800" s="244">
        <v>3.1533632278442383</v>
      </c>
      <c r="BJ800" s="244">
        <v>10.269513130187988</v>
      </c>
      <c r="BK800" s="244">
        <v>0</v>
      </c>
      <c r="BL800" s="244">
        <v>17.513250350952148</v>
      </c>
      <c r="BM800" s="244">
        <v>30.936128616333008</v>
      </c>
      <c r="BN800" s="244">
        <v>40.464313507080078</v>
      </c>
      <c r="BO800" s="244">
        <v>31.909326553344727</v>
      </c>
      <c r="BP800" s="244">
        <v>6.0037989616394043</v>
      </c>
      <c r="BQ800" s="244">
        <v>0</v>
      </c>
      <c r="BR800" s="244">
        <v>0</v>
      </c>
      <c r="BS800" s="244">
        <v>0</v>
      </c>
      <c r="BT800" s="244">
        <v>30.829566955566406</v>
      </c>
      <c r="BU800" s="244">
        <v>0</v>
      </c>
      <c r="BV800" s="244">
        <v>201.23664855957031</v>
      </c>
      <c r="BW800" s="244">
        <v>7.7297677993774414</v>
      </c>
      <c r="BX800" s="244">
        <v>19.91282844543457</v>
      </c>
      <c r="BY800" s="244">
        <v>2.2673332691192627</v>
      </c>
      <c r="BZ800" s="244">
        <v>0</v>
      </c>
      <c r="CA800" s="244">
        <v>0</v>
      </c>
      <c r="CB800" s="244">
        <v>318.17343139648438</v>
      </c>
      <c r="CC800" s="244">
        <v>22.18016242980957</v>
      </c>
      <c r="CD800" s="228">
        <v>14.344955029241481</v>
      </c>
      <c r="CE800" s="244">
        <v>-356.40301513671875</v>
      </c>
      <c r="CF800" s="244">
        <v>0.43440873347227155</v>
      </c>
      <c r="CG800" s="244">
        <v>0.36133072911312941</v>
      </c>
      <c r="CH800" s="244">
        <v>0.79573946258540096</v>
      </c>
      <c r="CI800" s="244">
        <v>2.1303775833757137E-2</v>
      </c>
      <c r="CJ800" s="244">
        <v>2.258317056957055E-2</v>
      </c>
      <c r="CK800" s="244">
        <v>4.3886946403327687E-2</v>
      </c>
      <c r="CL800" s="244"/>
      <c r="CM800" s="244">
        <v>3.8603711128234863</v>
      </c>
      <c r="CN800" s="244"/>
      <c r="CO800" s="244">
        <v>0.28600001335144043</v>
      </c>
      <c r="CP800" s="244">
        <v>0.31700000166893005</v>
      </c>
      <c r="CQ800" s="244">
        <v>31.909326553344727</v>
      </c>
      <c r="CR800" s="244">
        <v>0</v>
      </c>
      <c r="CS800" s="244">
        <v>0</v>
      </c>
      <c r="CT800" s="244">
        <v>31.909326553344727</v>
      </c>
      <c r="CU800" s="244">
        <v>0</v>
      </c>
      <c r="CV800" s="244">
        <v>0</v>
      </c>
      <c r="CW800" s="228">
        <v>9999</v>
      </c>
    </row>
    <row r="801" spans="1:101">
      <c r="A801" s="221" t="s">
        <v>522</v>
      </c>
      <c r="C801" s="244">
        <v>10</v>
      </c>
      <c r="D801" s="244">
        <v>48.776359558105469</v>
      </c>
      <c r="E801" s="244">
        <v>2.0686931610107422</v>
      </c>
      <c r="F801" s="244">
        <v>8.1096944808959961</v>
      </c>
      <c r="G801" s="244">
        <v>0</v>
      </c>
      <c r="H801" s="244">
        <v>0</v>
      </c>
      <c r="I801" s="244"/>
      <c r="J801" s="244">
        <v>0.34760048985481262</v>
      </c>
      <c r="K801" s="244">
        <v>0.34486690163612366</v>
      </c>
      <c r="L801" s="244">
        <v>53.190135955810547</v>
      </c>
      <c r="M801" s="244">
        <v>6.4846700988709927E-3</v>
      </c>
      <c r="N801" s="244">
        <v>1.9922515377402306E-2</v>
      </c>
      <c r="O801" s="244">
        <v>2.0893800258636475</v>
      </c>
      <c r="P801" s="244">
        <v>6.3404552638530731E-3</v>
      </c>
      <c r="Q801" s="244">
        <v>2.0001435652375221E-2</v>
      </c>
      <c r="R801" s="244">
        <v>0.80633538961410522</v>
      </c>
      <c r="S801" s="244">
        <v>4.4560842514038086</v>
      </c>
      <c r="T801" s="244">
        <v>0</v>
      </c>
      <c r="U801" s="244">
        <v>8.9822397232055664</v>
      </c>
      <c r="V801" s="244">
        <v>0.81096947193145752</v>
      </c>
      <c r="W801" s="244">
        <v>0.81096947193145752</v>
      </c>
      <c r="X801" s="244">
        <v>0</v>
      </c>
      <c r="Y801" s="244">
        <v>0</v>
      </c>
      <c r="Z801" s="244">
        <v>0</v>
      </c>
      <c r="AA801" s="244">
        <v>0</v>
      </c>
      <c r="AB801" s="244">
        <v>0</v>
      </c>
      <c r="AC801" s="244">
        <v>0</v>
      </c>
      <c r="AD801" s="244">
        <v>0</v>
      </c>
      <c r="AE801" s="244">
        <v>0</v>
      </c>
      <c r="AF801" s="244">
        <v>0</v>
      </c>
      <c r="AG801" s="244">
        <v>0</v>
      </c>
      <c r="AH801" s="244">
        <v>1.617304801940918</v>
      </c>
      <c r="AI801" s="244">
        <v>5.2670536041259766</v>
      </c>
      <c r="AJ801" s="244">
        <v>0</v>
      </c>
      <c r="AK801" s="244">
        <v>8.9822397232055664</v>
      </c>
      <c r="AL801" s="244">
        <v>15.866598129272461</v>
      </c>
      <c r="AM801" s="244">
        <v>37.434398651123047</v>
      </c>
      <c r="AN801" s="244">
        <v>0</v>
      </c>
      <c r="AO801" s="244">
        <v>6.5937681198120117</v>
      </c>
      <c r="AP801" s="244">
        <v>28.503280639648437</v>
      </c>
      <c r="AQ801" s="244">
        <v>72.531448364257813</v>
      </c>
      <c r="AR801" s="244">
        <v>1.617304801940918</v>
      </c>
      <c r="AS801" s="228">
        <v>44.847108999146563</v>
      </c>
      <c r="AT801" s="244">
        <v>37.434398651123047</v>
      </c>
      <c r="AU801" s="244">
        <v>5.7104101181030273</v>
      </c>
      <c r="AV801" s="244">
        <v>7.1648087501525879</v>
      </c>
      <c r="AW801" s="244">
        <v>28.503280639648437</v>
      </c>
      <c r="AX801" s="244">
        <v>78.812896728515625</v>
      </c>
      <c r="AY801" s="244">
        <v>5.2670536041259766</v>
      </c>
      <c r="AZ801" s="228">
        <v>14.963374649066663</v>
      </c>
      <c r="BA801" s="244">
        <v>37.434398651123047</v>
      </c>
      <c r="BB801" s="244">
        <v>5.7104101181030273</v>
      </c>
      <c r="BC801" s="244">
        <v>7.1648087501525879</v>
      </c>
      <c r="BD801" s="244">
        <v>28.503280639648437</v>
      </c>
      <c r="BE801" s="244">
        <v>78.812896728515625</v>
      </c>
      <c r="BF801" s="244">
        <v>6.8843584060668945</v>
      </c>
      <c r="BG801" s="244">
        <v>-52.037822723388672</v>
      </c>
      <c r="BH801" s="228">
        <v>11.448110551956582</v>
      </c>
      <c r="BI801" s="244">
        <v>2.4398643970489502</v>
      </c>
      <c r="BJ801" s="244">
        <v>7.9458718299865723</v>
      </c>
      <c r="BK801" s="244">
        <v>0</v>
      </c>
      <c r="BL801" s="244">
        <v>13.550596237182617</v>
      </c>
      <c r="BM801" s="244">
        <v>23.936332702636719</v>
      </c>
      <c r="BN801" s="244">
        <v>37.434398651123047</v>
      </c>
      <c r="BO801" s="244">
        <v>17.270544052124023</v>
      </c>
      <c r="BP801" s="244">
        <v>5.7104101181030273</v>
      </c>
      <c r="BQ801" s="244">
        <v>0</v>
      </c>
      <c r="BR801" s="244">
        <v>0</v>
      </c>
      <c r="BS801" s="244">
        <v>0</v>
      </c>
      <c r="BT801" s="244">
        <v>28.503280639648437</v>
      </c>
      <c r="BU801" s="244">
        <v>0</v>
      </c>
      <c r="BV801" s="244">
        <v>130.49069213867187</v>
      </c>
      <c r="BW801" s="244">
        <v>7.1648087501525879</v>
      </c>
      <c r="BX801" s="244">
        <v>14.244659423828125</v>
      </c>
      <c r="BY801" s="244">
        <v>1.621938943862915</v>
      </c>
      <c r="BZ801" s="244">
        <v>0</v>
      </c>
      <c r="CA801" s="244">
        <v>0</v>
      </c>
      <c r="CB801" s="244">
        <v>226.57412719726562</v>
      </c>
      <c r="CC801" s="244">
        <v>15.866598129272461</v>
      </c>
      <c r="CD801" s="228">
        <v>14.279943885842169</v>
      </c>
      <c r="CE801" s="244">
        <v>-261.399658203125</v>
      </c>
      <c r="CF801" s="244">
        <v>0.40155760890379055</v>
      </c>
      <c r="CG801" s="244">
        <v>0.19556596906643164</v>
      </c>
      <c r="CH801" s="244">
        <v>0.5971235779702222</v>
      </c>
      <c r="CI801" s="244">
        <v>1.9691957877332373E-2</v>
      </c>
      <c r="CJ801" s="244">
        <v>1.2222873066651959E-2</v>
      </c>
      <c r="CK801" s="244">
        <v>3.1914830943984333E-2</v>
      </c>
      <c r="CL801" s="244"/>
      <c r="CM801" s="244">
        <v>2.0893800258636475</v>
      </c>
      <c r="CN801" s="244"/>
      <c r="CO801" s="244">
        <v>0.28600001335144043</v>
      </c>
      <c r="CP801" s="244">
        <v>0.31700000166893005</v>
      </c>
      <c r="CQ801" s="244">
        <v>17.270544052124023</v>
      </c>
      <c r="CR801" s="244">
        <v>0</v>
      </c>
      <c r="CS801" s="244">
        <v>0</v>
      </c>
      <c r="CT801" s="244">
        <v>17.270544052124023</v>
      </c>
      <c r="CU801" s="244">
        <v>0</v>
      </c>
      <c r="CV801" s="244">
        <v>0</v>
      </c>
      <c r="CW801" s="228">
        <v>9999</v>
      </c>
    </row>
    <row r="802" spans="1:101">
      <c r="A802" s="221" t="s">
        <v>462</v>
      </c>
      <c r="C802" s="244">
        <v>10</v>
      </c>
      <c r="D802" s="244">
        <v>34.537502288818359</v>
      </c>
      <c r="E802" s="244">
        <v>2.9173738956451416</v>
      </c>
      <c r="F802" s="244">
        <v>8.1096944808959961</v>
      </c>
      <c r="G802" s="244">
        <v>0</v>
      </c>
      <c r="H802" s="244">
        <v>0</v>
      </c>
      <c r="I802" s="244"/>
      <c r="J802" s="244">
        <v>0.37809768319129944</v>
      </c>
      <c r="K802" s="244">
        <v>0.35866326093673706</v>
      </c>
      <c r="L802" s="244">
        <v>37.663082122802734</v>
      </c>
      <c r="M802" s="244">
        <v>4.5056631788611412E-3</v>
      </c>
      <c r="N802" s="244">
        <v>1.3648288324475288E-2</v>
      </c>
      <c r="O802" s="244">
        <v>2.9465475082397461</v>
      </c>
      <c r="P802" s="244">
        <v>8.9416252449154854E-3</v>
      </c>
      <c r="Q802" s="244">
        <v>2.8207018971443176E-2</v>
      </c>
      <c r="R802" s="244">
        <v>0.80633538961410522</v>
      </c>
      <c r="S802" s="244">
        <v>4.4560842514038086</v>
      </c>
      <c r="T802" s="244">
        <v>0</v>
      </c>
      <c r="U802" s="244">
        <v>8.9822397232055664</v>
      </c>
      <c r="V802" s="244">
        <v>0.81096947193145752</v>
      </c>
      <c r="W802" s="244">
        <v>0.81096947193145752</v>
      </c>
      <c r="X802" s="244">
        <v>0</v>
      </c>
      <c r="Y802" s="244">
        <v>0</v>
      </c>
      <c r="Z802" s="244">
        <v>0</v>
      </c>
      <c r="AA802" s="244">
        <v>0</v>
      </c>
      <c r="AB802" s="244">
        <v>0</v>
      </c>
      <c r="AC802" s="244">
        <v>0</v>
      </c>
      <c r="AD802" s="244">
        <v>0</v>
      </c>
      <c r="AE802" s="244">
        <v>0</v>
      </c>
      <c r="AF802" s="244">
        <v>0</v>
      </c>
      <c r="AG802" s="244">
        <v>0</v>
      </c>
      <c r="AH802" s="244">
        <v>1.617304801940918</v>
      </c>
      <c r="AI802" s="244">
        <v>5.2670536041259766</v>
      </c>
      <c r="AJ802" s="244">
        <v>0</v>
      </c>
      <c r="AK802" s="244">
        <v>8.9822397232055664</v>
      </c>
      <c r="AL802" s="244">
        <v>15.866598129272461</v>
      </c>
      <c r="AM802" s="244">
        <v>26.487455368041992</v>
      </c>
      <c r="AN802" s="244">
        <v>0</v>
      </c>
      <c r="AO802" s="244">
        <v>4.6670169830322266</v>
      </c>
      <c r="AP802" s="244">
        <v>20.182714462280273</v>
      </c>
      <c r="AQ802" s="244">
        <v>51.337188720703125</v>
      </c>
      <c r="AR802" s="244">
        <v>1.617304801940918</v>
      </c>
      <c r="AS802" s="228">
        <v>31.742430282621282</v>
      </c>
      <c r="AT802" s="244">
        <v>26.487455368041992</v>
      </c>
      <c r="AU802" s="244">
        <v>3.9120218753814697</v>
      </c>
      <c r="AV802" s="244">
        <v>5.0582189559936523</v>
      </c>
      <c r="AW802" s="244">
        <v>20.182714462280273</v>
      </c>
      <c r="AX802" s="244">
        <v>55.640411376953125</v>
      </c>
      <c r="AY802" s="244">
        <v>5.2670536041259766</v>
      </c>
      <c r="AZ802" s="228">
        <v>10.563858579073711</v>
      </c>
      <c r="BA802" s="244">
        <v>26.487455368041992</v>
      </c>
      <c r="BB802" s="244">
        <v>3.9120218753814697</v>
      </c>
      <c r="BC802" s="244">
        <v>5.0582189559936523</v>
      </c>
      <c r="BD802" s="244">
        <v>20.182714462280273</v>
      </c>
      <c r="BE802" s="244">
        <v>55.640411376953125</v>
      </c>
      <c r="BF802" s="244">
        <v>6.8843584060668945</v>
      </c>
      <c r="BG802" s="244">
        <v>-47.444065093994141</v>
      </c>
      <c r="BH802" s="228">
        <v>8.0821488270371002</v>
      </c>
      <c r="BI802" s="244">
        <v>3.4457275867462158</v>
      </c>
      <c r="BJ802" s="244">
        <v>11.221652030944824</v>
      </c>
      <c r="BK802" s="244">
        <v>0</v>
      </c>
      <c r="BL802" s="244">
        <v>19.136991500854492</v>
      </c>
      <c r="BM802" s="244">
        <v>33.804370880126953</v>
      </c>
      <c r="BN802" s="244">
        <v>26.487455368041992</v>
      </c>
      <c r="BO802" s="244">
        <v>24.355779647827148</v>
      </c>
      <c r="BP802" s="244">
        <v>3.9120218753814697</v>
      </c>
      <c r="BQ802" s="244">
        <v>0</v>
      </c>
      <c r="BR802" s="244">
        <v>0</v>
      </c>
      <c r="BS802" s="244">
        <v>0</v>
      </c>
      <c r="BT802" s="244">
        <v>20.182714462280273</v>
      </c>
      <c r="BU802" s="244">
        <v>0</v>
      </c>
      <c r="BV802" s="244">
        <v>138.14190673828125</v>
      </c>
      <c r="BW802" s="244">
        <v>5.0582189559936523</v>
      </c>
      <c r="BX802" s="244">
        <v>14.244659423828125</v>
      </c>
      <c r="BY802" s="244">
        <v>1.621938943862915</v>
      </c>
      <c r="BZ802" s="244">
        <v>0</v>
      </c>
      <c r="CA802" s="244">
        <v>0</v>
      </c>
      <c r="CB802" s="244">
        <v>218.13809204101562</v>
      </c>
      <c r="CC802" s="244">
        <v>15.866598129272461</v>
      </c>
      <c r="CD802" s="228">
        <v>13.748258573935905</v>
      </c>
      <c r="CE802" s="244">
        <v>-374.51437377929687</v>
      </c>
      <c r="CF802" s="244">
        <v>0.28439597861848404</v>
      </c>
      <c r="CG802" s="244">
        <v>0.27579685494702294</v>
      </c>
      <c r="CH802" s="244">
        <v>0.56019283356550698</v>
      </c>
      <c r="CI802" s="244">
        <v>1.3947110828278576E-2</v>
      </c>
      <c r="CJ802" s="244">
        <v>1.7237303434189079E-2</v>
      </c>
      <c r="CK802" s="244">
        <v>3.1184414262467656E-2</v>
      </c>
      <c r="CL802" s="244"/>
      <c r="CM802" s="244">
        <v>2.9465475082397461</v>
      </c>
      <c r="CN802" s="244"/>
      <c r="CO802" s="244">
        <v>0.28600001335144043</v>
      </c>
      <c r="CP802" s="244">
        <v>0.31700000166893005</v>
      </c>
      <c r="CQ802" s="244">
        <v>24.355779647827148</v>
      </c>
      <c r="CR802" s="244">
        <v>0</v>
      </c>
      <c r="CS802" s="244">
        <v>0</v>
      </c>
      <c r="CT802" s="244">
        <v>24.355779647827148</v>
      </c>
      <c r="CU802" s="244">
        <v>0</v>
      </c>
      <c r="CV802" s="244">
        <v>0</v>
      </c>
      <c r="CW802" s="228">
        <v>9999</v>
      </c>
    </row>
    <row r="803" spans="1:101">
      <c r="A803" s="221" t="s">
        <v>487</v>
      </c>
      <c r="C803" s="244">
        <v>10</v>
      </c>
      <c r="D803" s="244">
        <v>72.015151977539063</v>
      </c>
      <c r="E803" s="244">
        <v>0</v>
      </c>
      <c r="F803" s="244">
        <v>8.1096944808959961</v>
      </c>
      <c r="G803" s="244">
        <v>0</v>
      </c>
      <c r="H803" s="244">
        <v>0</v>
      </c>
      <c r="I803" s="244"/>
      <c r="J803" s="244">
        <v>0.31782254576683044</v>
      </c>
      <c r="K803" s="244">
        <v>0.33139589428901672</v>
      </c>
      <c r="L803" s="244">
        <v>78.531242370605469</v>
      </c>
      <c r="M803" s="244">
        <v>9.7492784261703491E-3</v>
      </c>
      <c r="N803" s="244">
        <v>3.0347639694809914E-2</v>
      </c>
      <c r="O803" s="244">
        <v>0</v>
      </c>
      <c r="P803" s="244">
        <v>0</v>
      </c>
      <c r="Q803" s="244">
        <v>0</v>
      </c>
      <c r="R803" s="244">
        <v>0.80633538961410522</v>
      </c>
      <c r="S803" s="244">
        <v>4.4560842514038086</v>
      </c>
      <c r="T803" s="244">
        <v>0</v>
      </c>
      <c r="U803" s="244">
        <v>8.9822397232055664</v>
      </c>
      <c r="V803" s="244">
        <v>0.81096947193145752</v>
      </c>
      <c r="W803" s="244">
        <v>0.81096947193145752</v>
      </c>
      <c r="X803" s="244">
        <v>0</v>
      </c>
      <c r="Y803" s="244">
        <v>0</v>
      </c>
      <c r="Z803" s="244">
        <v>0</v>
      </c>
      <c r="AA803" s="244">
        <v>0</v>
      </c>
      <c r="AB803" s="244">
        <v>0</v>
      </c>
      <c r="AC803" s="244">
        <v>0</v>
      </c>
      <c r="AD803" s="244">
        <v>0</v>
      </c>
      <c r="AE803" s="244">
        <v>0</v>
      </c>
      <c r="AF803" s="244">
        <v>0</v>
      </c>
      <c r="AG803" s="244">
        <v>0</v>
      </c>
      <c r="AH803" s="244">
        <v>1.617304801940918</v>
      </c>
      <c r="AI803" s="244">
        <v>5.2670536041259766</v>
      </c>
      <c r="AJ803" s="244">
        <v>0</v>
      </c>
      <c r="AK803" s="244">
        <v>8.9822397232055664</v>
      </c>
      <c r="AL803" s="244">
        <v>15.866598129272461</v>
      </c>
      <c r="AM803" s="244">
        <v>55.308258056640625</v>
      </c>
      <c r="AN803" s="244">
        <v>0</v>
      </c>
      <c r="AO803" s="244">
        <v>9.7391204833984375</v>
      </c>
      <c r="AP803" s="244">
        <v>42.082950592041016</v>
      </c>
      <c r="AQ803" s="244">
        <v>107.13032531738281</v>
      </c>
      <c r="AR803" s="244">
        <v>1.617304801940918</v>
      </c>
      <c r="AS803" s="228">
        <v>66.240034071066816</v>
      </c>
      <c r="AT803" s="244">
        <v>55.308258056640625</v>
      </c>
      <c r="AU803" s="244">
        <v>8.6985721588134766</v>
      </c>
      <c r="AV803" s="244">
        <v>10.608978271484375</v>
      </c>
      <c r="AW803" s="244">
        <v>42.082950592041016</v>
      </c>
      <c r="AX803" s="244">
        <v>116.69876098632812</v>
      </c>
      <c r="AY803" s="244">
        <v>5.2670536041259766</v>
      </c>
      <c r="AZ803" s="228">
        <v>22.156363919728946</v>
      </c>
      <c r="BA803" s="244">
        <v>55.308258056640625</v>
      </c>
      <c r="BB803" s="244">
        <v>8.6985721588134766</v>
      </c>
      <c r="BC803" s="244">
        <v>10.608978271484375</v>
      </c>
      <c r="BD803" s="244">
        <v>42.082950592041016</v>
      </c>
      <c r="BE803" s="244">
        <v>116.69876098632812</v>
      </c>
      <c r="BF803" s="244">
        <v>6.8843584060668945</v>
      </c>
      <c r="BG803" s="244">
        <v>-55.693931579589844</v>
      </c>
      <c r="BH803" s="228">
        <v>16.951290035250189</v>
      </c>
      <c r="BI803" s="244">
        <v>1.6525489091873169</v>
      </c>
      <c r="BJ803" s="244">
        <v>5.3818325996398926</v>
      </c>
      <c r="BK803" s="244">
        <v>0</v>
      </c>
      <c r="BL803" s="244">
        <v>9.177978515625</v>
      </c>
      <c r="BM803" s="244">
        <v>16.212360382080078</v>
      </c>
      <c r="BN803" s="244">
        <v>55.308258056640625</v>
      </c>
      <c r="BO803" s="244">
        <v>0</v>
      </c>
      <c r="BP803" s="244">
        <v>8.6985721588134766</v>
      </c>
      <c r="BQ803" s="244">
        <v>0</v>
      </c>
      <c r="BR803" s="244">
        <v>0</v>
      </c>
      <c r="BS803" s="244">
        <v>0</v>
      </c>
      <c r="BT803" s="244">
        <v>42.082950592041016</v>
      </c>
      <c r="BU803" s="244">
        <v>0</v>
      </c>
      <c r="BV803" s="244">
        <v>99.52777099609375</v>
      </c>
      <c r="BW803" s="244">
        <v>10.608978271484375</v>
      </c>
      <c r="BX803" s="244">
        <v>14.244659423828125</v>
      </c>
      <c r="BY803" s="244">
        <v>1.621938943862915</v>
      </c>
      <c r="BZ803" s="244">
        <v>0</v>
      </c>
      <c r="CA803" s="244">
        <v>0</v>
      </c>
      <c r="CB803" s="244">
        <v>216.22653198242187</v>
      </c>
      <c r="CC803" s="244">
        <v>15.866598129272461</v>
      </c>
      <c r="CD803" s="228">
        <v>13.627781145287743</v>
      </c>
      <c r="CE803" s="244">
        <v>-148.21261596679687</v>
      </c>
      <c r="CF803" s="244">
        <v>0.5927485866940756</v>
      </c>
      <c r="CG803" s="244">
        <v>0</v>
      </c>
      <c r="CH803" s="244">
        <v>0.5927485866940756</v>
      </c>
      <c r="CI803" s="244">
        <v>2.9066467901576565E-2</v>
      </c>
      <c r="CJ803" s="244">
        <v>0</v>
      </c>
      <c r="CK803" s="244">
        <v>2.9066467901576565E-2</v>
      </c>
      <c r="CL803" s="244"/>
      <c r="CM803" s="244">
        <v>0</v>
      </c>
      <c r="CN803" s="244"/>
      <c r="CO803" s="244">
        <v>0</v>
      </c>
      <c r="CP803" s="244">
        <v>0</v>
      </c>
      <c r="CQ803" s="244">
        <v>0</v>
      </c>
      <c r="CR803" s="244">
        <v>0</v>
      </c>
      <c r="CS803" s="244">
        <v>0</v>
      </c>
      <c r="CT803" s="244">
        <v>0</v>
      </c>
      <c r="CU803" s="244">
        <v>0</v>
      </c>
      <c r="CV803" s="244">
        <v>9999</v>
      </c>
      <c r="CW803" s="228">
        <v>9999</v>
      </c>
    </row>
    <row r="804" spans="1:101">
      <c r="A804" s="221" t="s">
        <v>455</v>
      </c>
      <c r="C804" s="244">
        <v>10</v>
      </c>
      <c r="D804" s="244">
        <v>7.517704963684082</v>
      </c>
      <c r="E804" s="244">
        <v>6.817807674407959</v>
      </c>
      <c r="F804" s="244">
        <v>11.336667060852051</v>
      </c>
      <c r="G804" s="244">
        <v>0</v>
      </c>
      <c r="H804" s="244">
        <v>0</v>
      </c>
      <c r="I804" s="244"/>
      <c r="J804" s="244">
        <v>1</v>
      </c>
      <c r="K804" s="244">
        <v>0.63999998569488525</v>
      </c>
      <c r="L804" s="244">
        <v>8.1992807388305664</v>
      </c>
      <c r="M804" s="244">
        <v>5.9903424698859453E-4</v>
      </c>
      <c r="N804" s="244">
        <v>9.3599100364372134E-4</v>
      </c>
      <c r="O804" s="244">
        <v>6.8859853744506836</v>
      </c>
      <c r="P804" s="244">
        <v>2.0896283909678459E-2</v>
      </c>
      <c r="Q804" s="244">
        <v>6.5918877720832825E-2</v>
      </c>
      <c r="R804" s="244">
        <v>1.1271885633468628</v>
      </c>
      <c r="S804" s="244">
        <v>6.2292284965515137</v>
      </c>
      <c r="T804" s="244">
        <v>0</v>
      </c>
      <c r="U804" s="244">
        <v>12.556410789489746</v>
      </c>
      <c r="V804" s="244">
        <v>1.1336666345596313</v>
      </c>
      <c r="W804" s="244">
        <v>1.1336666345596313</v>
      </c>
      <c r="X804" s="244">
        <v>0</v>
      </c>
      <c r="Y804" s="244">
        <v>0</v>
      </c>
      <c r="Z804" s="244">
        <v>0</v>
      </c>
      <c r="AA804" s="244">
        <v>0</v>
      </c>
      <c r="AB804" s="244">
        <v>0</v>
      </c>
      <c r="AC804" s="244">
        <v>0</v>
      </c>
      <c r="AD804" s="244">
        <v>0</v>
      </c>
      <c r="AE804" s="244">
        <v>0</v>
      </c>
      <c r="AF804" s="244">
        <v>0</v>
      </c>
      <c r="AG804" s="244">
        <v>0</v>
      </c>
      <c r="AH804" s="244">
        <v>2.2608551979064941</v>
      </c>
      <c r="AI804" s="244">
        <v>7.3628950119018555</v>
      </c>
      <c r="AJ804" s="244">
        <v>0</v>
      </c>
      <c r="AK804" s="244">
        <v>12.556410789489746</v>
      </c>
      <c r="AL804" s="244">
        <v>22.18016242980957</v>
      </c>
      <c r="AM804" s="244">
        <v>5.6809253692626953</v>
      </c>
      <c r="AN804" s="244">
        <v>0</v>
      </c>
      <c r="AO804" s="244">
        <v>1.0074716806411743</v>
      </c>
      <c r="AP804" s="244">
        <v>4.393791675567627</v>
      </c>
      <c r="AQ804" s="244">
        <v>11.082188606262207</v>
      </c>
      <c r="AR804" s="244">
        <v>2.2608551979064941</v>
      </c>
      <c r="AS804" s="228">
        <v>4.901768470503276</v>
      </c>
      <c r="AT804" s="244">
        <v>5.6809253692626953</v>
      </c>
      <c r="AU804" s="244">
        <v>0.26828399300575256</v>
      </c>
      <c r="AV804" s="244">
        <v>1.0343000888824463</v>
      </c>
      <c r="AW804" s="244">
        <v>4.393791675567627</v>
      </c>
      <c r="AX804" s="244">
        <v>11.377301216125488</v>
      </c>
      <c r="AY804" s="244">
        <v>7.3628950119018555</v>
      </c>
      <c r="AZ804" s="228">
        <v>1.5452211289340416</v>
      </c>
      <c r="BA804" s="244">
        <v>5.6809253692626953</v>
      </c>
      <c r="BB804" s="244">
        <v>0.26828399300575256</v>
      </c>
      <c r="BC804" s="244">
        <v>1.0343000888824463</v>
      </c>
      <c r="BD804" s="244">
        <v>4.393791675567627</v>
      </c>
      <c r="BE804" s="244">
        <v>11.377301216125488</v>
      </c>
      <c r="BF804" s="244">
        <v>9.6237506866455078</v>
      </c>
      <c r="BG804" s="244">
        <v>38.435405731201172</v>
      </c>
      <c r="BH804" s="228">
        <v>1.1822107533706019</v>
      </c>
      <c r="BI804" s="244">
        <v>22.125947952270508</v>
      </c>
      <c r="BJ804" s="244">
        <v>72.057258605957031</v>
      </c>
      <c r="BK804" s="244">
        <v>0</v>
      </c>
      <c r="BL804" s="244">
        <v>122.88381195068359</v>
      </c>
      <c r="BM804" s="244">
        <v>217.06703186035156</v>
      </c>
      <c r="BN804" s="244">
        <v>5.6809253692626953</v>
      </c>
      <c r="BO804" s="244">
        <v>56.918663024902344</v>
      </c>
      <c r="BP804" s="244">
        <v>0.26828399300575256</v>
      </c>
      <c r="BQ804" s="244">
        <v>0</v>
      </c>
      <c r="BR804" s="244">
        <v>0</v>
      </c>
      <c r="BS804" s="244">
        <v>0</v>
      </c>
      <c r="BT804" s="244">
        <v>4.393791675567627</v>
      </c>
      <c r="BU804" s="244">
        <v>0</v>
      </c>
      <c r="BV804" s="244">
        <v>233.11453247070312</v>
      </c>
      <c r="BW804" s="244">
        <v>1.0343000888824463</v>
      </c>
      <c r="BX804" s="244">
        <v>19.91282844543457</v>
      </c>
      <c r="BY804" s="244">
        <v>2.2673332691192627</v>
      </c>
      <c r="BZ804" s="244">
        <v>0</v>
      </c>
      <c r="CA804" s="244">
        <v>0</v>
      </c>
      <c r="CB804" s="244">
        <v>301.41049194335937</v>
      </c>
      <c r="CC804" s="244">
        <v>22.18016242980957</v>
      </c>
      <c r="CD804" s="228">
        <v>13.589192923897807</v>
      </c>
      <c r="CE804" s="244">
        <v>-2677.10205078125</v>
      </c>
      <c r="CF804" s="244">
        <v>6.2177184891322838E-2</v>
      </c>
      <c r="CG804" s="244">
        <v>0.64452824430727962</v>
      </c>
      <c r="CH804" s="244">
        <v>0.70670542919860246</v>
      </c>
      <c r="CI804" s="244">
        <v>3.0520581056017381E-3</v>
      </c>
      <c r="CJ804" s="244">
        <v>4.0283015269205268E-2</v>
      </c>
      <c r="CK804" s="244">
        <v>4.3335073374807007E-2</v>
      </c>
      <c r="CL804" s="244"/>
      <c r="CM804" s="244">
        <v>6.8859853744506836</v>
      </c>
      <c r="CN804" s="244"/>
      <c r="CO804" s="244">
        <v>0.28600001335144043</v>
      </c>
      <c r="CP804" s="244">
        <v>0.31699997186660767</v>
      </c>
      <c r="CQ804" s="244">
        <v>56.918663024902344</v>
      </c>
      <c r="CR804" s="244">
        <v>0</v>
      </c>
      <c r="CS804" s="244">
        <v>0</v>
      </c>
      <c r="CT804" s="244">
        <v>56.918663024902344</v>
      </c>
      <c r="CU804" s="244">
        <v>0</v>
      </c>
      <c r="CV804" s="244">
        <v>0</v>
      </c>
      <c r="CW804" s="228">
        <v>9999</v>
      </c>
    </row>
    <row r="805" spans="1:101">
      <c r="A805" s="221" t="s">
        <v>573</v>
      </c>
      <c r="C805" s="244">
        <v>9.9999990463256836</v>
      </c>
      <c r="D805" s="244">
        <v>35.171260833740234</v>
      </c>
      <c r="E805" s="244">
        <v>2.5480997562408447</v>
      </c>
      <c r="F805" s="244">
        <v>8.1096944808959961</v>
      </c>
      <c r="G805" s="244">
        <v>0</v>
      </c>
      <c r="H805" s="244">
        <v>0</v>
      </c>
      <c r="I805" s="244"/>
      <c r="J805" s="244">
        <v>0.37382984161376953</v>
      </c>
      <c r="K805" s="244">
        <v>0.35673251748085022</v>
      </c>
      <c r="L805" s="244">
        <v>38.354156494140625</v>
      </c>
      <c r="M805" s="244">
        <v>4.6005966141819954E-3</v>
      </c>
      <c r="N805" s="244">
        <v>1.3964061625301838E-2</v>
      </c>
      <c r="O805" s="244">
        <v>2.5735807418823242</v>
      </c>
      <c r="P805" s="244">
        <v>7.8098154626786709E-3</v>
      </c>
      <c r="Q805" s="244">
        <v>2.4636641144752502E-2</v>
      </c>
      <c r="R805" s="244">
        <v>0.80633538961410522</v>
      </c>
      <c r="S805" s="244">
        <v>4.4560842514038086</v>
      </c>
      <c r="T805" s="244">
        <v>0</v>
      </c>
      <c r="U805" s="244">
        <v>8.9822397232055664</v>
      </c>
      <c r="V805" s="244">
        <v>0.81096947193145752</v>
      </c>
      <c r="W805" s="244">
        <v>0.81096947193145752</v>
      </c>
      <c r="X805" s="244">
        <v>0</v>
      </c>
      <c r="Y805" s="244">
        <v>0</v>
      </c>
      <c r="Z805" s="244">
        <v>0</v>
      </c>
      <c r="AA805" s="244">
        <v>0</v>
      </c>
      <c r="AB805" s="244">
        <v>0</v>
      </c>
      <c r="AC805" s="244">
        <v>0</v>
      </c>
      <c r="AD805" s="244">
        <v>0</v>
      </c>
      <c r="AE805" s="244">
        <v>0</v>
      </c>
      <c r="AF805" s="244">
        <v>0</v>
      </c>
      <c r="AG805" s="244">
        <v>0</v>
      </c>
      <c r="AH805" s="244">
        <v>1.617304801940918</v>
      </c>
      <c r="AI805" s="244">
        <v>5.2670536041259766</v>
      </c>
      <c r="AJ805" s="244">
        <v>0</v>
      </c>
      <c r="AK805" s="244">
        <v>8.9822397232055664</v>
      </c>
      <c r="AL805" s="244">
        <v>15.866598129272461</v>
      </c>
      <c r="AM805" s="244">
        <v>26.976207733154297</v>
      </c>
      <c r="AN805" s="244">
        <v>0</v>
      </c>
      <c r="AO805" s="244">
        <v>4.7529253959655762</v>
      </c>
      <c r="AP805" s="244">
        <v>20.553045272827148</v>
      </c>
      <c r="AQ805" s="244">
        <v>52.282176971435547</v>
      </c>
      <c r="AR805" s="244">
        <v>1.617304801940918</v>
      </c>
      <c r="AS805" s="228">
        <v>32.326730503971916</v>
      </c>
      <c r="AT805" s="244">
        <v>26.976207733154297</v>
      </c>
      <c r="AU805" s="244">
        <v>4.0025324821472168</v>
      </c>
      <c r="AV805" s="244">
        <v>5.1531786918640137</v>
      </c>
      <c r="AW805" s="244">
        <v>20.553045272827148</v>
      </c>
      <c r="AX805" s="244">
        <v>56.684963226318359</v>
      </c>
      <c r="AY805" s="244">
        <v>5.2670536041259766</v>
      </c>
      <c r="AZ805" s="228">
        <v>10.762176950816812</v>
      </c>
      <c r="BA805" s="244">
        <v>26.976207733154297</v>
      </c>
      <c r="BB805" s="244">
        <v>4.0025324821472168</v>
      </c>
      <c r="BC805" s="244">
        <v>5.1531786918640137</v>
      </c>
      <c r="BD805" s="244">
        <v>20.553045272827148</v>
      </c>
      <c r="BE805" s="244">
        <v>56.684963226318359</v>
      </c>
      <c r="BF805" s="244">
        <v>6.8843584060668945</v>
      </c>
      <c r="BG805" s="244">
        <v>-47.752025604248047</v>
      </c>
      <c r="BH805" s="228">
        <v>8.2338773439957169</v>
      </c>
      <c r="BI805" s="244">
        <v>3.3836417198181152</v>
      </c>
      <c r="BJ805" s="244">
        <v>11.019457817077637</v>
      </c>
      <c r="BK805" s="244">
        <v>0</v>
      </c>
      <c r="BL805" s="244">
        <v>18.792177200317383</v>
      </c>
      <c r="BM805" s="244">
        <v>33.195278167724609</v>
      </c>
      <c r="BN805" s="244">
        <v>26.976207733154297</v>
      </c>
      <c r="BO805" s="244">
        <v>21.272884368896484</v>
      </c>
      <c r="BP805" s="244">
        <v>4.0025324821472168</v>
      </c>
      <c r="BQ805" s="244">
        <v>0</v>
      </c>
      <c r="BR805" s="244">
        <v>0</v>
      </c>
      <c r="BS805" s="244">
        <v>0</v>
      </c>
      <c r="BT805" s="244">
        <v>20.553045272827148</v>
      </c>
      <c r="BU805" s="244">
        <v>0</v>
      </c>
      <c r="BV805" s="244">
        <v>134.15776062011719</v>
      </c>
      <c r="BW805" s="244">
        <v>5.1531786918640137</v>
      </c>
      <c r="BX805" s="244">
        <v>14.244659423828125</v>
      </c>
      <c r="BY805" s="244">
        <v>1.621938943862915</v>
      </c>
      <c r="BZ805" s="244">
        <v>0</v>
      </c>
      <c r="CA805" s="244">
        <v>0</v>
      </c>
      <c r="CB805" s="244">
        <v>212.11561584472656</v>
      </c>
      <c r="CC805" s="244">
        <v>15.866598129272461</v>
      </c>
      <c r="CD805" s="228">
        <v>13.368688376264364</v>
      </c>
      <c r="CE805" s="244">
        <v>-354.14382934570312</v>
      </c>
      <c r="CF805" s="244">
        <v>0.2896058223148481</v>
      </c>
      <c r="CG805" s="244">
        <v>0.24088715274208702</v>
      </c>
      <c r="CH805" s="244">
        <v>0.53049297505693516</v>
      </c>
      <c r="CI805" s="244">
        <v>1.420251722250475E-2</v>
      </c>
      <c r="CJ805" s="244">
        <v>1.5055447046380385E-2</v>
      </c>
      <c r="CK805" s="244">
        <v>2.9257964268885134E-2</v>
      </c>
      <c r="CL805" s="244"/>
      <c r="CM805" s="244">
        <v>2.5735807418823242</v>
      </c>
      <c r="CN805" s="244"/>
      <c r="CO805" s="244">
        <v>0.28600001335144043</v>
      </c>
      <c r="CP805" s="244">
        <v>0.31700000166893005</v>
      </c>
      <c r="CQ805" s="244">
        <v>21.272884368896484</v>
      </c>
      <c r="CR805" s="244">
        <v>0</v>
      </c>
      <c r="CS805" s="244">
        <v>0</v>
      </c>
      <c r="CT805" s="244">
        <v>21.272884368896484</v>
      </c>
      <c r="CU805" s="244">
        <v>0</v>
      </c>
      <c r="CV805" s="244">
        <v>0</v>
      </c>
      <c r="CW805" s="228">
        <v>9999</v>
      </c>
    </row>
    <row r="806" spans="1:101">
      <c r="A806" s="221" t="s">
        <v>535</v>
      </c>
      <c r="C806" s="244">
        <v>10</v>
      </c>
      <c r="D806" s="244">
        <v>94.046524047851562</v>
      </c>
      <c r="E806" s="244">
        <v>0</v>
      </c>
      <c r="F806" s="244">
        <v>11.336667060852051</v>
      </c>
      <c r="G806" s="244">
        <v>0</v>
      </c>
      <c r="H806" s="244">
        <v>0</v>
      </c>
      <c r="I806" s="244"/>
      <c r="J806" s="244">
        <v>0.31946483254432678</v>
      </c>
      <c r="K806" s="244">
        <v>0.33213883638381958</v>
      </c>
      <c r="L806" s="244">
        <v>102.55610656738281</v>
      </c>
      <c r="M806" s="244">
        <v>1.2719236314296722E-2</v>
      </c>
      <c r="N806" s="244">
        <v>3.9564579725265503E-2</v>
      </c>
      <c r="O806" s="244">
        <v>0</v>
      </c>
      <c r="P806" s="244">
        <v>0</v>
      </c>
      <c r="Q806" s="244">
        <v>0</v>
      </c>
      <c r="R806" s="244">
        <v>1.1271885633468628</v>
      </c>
      <c r="S806" s="244">
        <v>6.2292284965515137</v>
      </c>
      <c r="T806" s="244">
        <v>0</v>
      </c>
      <c r="U806" s="244">
        <v>12.556410789489746</v>
      </c>
      <c r="V806" s="244">
        <v>1.1336666345596313</v>
      </c>
      <c r="W806" s="244">
        <v>1.1336666345596313</v>
      </c>
      <c r="X806" s="244">
        <v>0</v>
      </c>
      <c r="Y806" s="244">
        <v>0</v>
      </c>
      <c r="Z806" s="244">
        <v>0</v>
      </c>
      <c r="AA806" s="244">
        <v>0</v>
      </c>
      <c r="AB806" s="244">
        <v>0</v>
      </c>
      <c r="AC806" s="244">
        <v>0</v>
      </c>
      <c r="AD806" s="244">
        <v>0</v>
      </c>
      <c r="AE806" s="244">
        <v>0</v>
      </c>
      <c r="AF806" s="244">
        <v>0</v>
      </c>
      <c r="AG806" s="244">
        <v>0</v>
      </c>
      <c r="AH806" s="244">
        <v>2.2608551979064941</v>
      </c>
      <c r="AI806" s="244">
        <v>7.3628950119018555</v>
      </c>
      <c r="AJ806" s="244">
        <v>0</v>
      </c>
      <c r="AK806" s="244">
        <v>12.556410789489746</v>
      </c>
      <c r="AL806" s="244">
        <v>22.18016242980957</v>
      </c>
      <c r="AM806" s="244">
        <v>72.225746154785156</v>
      </c>
      <c r="AN806" s="244">
        <v>0</v>
      </c>
      <c r="AO806" s="244">
        <v>12.718302726745605</v>
      </c>
      <c r="AP806" s="244">
        <v>54.957275390625</v>
      </c>
      <c r="AQ806" s="244">
        <v>139.90132141113281</v>
      </c>
      <c r="AR806" s="244">
        <v>2.2608551979064941</v>
      </c>
      <c r="AS806" s="228">
        <v>61.879825121795299</v>
      </c>
      <c r="AT806" s="244">
        <v>72.225746154785156</v>
      </c>
      <c r="AU806" s="244">
        <v>11.340434074401855</v>
      </c>
      <c r="AV806" s="244">
        <v>13.852346420288086</v>
      </c>
      <c r="AW806" s="244">
        <v>54.957275390625</v>
      </c>
      <c r="AX806" s="244">
        <v>152.37580871582031</v>
      </c>
      <c r="AY806" s="244">
        <v>7.3628950119018555</v>
      </c>
      <c r="AZ806" s="228">
        <v>20.695093346671751</v>
      </c>
      <c r="BA806" s="244">
        <v>72.225746154785156</v>
      </c>
      <c r="BB806" s="244">
        <v>11.340434074401855</v>
      </c>
      <c r="BC806" s="244">
        <v>13.852346420288086</v>
      </c>
      <c r="BD806" s="244">
        <v>54.957275390625</v>
      </c>
      <c r="BE806" s="244">
        <v>152.37580871582031</v>
      </c>
      <c r="BF806" s="244">
        <v>9.6237506866455078</v>
      </c>
      <c r="BG806" s="244">
        <v>-55.181629180908203</v>
      </c>
      <c r="BH806" s="228">
        <v>15.833307892522408</v>
      </c>
      <c r="BI806" s="244">
        <v>1.7689523696899414</v>
      </c>
      <c r="BJ806" s="244">
        <v>5.7609219551086426</v>
      </c>
      <c r="BK806" s="244">
        <v>0</v>
      </c>
      <c r="BL806" s="244">
        <v>9.8244647979736328</v>
      </c>
      <c r="BM806" s="244">
        <v>17.354339599609375</v>
      </c>
      <c r="BN806" s="244">
        <v>72.225746154785156</v>
      </c>
      <c r="BO806" s="244">
        <v>0</v>
      </c>
      <c r="BP806" s="244">
        <v>11.340434074401855</v>
      </c>
      <c r="BQ806" s="244">
        <v>0</v>
      </c>
      <c r="BR806" s="244">
        <v>0</v>
      </c>
      <c r="BS806" s="244">
        <v>0</v>
      </c>
      <c r="BT806" s="244">
        <v>54.957275390625</v>
      </c>
      <c r="BU806" s="244">
        <v>0</v>
      </c>
      <c r="BV806" s="244">
        <v>136.68376159667969</v>
      </c>
      <c r="BW806" s="244">
        <v>13.852346420288086</v>
      </c>
      <c r="BX806" s="244">
        <v>19.91282844543457</v>
      </c>
      <c r="BY806" s="244">
        <v>2.2673332691192627</v>
      </c>
      <c r="BZ806" s="244">
        <v>0</v>
      </c>
      <c r="CA806" s="244">
        <v>0</v>
      </c>
      <c r="CB806" s="244">
        <v>289.0595703125</v>
      </c>
      <c r="CC806" s="244">
        <v>22.18016242980957</v>
      </c>
      <c r="CD806" s="228">
        <v>13.032346984517664</v>
      </c>
      <c r="CE806" s="244">
        <v>-152.3021240234375</v>
      </c>
      <c r="CF806" s="244">
        <v>0.77409535326062207</v>
      </c>
      <c r="CG806" s="244">
        <v>0</v>
      </c>
      <c r="CH806" s="244">
        <v>0.77409535326062207</v>
      </c>
      <c r="CI806" s="244">
        <v>3.7959218152262456E-2</v>
      </c>
      <c r="CJ806" s="244">
        <v>0</v>
      </c>
      <c r="CK806" s="244">
        <v>3.7959218152262456E-2</v>
      </c>
      <c r="CL806" s="244"/>
      <c r="CM806" s="244">
        <v>0</v>
      </c>
      <c r="CN806" s="244"/>
      <c r="CO806" s="244">
        <v>0</v>
      </c>
      <c r="CP806" s="244">
        <v>0</v>
      </c>
      <c r="CQ806" s="244">
        <v>0</v>
      </c>
      <c r="CR806" s="244">
        <v>0</v>
      </c>
      <c r="CS806" s="244">
        <v>0</v>
      </c>
      <c r="CT806" s="244">
        <v>0</v>
      </c>
      <c r="CU806" s="244">
        <v>0</v>
      </c>
      <c r="CV806" s="244">
        <v>9999</v>
      </c>
      <c r="CW806" s="228">
        <v>9999</v>
      </c>
    </row>
    <row r="807" spans="1:101">
      <c r="A807" s="221" t="s">
        <v>561</v>
      </c>
      <c r="C807" s="244">
        <v>10</v>
      </c>
      <c r="D807" s="244">
        <v>49.121822357177734</v>
      </c>
      <c r="E807" s="244">
        <v>3.5814237594604492</v>
      </c>
      <c r="F807" s="244">
        <v>11.336667060852051</v>
      </c>
      <c r="G807" s="244">
        <v>0</v>
      </c>
      <c r="H807" s="244">
        <v>0</v>
      </c>
      <c r="I807" s="244"/>
      <c r="J807" s="244">
        <v>0.36984831094741821</v>
      </c>
      <c r="K807" s="244">
        <v>0.35493135452270508</v>
      </c>
      <c r="L807" s="244">
        <v>53.567153930664062</v>
      </c>
      <c r="M807" s="244">
        <v>6.4413752406835556E-3</v>
      </c>
      <c r="N807" s="244">
        <v>1.9587982445955276E-2</v>
      </c>
      <c r="O807" s="244">
        <v>3.6172380447387695</v>
      </c>
      <c r="P807" s="244">
        <v>1.0976909659802914E-2</v>
      </c>
      <c r="Q807" s="244">
        <v>3.4627474844455719E-2</v>
      </c>
      <c r="R807" s="244">
        <v>1.1271885633468628</v>
      </c>
      <c r="S807" s="244">
        <v>6.2292284965515137</v>
      </c>
      <c r="T807" s="244">
        <v>0</v>
      </c>
      <c r="U807" s="244">
        <v>12.556410789489746</v>
      </c>
      <c r="V807" s="244">
        <v>1.1336666345596313</v>
      </c>
      <c r="W807" s="244">
        <v>1.1336666345596313</v>
      </c>
      <c r="X807" s="244">
        <v>0</v>
      </c>
      <c r="Y807" s="244">
        <v>0</v>
      </c>
      <c r="Z807" s="244">
        <v>0</v>
      </c>
      <c r="AA807" s="244">
        <v>0</v>
      </c>
      <c r="AB807" s="244">
        <v>0</v>
      </c>
      <c r="AC807" s="244">
        <v>0</v>
      </c>
      <c r="AD807" s="244">
        <v>0</v>
      </c>
      <c r="AE807" s="244">
        <v>0</v>
      </c>
      <c r="AF807" s="244">
        <v>0</v>
      </c>
      <c r="AG807" s="244">
        <v>0</v>
      </c>
      <c r="AH807" s="244">
        <v>2.2608551979064941</v>
      </c>
      <c r="AI807" s="244">
        <v>7.3628950119018555</v>
      </c>
      <c r="AJ807" s="244">
        <v>0</v>
      </c>
      <c r="AK807" s="244">
        <v>12.556410789489746</v>
      </c>
      <c r="AL807" s="244">
        <v>22.18016242980957</v>
      </c>
      <c r="AM807" s="244">
        <v>37.679771423339844</v>
      </c>
      <c r="AN807" s="244">
        <v>0</v>
      </c>
      <c r="AO807" s="244">
        <v>6.6385087966918945</v>
      </c>
      <c r="AP807" s="244">
        <v>28.705318450927734</v>
      </c>
      <c r="AQ807" s="244">
        <v>73.023597717285156</v>
      </c>
      <c r="AR807" s="244">
        <v>2.2608551979064941</v>
      </c>
      <c r="AS807" s="228">
        <v>32.299104665605228</v>
      </c>
      <c r="AT807" s="244">
        <v>37.679771423339844</v>
      </c>
      <c r="AU807" s="244">
        <v>5.6145219802856445</v>
      </c>
      <c r="AV807" s="244">
        <v>7.1999607086181641</v>
      </c>
      <c r="AW807" s="244">
        <v>28.705318450927734</v>
      </c>
      <c r="AX807" s="244">
        <v>79.199569702148438</v>
      </c>
      <c r="AY807" s="244">
        <v>7.3628950119018555</v>
      </c>
      <c r="AZ807" s="228">
        <v>10.756580278934281</v>
      </c>
      <c r="BA807" s="244">
        <v>37.679771423339844</v>
      </c>
      <c r="BB807" s="244">
        <v>5.6145219802856445</v>
      </c>
      <c r="BC807" s="244">
        <v>7.1999607086181641</v>
      </c>
      <c r="BD807" s="244">
        <v>28.705318450927734</v>
      </c>
      <c r="BE807" s="244">
        <v>79.199569702148438</v>
      </c>
      <c r="BF807" s="244">
        <v>9.6237506866455078</v>
      </c>
      <c r="BG807" s="244">
        <v>-47.779678344726563</v>
      </c>
      <c r="BH807" s="228">
        <v>8.2295955168712087</v>
      </c>
      <c r="BI807" s="244">
        <v>3.3867182731628418</v>
      </c>
      <c r="BJ807" s="244">
        <v>11.029477119445801</v>
      </c>
      <c r="BK807" s="244">
        <v>0</v>
      </c>
      <c r="BL807" s="244">
        <v>18.80926513671875</v>
      </c>
      <c r="BM807" s="244">
        <v>33.2254638671875</v>
      </c>
      <c r="BN807" s="244">
        <v>37.679771423339844</v>
      </c>
      <c r="BO807" s="244">
        <v>29.899620056152344</v>
      </c>
      <c r="BP807" s="244">
        <v>5.6145219802856445</v>
      </c>
      <c r="BQ807" s="244">
        <v>0</v>
      </c>
      <c r="BR807" s="244">
        <v>0</v>
      </c>
      <c r="BS807" s="244">
        <v>0</v>
      </c>
      <c r="BT807" s="244">
        <v>28.705318450927734</v>
      </c>
      <c r="BU807" s="244">
        <v>0</v>
      </c>
      <c r="BV807" s="244">
        <v>178.87702941894531</v>
      </c>
      <c r="BW807" s="244">
        <v>7.1999607086181641</v>
      </c>
      <c r="BX807" s="244">
        <v>19.91282844543457</v>
      </c>
      <c r="BY807" s="244">
        <v>2.2673332691192627</v>
      </c>
      <c r="BZ807" s="244">
        <v>0</v>
      </c>
      <c r="CA807" s="244">
        <v>0</v>
      </c>
      <c r="CB807" s="244">
        <v>287.97622680664062</v>
      </c>
      <c r="CC807" s="244">
        <v>22.18016242980957</v>
      </c>
      <c r="CD807" s="228">
        <v>12.983504166667517</v>
      </c>
      <c r="CE807" s="244">
        <v>-341.7138671875</v>
      </c>
      <c r="CF807" s="244">
        <v>0.40446558184231857</v>
      </c>
      <c r="CG807" s="244">
        <v>0.33857348259068143</v>
      </c>
      <c r="CH807" s="244">
        <v>0.74303906443300005</v>
      </c>
      <c r="CI807" s="244">
        <v>1.9835220247519138E-2</v>
      </c>
      <c r="CJ807" s="244">
        <v>2.1160842661917627E-2</v>
      </c>
      <c r="CK807" s="244">
        <v>4.0996062909436762E-2</v>
      </c>
      <c r="CL807" s="244"/>
      <c r="CM807" s="244">
        <v>3.6172380447387695</v>
      </c>
      <c r="CN807" s="244"/>
      <c r="CO807" s="244">
        <v>0.28600001335144043</v>
      </c>
      <c r="CP807" s="244">
        <v>0.31700000166893005</v>
      </c>
      <c r="CQ807" s="244">
        <v>29.899620056152344</v>
      </c>
      <c r="CR807" s="244">
        <v>0</v>
      </c>
      <c r="CS807" s="244">
        <v>0</v>
      </c>
      <c r="CT807" s="244">
        <v>29.899620056152344</v>
      </c>
      <c r="CU807" s="244">
        <v>0</v>
      </c>
      <c r="CV807" s="244">
        <v>0</v>
      </c>
      <c r="CW807" s="228">
        <v>9999</v>
      </c>
    </row>
    <row r="808" spans="1:101">
      <c r="A808" s="221" t="s">
        <v>464</v>
      </c>
      <c r="C808" s="244">
        <v>10.000000953674316</v>
      </c>
      <c r="D808" s="244">
        <v>5.011803150177002</v>
      </c>
      <c r="E808" s="244">
        <v>4.5452051162719727</v>
      </c>
      <c r="F808" s="244">
        <v>8.1096944808959961</v>
      </c>
      <c r="G808" s="244">
        <v>0</v>
      </c>
      <c r="H808" s="244">
        <v>0</v>
      </c>
      <c r="I808" s="244"/>
      <c r="J808" s="244">
        <v>1</v>
      </c>
      <c r="K808" s="244">
        <v>0.64000004529953003</v>
      </c>
      <c r="L808" s="244">
        <v>5.4661874771118164</v>
      </c>
      <c r="M808" s="244">
        <v>3.9935612585395575E-4</v>
      </c>
      <c r="N808" s="244">
        <v>6.2399398302659392E-4</v>
      </c>
      <c r="O808" s="244">
        <v>4.5906572341918945</v>
      </c>
      <c r="P808" s="244">
        <v>1.3930856250226498E-2</v>
      </c>
      <c r="Q808" s="244">
        <v>4.3945919722318649E-2</v>
      </c>
      <c r="R808" s="244">
        <v>0.80633538961410522</v>
      </c>
      <c r="S808" s="244">
        <v>4.4560842514038086</v>
      </c>
      <c r="T808" s="244">
        <v>0</v>
      </c>
      <c r="U808" s="244">
        <v>8.9822397232055664</v>
      </c>
      <c r="V808" s="244">
        <v>0.81096947193145752</v>
      </c>
      <c r="W808" s="244">
        <v>0.81096947193145752</v>
      </c>
      <c r="X808" s="244">
        <v>0</v>
      </c>
      <c r="Y808" s="244">
        <v>0</v>
      </c>
      <c r="Z808" s="244">
        <v>0</v>
      </c>
      <c r="AA808" s="244">
        <v>0</v>
      </c>
      <c r="AB808" s="244">
        <v>0</v>
      </c>
      <c r="AC808" s="244">
        <v>0</v>
      </c>
      <c r="AD808" s="244">
        <v>0</v>
      </c>
      <c r="AE808" s="244">
        <v>0</v>
      </c>
      <c r="AF808" s="244">
        <v>0</v>
      </c>
      <c r="AG808" s="244">
        <v>0</v>
      </c>
      <c r="AH808" s="244">
        <v>1.617304801940918</v>
      </c>
      <c r="AI808" s="244">
        <v>5.2670536041259766</v>
      </c>
      <c r="AJ808" s="244">
        <v>0</v>
      </c>
      <c r="AK808" s="244">
        <v>8.9822397232055664</v>
      </c>
      <c r="AL808" s="244">
        <v>15.866598129272461</v>
      </c>
      <c r="AM808" s="244">
        <v>3.7872834205627441</v>
      </c>
      <c r="AN808" s="244">
        <v>0</v>
      </c>
      <c r="AO808" s="244">
        <v>0.67164778709411621</v>
      </c>
      <c r="AP808" s="244">
        <v>2.929194450378418</v>
      </c>
      <c r="AQ808" s="244">
        <v>7.3881254196166992</v>
      </c>
      <c r="AR808" s="244">
        <v>1.617304801940918</v>
      </c>
      <c r="AS808" s="228">
        <v>4.5681713038164515</v>
      </c>
      <c r="AT808" s="244">
        <v>3.7872834205627441</v>
      </c>
      <c r="AU808" s="244">
        <v>0.1788560152053833</v>
      </c>
      <c r="AV808" s="244">
        <v>0.68953341245651245</v>
      </c>
      <c r="AW808" s="244">
        <v>2.929194450378418</v>
      </c>
      <c r="AX808" s="244">
        <v>7.5848674774169922</v>
      </c>
      <c r="AY808" s="244">
        <v>5.2670536041259766</v>
      </c>
      <c r="AZ808" s="228">
        <v>1.4400588444729359</v>
      </c>
      <c r="BA808" s="244">
        <v>3.7872834205627441</v>
      </c>
      <c r="BB808" s="244">
        <v>0.1788560152053833</v>
      </c>
      <c r="BC808" s="244">
        <v>0.68953341245651245</v>
      </c>
      <c r="BD808" s="244">
        <v>2.929194450378418</v>
      </c>
      <c r="BE808" s="244">
        <v>7.5848674774169922</v>
      </c>
      <c r="BF808" s="244">
        <v>6.8843584060668945</v>
      </c>
      <c r="BG808" s="244">
        <v>45.313259124755859</v>
      </c>
      <c r="BH808" s="228">
        <v>1.1017536644968873</v>
      </c>
      <c r="BI808" s="244">
        <v>23.741724014282227</v>
      </c>
      <c r="BJ808" s="244">
        <v>77.3193359375</v>
      </c>
      <c r="BK808" s="244">
        <v>0</v>
      </c>
      <c r="BL808" s="244">
        <v>131.8575439453125</v>
      </c>
      <c r="BM808" s="244">
        <v>232.91860961914062</v>
      </c>
      <c r="BN808" s="244">
        <v>3.7872834205627441</v>
      </c>
      <c r="BO808" s="244">
        <v>37.945774078369141</v>
      </c>
      <c r="BP808" s="244">
        <v>0.1788560152053833</v>
      </c>
      <c r="BQ808" s="244">
        <v>0</v>
      </c>
      <c r="BR808" s="244">
        <v>0</v>
      </c>
      <c r="BS808" s="244">
        <v>0</v>
      </c>
      <c r="BT808" s="244">
        <v>2.929194450378418</v>
      </c>
      <c r="BU808" s="244">
        <v>0</v>
      </c>
      <c r="BV808" s="244">
        <v>155.40969848632812</v>
      </c>
      <c r="BW808" s="244">
        <v>0.68953341245651245</v>
      </c>
      <c r="BX808" s="244">
        <v>14.244659423828125</v>
      </c>
      <c r="BY808" s="244">
        <v>1.621938943862915</v>
      </c>
      <c r="BZ808" s="244">
        <v>0</v>
      </c>
      <c r="CA808" s="244">
        <v>0</v>
      </c>
      <c r="CB808" s="244">
        <v>200.94033813476562</v>
      </c>
      <c r="CC808" s="244">
        <v>15.866598129272461</v>
      </c>
      <c r="CD808" s="228">
        <v>12.664361648711843</v>
      </c>
      <c r="CE808" s="244">
        <v>-2661.25048828125</v>
      </c>
      <c r="CF808" s="244">
        <v>4.1451456594215196E-2</v>
      </c>
      <c r="CG808" s="244">
        <v>0.42968549620485891</v>
      </c>
      <c r="CH808" s="244">
        <v>0.47113695279907408</v>
      </c>
      <c r="CI808" s="244">
        <v>2.0347054037344941E-3</v>
      </c>
      <c r="CJ808" s="244">
        <v>2.6855343512803498E-2</v>
      </c>
      <c r="CK808" s="244">
        <v>2.8890048916537993E-2</v>
      </c>
      <c r="CL808" s="244"/>
      <c r="CM808" s="244">
        <v>4.5906572341918945</v>
      </c>
      <c r="CN808" s="244"/>
      <c r="CO808" s="244">
        <v>0.28600001335144043</v>
      </c>
      <c r="CP808" s="244">
        <v>0.31700000166893005</v>
      </c>
      <c r="CQ808" s="244">
        <v>37.945774078369141</v>
      </c>
      <c r="CR808" s="244">
        <v>0</v>
      </c>
      <c r="CS808" s="244">
        <v>0</v>
      </c>
      <c r="CT808" s="244">
        <v>37.945774078369141</v>
      </c>
      <c r="CU808" s="244">
        <v>0</v>
      </c>
      <c r="CV808" s="244">
        <v>0</v>
      </c>
      <c r="CW808" s="228">
        <v>9999</v>
      </c>
    </row>
    <row r="809" spans="1:101">
      <c r="A809" s="221" t="s">
        <v>539</v>
      </c>
      <c r="C809" s="244">
        <v>10</v>
      </c>
      <c r="D809" s="244">
        <v>6.8567509651184082</v>
      </c>
      <c r="E809" s="244">
        <v>6.6091985702514648</v>
      </c>
      <c r="F809" s="244">
        <v>11.336667060852051</v>
      </c>
      <c r="G809" s="244">
        <v>0</v>
      </c>
      <c r="H809" s="244">
        <v>0</v>
      </c>
      <c r="I809" s="244"/>
      <c r="J809" s="244">
        <v>1</v>
      </c>
      <c r="K809" s="244">
        <v>0.63999998569488525</v>
      </c>
      <c r="L809" s="244">
        <v>7.4784035682678223</v>
      </c>
      <c r="M809" s="244">
        <v>5.4636737331748009E-4</v>
      </c>
      <c r="N809" s="244">
        <v>8.5369904991239309E-4</v>
      </c>
      <c r="O809" s="244">
        <v>6.675290584564209</v>
      </c>
      <c r="P809" s="244">
        <v>2.0256906747817993E-2</v>
      </c>
      <c r="Q809" s="244">
        <v>6.3901916146278381E-2</v>
      </c>
      <c r="R809" s="244">
        <v>1.1271885633468628</v>
      </c>
      <c r="S809" s="244">
        <v>6.2292284965515137</v>
      </c>
      <c r="T809" s="244">
        <v>0</v>
      </c>
      <c r="U809" s="244">
        <v>12.556410789489746</v>
      </c>
      <c r="V809" s="244">
        <v>1.1336666345596313</v>
      </c>
      <c r="W809" s="244">
        <v>1.1336666345596313</v>
      </c>
      <c r="X809" s="244">
        <v>0</v>
      </c>
      <c r="Y809" s="244">
        <v>0</v>
      </c>
      <c r="Z809" s="244">
        <v>0</v>
      </c>
      <c r="AA809" s="244">
        <v>0</v>
      </c>
      <c r="AB809" s="244">
        <v>0</v>
      </c>
      <c r="AC809" s="244">
        <v>0</v>
      </c>
      <c r="AD809" s="244">
        <v>0</v>
      </c>
      <c r="AE809" s="244">
        <v>0</v>
      </c>
      <c r="AF809" s="244">
        <v>0</v>
      </c>
      <c r="AG809" s="244">
        <v>0</v>
      </c>
      <c r="AH809" s="244">
        <v>2.2608551979064941</v>
      </c>
      <c r="AI809" s="244">
        <v>7.3628950119018555</v>
      </c>
      <c r="AJ809" s="244">
        <v>0</v>
      </c>
      <c r="AK809" s="244">
        <v>12.556410789489746</v>
      </c>
      <c r="AL809" s="244">
        <v>22.18016242980957</v>
      </c>
      <c r="AM809" s="244">
        <v>5.1814603805541992</v>
      </c>
      <c r="AN809" s="244">
        <v>0</v>
      </c>
      <c r="AO809" s="244">
        <v>0.9188951849937439</v>
      </c>
      <c r="AP809" s="244">
        <v>4.0074911117553711</v>
      </c>
      <c r="AQ809" s="244">
        <v>10.107846260070801</v>
      </c>
      <c r="AR809" s="244">
        <v>2.2608551979064941</v>
      </c>
      <c r="AS809" s="228">
        <v>4.4708067489961207</v>
      </c>
      <c r="AT809" s="244">
        <v>5.1814603805541992</v>
      </c>
      <c r="AU809" s="244">
        <v>0.24469654262065887</v>
      </c>
      <c r="AV809" s="244">
        <v>0.94336479902267456</v>
      </c>
      <c r="AW809" s="244">
        <v>4.0074911117553711</v>
      </c>
      <c r="AX809" s="244">
        <v>10.377013206481934</v>
      </c>
      <c r="AY809" s="244">
        <v>7.3628950119018555</v>
      </c>
      <c r="AZ809" s="228">
        <v>1.4093658335708081</v>
      </c>
      <c r="BA809" s="244">
        <v>5.1814603805541992</v>
      </c>
      <c r="BB809" s="244">
        <v>0.24469654262065887</v>
      </c>
      <c r="BC809" s="244">
        <v>0.94336479902267456</v>
      </c>
      <c r="BD809" s="244">
        <v>4.0074911117553711</v>
      </c>
      <c r="BE809" s="244">
        <v>10.377013206481934</v>
      </c>
      <c r="BF809" s="244">
        <v>9.6237506866455078</v>
      </c>
      <c r="BG809" s="244">
        <v>47.514156341552734</v>
      </c>
      <c r="BH809" s="228">
        <v>1.0782712018893528</v>
      </c>
      <c r="BI809" s="244">
        <v>24.258769989013672</v>
      </c>
      <c r="BJ809" s="244">
        <v>79.003189086914063</v>
      </c>
      <c r="BK809" s="244">
        <v>0</v>
      </c>
      <c r="BL809" s="244">
        <v>134.72914123535156</v>
      </c>
      <c r="BM809" s="244">
        <v>237.99110412597656</v>
      </c>
      <c r="BN809" s="244">
        <v>5.1814603805541992</v>
      </c>
      <c r="BO809" s="244">
        <v>55.177082061767578</v>
      </c>
      <c r="BP809" s="244">
        <v>0.24469654262065887</v>
      </c>
      <c r="BQ809" s="244">
        <v>0</v>
      </c>
      <c r="BR809" s="244">
        <v>0</v>
      </c>
      <c r="BS809" s="244">
        <v>0</v>
      </c>
      <c r="BT809" s="244">
        <v>4.0074911117553711</v>
      </c>
      <c r="BU809" s="244">
        <v>0</v>
      </c>
      <c r="BV809" s="244">
        <v>212.61918640136719</v>
      </c>
      <c r="BW809" s="244">
        <v>0.94336479902267456</v>
      </c>
      <c r="BX809" s="244">
        <v>19.91282844543457</v>
      </c>
      <c r="BY809" s="244">
        <v>2.2673332691192627</v>
      </c>
      <c r="BZ809" s="244">
        <v>0</v>
      </c>
      <c r="CA809" s="244">
        <v>0</v>
      </c>
      <c r="CB809" s="244">
        <v>278.17327880859375</v>
      </c>
      <c r="CC809" s="244">
        <v>22.18016242980957</v>
      </c>
      <c r="CD809" s="228">
        <v>12.541535308760182</v>
      </c>
      <c r="CE809" s="244">
        <v>-2691.18603515625</v>
      </c>
      <c r="CF809" s="244">
        <v>5.6710590745225928E-2</v>
      </c>
      <c r="CG809" s="244">
        <v>0.62480718403142466</v>
      </c>
      <c r="CH809" s="244">
        <v>0.68151777477665054</v>
      </c>
      <c r="CI809" s="244">
        <v>2.7837223325558593E-3</v>
      </c>
      <c r="CJ809" s="244">
        <v>3.9050449001963847E-2</v>
      </c>
      <c r="CK809" s="244">
        <v>4.1834171334519707E-2</v>
      </c>
      <c r="CL809" s="244"/>
      <c r="CM809" s="244">
        <v>6.675290584564209</v>
      </c>
      <c r="CN809" s="244"/>
      <c r="CO809" s="244">
        <v>0.28600001335144043</v>
      </c>
      <c r="CP809" s="244">
        <v>0.31700000166893005</v>
      </c>
      <c r="CQ809" s="244">
        <v>55.177082061767578</v>
      </c>
      <c r="CR809" s="244">
        <v>0</v>
      </c>
      <c r="CS809" s="244">
        <v>0</v>
      </c>
      <c r="CT809" s="244">
        <v>55.177082061767578</v>
      </c>
      <c r="CU809" s="244">
        <v>0</v>
      </c>
      <c r="CV809" s="244">
        <v>0</v>
      </c>
      <c r="CW809" s="228">
        <v>9999</v>
      </c>
    </row>
    <row r="810" spans="1:101">
      <c r="A810" s="221" t="s">
        <v>452</v>
      </c>
      <c r="C810" s="244">
        <v>10</v>
      </c>
      <c r="D810" s="244">
        <v>6.6824045181274414</v>
      </c>
      <c r="E810" s="244">
        <v>6.3884100914001465</v>
      </c>
      <c r="F810" s="244">
        <v>11.336667060852051</v>
      </c>
      <c r="G810" s="244">
        <v>0</v>
      </c>
      <c r="H810" s="244">
        <v>0</v>
      </c>
      <c r="I810" s="244"/>
      <c r="J810" s="244">
        <v>1</v>
      </c>
      <c r="K810" s="244">
        <v>0.63999998569488525</v>
      </c>
      <c r="L810" s="244">
        <v>7.2882499694824219</v>
      </c>
      <c r="M810" s="244">
        <v>5.3247489267960191E-4</v>
      </c>
      <c r="N810" s="244">
        <v>8.3199201617389917E-4</v>
      </c>
      <c r="O810" s="244">
        <v>6.452293872833252</v>
      </c>
      <c r="P810" s="244">
        <v>1.958020031452179E-2</v>
      </c>
      <c r="Q810" s="244">
        <v>6.1767194420099258E-2</v>
      </c>
      <c r="R810" s="244">
        <v>1.1271885633468628</v>
      </c>
      <c r="S810" s="244">
        <v>6.2292284965515137</v>
      </c>
      <c r="T810" s="244">
        <v>0</v>
      </c>
      <c r="U810" s="244">
        <v>12.556410789489746</v>
      </c>
      <c r="V810" s="244">
        <v>1.1336666345596313</v>
      </c>
      <c r="W810" s="244">
        <v>1.1336666345596313</v>
      </c>
      <c r="X810" s="244">
        <v>0</v>
      </c>
      <c r="Y810" s="244">
        <v>0</v>
      </c>
      <c r="Z810" s="244">
        <v>0</v>
      </c>
      <c r="AA810" s="244">
        <v>0</v>
      </c>
      <c r="AB810" s="244">
        <v>0</v>
      </c>
      <c r="AC810" s="244">
        <v>0</v>
      </c>
      <c r="AD810" s="244">
        <v>0</v>
      </c>
      <c r="AE810" s="244">
        <v>0</v>
      </c>
      <c r="AF810" s="244">
        <v>0</v>
      </c>
      <c r="AG810" s="244">
        <v>0</v>
      </c>
      <c r="AH810" s="244">
        <v>2.2608551979064941</v>
      </c>
      <c r="AI810" s="244">
        <v>7.3628950119018555</v>
      </c>
      <c r="AJ810" s="244">
        <v>0</v>
      </c>
      <c r="AK810" s="244">
        <v>12.556410789489746</v>
      </c>
      <c r="AL810" s="244">
        <v>22.18016242980957</v>
      </c>
      <c r="AM810" s="244">
        <v>5.0497112274169922</v>
      </c>
      <c r="AN810" s="244">
        <v>0</v>
      </c>
      <c r="AO810" s="244">
        <v>0.89553040266036987</v>
      </c>
      <c r="AP810" s="244">
        <v>3.905592679977417</v>
      </c>
      <c r="AQ810" s="244">
        <v>9.8508338928222656</v>
      </c>
      <c r="AR810" s="244">
        <v>2.2608551979064941</v>
      </c>
      <c r="AS810" s="228">
        <v>4.3571274795380308</v>
      </c>
      <c r="AT810" s="244">
        <v>5.0497112274169922</v>
      </c>
      <c r="AU810" s="244">
        <v>0.23847463726997375</v>
      </c>
      <c r="AV810" s="244">
        <v>0.91937786340713501</v>
      </c>
      <c r="AW810" s="244">
        <v>3.905592679977417</v>
      </c>
      <c r="AX810" s="244">
        <v>10.113156318664551</v>
      </c>
      <c r="AY810" s="244">
        <v>7.3628950119018555</v>
      </c>
      <c r="AZ810" s="228">
        <v>1.3735298721476326</v>
      </c>
      <c r="BA810" s="244">
        <v>5.0497112274169922</v>
      </c>
      <c r="BB810" s="244">
        <v>0.23847463726997375</v>
      </c>
      <c r="BC810" s="244">
        <v>0.91937786340713501</v>
      </c>
      <c r="BD810" s="244">
        <v>3.905592679977417</v>
      </c>
      <c r="BE810" s="244">
        <v>10.113156318664551</v>
      </c>
      <c r="BF810" s="244">
        <v>9.6237506866455078</v>
      </c>
      <c r="BG810" s="244">
        <v>50.208305358886719</v>
      </c>
      <c r="BH810" s="228">
        <v>1.0508539875123544</v>
      </c>
      <c r="BI810" s="244">
        <v>24.891691207885742</v>
      </c>
      <c r="BJ810" s="244">
        <v>81.064414978027344</v>
      </c>
      <c r="BK810" s="244">
        <v>0</v>
      </c>
      <c r="BL810" s="244">
        <v>138.24427795410156</v>
      </c>
      <c r="BM810" s="244">
        <v>244.20040893554687</v>
      </c>
      <c r="BN810" s="244">
        <v>5.0497112274169922</v>
      </c>
      <c r="BO810" s="244">
        <v>53.333824157714844</v>
      </c>
      <c r="BP810" s="244">
        <v>0.23847463726997375</v>
      </c>
      <c r="BQ810" s="244">
        <v>0</v>
      </c>
      <c r="BR810" s="244">
        <v>0</v>
      </c>
      <c r="BS810" s="244">
        <v>0</v>
      </c>
      <c r="BT810" s="244">
        <v>3.905592679977417</v>
      </c>
      <c r="BU810" s="244">
        <v>0</v>
      </c>
      <c r="BV810" s="244">
        <v>207.21290588378906</v>
      </c>
      <c r="BW810" s="244">
        <v>0.91937786340713501</v>
      </c>
      <c r="BX810" s="244">
        <v>19.91282844543457</v>
      </c>
      <c r="BY810" s="244">
        <v>2.2673332691192627</v>
      </c>
      <c r="BZ810" s="244">
        <v>0</v>
      </c>
      <c r="CA810" s="244">
        <v>0</v>
      </c>
      <c r="CB810" s="244">
        <v>270.65988159179687</v>
      </c>
      <c r="CC810" s="244">
        <v>22.18016242980957</v>
      </c>
      <c r="CD810" s="228">
        <v>12.202791392272765</v>
      </c>
      <c r="CE810" s="244">
        <v>-2680.12939453125</v>
      </c>
      <c r="CF810" s="244">
        <v>5.5268608792286955E-2</v>
      </c>
      <c r="CG810" s="244">
        <v>0.60393471886209427</v>
      </c>
      <c r="CH810" s="244">
        <v>0.65920332765438117</v>
      </c>
      <c r="CI810" s="244">
        <v>2.7129405383126575E-3</v>
      </c>
      <c r="CJ810" s="244">
        <v>3.7745919928881218E-2</v>
      </c>
      <c r="CK810" s="244">
        <v>4.0458860467193873E-2</v>
      </c>
      <c r="CL810" s="244"/>
      <c r="CM810" s="244">
        <v>6.452293872833252</v>
      </c>
      <c r="CN810" s="244"/>
      <c r="CO810" s="244">
        <v>0.28600001335144043</v>
      </c>
      <c r="CP810" s="244">
        <v>0.31700000166893005</v>
      </c>
      <c r="CQ810" s="244">
        <v>53.333824157714844</v>
      </c>
      <c r="CR810" s="244">
        <v>0</v>
      </c>
      <c r="CS810" s="244">
        <v>0</v>
      </c>
      <c r="CT810" s="244">
        <v>53.333824157714844</v>
      </c>
      <c r="CU810" s="244">
        <v>0</v>
      </c>
      <c r="CV810" s="244">
        <v>0</v>
      </c>
      <c r="CW810" s="228">
        <v>9999</v>
      </c>
    </row>
    <row r="811" spans="1:101">
      <c r="A811" s="221" t="s">
        <v>544</v>
      </c>
      <c r="C811" s="244">
        <v>10</v>
      </c>
      <c r="D811" s="244">
        <v>62.697681427001953</v>
      </c>
      <c r="E811" s="244">
        <v>0</v>
      </c>
      <c r="F811" s="244">
        <v>8.1096944808959961</v>
      </c>
      <c r="G811" s="244">
        <v>0</v>
      </c>
      <c r="H811" s="244">
        <v>0</v>
      </c>
      <c r="I811" s="244"/>
      <c r="J811" s="244">
        <v>0.31946483254432678</v>
      </c>
      <c r="K811" s="244">
        <v>0.33213883638381958</v>
      </c>
      <c r="L811" s="244">
        <v>68.370735168457031</v>
      </c>
      <c r="M811" s="244">
        <v>8.4794908761978149E-3</v>
      </c>
      <c r="N811" s="244">
        <v>2.6376385241746902E-2</v>
      </c>
      <c r="O811" s="244">
        <v>0</v>
      </c>
      <c r="P811" s="244">
        <v>0</v>
      </c>
      <c r="Q811" s="244">
        <v>0</v>
      </c>
      <c r="R811" s="244">
        <v>0.80633538961410522</v>
      </c>
      <c r="S811" s="244">
        <v>4.4560842514038086</v>
      </c>
      <c r="T811" s="244">
        <v>0</v>
      </c>
      <c r="U811" s="244">
        <v>8.9822397232055664</v>
      </c>
      <c r="V811" s="244">
        <v>0.81096947193145752</v>
      </c>
      <c r="W811" s="244">
        <v>0.81096947193145752</v>
      </c>
      <c r="X811" s="244">
        <v>0</v>
      </c>
      <c r="Y811" s="244">
        <v>0</v>
      </c>
      <c r="Z811" s="244">
        <v>0</v>
      </c>
      <c r="AA811" s="244">
        <v>0</v>
      </c>
      <c r="AB811" s="244">
        <v>0</v>
      </c>
      <c r="AC811" s="244">
        <v>0</v>
      </c>
      <c r="AD811" s="244">
        <v>0</v>
      </c>
      <c r="AE811" s="244">
        <v>0</v>
      </c>
      <c r="AF811" s="244">
        <v>0</v>
      </c>
      <c r="AG811" s="244">
        <v>0</v>
      </c>
      <c r="AH811" s="244">
        <v>1.617304801940918</v>
      </c>
      <c r="AI811" s="244">
        <v>5.2670536041259766</v>
      </c>
      <c r="AJ811" s="244">
        <v>0</v>
      </c>
      <c r="AK811" s="244">
        <v>8.9822397232055664</v>
      </c>
      <c r="AL811" s="244">
        <v>15.866598129272461</v>
      </c>
      <c r="AM811" s="244">
        <v>48.150497436523438</v>
      </c>
      <c r="AN811" s="244">
        <v>0</v>
      </c>
      <c r="AO811" s="244">
        <v>8.4788684844970703</v>
      </c>
      <c r="AP811" s="244">
        <v>36.638187408447266</v>
      </c>
      <c r="AQ811" s="244">
        <v>93.267555236816406</v>
      </c>
      <c r="AR811" s="244">
        <v>1.617304801940918</v>
      </c>
      <c r="AS811" s="228">
        <v>57.668504897918552</v>
      </c>
      <c r="AT811" s="244">
        <v>48.150497436523438</v>
      </c>
      <c r="AU811" s="244">
        <v>7.5602884292602539</v>
      </c>
      <c r="AV811" s="244">
        <v>9.2348976135253906</v>
      </c>
      <c r="AW811" s="244">
        <v>36.638187408447266</v>
      </c>
      <c r="AX811" s="244">
        <v>101.58386993408203</v>
      </c>
      <c r="AY811" s="244">
        <v>5.2670536041259766</v>
      </c>
      <c r="AZ811" s="228">
        <v>19.286659340058943</v>
      </c>
      <c r="BA811" s="244">
        <v>48.150497436523438</v>
      </c>
      <c r="BB811" s="244">
        <v>7.5602884292602539</v>
      </c>
      <c r="BC811" s="244">
        <v>9.2348976135253906</v>
      </c>
      <c r="BD811" s="244">
        <v>36.638187408447266</v>
      </c>
      <c r="BE811" s="244">
        <v>101.58386993408203</v>
      </c>
      <c r="BF811" s="244">
        <v>6.8843584060668945</v>
      </c>
      <c r="BG811" s="244">
        <v>-54.631755828857422</v>
      </c>
      <c r="BH811" s="228">
        <v>14.755749520492882</v>
      </c>
      <c r="BI811" s="244">
        <v>1.8981326818466187</v>
      </c>
      <c r="BJ811" s="244">
        <v>6.1816215515136719</v>
      </c>
      <c r="BK811" s="244">
        <v>0</v>
      </c>
      <c r="BL811" s="244">
        <v>10.541910171508789</v>
      </c>
      <c r="BM811" s="244">
        <v>18.621664047241211</v>
      </c>
      <c r="BN811" s="244">
        <v>48.150497436523438</v>
      </c>
      <c r="BO811" s="244">
        <v>0</v>
      </c>
      <c r="BP811" s="244">
        <v>7.5602884292602539</v>
      </c>
      <c r="BQ811" s="244">
        <v>0</v>
      </c>
      <c r="BR811" s="244">
        <v>0</v>
      </c>
      <c r="BS811" s="244">
        <v>0</v>
      </c>
      <c r="BT811" s="244">
        <v>36.638187408447266</v>
      </c>
      <c r="BU811" s="244">
        <v>0</v>
      </c>
      <c r="BV811" s="244">
        <v>91.122505187988281</v>
      </c>
      <c r="BW811" s="244">
        <v>9.2348976135253906</v>
      </c>
      <c r="BX811" s="244">
        <v>14.244659423828125</v>
      </c>
      <c r="BY811" s="244">
        <v>1.621938943862915</v>
      </c>
      <c r="BZ811" s="244">
        <v>0</v>
      </c>
      <c r="CA811" s="244">
        <v>0</v>
      </c>
      <c r="CB811" s="244">
        <v>192.70637512207031</v>
      </c>
      <c r="CC811" s="244">
        <v>15.866598129272461</v>
      </c>
      <c r="CD811" s="228">
        <v>12.145412117328831</v>
      </c>
      <c r="CE811" s="244">
        <v>-151.03480529785156</v>
      </c>
      <c r="CF811" s="244">
        <v>0.51606356884041438</v>
      </c>
      <c r="CG811" s="244">
        <v>0</v>
      </c>
      <c r="CH811" s="244">
        <v>0.51606356884041438</v>
      </c>
      <c r="CI811" s="244">
        <v>2.5306145434841658E-2</v>
      </c>
      <c r="CJ811" s="244">
        <v>0</v>
      </c>
      <c r="CK811" s="244">
        <v>2.5306145434841658E-2</v>
      </c>
      <c r="CL811" s="244"/>
      <c r="CM811" s="244">
        <v>0</v>
      </c>
      <c r="CN811" s="244"/>
      <c r="CO811" s="244">
        <v>0</v>
      </c>
      <c r="CP811" s="244">
        <v>0</v>
      </c>
      <c r="CQ811" s="244">
        <v>0</v>
      </c>
      <c r="CR811" s="244">
        <v>0</v>
      </c>
      <c r="CS811" s="244">
        <v>0</v>
      </c>
      <c r="CT811" s="244">
        <v>0</v>
      </c>
      <c r="CU811" s="244">
        <v>0</v>
      </c>
      <c r="CV811" s="244">
        <v>9999</v>
      </c>
      <c r="CW811" s="228">
        <v>9999</v>
      </c>
    </row>
    <row r="812" spans="1:101">
      <c r="A812" s="221" t="s">
        <v>570</v>
      </c>
      <c r="C812" s="244">
        <v>10</v>
      </c>
      <c r="D812" s="244">
        <v>32.747882843017578</v>
      </c>
      <c r="E812" s="244">
        <v>2.3876159191131592</v>
      </c>
      <c r="F812" s="244">
        <v>8.1096944808959961</v>
      </c>
      <c r="G812" s="244">
        <v>0</v>
      </c>
      <c r="H812" s="244">
        <v>0</v>
      </c>
      <c r="I812" s="244"/>
      <c r="J812" s="244">
        <v>0.3698483407497406</v>
      </c>
      <c r="K812" s="244">
        <v>0.35493135452270508</v>
      </c>
      <c r="L812" s="244">
        <v>35.711433410644531</v>
      </c>
      <c r="M812" s="244">
        <v>4.2942501604557037E-3</v>
      </c>
      <c r="N812" s="244">
        <v>1.3058654963970184E-2</v>
      </c>
      <c r="O812" s="244">
        <v>2.4114921092987061</v>
      </c>
      <c r="P812" s="244">
        <v>7.3179397732019424E-3</v>
      </c>
      <c r="Q812" s="244">
        <v>2.3084983229637146E-2</v>
      </c>
      <c r="R812" s="244">
        <v>0.80633538961410522</v>
      </c>
      <c r="S812" s="244">
        <v>4.4560842514038086</v>
      </c>
      <c r="T812" s="244">
        <v>0</v>
      </c>
      <c r="U812" s="244">
        <v>8.9822397232055664</v>
      </c>
      <c r="V812" s="244">
        <v>0.81096947193145752</v>
      </c>
      <c r="W812" s="244">
        <v>0.81096947193145752</v>
      </c>
      <c r="X812" s="244">
        <v>0</v>
      </c>
      <c r="Y812" s="244">
        <v>0</v>
      </c>
      <c r="Z812" s="244">
        <v>0</v>
      </c>
      <c r="AA812" s="244">
        <v>0</v>
      </c>
      <c r="AB812" s="244">
        <v>0</v>
      </c>
      <c r="AC812" s="244">
        <v>0</v>
      </c>
      <c r="AD812" s="244">
        <v>0</v>
      </c>
      <c r="AE812" s="244">
        <v>0</v>
      </c>
      <c r="AF812" s="244">
        <v>0</v>
      </c>
      <c r="AG812" s="244">
        <v>0</v>
      </c>
      <c r="AH812" s="244">
        <v>1.617304801940918</v>
      </c>
      <c r="AI812" s="244">
        <v>5.2670536041259766</v>
      </c>
      <c r="AJ812" s="244">
        <v>0</v>
      </c>
      <c r="AK812" s="244">
        <v>8.9822397232055664</v>
      </c>
      <c r="AL812" s="244">
        <v>15.866598129272461</v>
      </c>
      <c r="AM812" s="244">
        <v>25.119846343994141</v>
      </c>
      <c r="AN812" s="244">
        <v>0</v>
      </c>
      <c r="AO812" s="244">
        <v>4.4256720542907715</v>
      </c>
      <c r="AP812" s="244">
        <v>19.136873245239258</v>
      </c>
      <c r="AQ812" s="244">
        <v>48.682392120361328</v>
      </c>
      <c r="AR812" s="244">
        <v>1.617304801940918</v>
      </c>
      <c r="AS812" s="228">
        <v>30.10093693591033</v>
      </c>
      <c r="AT812" s="244">
        <v>25.119846343994141</v>
      </c>
      <c r="AU812" s="244">
        <v>3.7430152893066406</v>
      </c>
      <c r="AV812" s="244">
        <v>4.7999734878540039</v>
      </c>
      <c r="AW812" s="244">
        <v>19.136873245239258</v>
      </c>
      <c r="AX812" s="244">
        <v>52.799709320068359</v>
      </c>
      <c r="AY812" s="244">
        <v>5.2670536041259766</v>
      </c>
      <c r="AZ812" s="228">
        <v>10.024524362162683</v>
      </c>
      <c r="BA812" s="244">
        <v>25.119846343994141</v>
      </c>
      <c r="BB812" s="244">
        <v>3.7430152893066406</v>
      </c>
      <c r="BC812" s="244">
        <v>4.7999734878540039</v>
      </c>
      <c r="BD812" s="244">
        <v>19.136873245239258</v>
      </c>
      <c r="BE812" s="244">
        <v>52.799709320068359</v>
      </c>
      <c r="BF812" s="244">
        <v>6.8843584060668945</v>
      </c>
      <c r="BG812" s="244">
        <v>-46.726913452148438</v>
      </c>
      <c r="BH812" s="228">
        <v>7.6695174598183762</v>
      </c>
      <c r="BI812" s="244">
        <v>3.6340384483337402</v>
      </c>
      <c r="BJ812" s="244">
        <v>11.834921836853027</v>
      </c>
      <c r="BK812" s="244">
        <v>0</v>
      </c>
      <c r="BL812" s="244">
        <v>20.182838439941406</v>
      </c>
      <c r="BM812" s="244">
        <v>35.651798248291016</v>
      </c>
      <c r="BN812" s="244">
        <v>25.119846343994141</v>
      </c>
      <c r="BO812" s="244">
        <v>19.933080673217773</v>
      </c>
      <c r="BP812" s="244">
        <v>3.7430152893066406</v>
      </c>
      <c r="BQ812" s="244">
        <v>0</v>
      </c>
      <c r="BR812" s="244">
        <v>0</v>
      </c>
      <c r="BS812" s="244">
        <v>0</v>
      </c>
      <c r="BT812" s="244">
        <v>19.136873245239258</v>
      </c>
      <c r="BU812" s="244">
        <v>0</v>
      </c>
      <c r="BV812" s="244">
        <v>119.25135803222656</v>
      </c>
      <c r="BW812" s="244">
        <v>4.7999734878540039</v>
      </c>
      <c r="BX812" s="244">
        <v>14.244659423828125</v>
      </c>
      <c r="BY812" s="244">
        <v>1.621938943862915</v>
      </c>
      <c r="BZ812" s="244">
        <v>0</v>
      </c>
      <c r="CA812" s="244">
        <v>0</v>
      </c>
      <c r="CB812" s="244">
        <v>191.98414611816406</v>
      </c>
      <c r="CC812" s="244">
        <v>15.866598129272461</v>
      </c>
      <c r="CD812" s="228">
        <v>12.099893286690444</v>
      </c>
      <c r="CE812" s="244">
        <v>-339.28759765625</v>
      </c>
      <c r="CF812" s="244">
        <v>0.26964372122821162</v>
      </c>
      <c r="CG812" s="244">
        <v>0.22571565506045402</v>
      </c>
      <c r="CH812" s="244">
        <v>0.49535937628866566</v>
      </c>
      <c r="CI812" s="244">
        <v>1.3223480165012749E-2</v>
      </c>
      <c r="CJ812" s="244">
        <v>1.4107228441278411E-2</v>
      </c>
      <c r="CK812" s="244">
        <v>2.7330708606291158E-2</v>
      </c>
      <c r="CL812" s="244"/>
      <c r="CM812" s="244">
        <v>2.4114921092987061</v>
      </c>
      <c r="CN812" s="244"/>
      <c r="CO812" s="244">
        <v>0.28600001335144043</v>
      </c>
      <c r="CP812" s="244">
        <v>0.31700000166893005</v>
      </c>
      <c r="CQ812" s="244">
        <v>19.933080673217773</v>
      </c>
      <c r="CR812" s="244">
        <v>0</v>
      </c>
      <c r="CS812" s="244">
        <v>0</v>
      </c>
      <c r="CT812" s="244">
        <v>19.933080673217773</v>
      </c>
      <c r="CU812" s="244">
        <v>0</v>
      </c>
      <c r="CV812" s="244">
        <v>0</v>
      </c>
      <c r="CW812" s="228">
        <v>9999</v>
      </c>
    </row>
    <row r="813" spans="1:101">
      <c r="A813" s="221" t="s">
        <v>508</v>
      </c>
      <c r="C813" s="244">
        <v>9.9999990463256836</v>
      </c>
      <c r="D813" s="244">
        <v>86.578712463378906</v>
      </c>
      <c r="E813" s="244">
        <v>0</v>
      </c>
      <c r="F813" s="244">
        <v>11.336667060852051</v>
      </c>
      <c r="G813" s="244">
        <v>0</v>
      </c>
      <c r="H813" s="244">
        <v>0</v>
      </c>
      <c r="I813" s="244"/>
      <c r="J813" s="244">
        <v>0.31946480274200439</v>
      </c>
      <c r="K813" s="244">
        <v>0.33213883638381958</v>
      </c>
      <c r="L813" s="244">
        <v>94.412574768066406</v>
      </c>
      <c r="M813" s="244">
        <v>1.1709257960319519E-2</v>
      </c>
      <c r="N813" s="244">
        <v>3.6422930657863617E-2</v>
      </c>
      <c r="O813" s="244">
        <v>0</v>
      </c>
      <c r="P813" s="244">
        <v>0</v>
      </c>
      <c r="Q813" s="244">
        <v>0</v>
      </c>
      <c r="R813" s="244">
        <v>1.1271885633468628</v>
      </c>
      <c r="S813" s="244">
        <v>6.2292284965515137</v>
      </c>
      <c r="T813" s="244">
        <v>0</v>
      </c>
      <c r="U813" s="244">
        <v>12.556410789489746</v>
      </c>
      <c r="V813" s="244">
        <v>1.1336666345596313</v>
      </c>
      <c r="W813" s="244">
        <v>1.1336666345596313</v>
      </c>
      <c r="X813" s="244">
        <v>0</v>
      </c>
      <c r="Y813" s="244">
        <v>0</v>
      </c>
      <c r="Z813" s="244">
        <v>0</v>
      </c>
      <c r="AA813" s="244">
        <v>0</v>
      </c>
      <c r="AB813" s="244">
        <v>0</v>
      </c>
      <c r="AC813" s="244">
        <v>0</v>
      </c>
      <c r="AD813" s="244">
        <v>0</v>
      </c>
      <c r="AE813" s="244">
        <v>0</v>
      </c>
      <c r="AF813" s="244">
        <v>0</v>
      </c>
      <c r="AG813" s="244">
        <v>0</v>
      </c>
      <c r="AH813" s="244">
        <v>2.2608551979064941</v>
      </c>
      <c r="AI813" s="244">
        <v>7.3628950119018555</v>
      </c>
      <c r="AJ813" s="244">
        <v>0</v>
      </c>
      <c r="AK813" s="244">
        <v>12.556410789489746</v>
      </c>
      <c r="AL813" s="244">
        <v>22.18016242980957</v>
      </c>
      <c r="AM813" s="244">
        <v>66.490623474121094</v>
      </c>
      <c r="AN813" s="244">
        <v>0</v>
      </c>
      <c r="AO813" s="244">
        <v>11.708398818969727</v>
      </c>
      <c r="AP813" s="244">
        <v>50.593364715576172</v>
      </c>
      <c r="AQ813" s="244">
        <v>128.79238891601562</v>
      </c>
      <c r="AR813" s="244">
        <v>2.2608551979064941</v>
      </c>
      <c r="AS813" s="228">
        <v>56.96622549198468</v>
      </c>
      <c r="AT813" s="244">
        <v>66.490623474121094</v>
      </c>
      <c r="AU813" s="244">
        <v>10.439939498901367</v>
      </c>
      <c r="AV813" s="244">
        <v>12.752392768859863</v>
      </c>
      <c r="AW813" s="244">
        <v>50.593364715576172</v>
      </c>
      <c r="AX813" s="244">
        <v>140.27632141113281</v>
      </c>
      <c r="AY813" s="244">
        <v>7.3628950119018555</v>
      </c>
      <c r="AZ813" s="228">
        <v>19.051788455431822</v>
      </c>
      <c r="BA813" s="244">
        <v>66.490623474121094</v>
      </c>
      <c r="BB813" s="244">
        <v>10.439939498901367</v>
      </c>
      <c r="BC813" s="244">
        <v>12.752392768859863</v>
      </c>
      <c r="BD813" s="244">
        <v>50.593364715576172</v>
      </c>
      <c r="BE813" s="244">
        <v>140.27632141113281</v>
      </c>
      <c r="BF813" s="244">
        <v>9.6237506866455078</v>
      </c>
      <c r="BG813" s="244">
        <v>-54.532150268554687</v>
      </c>
      <c r="BH813" s="228">
        <v>14.576055660390084</v>
      </c>
      <c r="BI813" s="244">
        <v>1.9215329885482788</v>
      </c>
      <c r="BJ813" s="244">
        <v>6.2578291893005371</v>
      </c>
      <c r="BK813" s="244">
        <v>0</v>
      </c>
      <c r="BL813" s="244">
        <v>10.671872138977051</v>
      </c>
      <c r="BM813" s="244">
        <v>18.851234436035156</v>
      </c>
      <c r="BN813" s="244">
        <v>66.490623474121094</v>
      </c>
      <c r="BO813" s="244">
        <v>0</v>
      </c>
      <c r="BP813" s="244">
        <v>10.439939498901367</v>
      </c>
      <c r="BQ813" s="244">
        <v>0</v>
      </c>
      <c r="BR813" s="244">
        <v>0</v>
      </c>
      <c r="BS813" s="244">
        <v>0</v>
      </c>
      <c r="BT813" s="244">
        <v>50.593364715576172</v>
      </c>
      <c r="BU813" s="244">
        <v>0</v>
      </c>
      <c r="BV813" s="244">
        <v>125.83030700683594</v>
      </c>
      <c r="BW813" s="244">
        <v>12.752392768859863</v>
      </c>
      <c r="BX813" s="244">
        <v>19.91282844543457</v>
      </c>
      <c r="BY813" s="244">
        <v>2.2673332691192627</v>
      </c>
      <c r="BZ813" s="244">
        <v>0</v>
      </c>
      <c r="CA813" s="244">
        <v>0</v>
      </c>
      <c r="CB813" s="244">
        <v>266.10662841796875</v>
      </c>
      <c r="CC813" s="244">
        <v>22.18016242980957</v>
      </c>
      <c r="CD813" s="228">
        <v>11.997506189942913</v>
      </c>
      <c r="CE813" s="244">
        <v>-150.80523681640625</v>
      </c>
      <c r="CF813" s="244">
        <v>0.71262788688262868</v>
      </c>
      <c r="CG813" s="244">
        <v>0</v>
      </c>
      <c r="CH813" s="244">
        <v>0.71262788688262868</v>
      </c>
      <c r="CI813" s="244">
        <v>3.4945045601450737E-2</v>
      </c>
      <c r="CJ813" s="244">
        <v>0</v>
      </c>
      <c r="CK813" s="244">
        <v>3.4945045601450737E-2</v>
      </c>
      <c r="CL813" s="244"/>
      <c r="CM813" s="244">
        <v>0</v>
      </c>
      <c r="CN813" s="244"/>
      <c r="CO813" s="244">
        <v>0</v>
      </c>
      <c r="CP813" s="244">
        <v>0</v>
      </c>
      <c r="CQ813" s="244">
        <v>0</v>
      </c>
      <c r="CR813" s="244">
        <v>0</v>
      </c>
      <c r="CS813" s="244">
        <v>0</v>
      </c>
      <c r="CT813" s="244">
        <v>0</v>
      </c>
      <c r="CU813" s="244">
        <v>0</v>
      </c>
      <c r="CV813" s="244">
        <v>9999</v>
      </c>
      <c r="CW813" s="228">
        <v>9999</v>
      </c>
    </row>
    <row r="814" spans="1:101">
      <c r="A814" s="221" t="s">
        <v>532</v>
      </c>
      <c r="C814" s="244">
        <v>10.000000953674316</v>
      </c>
      <c r="D814" s="244">
        <v>87.911155700683594</v>
      </c>
      <c r="E814" s="244">
        <v>0</v>
      </c>
      <c r="F814" s="244">
        <v>11.336667060852051</v>
      </c>
      <c r="G814" s="244">
        <v>0</v>
      </c>
      <c r="H814" s="244">
        <v>0</v>
      </c>
      <c r="I814" s="244"/>
      <c r="J814" s="244">
        <v>0.31782254576683044</v>
      </c>
      <c r="K814" s="244">
        <v>0.33139592409133911</v>
      </c>
      <c r="L814" s="244">
        <v>95.865562438964844</v>
      </c>
      <c r="M814" s="244">
        <v>1.1901251971721649E-2</v>
      </c>
      <c r="N814" s="244">
        <v>3.7046317011117935E-2</v>
      </c>
      <c r="O814" s="244">
        <v>0</v>
      </c>
      <c r="P814" s="244">
        <v>0</v>
      </c>
      <c r="Q814" s="244">
        <v>0</v>
      </c>
      <c r="R814" s="244">
        <v>1.1271885633468628</v>
      </c>
      <c r="S814" s="244">
        <v>6.2292284965515137</v>
      </c>
      <c r="T814" s="244">
        <v>0</v>
      </c>
      <c r="U814" s="244">
        <v>12.556410789489746</v>
      </c>
      <c r="V814" s="244">
        <v>1.1336666345596313</v>
      </c>
      <c r="W814" s="244">
        <v>1.1336666345596313</v>
      </c>
      <c r="X814" s="244">
        <v>0</v>
      </c>
      <c r="Y814" s="244">
        <v>0</v>
      </c>
      <c r="Z814" s="244">
        <v>0</v>
      </c>
      <c r="AA814" s="244">
        <v>0</v>
      </c>
      <c r="AB814" s="244">
        <v>0</v>
      </c>
      <c r="AC814" s="244">
        <v>0</v>
      </c>
      <c r="AD814" s="244">
        <v>0</v>
      </c>
      <c r="AE814" s="244">
        <v>0</v>
      </c>
      <c r="AF814" s="244">
        <v>0</v>
      </c>
      <c r="AG814" s="244">
        <v>0</v>
      </c>
      <c r="AH814" s="244">
        <v>2.2608551979064941</v>
      </c>
      <c r="AI814" s="244">
        <v>7.3628950119018555</v>
      </c>
      <c r="AJ814" s="244">
        <v>0</v>
      </c>
      <c r="AK814" s="244">
        <v>12.556410789489746</v>
      </c>
      <c r="AL814" s="244">
        <v>22.18016242980957</v>
      </c>
      <c r="AM814" s="244">
        <v>67.516532897949219</v>
      </c>
      <c r="AN814" s="244">
        <v>0</v>
      </c>
      <c r="AO814" s="244">
        <v>11.888851165771484</v>
      </c>
      <c r="AP814" s="244">
        <v>51.371982574462891</v>
      </c>
      <c r="AQ814" s="244">
        <v>130.77737426757812</v>
      </c>
      <c r="AR814" s="244">
        <v>2.2608551979064941</v>
      </c>
      <c r="AS814" s="228">
        <v>57.844202830539864</v>
      </c>
      <c r="AT814" s="244">
        <v>67.516532897949219</v>
      </c>
      <c r="AU814" s="244">
        <v>10.618622779846191</v>
      </c>
      <c r="AV814" s="244">
        <v>12.950713157653809</v>
      </c>
      <c r="AW814" s="244">
        <v>51.371982574462891</v>
      </c>
      <c r="AX814" s="244">
        <v>142.45785522460937</v>
      </c>
      <c r="AY814" s="244">
        <v>7.3628950119018555</v>
      </c>
      <c r="AZ814" s="228">
        <v>19.348075569889801</v>
      </c>
      <c r="BA814" s="244">
        <v>67.516532897949219</v>
      </c>
      <c r="BB814" s="244">
        <v>10.618622779846191</v>
      </c>
      <c r="BC814" s="244">
        <v>12.950713157653809</v>
      </c>
      <c r="BD814" s="244">
        <v>51.371982574462891</v>
      </c>
      <c r="BE814" s="244">
        <v>142.45785522460937</v>
      </c>
      <c r="BF814" s="244">
        <v>9.6237506866455078</v>
      </c>
      <c r="BG814" s="244">
        <v>-54.672924041748047</v>
      </c>
      <c r="BH814" s="228">
        <v>14.802737658350468</v>
      </c>
      <c r="BI814" s="244">
        <v>1.8924092054367065</v>
      </c>
      <c r="BJ814" s="244">
        <v>6.1629824638366699</v>
      </c>
      <c r="BK814" s="244">
        <v>0</v>
      </c>
      <c r="BL814" s="244">
        <v>10.510124206542969</v>
      </c>
      <c r="BM814" s="244">
        <v>18.565515518188477</v>
      </c>
      <c r="BN814" s="244">
        <v>67.516532897949219</v>
      </c>
      <c r="BO814" s="244">
        <v>0</v>
      </c>
      <c r="BP814" s="244">
        <v>10.618622779846191</v>
      </c>
      <c r="BQ814" s="244">
        <v>0</v>
      </c>
      <c r="BR814" s="244">
        <v>0</v>
      </c>
      <c r="BS814" s="244">
        <v>0</v>
      </c>
      <c r="BT814" s="244">
        <v>51.371982574462891</v>
      </c>
      <c r="BU814" s="244">
        <v>0</v>
      </c>
      <c r="BV814" s="244">
        <v>121.49665832519531</v>
      </c>
      <c r="BW814" s="244">
        <v>12.950713157653809</v>
      </c>
      <c r="BX814" s="244">
        <v>19.91282844543457</v>
      </c>
      <c r="BY814" s="244">
        <v>2.2673332691192627</v>
      </c>
      <c r="BZ814" s="244">
        <v>0</v>
      </c>
      <c r="CA814" s="244">
        <v>0</v>
      </c>
      <c r="CB814" s="244">
        <v>263.95449829101562</v>
      </c>
      <c r="CC814" s="244">
        <v>22.18016242980957</v>
      </c>
      <c r="CD814" s="228">
        <v>11.900477243225412</v>
      </c>
      <c r="CE814" s="244">
        <v>-145.85945129394531</v>
      </c>
      <c r="CF814" s="244">
        <v>0.72358682040174349</v>
      </c>
      <c r="CG814" s="244">
        <v>0</v>
      </c>
      <c r="CH814" s="244">
        <v>0.72358682040174349</v>
      </c>
      <c r="CI814" s="244">
        <v>3.5482350462466887E-2</v>
      </c>
      <c r="CJ814" s="244">
        <v>0</v>
      </c>
      <c r="CK814" s="244">
        <v>3.5482350462466887E-2</v>
      </c>
      <c r="CL814" s="244"/>
      <c r="CM814" s="244">
        <v>0</v>
      </c>
      <c r="CN814" s="244"/>
      <c r="CO814" s="244">
        <v>0</v>
      </c>
      <c r="CP814" s="244">
        <v>0</v>
      </c>
      <c r="CQ814" s="244">
        <v>0</v>
      </c>
      <c r="CR814" s="244">
        <v>0</v>
      </c>
      <c r="CS814" s="244">
        <v>0</v>
      </c>
      <c r="CT814" s="244">
        <v>0</v>
      </c>
      <c r="CU814" s="244">
        <v>0</v>
      </c>
      <c r="CV814" s="244">
        <v>9999</v>
      </c>
      <c r="CW814" s="228">
        <v>9999</v>
      </c>
    </row>
    <row r="815" spans="1:101">
      <c r="A815" s="221" t="s">
        <v>563</v>
      </c>
      <c r="C815" s="244">
        <v>10</v>
      </c>
      <c r="D815" s="244">
        <v>6.4896764755249023</v>
      </c>
      <c r="E815" s="244">
        <v>5.8854885101318359</v>
      </c>
      <c r="F815" s="244">
        <v>11.336667060852051</v>
      </c>
      <c r="G815" s="244">
        <v>0</v>
      </c>
      <c r="H815" s="244">
        <v>0</v>
      </c>
      <c r="I815" s="244"/>
      <c r="J815" s="244">
        <v>1</v>
      </c>
      <c r="K815" s="244">
        <v>0.63999998569488525</v>
      </c>
      <c r="L815" s="244">
        <v>7.0780487060546875</v>
      </c>
      <c r="M815" s="244">
        <v>5.1711773267015815E-4</v>
      </c>
      <c r="N815" s="244">
        <v>8.0799643183127046E-4</v>
      </c>
      <c r="O815" s="244">
        <v>5.944343090057373</v>
      </c>
      <c r="P815" s="244">
        <v>1.8038768321275711E-2</v>
      </c>
      <c r="Q815" s="244">
        <v>5.6904628872871399E-2</v>
      </c>
      <c r="R815" s="244">
        <v>1.1271885633468628</v>
      </c>
      <c r="S815" s="244">
        <v>6.2292284965515137</v>
      </c>
      <c r="T815" s="244">
        <v>0</v>
      </c>
      <c r="U815" s="244">
        <v>12.556410789489746</v>
      </c>
      <c r="V815" s="244">
        <v>1.1336666345596313</v>
      </c>
      <c r="W815" s="244">
        <v>1.1336666345596313</v>
      </c>
      <c r="X815" s="244">
        <v>0</v>
      </c>
      <c r="Y815" s="244">
        <v>0</v>
      </c>
      <c r="Z815" s="244">
        <v>0</v>
      </c>
      <c r="AA815" s="244">
        <v>0</v>
      </c>
      <c r="AB815" s="244">
        <v>0</v>
      </c>
      <c r="AC815" s="244">
        <v>0</v>
      </c>
      <c r="AD815" s="244">
        <v>0</v>
      </c>
      <c r="AE815" s="244">
        <v>0</v>
      </c>
      <c r="AF815" s="244">
        <v>0</v>
      </c>
      <c r="AG815" s="244">
        <v>0</v>
      </c>
      <c r="AH815" s="244">
        <v>2.2608551979064941</v>
      </c>
      <c r="AI815" s="244">
        <v>7.3628950119018555</v>
      </c>
      <c r="AJ815" s="244">
        <v>0</v>
      </c>
      <c r="AK815" s="244">
        <v>12.556410789489746</v>
      </c>
      <c r="AL815" s="244">
        <v>22.18016242980957</v>
      </c>
      <c r="AM815" s="244">
        <v>4.9040718078613281</v>
      </c>
      <c r="AN815" s="244">
        <v>0</v>
      </c>
      <c r="AO815" s="244">
        <v>0.86970233917236328</v>
      </c>
      <c r="AP815" s="244">
        <v>3.7929511070251465</v>
      </c>
      <c r="AQ815" s="244">
        <v>9.5667247772216797</v>
      </c>
      <c r="AR815" s="244">
        <v>2.2608551979064941</v>
      </c>
      <c r="AS815" s="228">
        <v>4.2314630600479992</v>
      </c>
      <c r="AT815" s="244">
        <v>4.9040718078613281</v>
      </c>
      <c r="AU815" s="244">
        <v>0.23159679770469666</v>
      </c>
      <c r="AV815" s="244">
        <v>0.89286202192306519</v>
      </c>
      <c r="AW815" s="244">
        <v>3.7929511070251465</v>
      </c>
      <c r="AX815" s="244">
        <v>9.8214817047119141</v>
      </c>
      <c r="AY815" s="244">
        <v>7.3628950119018555</v>
      </c>
      <c r="AZ815" s="228">
        <v>1.3339157436881846</v>
      </c>
      <c r="BA815" s="244">
        <v>4.9040718078613281</v>
      </c>
      <c r="BB815" s="244">
        <v>0.23159679770469666</v>
      </c>
      <c r="BC815" s="244">
        <v>0.89286202192306519</v>
      </c>
      <c r="BD815" s="244">
        <v>3.7929511070251465</v>
      </c>
      <c r="BE815" s="244">
        <v>9.8214817047119141</v>
      </c>
      <c r="BF815" s="244">
        <v>9.6237506866455078</v>
      </c>
      <c r="BG815" s="244">
        <v>53.354946136474609</v>
      </c>
      <c r="BH815" s="228">
        <v>1.0205461902830537</v>
      </c>
      <c r="BI815" s="244">
        <v>25.630914688110352</v>
      </c>
      <c r="BJ815" s="244">
        <v>83.471832275390625</v>
      </c>
      <c r="BK815" s="244">
        <v>0</v>
      </c>
      <c r="BL815" s="244">
        <v>142.34980773925781</v>
      </c>
      <c r="BM815" s="244">
        <v>251.45256042480469</v>
      </c>
      <c r="BN815" s="244">
        <v>4.9040718078613281</v>
      </c>
      <c r="BO815" s="244">
        <v>49.135169982910156</v>
      </c>
      <c r="BP815" s="244">
        <v>0.23159679770469666</v>
      </c>
      <c r="BQ815" s="244">
        <v>0</v>
      </c>
      <c r="BR815" s="244">
        <v>0</v>
      </c>
      <c r="BS815" s="244">
        <v>0</v>
      </c>
      <c r="BT815" s="244">
        <v>3.7929511070251465</v>
      </c>
      <c r="BU815" s="244">
        <v>0</v>
      </c>
      <c r="BV815" s="244">
        <v>201.23664855957031</v>
      </c>
      <c r="BW815" s="244">
        <v>0.89286202192306519</v>
      </c>
      <c r="BX815" s="244">
        <v>19.91282844543457</v>
      </c>
      <c r="BY815" s="244">
        <v>2.2673332691192627</v>
      </c>
      <c r="BZ815" s="244">
        <v>0</v>
      </c>
      <c r="CA815" s="244">
        <v>0</v>
      </c>
      <c r="CB815" s="244">
        <v>260.19329833984375</v>
      </c>
      <c r="CC815" s="244">
        <v>22.18016242980957</v>
      </c>
      <c r="CD815" s="228">
        <v>11.730901858405527</v>
      </c>
      <c r="CE815" s="244">
        <v>-2642.716064453125</v>
      </c>
      <c r="CF815" s="244">
        <v>5.3674600806693659E-2</v>
      </c>
      <c r="CG815" s="244">
        <v>0.55639051980721932</v>
      </c>
      <c r="CH815" s="244">
        <v>0.61006512061391294</v>
      </c>
      <c r="CI815" s="244">
        <v>2.6346963237936605E-3</v>
      </c>
      <c r="CJ815" s="244">
        <v>3.4774407487951096E-2</v>
      </c>
      <c r="CK815" s="244">
        <v>3.7409103811744754E-2</v>
      </c>
      <c r="CL815" s="244"/>
      <c r="CM815" s="244">
        <v>5.944343090057373</v>
      </c>
      <c r="CN815" s="244"/>
      <c r="CO815" s="244">
        <v>0.28600001335144043</v>
      </c>
      <c r="CP815" s="244">
        <v>0.31699997186660767</v>
      </c>
      <c r="CQ815" s="244">
        <v>49.135169982910156</v>
      </c>
      <c r="CR815" s="244">
        <v>0</v>
      </c>
      <c r="CS815" s="244">
        <v>0</v>
      </c>
      <c r="CT815" s="244">
        <v>49.135169982910156</v>
      </c>
      <c r="CU815" s="244">
        <v>0</v>
      </c>
      <c r="CV815" s="244">
        <v>0</v>
      </c>
      <c r="CW815" s="228">
        <v>9999</v>
      </c>
    </row>
    <row r="816" spans="1:101">
      <c r="A816" s="221" t="s">
        <v>548</v>
      </c>
      <c r="C816" s="244">
        <v>10</v>
      </c>
      <c r="D816" s="244">
        <v>4.5711674690246582</v>
      </c>
      <c r="E816" s="244">
        <v>4.4061322212219238</v>
      </c>
      <c r="F816" s="244">
        <v>8.1096944808959961</v>
      </c>
      <c r="G816" s="244">
        <v>0</v>
      </c>
      <c r="H816" s="244">
        <v>0</v>
      </c>
      <c r="I816" s="244"/>
      <c r="J816" s="244">
        <v>1</v>
      </c>
      <c r="K816" s="244">
        <v>0.63999998569488525</v>
      </c>
      <c r="L816" s="244">
        <v>4.9856023788452148</v>
      </c>
      <c r="M816" s="244">
        <v>3.6424491554498672E-4</v>
      </c>
      <c r="N816" s="244">
        <v>5.6913268053904176E-4</v>
      </c>
      <c r="O816" s="244">
        <v>4.4501934051513672</v>
      </c>
      <c r="P816" s="244">
        <v>1.3504605740308762E-2</v>
      </c>
      <c r="Q816" s="244">
        <v>4.260127991437912E-2</v>
      </c>
      <c r="R816" s="244">
        <v>0.80633538961410522</v>
      </c>
      <c r="S816" s="244">
        <v>4.4560842514038086</v>
      </c>
      <c r="T816" s="244">
        <v>0</v>
      </c>
      <c r="U816" s="244">
        <v>8.9822397232055664</v>
      </c>
      <c r="V816" s="244">
        <v>0.81096947193145752</v>
      </c>
      <c r="W816" s="244">
        <v>0.81096947193145752</v>
      </c>
      <c r="X816" s="244">
        <v>0</v>
      </c>
      <c r="Y816" s="244">
        <v>0</v>
      </c>
      <c r="Z816" s="244">
        <v>0</v>
      </c>
      <c r="AA816" s="244">
        <v>0</v>
      </c>
      <c r="AB816" s="244">
        <v>0</v>
      </c>
      <c r="AC816" s="244">
        <v>0</v>
      </c>
      <c r="AD816" s="244">
        <v>0</v>
      </c>
      <c r="AE816" s="244">
        <v>0</v>
      </c>
      <c r="AF816" s="244">
        <v>0</v>
      </c>
      <c r="AG816" s="244">
        <v>0</v>
      </c>
      <c r="AH816" s="244">
        <v>1.617304801940918</v>
      </c>
      <c r="AI816" s="244">
        <v>5.2670536041259766</v>
      </c>
      <c r="AJ816" s="244">
        <v>0</v>
      </c>
      <c r="AK816" s="244">
        <v>8.9822397232055664</v>
      </c>
      <c r="AL816" s="244">
        <v>15.866598129272461</v>
      </c>
      <c r="AM816" s="244">
        <v>3.4543070793151855</v>
      </c>
      <c r="AN816" s="244">
        <v>0</v>
      </c>
      <c r="AO816" s="244">
        <v>0.61259680986404419</v>
      </c>
      <c r="AP816" s="244">
        <v>2.6716611385345459</v>
      </c>
      <c r="AQ816" s="244">
        <v>6.7385649681091309</v>
      </c>
      <c r="AR816" s="244">
        <v>1.617304801940918</v>
      </c>
      <c r="AS816" s="228">
        <v>4.1665397711561489</v>
      </c>
      <c r="AT816" s="244">
        <v>3.4543070793151855</v>
      </c>
      <c r="AU816" s="244">
        <v>0.16313104331493378</v>
      </c>
      <c r="AV816" s="244">
        <v>0.62890994548797607</v>
      </c>
      <c r="AW816" s="244">
        <v>2.6716611385345459</v>
      </c>
      <c r="AX816" s="244">
        <v>6.9180092811584473</v>
      </c>
      <c r="AY816" s="244">
        <v>5.2670536041259766</v>
      </c>
      <c r="AZ816" s="228">
        <v>1.3134495241624264</v>
      </c>
      <c r="BA816" s="244">
        <v>3.4543070793151855</v>
      </c>
      <c r="BB816" s="244">
        <v>0.16313104331493378</v>
      </c>
      <c r="BC816" s="244">
        <v>0.62890994548797607</v>
      </c>
      <c r="BD816" s="244">
        <v>2.6716611385345459</v>
      </c>
      <c r="BE816" s="244">
        <v>6.9180092811584473</v>
      </c>
      <c r="BF816" s="244">
        <v>6.8843584060668945</v>
      </c>
      <c r="BG816" s="244">
        <v>55.054996490478516</v>
      </c>
      <c r="BH816" s="228">
        <v>1.0048879821347068</v>
      </c>
      <c r="BI816" s="244">
        <v>26.030298233032227</v>
      </c>
      <c r="BJ816" s="244">
        <v>84.772506713867187</v>
      </c>
      <c r="BK816" s="244">
        <v>0</v>
      </c>
      <c r="BL816" s="244">
        <v>144.56790161132812</v>
      </c>
      <c r="BM816" s="244">
        <v>255.37071228027344</v>
      </c>
      <c r="BN816" s="244">
        <v>3.4543070793151855</v>
      </c>
      <c r="BO816" s="244">
        <v>36.784721374511719</v>
      </c>
      <c r="BP816" s="244">
        <v>0.16313104331493378</v>
      </c>
      <c r="BQ816" s="244">
        <v>0</v>
      </c>
      <c r="BR816" s="244">
        <v>0</v>
      </c>
      <c r="BS816" s="244">
        <v>0</v>
      </c>
      <c r="BT816" s="244">
        <v>2.6716611385345459</v>
      </c>
      <c r="BU816" s="244">
        <v>0</v>
      </c>
      <c r="BV816" s="244">
        <v>141.74610900878906</v>
      </c>
      <c r="BW816" s="244">
        <v>0.62890994548797607</v>
      </c>
      <c r="BX816" s="244">
        <v>14.244659423828125</v>
      </c>
      <c r="BY816" s="244">
        <v>1.621938943862915</v>
      </c>
      <c r="BZ816" s="244">
        <v>0</v>
      </c>
      <c r="CA816" s="244">
        <v>0</v>
      </c>
      <c r="CB816" s="244">
        <v>185.44883728027344</v>
      </c>
      <c r="CC816" s="244">
        <v>15.866598129272461</v>
      </c>
      <c r="CD816" s="228">
        <v>11.688002386672913</v>
      </c>
      <c r="CE816" s="244">
        <v>-2673.806396484375</v>
      </c>
      <c r="CF816" s="244">
        <v>3.7807060496817355E-2</v>
      </c>
      <c r="CG816" s="244">
        <v>0.41653812268761381</v>
      </c>
      <c r="CH816" s="244">
        <v>0.45434518318443118</v>
      </c>
      <c r="CI816" s="244">
        <v>1.8558148883705723E-3</v>
      </c>
      <c r="CJ816" s="244">
        <v>2.6033632667975877E-2</v>
      </c>
      <c r="CK816" s="244">
        <v>2.7889447556346449E-2</v>
      </c>
      <c r="CL816" s="244"/>
      <c r="CM816" s="244">
        <v>4.4501934051513672</v>
      </c>
      <c r="CN816" s="244"/>
      <c r="CO816" s="244">
        <v>0.28600001335144043</v>
      </c>
      <c r="CP816" s="244">
        <v>0.31700000166893005</v>
      </c>
      <c r="CQ816" s="244">
        <v>36.784721374511719</v>
      </c>
      <c r="CR816" s="244">
        <v>0</v>
      </c>
      <c r="CS816" s="244">
        <v>0</v>
      </c>
      <c r="CT816" s="244">
        <v>36.784721374511719</v>
      </c>
      <c r="CU816" s="244">
        <v>0</v>
      </c>
      <c r="CV816" s="244">
        <v>0</v>
      </c>
      <c r="CW816" s="228">
        <v>9999</v>
      </c>
    </row>
    <row r="817" spans="1:101">
      <c r="A817" s="221" t="s">
        <v>483</v>
      </c>
      <c r="C817" s="244">
        <v>10</v>
      </c>
      <c r="D817" s="244">
        <v>37.854129791259766</v>
      </c>
      <c r="E817" s="244">
        <v>3.4654567241668701</v>
      </c>
      <c r="F817" s="244">
        <v>11.336667060852051</v>
      </c>
      <c r="G817" s="244">
        <v>0</v>
      </c>
      <c r="H817" s="244">
        <v>0</v>
      </c>
      <c r="I817" s="244"/>
      <c r="J817" s="244">
        <v>0.38816189765930176</v>
      </c>
      <c r="K817" s="244">
        <v>0.36321607232093811</v>
      </c>
      <c r="L817" s="244">
        <v>41.279960632324219</v>
      </c>
      <c r="M817" s="244">
        <v>4.9072364345192909E-3</v>
      </c>
      <c r="N817" s="244">
        <v>1.4793120324611664E-2</v>
      </c>
      <c r="O817" s="244">
        <v>3.5001113414764404</v>
      </c>
      <c r="P817" s="244">
        <v>1.0621475055813789E-2</v>
      </c>
      <c r="Q817" s="244">
        <v>3.3506229519844055E-2</v>
      </c>
      <c r="R817" s="244">
        <v>1.1271885633468628</v>
      </c>
      <c r="S817" s="244">
        <v>6.2292284965515137</v>
      </c>
      <c r="T817" s="244">
        <v>0</v>
      </c>
      <c r="U817" s="244">
        <v>12.556410789489746</v>
      </c>
      <c r="V817" s="244">
        <v>1.1336666345596313</v>
      </c>
      <c r="W817" s="244">
        <v>1.1336666345596313</v>
      </c>
      <c r="X817" s="244">
        <v>0</v>
      </c>
      <c r="Y817" s="244">
        <v>0</v>
      </c>
      <c r="Z817" s="244">
        <v>0</v>
      </c>
      <c r="AA817" s="244">
        <v>0</v>
      </c>
      <c r="AB817" s="244">
        <v>0</v>
      </c>
      <c r="AC817" s="244">
        <v>0</v>
      </c>
      <c r="AD817" s="244">
        <v>0</v>
      </c>
      <c r="AE817" s="244">
        <v>0</v>
      </c>
      <c r="AF817" s="244">
        <v>0</v>
      </c>
      <c r="AG817" s="244">
        <v>0</v>
      </c>
      <c r="AH817" s="244">
        <v>2.2608551979064941</v>
      </c>
      <c r="AI817" s="244">
        <v>7.3628950119018555</v>
      </c>
      <c r="AJ817" s="244">
        <v>0</v>
      </c>
      <c r="AK817" s="244">
        <v>12.556410789489746</v>
      </c>
      <c r="AL817" s="244">
        <v>22.18016242980957</v>
      </c>
      <c r="AM817" s="244">
        <v>29.024147033691406</v>
      </c>
      <c r="AN817" s="244">
        <v>0</v>
      </c>
      <c r="AO817" s="244">
        <v>5.1145057678222656</v>
      </c>
      <c r="AP817" s="244">
        <v>22.12091064453125</v>
      </c>
      <c r="AQ817" s="244">
        <v>56.259563446044922</v>
      </c>
      <c r="AR817" s="244">
        <v>2.2608551979064941</v>
      </c>
      <c r="AS817" s="228">
        <v>24.88419581145229</v>
      </c>
      <c r="AT817" s="244">
        <v>29.024147033691406</v>
      </c>
      <c r="AU817" s="244">
        <v>4.2401657104492187</v>
      </c>
      <c r="AV817" s="244">
        <v>5.5385227203369141</v>
      </c>
      <c r="AW817" s="244">
        <v>22.12091064453125</v>
      </c>
      <c r="AX817" s="244">
        <v>60.923744201660156</v>
      </c>
      <c r="AY817" s="244">
        <v>7.3628950119018555</v>
      </c>
      <c r="AZ817" s="228">
        <v>8.2744280645234038</v>
      </c>
      <c r="BA817" s="244">
        <v>29.024147033691406</v>
      </c>
      <c r="BB817" s="244">
        <v>4.2401657104492187</v>
      </c>
      <c r="BC817" s="244">
        <v>5.5385227203369141</v>
      </c>
      <c r="BD817" s="244">
        <v>22.12091064453125</v>
      </c>
      <c r="BE817" s="244">
        <v>60.923744201660156</v>
      </c>
      <c r="BF817" s="244">
        <v>9.6237506866455078</v>
      </c>
      <c r="BG817" s="244">
        <v>-43.301197052001953</v>
      </c>
      <c r="BH817" s="228">
        <v>6.3305617899615321</v>
      </c>
      <c r="BI817" s="244">
        <v>4.3947925567626953</v>
      </c>
      <c r="BJ817" s="244">
        <v>14.312458038330078</v>
      </c>
      <c r="BK817" s="244">
        <v>0</v>
      </c>
      <c r="BL817" s="244">
        <v>24.407941818237305</v>
      </c>
      <c r="BM817" s="244">
        <v>43.115192413330078</v>
      </c>
      <c r="BN817" s="244">
        <v>29.024147033691406</v>
      </c>
      <c r="BO817" s="244">
        <v>28.931465148925781</v>
      </c>
      <c r="BP817" s="244">
        <v>4.2401657104492187</v>
      </c>
      <c r="BQ817" s="244">
        <v>0</v>
      </c>
      <c r="BR817" s="244">
        <v>0</v>
      </c>
      <c r="BS817" s="244">
        <v>0</v>
      </c>
      <c r="BT817" s="244">
        <v>22.12091064453125</v>
      </c>
      <c r="BU817" s="244">
        <v>0</v>
      </c>
      <c r="BV817" s="244">
        <v>167.953125</v>
      </c>
      <c r="BW817" s="244">
        <v>5.5385227203369141</v>
      </c>
      <c r="BX817" s="244">
        <v>19.91282844543457</v>
      </c>
      <c r="BY817" s="244">
        <v>2.2673332691192627</v>
      </c>
      <c r="BZ817" s="244">
        <v>0</v>
      </c>
      <c r="CA817" s="244">
        <v>0</v>
      </c>
      <c r="CB817" s="244">
        <v>257.808349609375</v>
      </c>
      <c r="CC817" s="244">
        <v>22.18016242980957</v>
      </c>
      <c r="CD817" s="228">
        <v>11.623374958928721</v>
      </c>
      <c r="CE817" s="244">
        <v>-401.60989379882812</v>
      </c>
      <c r="CF817" s="244">
        <v>0.31172871882370207</v>
      </c>
      <c r="CG817" s="244">
        <v>0.32761041497103394</v>
      </c>
      <c r="CH817" s="244">
        <v>0.63933913379473606</v>
      </c>
      <c r="CI817" s="244">
        <v>1.5287769814814171E-2</v>
      </c>
      <c r="CJ817" s="244">
        <v>2.0475650935689618E-2</v>
      </c>
      <c r="CK817" s="244">
        <v>3.5763420750503788E-2</v>
      </c>
      <c r="CL817" s="244"/>
      <c r="CM817" s="244">
        <v>3.5001113414764404</v>
      </c>
      <c r="CN817" s="244"/>
      <c r="CO817" s="244">
        <v>0.28600001335144043</v>
      </c>
      <c r="CP817" s="244">
        <v>0.31699997186660767</v>
      </c>
      <c r="CQ817" s="244">
        <v>28.931465148925781</v>
      </c>
      <c r="CR817" s="244">
        <v>0</v>
      </c>
      <c r="CS817" s="244">
        <v>0</v>
      </c>
      <c r="CT817" s="244">
        <v>28.931465148925781</v>
      </c>
      <c r="CU817" s="244">
        <v>0</v>
      </c>
      <c r="CV817" s="244">
        <v>0</v>
      </c>
      <c r="CW817" s="228">
        <v>9999</v>
      </c>
    </row>
    <row r="818" spans="1:101">
      <c r="A818" s="221" t="s">
        <v>512</v>
      </c>
      <c r="C818" s="244">
        <v>10</v>
      </c>
      <c r="D818" s="244">
        <v>6.3122873306274414</v>
      </c>
      <c r="E818" s="244">
        <v>6.0843915939331055</v>
      </c>
      <c r="F818" s="244">
        <v>11.336667060852051</v>
      </c>
      <c r="G818" s="244">
        <v>0</v>
      </c>
      <c r="H818" s="244">
        <v>0</v>
      </c>
      <c r="I818" s="244"/>
      <c r="J818" s="244">
        <v>1</v>
      </c>
      <c r="K818" s="244">
        <v>0.63999992609024048</v>
      </c>
      <c r="L818" s="244">
        <v>6.8845767974853516</v>
      </c>
      <c r="M818" s="244">
        <v>5.0298275891691446E-4</v>
      </c>
      <c r="N818" s="244">
        <v>7.8591058263555169E-4</v>
      </c>
      <c r="O818" s="244">
        <v>6.145235538482666</v>
      </c>
      <c r="P818" s="244">
        <v>1.8648397177457809E-2</v>
      </c>
      <c r="Q818" s="244">
        <v>5.8827750384807587E-2</v>
      </c>
      <c r="R818" s="244">
        <v>1.1271885633468628</v>
      </c>
      <c r="S818" s="244">
        <v>6.2292284965515137</v>
      </c>
      <c r="T818" s="244">
        <v>0</v>
      </c>
      <c r="U818" s="244">
        <v>12.556410789489746</v>
      </c>
      <c r="V818" s="244">
        <v>1.1336666345596313</v>
      </c>
      <c r="W818" s="244">
        <v>1.1336666345596313</v>
      </c>
      <c r="X818" s="244">
        <v>0</v>
      </c>
      <c r="Y818" s="244">
        <v>0</v>
      </c>
      <c r="Z818" s="244">
        <v>0</v>
      </c>
      <c r="AA818" s="244">
        <v>0</v>
      </c>
      <c r="AB818" s="244">
        <v>0</v>
      </c>
      <c r="AC818" s="244">
        <v>0</v>
      </c>
      <c r="AD818" s="244">
        <v>0</v>
      </c>
      <c r="AE818" s="244">
        <v>0</v>
      </c>
      <c r="AF818" s="244">
        <v>0</v>
      </c>
      <c r="AG818" s="244">
        <v>0</v>
      </c>
      <c r="AH818" s="244">
        <v>2.2608551979064941</v>
      </c>
      <c r="AI818" s="244">
        <v>7.3628950119018555</v>
      </c>
      <c r="AJ818" s="244">
        <v>0</v>
      </c>
      <c r="AK818" s="244">
        <v>12.556410789489746</v>
      </c>
      <c r="AL818" s="244">
        <v>22.18016242980957</v>
      </c>
      <c r="AM818" s="244">
        <v>4.7700238227844238</v>
      </c>
      <c r="AN818" s="244">
        <v>0</v>
      </c>
      <c r="AO818" s="244">
        <v>0.84592986106872559</v>
      </c>
      <c r="AP818" s="244">
        <v>3.6892745494842529</v>
      </c>
      <c r="AQ818" s="244">
        <v>9.3052282333374023</v>
      </c>
      <c r="AR818" s="244">
        <v>2.2608551979064941</v>
      </c>
      <c r="AS818" s="228">
        <v>4.1158001812561258</v>
      </c>
      <c r="AT818" s="244">
        <v>4.7700238227844238</v>
      </c>
      <c r="AU818" s="244">
        <v>0.22526629269123077</v>
      </c>
      <c r="AV818" s="244">
        <v>0.86845648288726807</v>
      </c>
      <c r="AW818" s="244">
        <v>3.6892745494842529</v>
      </c>
      <c r="AX818" s="244">
        <v>9.5530214309692383</v>
      </c>
      <c r="AY818" s="244">
        <v>7.3628950119018555</v>
      </c>
      <c r="AZ818" s="228">
        <v>1.2974544629166158</v>
      </c>
      <c r="BA818" s="244">
        <v>4.7700238227844238</v>
      </c>
      <c r="BB818" s="244">
        <v>0.22526629269123077</v>
      </c>
      <c r="BC818" s="244">
        <v>0.86845648288726807</v>
      </c>
      <c r="BD818" s="244">
        <v>3.6892745494842529</v>
      </c>
      <c r="BE818" s="244">
        <v>9.5530214309692383</v>
      </c>
      <c r="BF818" s="244">
        <v>9.6237506866455078</v>
      </c>
      <c r="BG818" s="244">
        <v>56.420978546142578</v>
      </c>
      <c r="BH818" s="255">
        <v>0.99265055942305569</v>
      </c>
      <c r="BI818" s="244">
        <v>26.351202011108398</v>
      </c>
      <c r="BJ818" s="244">
        <v>85.817588806152344</v>
      </c>
      <c r="BK818" s="244">
        <v>0</v>
      </c>
      <c r="BL818" s="244">
        <v>146.35015869140625</v>
      </c>
      <c r="BM818" s="244">
        <v>258.51895141601562</v>
      </c>
      <c r="BN818" s="244">
        <v>4.7700238227844238</v>
      </c>
      <c r="BO818" s="244">
        <v>50.795719146728516</v>
      </c>
      <c r="BP818" s="244">
        <v>0.22526629269123077</v>
      </c>
      <c r="BQ818" s="244">
        <v>0</v>
      </c>
      <c r="BR818" s="244">
        <v>0</v>
      </c>
      <c r="BS818" s="244">
        <v>0</v>
      </c>
      <c r="BT818" s="244">
        <v>3.6892745494842529</v>
      </c>
      <c r="BU818" s="244">
        <v>0</v>
      </c>
      <c r="BV818" s="244">
        <v>195.73603820800781</v>
      </c>
      <c r="BW818" s="244">
        <v>0.86845648288726807</v>
      </c>
      <c r="BX818" s="244">
        <v>19.91282844543457</v>
      </c>
      <c r="BY818" s="244">
        <v>2.2673332691192627</v>
      </c>
      <c r="BZ818" s="244">
        <v>0</v>
      </c>
      <c r="CA818" s="244">
        <v>0</v>
      </c>
      <c r="CB818" s="244">
        <v>256.08477783203125</v>
      </c>
      <c r="CC818" s="244">
        <v>22.18016242980957</v>
      </c>
      <c r="CD818" s="228">
        <v>11.545667781788524</v>
      </c>
      <c r="CE818" s="244">
        <v>-2670.658447265625</v>
      </c>
      <c r="CF818" s="244">
        <v>5.2207455162219099E-2</v>
      </c>
      <c r="CG818" s="244">
        <v>0.57519402666597652</v>
      </c>
      <c r="CH818" s="244">
        <v>0.62740148182819566</v>
      </c>
      <c r="CI818" s="244">
        <v>2.5626793329288633E-3</v>
      </c>
      <c r="CJ818" s="244">
        <v>3.5949626666623435E-2</v>
      </c>
      <c r="CK818" s="244">
        <v>3.8512305999552299E-2</v>
      </c>
      <c r="CL818" s="244"/>
      <c r="CM818" s="244">
        <v>6.145235538482666</v>
      </c>
      <c r="CN818" s="244"/>
      <c r="CO818" s="244">
        <v>0.28600001335144043</v>
      </c>
      <c r="CP818" s="244">
        <v>0.31700000166893005</v>
      </c>
      <c r="CQ818" s="244">
        <v>50.795719146728516</v>
      </c>
      <c r="CR818" s="244">
        <v>0</v>
      </c>
      <c r="CS818" s="244">
        <v>0</v>
      </c>
      <c r="CT818" s="244">
        <v>50.795719146728516</v>
      </c>
      <c r="CU818" s="244">
        <v>0</v>
      </c>
      <c r="CV818" s="244">
        <v>0</v>
      </c>
      <c r="CW818" s="228">
        <v>9999</v>
      </c>
    </row>
    <row r="819" spans="1:101">
      <c r="A819" s="221" t="s">
        <v>461</v>
      </c>
      <c r="C819" s="244">
        <v>10</v>
      </c>
      <c r="D819" s="244">
        <v>4.4549360275268555</v>
      </c>
      <c r="E819" s="244">
        <v>4.2589397430419922</v>
      </c>
      <c r="F819" s="244">
        <v>8.1096944808959961</v>
      </c>
      <c r="G819" s="244">
        <v>0</v>
      </c>
      <c r="H819" s="244">
        <v>0</v>
      </c>
      <c r="I819" s="244"/>
      <c r="J819" s="244">
        <v>1</v>
      </c>
      <c r="K819" s="244">
        <v>0.63999998569488525</v>
      </c>
      <c r="L819" s="244">
        <v>4.8588333129882812</v>
      </c>
      <c r="M819" s="244">
        <v>3.5498323268257082E-4</v>
      </c>
      <c r="N819" s="244">
        <v>5.5466132471337914E-4</v>
      </c>
      <c r="O819" s="244">
        <v>4.3015294075012207</v>
      </c>
      <c r="P819" s="244">
        <v>1.3053467497229576E-2</v>
      </c>
      <c r="Q819" s="244">
        <v>4.1178129613399506E-2</v>
      </c>
      <c r="R819" s="244">
        <v>0.80633538961410522</v>
      </c>
      <c r="S819" s="244">
        <v>4.4560842514038086</v>
      </c>
      <c r="T819" s="244">
        <v>0</v>
      </c>
      <c r="U819" s="244">
        <v>8.9822397232055664</v>
      </c>
      <c r="V819" s="244">
        <v>0.81096947193145752</v>
      </c>
      <c r="W819" s="244">
        <v>0.81096947193145752</v>
      </c>
      <c r="X819" s="244">
        <v>0</v>
      </c>
      <c r="Y819" s="244">
        <v>0</v>
      </c>
      <c r="Z819" s="244">
        <v>0</v>
      </c>
      <c r="AA819" s="244">
        <v>0</v>
      </c>
      <c r="AB819" s="244">
        <v>0</v>
      </c>
      <c r="AC819" s="244">
        <v>0</v>
      </c>
      <c r="AD819" s="244">
        <v>0</v>
      </c>
      <c r="AE819" s="244">
        <v>0</v>
      </c>
      <c r="AF819" s="244">
        <v>0</v>
      </c>
      <c r="AG819" s="244">
        <v>0</v>
      </c>
      <c r="AH819" s="244">
        <v>1.617304801940918</v>
      </c>
      <c r="AI819" s="244">
        <v>5.2670536041259766</v>
      </c>
      <c r="AJ819" s="244">
        <v>0</v>
      </c>
      <c r="AK819" s="244">
        <v>8.9822397232055664</v>
      </c>
      <c r="AL819" s="244">
        <v>15.866598129272461</v>
      </c>
      <c r="AM819" s="244">
        <v>3.3664741516113281</v>
      </c>
      <c r="AN819" s="244">
        <v>0</v>
      </c>
      <c r="AO819" s="244">
        <v>0.59702026844024658</v>
      </c>
      <c r="AP819" s="244">
        <v>2.6037285327911377</v>
      </c>
      <c r="AQ819" s="244">
        <v>6.567223072052002</v>
      </c>
      <c r="AR819" s="244">
        <v>1.617304801940918</v>
      </c>
      <c r="AS819" s="228">
        <v>4.0605968045918104</v>
      </c>
      <c r="AT819" s="244">
        <v>3.3664741516113281</v>
      </c>
      <c r="AU819" s="244">
        <v>0.15898312628269196</v>
      </c>
      <c r="AV819" s="244">
        <v>0.61291861534118652</v>
      </c>
      <c r="AW819" s="244">
        <v>2.6037285327911377</v>
      </c>
      <c r="AX819" s="244">
        <v>6.7421045303344727</v>
      </c>
      <c r="AY819" s="244">
        <v>5.2670536041259766</v>
      </c>
      <c r="AZ819" s="228">
        <v>1.2800523366898617</v>
      </c>
      <c r="BA819" s="244">
        <v>3.3664741516113281</v>
      </c>
      <c r="BB819" s="244">
        <v>0.15898312628269196</v>
      </c>
      <c r="BC819" s="244">
        <v>0.61291861534118652</v>
      </c>
      <c r="BD819" s="244">
        <v>2.6037285327911377</v>
      </c>
      <c r="BE819" s="244">
        <v>6.7421045303344727</v>
      </c>
      <c r="BF819" s="244">
        <v>6.8843584060668945</v>
      </c>
      <c r="BG819" s="244">
        <v>57.945892333984375</v>
      </c>
      <c r="BH819" s="255">
        <v>0.97933661399234817</v>
      </c>
      <c r="BI819" s="244">
        <v>26.709440231323242</v>
      </c>
      <c r="BJ819" s="244">
        <v>86.984260559082031</v>
      </c>
      <c r="BK819" s="244">
        <v>0</v>
      </c>
      <c r="BL819" s="244">
        <v>148.33975219726562</v>
      </c>
      <c r="BM819" s="244">
        <v>262.033447265625</v>
      </c>
      <c r="BN819" s="244">
        <v>3.3664741516113281</v>
      </c>
      <c r="BO819" s="244">
        <v>35.555881500244141</v>
      </c>
      <c r="BP819" s="244">
        <v>0.15898312628269196</v>
      </c>
      <c r="BQ819" s="244">
        <v>0</v>
      </c>
      <c r="BR819" s="244">
        <v>0</v>
      </c>
      <c r="BS819" s="244">
        <v>0</v>
      </c>
      <c r="BT819" s="244">
        <v>2.6037285327911377</v>
      </c>
      <c r="BU819" s="244">
        <v>0</v>
      </c>
      <c r="BV819" s="244">
        <v>138.14190673828125</v>
      </c>
      <c r="BW819" s="244">
        <v>0.61291861534118652</v>
      </c>
      <c r="BX819" s="244">
        <v>14.244659423828125</v>
      </c>
      <c r="BY819" s="244">
        <v>1.621938943862915</v>
      </c>
      <c r="BZ819" s="244">
        <v>0</v>
      </c>
      <c r="CA819" s="244">
        <v>0</v>
      </c>
      <c r="CB819" s="244">
        <v>180.43989562988281</v>
      </c>
      <c r="CC819" s="244">
        <v>15.866598129272461</v>
      </c>
      <c r="CD819" s="228">
        <v>11.372311095488449</v>
      </c>
      <c r="CE819" s="244">
        <v>-2662.2958984375</v>
      </c>
      <c r="CF819" s="244">
        <v>3.6845739194857889E-2</v>
      </c>
      <c r="CG819" s="244">
        <v>0.40262314590806353</v>
      </c>
      <c r="CH819" s="244">
        <v>0.43946888510292142</v>
      </c>
      <c r="CI819" s="244">
        <v>1.8086270255417711E-3</v>
      </c>
      <c r="CJ819" s="244">
        <v>2.5163946619254147E-2</v>
      </c>
      <c r="CK819" s="244">
        <v>2.6972573644795918E-2</v>
      </c>
      <c r="CL819" s="244"/>
      <c r="CM819" s="244">
        <v>4.3015294075012207</v>
      </c>
      <c r="CN819" s="244"/>
      <c r="CO819" s="244">
        <v>0.28600004315376282</v>
      </c>
      <c r="CP819" s="244">
        <v>0.31700000166893005</v>
      </c>
      <c r="CQ819" s="244">
        <v>35.555881500244141</v>
      </c>
      <c r="CR819" s="244">
        <v>0</v>
      </c>
      <c r="CS819" s="244">
        <v>0</v>
      </c>
      <c r="CT819" s="244">
        <v>35.555881500244141</v>
      </c>
      <c r="CU819" s="244">
        <v>0</v>
      </c>
      <c r="CV819" s="244">
        <v>0</v>
      </c>
      <c r="CW819" s="228">
        <v>9999</v>
      </c>
    </row>
    <row r="820" spans="1:101">
      <c r="A820" s="221" t="s">
        <v>517</v>
      </c>
      <c r="C820" s="244">
        <v>10</v>
      </c>
      <c r="D820" s="244">
        <v>57.719139099121094</v>
      </c>
      <c r="E820" s="244">
        <v>0</v>
      </c>
      <c r="F820" s="244">
        <v>8.1096944808959961</v>
      </c>
      <c r="G820" s="244">
        <v>0</v>
      </c>
      <c r="H820" s="244">
        <v>0</v>
      </c>
      <c r="I820" s="244"/>
      <c r="J820" s="244">
        <v>0.31946480274200439</v>
      </c>
      <c r="K820" s="244">
        <v>0.33213886618614197</v>
      </c>
      <c r="L820" s="244">
        <v>62.941722869873047</v>
      </c>
      <c r="M820" s="244">
        <v>7.8061721287667751E-3</v>
      </c>
      <c r="N820" s="244">
        <v>2.4281954392790794E-2</v>
      </c>
      <c r="O820" s="244">
        <v>0</v>
      </c>
      <c r="P820" s="244">
        <v>0</v>
      </c>
      <c r="Q820" s="244">
        <v>0</v>
      </c>
      <c r="R820" s="244">
        <v>0.80633538961410522</v>
      </c>
      <c r="S820" s="244">
        <v>4.4560842514038086</v>
      </c>
      <c r="T820" s="244">
        <v>0</v>
      </c>
      <c r="U820" s="244">
        <v>8.9822397232055664</v>
      </c>
      <c r="V820" s="244">
        <v>0.81096947193145752</v>
      </c>
      <c r="W820" s="244">
        <v>0.81096947193145752</v>
      </c>
      <c r="X820" s="244">
        <v>0</v>
      </c>
      <c r="Y820" s="244">
        <v>0</v>
      </c>
      <c r="Z820" s="244">
        <v>0</v>
      </c>
      <c r="AA820" s="244">
        <v>0</v>
      </c>
      <c r="AB820" s="244">
        <v>0</v>
      </c>
      <c r="AC820" s="244">
        <v>0</v>
      </c>
      <c r="AD820" s="244">
        <v>0</v>
      </c>
      <c r="AE820" s="244">
        <v>0</v>
      </c>
      <c r="AF820" s="244">
        <v>0</v>
      </c>
      <c r="AG820" s="244">
        <v>0</v>
      </c>
      <c r="AH820" s="244">
        <v>1.617304801940918</v>
      </c>
      <c r="AI820" s="244">
        <v>5.2670536041259766</v>
      </c>
      <c r="AJ820" s="244">
        <v>0</v>
      </c>
      <c r="AK820" s="244">
        <v>8.9822397232055664</v>
      </c>
      <c r="AL820" s="244">
        <v>15.866598129272461</v>
      </c>
      <c r="AM820" s="244">
        <v>44.327083587646484</v>
      </c>
      <c r="AN820" s="244">
        <v>0</v>
      </c>
      <c r="AO820" s="244">
        <v>7.8055992126464844</v>
      </c>
      <c r="AP820" s="244">
        <v>33.728912353515625</v>
      </c>
      <c r="AQ820" s="244">
        <v>85.861595153808594</v>
      </c>
      <c r="AR820" s="244">
        <v>1.617304801940918</v>
      </c>
      <c r="AS820" s="228">
        <v>53.089307523478126</v>
      </c>
      <c r="AT820" s="244">
        <v>44.327083587646484</v>
      </c>
      <c r="AU820" s="244">
        <v>6.9599604606628418</v>
      </c>
      <c r="AV820" s="244">
        <v>8.5015945434570312</v>
      </c>
      <c r="AW820" s="244">
        <v>33.728912353515625</v>
      </c>
      <c r="AX820" s="244">
        <v>93.517547607421875</v>
      </c>
      <c r="AY820" s="244">
        <v>5.2670536041259766</v>
      </c>
      <c r="AZ820" s="228">
        <v>17.755192154384119</v>
      </c>
      <c r="BA820" s="244">
        <v>44.327083587646484</v>
      </c>
      <c r="BB820" s="244">
        <v>6.9599604606628418</v>
      </c>
      <c r="BC820" s="244">
        <v>8.5015945434570312</v>
      </c>
      <c r="BD820" s="244">
        <v>33.728912353515625</v>
      </c>
      <c r="BE820" s="244">
        <v>93.517547607421875</v>
      </c>
      <c r="BF820" s="244">
        <v>6.8843584060668945</v>
      </c>
      <c r="BG820" s="244">
        <v>-53.934837341308594</v>
      </c>
      <c r="BH820" s="228">
        <v>13.584061578468869</v>
      </c>
      <c r="BI820" s="244">
        <v>2.0618553161621094</v>
      </c>
      <c r="BJ820" s="244">
        <v>6.7148146629333496</v>
      </c>
      <c r="BK820" s="244">
        <v>0</v>
      </c>
      <c r="BL820" s="244">
        <v>11.451197624206543</v>
      </c>
      <c r="BM820" s="244">
        <v>20.227867126464844</v>
      </c>
      <c r="BN820" s="244">
        <v>44.327083587646484</v>
      </c>
      <c r="BO820" s="244">
        <v>0</v>
      </c>
      <c r="BP820" s="244">
        <v>6.9599604606628418</v>
      </c>
      <c r="BQ820" s="244">
        <v>0</v>
      </c>
      <c r="BR820" s="244">
        <v>0</v>
      </c>
      <c r="BS820" s="244">
        <v>0</v>
      </c>
      <c r="BT820" s="244">
        <v>33.728912353515625</v>
      </c>
      <c r="BU820" s="244">
        <v>0</v>
      </c>
      <c r="BV820" s="244">
        <v>83.886871337890625</v>
      </c>
      <c r="BW820" s="244">
        <v>8.5015945434570312</v>
      </c>
      <c r="BX820" s="244">
        <v>14.244659423828125</v>
      </c>
      <c r="BY820" s="244">
        <v>1.621938943862915</v>
      </c>
      <c r="BZ820" s="244">
        <v>0</v>
      </c>
      <c r="CA820" s="244">
        <v>0</v>
      </c>
      <c r="CB820" s="244">
        <v>177.4044189453125</v>
      </c>
      <c r="CC820" s="244">
        <v>15.866598129272461</v>
      </c>
      <c r="CD820" s="228">
        <v>11.180999113484782</v>
      </c>
      <c r="CE820" s="244">
        <v>-149.4285888671875</v>
      </c>
      <c r="CF820" s="244">
        <v>0.47508525792175232</v>
      </c>
      <c r="CG820" s="244">
        <v>0</v>
      </c>
      <c r="CH820" s="244">
        <v>0.47508525792175232</v>
      </c>
      <c r="CI820" s="244">
        <v>2.3296697067633827E-2</v>
      </c>
      <c r="CJ820" s="244">
        <v>0</v>
      </c>
      <c r="CK820" s="244">
        <v>2.3296697067633827E-2</v>
      </c>
      <c r="CL820" s="244"/>
      <c r="CM820" s="244">
        <v>0</v>
      </c>
      <c r="CN820" s="244"/>
      <c r="CO820" s="244">
        <v>0</v>
      </c>
      <c r="CP820" s="244">
        <v>0</v>
      </c>
      <c r="CQ820" s="244">
        <v>0</v>
      </c>
      <c r="CR820" s="244">
        <v>0</v>
      </c>
      <c r="CS820" s="244">
        <v>0</v>
      </c>
      <c r="CT820" s="244">
        <v>0</v>
      </c>
      <c r="CU820" s="244">
        <v>0</v>
      </c>
      <c r="CV820" s="244">
        <v>9999</v>
      </c>
      <c r="CW820" s="228">
        <v>9999</v>
      </c>
    </row>
    <row r="821" spans="1:101">
      <c r="A821" s="221" t="s">
        <v>541</v>
      </c>
      <c r="C821" s="244">
        <v>10.000000953674316</v>
      </c>
      <c r="D821" s="244">
        <v>58.607437133789063</v>
      </c>
      <c r="E821" s="244">
        <v>0</v>
      </c>
      <c r="F821" s="244">
        <v>8.1096944808959961</v>
      </c>
      <c r="G821" s="244">
        <v>0</v>
      </c>
      <c r="H821" s="244">
        <v>0</v>
      </c>
      <c r="I821" s="244"/>
      <c r="J821" s="244">
        <v>0.31782254576683044</v>
      </c>
      <c r="K821" s="244">
        <v>0.33139592409133911</v>
      </c>
      <c r="L821" s="244">
        <v>63.910369873046875</v>
      </c>
      <c r="M821" s="244">
        <v>7.9341679811477661E-3</v>
      </c>
      <c r="N821" s="244">
        <v>2.4697544053196907E-2</v>
      </c>
      <c r="O821" s="244">
        <v>0</v>
      </c>
      <c r="P821" s="244">
        <v>0</v>
      </c>
      <c r="Q821" s="244">
        <v>0</v>
      </c>
      <c r="R821" s="244">
        <v>0.80633538961410522</v>
      </c>
      <c r="S821" s="244">
        <v>4.4560842514038086</v>
      </c>
      <c r="T821" s="244">
        <v>0</v>
      </c>
      <c r="U821" s="244">
        <v>8.9822397232055664</v>
      </c>
      <c r="V821" s="244">
        <v>0.81096947193145752</v>
      </c>
      <c r="W821" s="244">
        <v>0.81096947193145752</v>
      </c>
      <c r="X821" s="244">
        <v>0</v>
      </c>
      <c r="Y821" s="244">
        <v>0</v>
      </c>
      <c r="Z821" s="244">
        <v>0</v>
      </c>
      <c r="AA821" s="244">
        <v>0</v>
      </c>
      <c r="AB821" s="244">
        <v>0</v>
      </c>
      <c r="AC821" s="244">
        <v>0</v>
      </c>
      <c r="AD821" s="244">
        <v>0</v>
      </c>
      <c r="AE821" s="244">
        <v>0</v>
      </c>
      <c r="AF821" s="244">
        <v>0</v>
      </c>
      <c r="AG821" s="244">
        <v>0</v>
      </c>
      <c r="AH821" s="244">
        <v>1.617304801940918</v>
      </c>
      <c r="AI821" s="244">
        <v>5.2670536041259766</v>
      </c>
      <c r="AJ821" s="244">
        <v>0</v>
      </c>
      <c r="AK821" s="244">
        <v>8.9822397232055664</v>
      </c>
      <c r="AL821" s="244">
        <v>15.866598129272461</v>
      </c>
      <c r="AM821" s="244">
        <v>45.011016845703125</v>
      </c>
      <c r="AN821" s="244">
        <v>0</v>
      </c>
      <c r="AO821" s="244">
        <v>7.9259004592895508</v>
      </c>
      <c r="AP821" s="244">
        <v>34.24798583984375</v>
      </c>
      <c r="AQ821" s="244">
        <v>87.184906005859375</v>
      </c>
      <c r="AR821" s="244">
        <v>1.617304801940918</v>
      </c>
      <c r="AS821" s="228">
        <v>53.907525549338274</v>
      </c>
      <c r="AT821" s="244">
        <v>45.011016845703125</v>
      </c>
      <c r="AU821" s="244">
        <v>7.0790815353393555</v>
      </c>
      <c r="AV821" s="244">
        <v>8.6338081359863281</v>
      </c>
      <c r="AW821" s="244">
        <v>34.24798583984375</v>
      </c>
      <c r="AX821" s="244">
        <v>94.971893310546875</v>
      </c>
      <c r="AY821" s="244">
        <v>5.2670536041259766</v>
      </c>
      <c r="AZ821" s="228">
        <v>18.031312636153128</v>
      </c>
      <c r="BA821" s="244">
        <v>45.011016845703125</v>
      </c>
      <c r="BB821" s="244">
        <v>7.0790815353393555</v>
      </c>
      <c r="BC821" s="244">
        <v>8.6338081359863281</v>
      </c>
      <c r="BD821" s="244">
        <v>34.24798583984375</v>
      </c>
      <c r="BE821" s="244">
        <v>94.971893310546875</v>
      </c>
      <c r="BF821" s="244">
        <v>6.8843584060668945</v>
      </c>
      <c r="BG821" s="244">
        <v>-54.084667205810547</v>
      </c>
      <c r="BH821" s="228">
        <v>13.795314579552302</v>
      </c>
      <c r="BI821" s="244">
        <v>2.0306050777435303</v>
      </c>
      <c r="BJ821" s="244">
        <v>6.6130428314208984</v>
      </c>
      <c r="BK821" s="244">
        <v>0</v>
      </c>
      <c r="BL821" s="244">
        <v>11.277639389038086</v>
      </c>
      <c r="BM821" s="244">
        <v>19.921287536621094</v>
      </c>
      <c r="BN821" s="244">
        <v>45.011016845703125</v>
      </c>
      <c r="BO821" s="244">
        <v>0</v>
      </c>
      <c r="BP821" s="244">
        <v>7.0790815353393555</v>
      </c>
      <c r="BQ821" s="244">
        <v>0</v>
      </c>
      <c r="BR821" s="244">
        <v>0</v>
      </c>
      <c r="BS821" s="244">
        <v>0</v>
      </c>
      <c r="BT821" s="244">
        <v>34.24798583984375</v>
      </c>
      <c r="BU821" s="244">
        <v>0</v>
      </c>
      <c r="BV821" s="244">
        <v>80.997779846191406</v>
      </c>
      <c r="BW821" s="244">
        <v>8.6338081359863281</v>
      </c>
      <c r="BX821" s="244">
        <v>14.244659423828125</v>
      </c>
      <c r="BY821" s="244">
        <v>1.621938943862915</v>
      </c>
      <c r="BZ821" s="244">
        <v>0</v>
      </c>
      <c r="CA821" s="244">
        <v>0</v>
      </c>
      <c r="CB821" s="244">
        <v>175.96966552734375</v>
      </c>
      <c r="CC821" s="244">
        <v>15.866598129272461</v>
      </c>
      <c r="CD821" s="228">
        <v>11.090573299024753</v>
      </c>
      <c r="CE821" s="244">
        <v>-144.50369262695312</v>
      </c>
      <c r="CF821" s="244">
        <v>0.48239121360116166</v>
      </c>
      <c r="CG821" s="244">
        <v>0</v>
      </c>
      <c r="CH821" s="244">
        <v>0.48239121360116166</v>
      </c>
      <c r="CI821" s="244">
        <v>2.3654900308311255E-2</v>
      </c>
      <c r="CJ821" s="244">
        <v>0</v>
      </c>
      <c r="CK821" s="244">
        <v>2.3654900308311255E-2</v>
      </c>
      <c r="CL821" s="244"/>
      <c r="CM821" s="244">
        <v>0</v>
      </c>
      <c r="CN821" s="244"/>
      <c r="CO821" s="244">
        <v>0</v>
      </c>
      <c r="CP821" s="244">
        <v>0</v>
      </c>
      <c r="CQ821" s="244">
        <v>0</v>
      </c>
      <c r="CR821" s="244">
        <v>0</v>
      </c>
      <c r="CS821" s="244">
        <v>0</v>
      </c>
      <c r="CT821" s="244">
        <v>0</v>
      </c>
      <c r="CU821" s="244">
        <v>0</v>
      </c>
      <c r="CV821" s="244">
        <v>9999</v>
      </c>
      <c r="CW821" s="228">
        <v>9999</v>
      </c>
    </row>
    <row r="822" spans="1:101">
      <c r="A822" s="221" t="s">
        <v>505</v>
      </c>
      <c r="C822" s="244">
        <v>10.000000953674316</v>
      </c>
      <c r="D822" s="244">
        <v>80.930519104003906</v>
      </c>
      <c r="E822" s="244">
        <v>0</v>
      </c>
      <c r="F822" s="244">
        <v>11.336667060852051</v>
      </c>
      <c r="G822" s="244">
        <v>0</v>
      </c>
      <c r="H822" s="244">
        <v>0</v>
      </c>
      <c r="I822" s="244"/>
      <c r="J822" s="244">
        <v>0.31782254576683044</v>
      </c>
      <c r="K822" s="244">
        <v>0.33139592409133911</v>
      </c>
      <c r="L822" s="244">
        <v>88.2532958984375</v>
      </c>
      <c r="M822" s="244">
        <v>1.0956225916743279E-2</v>
      </c>
      <c r="N822" s="244">
        <v>3.4104634076356888E-2</v>
      </c>
      <c r="O822" s="244">
        <v>0</v>
      </c>
      <c r="P822" s="244">
        <v>0</v>
      </c>
      <c r="Q822" s="244">
        <v>0</v>
      </c>
      <c r="R822" s="244">
        <v>1.1271885633468628</v>
      </c>
      <c r="S822" s="244">
        <v>6.2292284965515137</v>
      </c>
      <c r="T822" s="244">
        <v>0</v>
      </c>
      <c r="U822" s="244">
        <v>12.556410789489746</v>
      </c>
      <c r="V822" s="244">
        <v>1.1336666345596313</v>
      </c>
      <c r="W822" s="244">
        <v>1.1336666345596313</v>
      </c>
      <c r="X822" s="244">
        <v>0</v>
      </c>
      <c r="Y822" s="244">
        <v>0</v>
      </c>
      <c r="Z822" s="244">
        <v>0</v>
      </c>
      <c r="AA822" s="244">
        <v>0</v>
      </c>
      <c r="AB822" s="244">
        <v>0</v>
      </c>
      <c r="AC822" s="244">
        <v>0</v>
      </c>
      <c r="AD822" s="244">
        <v>0</v>
      </c>
      <c r="AE822" s="244">
        <v>0</v>
      </c>
      <c r="AF822" s="244">
        <v>0</v>
      </c>
      <c r="AG822" s="244">
        <v>0</v>
      </c>
      <c r="AH822" s="244">
        <v>2.2608551979064941</v>
      </c>
      <c r="AI822" s="244">
        <v>7.3628950119018555</v>
      </c>
      <c r="AJ822" s="244">
        <v>0</v>
      </c>
      <c r="AK822" s="244">
        <v>12.556410789489746</v>
      </c>
      <c r="AL822" s="244">
        <v>22.18016242980957</v>
      </c>
      <c r="AM822" s="244">
        <v>62.155338287353516</v>
      </c>
      <c r="AN822" s="244">
        <v>0</v>
      </c>
      <c r="AO822" s="244">
        <v>10.94481086730957</v>
      </c>
      <c r="AP822" s="244">
        <v>47.292762756347656</v>
      </c>
      <c r="AQ822" s="244">
        <v>120.39291381835938</v>
      </c>
      <c r="AR822" s="244">
        <v>2.2608551979064941</v>
      </c>
      <c r="AS822" s="228">
        <v>53.251049435847165</v>
      </c>
      <c r="AT822" s="244">
        <v>62.155338287353516</v>
      </c>
      <c r="AU822" s="244">
        <v>9.7754440307617187</v>
      </c>
      <c r="AV822" s="244">
        <v>11.922354698181152</v>
      </c>
      <c r="AW822" s="244">
        <v>47.292762756347656</v>
      </c>
      <c r="AX822" s="244">
        <v>131.14590454101563</v>
      </c>
      <c r="AY822" s="244">
        <v>7.3628950119018555</v>
      </c>
      <c r="AZ822" s="228">
        <v>17.811729956399994</v>
      </c>
      <c r="BA822" s="244">
        <v>62.155338287353516</v>
      </c>
      <c r="BB822" s="244">
        <v>9.7754440307617187</v>
      </c>
      <c r="BC822" s="244">
        <v>11.922354698181152</v>
      </c>
      <c r="BD822" s="244">
        <v>47.292762756347656</v>
      </c>
      <c r="BE822" s="244">
        <v>131.14590454101563</v>
      </c>
      <c r="BF822" s="244">
        <v>9.6237506866455078</v>
      </c>
      <c r="BG822" s="244">
        <v>-53.978111267089844</v>
      </c>
      <c r="BH822" s="228">
        <v>13.627317343968439</v>
      </c>
      <c r="BI822" s="244">
        <v>2.055638313293457</v>
      </c>
      <c r="BJ822" s="244">
        <v>6.6945681571960449</v>
      </c>
      <c r="BK822" s="244">
        <v>0</v>
      </c>
      <c r="BL822" s="244">
        <v>11.416671752929688</v>
      </c>
      <c r="BM822" s="244">
        <v>20.166879653930664</v>
      </c>
      <c r="BN822" s="244">
        <v>62.155338287353516</v>
      </c>
      <c r="BO822" s="244">
        <v>0</v>
      </c>
      <c r="BP822" s="244">
        <v>9.7754440307617187</v>
      </c>
      <c r="BQ822" s="244">
        <v>0</v>
      </c>
      <c r="BR822" s="244">
        <v>0</v>
      </c>
      <c r="BS822" s="244">
        <v>0</v>
      </c>
      <c r="BT822" s="244">
        <v>47.292762756347656</v>
      </c>
      <c r="BU822" s="244">
        <v>0</v>
      </c>
      <c r="BV822" s="244">
        <v>111.84915161132812</v>
      </c>
      <c r="BW822" s="244">
        <v>11.922354698181152</v>
      </c>
      <c r="BX822" s="244">
        <v>19.91282844543457</v>
      </c>
      <c r="BY822" s="244">
        <v>2.2673332691192627</v>
      </c>
      <c r="BZ822" s="244">
        <v>0</v>
      </c>
      <c r="CA822" s="244">
        <v>0</v>
      </c>
      <c r="CB822" s="244">
        <v>242.99505615234375</v>
      </c>
      <c r="CC822" s="244">
        <v>22.18016242980957</v>
      </c>
      <c r="CD822" s="228">
        <v>10.955513062130988</v>
      </c>
      <c r="CE822" s="244">
        <v>-144.25810241699219</v>
      </c>
      <c r="CF822" s="244">
        <v>0.66613001179637144</v>
      </c>
      <c r="CG822" s="244">
        <v>0</v>
      </c>
      <c r="CH822" s="244">
        <v>0.66613001179637144</v>
      </c>
      <c r="CI822" s="244">
        <v>3.2664854949960499E-2</v>
      </c>
      <c r="CJ822" s="244">
        <v>0</v>
      </c>
      <c r="CK822" s="244">
        <v>3.2664854949960499E-2</v>
      </c>
      <c r="CL822" s="244"/>
      <c r="CM822" s="244">
        <v>0</v>
      </c>
      <c r="CN822" s="244"/>
      <c r="CO822" s="244">
        <v>0</v>
      </c>
      <c r="CP822" s="244">
        <v>0</v>
      </c>
      <c r="CQ822" s="244">
        <v>0</v>
      </c>
      <c r="CR822" s="244">
        <v>0</v>
      </c>
      <c r="CS822" s="244">
        <v>0</v>
      </c>
      <c r="CT822" s="244">
        <v>0</v>
      </c>
      <c r="CU822" s="244">
        <v>0</v>
      </c>
      <c r="CV822" s="244">
        <v>9999</v>
      </c>
      <c r="CW822" s="228">
        <v>9999</v>
      </c>
    </row>
    <row r="823" spans="1:101">
      <c r="A823" s="221" t="s">
        <v>572</v>
      </c>
      <c r="C823" s="244">
        <v>10.000000953674316</v>
      </c>
      <c r="D823" s="244">
        <v>4.3264508247375488</v>
      </c>
      <c r="E823" s="244">
        <v>3.9236588478088379</v>
      </c>
      <c r="F823" s="244">
        <v>8.1096944808959961</v>
      </c>
      <c r="G823" s="244">
        <v>0</v>
      </c>
      <c r="H823" s="244">
        <v>0</v>
      </c>
      <c r="I823" s="244"/>
      <c r="J823" s="244">
        <v>1</v>
      </c>
      <c r="K823" s="244">
        <v>0.63999998569488525</v>
      </c>
      <c r="L823" s="244">
        <v>4.7186989784240723</v>
      </c>
      <c r="M823" s="244">
        <v>3.4474514541216195E-4</v>
      </c>
      <c r="N823" s="244">
        <v>5.3866428788751364E-4</v>
      </c>
      <c r="O823" s="244">
        <v>3.962895393371582</v>
      </c>
      <c r="P823" s="244">
        <v>1.2025845237076283E-2</v>
      </c>
      <c r="Q823" s="244">
        <v>3.7936419248580933E-2</v>
      </c>
      <c r="R823" s="244">
        <v>0.80633538961410522</v>
      </c>
      <c r="S823" s="244">
        <v>4.4560842514038086</v>
      </c>
      <c r="T823" s="244">
        <v>0</v>
      </c>
      <c r="U823" s="244">
        <v>8.9822397232055664</v>
      </c>
      <c r="V823" s="244">
        <v>0.81096947193145752</v>
      </c>
      <c r="W823" s="244">
        <v>0.81096947193145752</v>
      </c>
      <c r="X823" s="244">
        <v>0</v>
      </c>
      <c r="Y823" s="244">
        <v>0</v>
      </c>
      <c r="Z823" s="244">
        <v>0</v>
      </c>
      <c r="AA823" s="244">
        <v>0</v>
      </c>
      <c r="AB823" s="244">
        <v>0</v>
      </c>
      <c r="AC823" s="244">
        <v>0</v>
      </c>
      <c r="AD823" s="244">
        <v>0</v>
      </c>
      <c r="AE823" s="244">
        <v>0</v>
      </c>
      <c r="AF823" s="244">
        <v>0</v>
      </c>
      <c r="AG823" s="244">
        <v>0</v>
      </c>
      <c r="AH823" s="244">
        <v>1.617304801940918</v>
      </c>
      <c r="AI823" s="244">
        <v>5.2670536041259766</v>
      </c>
      <c r="AJ823" s="244">
        <v>0</v>
      </c>
      <c r="AK823" s="244">
        <v>8.9822397232055664</v>
      </c>
      <c r="AL823" s="244">
        <v>15.866598129272461</v>
      </c>
      <c r="AM823" s="244">
        <v>3.2693812847137451</v>
      </c>
      <c r="AN823" s="244">
        <v>0</v>
      </c>
      <c r="AO823" s="244">
        <v>0.57980155944824219</v>
      </c>
      <c r="AP823" s="244">
        <v>2.5286343097686768</v>
      </c>
      <c r="AQ823" s="244">
        <v>6.3778171539306641</v>
      </c>
      <c r="AR823" s="244">
        <v>1.617304801940918</v>
      </c>
      <c r="AS823" s="228">
        <v>3.9434848095588859</v>
      </c>
      <c r="AT823" s="244">
        <v>3.2693812847137451</v>
      </c>
      <c r="AU823" s="244">
        <v>0.15439788997173309</v>
      </c>
      <c r="AV823" s="244">
        <v>0.59524136781692505</v>
      </c>
      <c r="AW823" s="244">
        <v>2.5286343097686768</v>
      </c>
      <c r="AX823" s="244">
        <v>6.5476546287536621</v>
      </c>
      <c r="AY823" s="244">
        <v>5.2670536041259766</v>
      </c>
      <c r="AZ823" s="228">
        <v>1.2431342447224738</v>
      </c>
      <c r="BA823" s="244">
        <v>3.2693812847137451</v>
      </c>
      <c r="BB823" s="244">
        <v>0.15439788997173309</v>
      </c>
      <c r="BC823" s="244">
        <v>0.59524136781692505</v>
      </c>
      <c r="BD823" s="244">
        <v>2.5286343097686768</v>
      </c>
      <c r="BE823" s="244">
        <v>6.5476546287536621</v>
      </c>
      <c r="BF823" s="244">
        <v>6.8843584060668945</v>
      </c>
      <c r="BG823" s="244">
        <v>61.322322845458984</v>
      </c>
      <c r="BH823" s="255">
        <v>0.95109148826889911</v>
      </c>
      <c r="BI823" s="244">
        <v>27.502649307250977</v>
      </c>
      <c r="BJ823" s="244">
        <v>89.567489624023437</v>
      </c>
      <c r="BK823" s="244">
        <v>0</v>
      </c>
      <c r="BL823" s="244">
        <v>152.74508666992187</v>
      </c>
      <c r="BM823" s="244">
        <v>269.81521606445312</v>
      </c>
      <c r="BN823" s="244">
        <v>3.2693812847137451</v>
      </c>
      <c r="BO823" s="244">
        <v>32.756778717041016</v>
      </c>
      <c r="BP823" s="244">
        <v>0.15439788997173309</v>
      </c>
      <c r="BQ823" s="244">
        <v>0</v>
      </c>
      <c r="BR823" s="244">
        <v>0</v>
      </c>
      <c r="BS823" s="244">
        <v>0</v>
      </c>
      <c r="BT823" s="244">
        <v>2.5286343097686768</v>
      </c>
      <c r="BU823" s="244">
        <v>0</v>
      </c>
      <c r="BV823" s="244">
        <v>134.15776062011719</v>
      </c>
      <c r="BW823" s="244">
        <v>0.59524136781692505</v>
      </c>
      <c r="BX823" s="244">
        <v>14.244659423828125</v>
      </c>
      <c r="BY823" s="244">
        <v>1.621938943862915</v>
      </c>
      <c r="BZ823" s="244">
        <v>0</v>
      </c>
      <c r="CA823" s="244">
        <v>0</v>
      </c>
      <c r="CB823" s="244">
        <v>173.46218872070312</v>
      </c>
      <c r="CC823" s="244">
        <v>15.866598129272461</v>
      </c>
      <c r="CD823" s="228">
        <v>10.932538290163581</v>
      </c>
      <c r="CE823" s="244">
        <v>-2624.353515625</v>
      </c>
      <c r="CF823" s="244">
        <v>3.57830672044624E-2</v>
      </c>
      <c r="CG823" s="244">
        <v>0.37092701320480997</v>
      </c>
      <c r="CH823" s="244">
        <v>0.40671008040927237</v>
      </c>
      <c r="CI823" s="244">
        <v>1.7564642158624407E-3</v>
      </c>
      <c r="CJ823" s="244">
        <v>2.3182938325300755E-2</v>
      </c>
      <c r="CK823" s="244">
        <v>2.4939402541163197E-2</v>
      </c>
      <c r="CL823" s="244"/>
      <c r="CM823" s="244">
        <v>3.962895393371582</v>
      </c>
      <c r="CN823" s="244"/>
      <c r="CO823" s="244">
        <v>0.28600001335144043</v>
      </c>
      <c r="CP823" s="244">
        <v>0.31700000166893005</v>
      </c>
      <c r="CQ823" s="244">
        <v>32.756778717041016</v>
      </c>
      <c r="CR823" s="244">
        <v>0</v>
      </c>
      <c r="CS823" s="244">
        <v>0</v>
      </c>
      <c r="CT823" s="244">
        <v>32.756778717041016</v>
      </c>
      <c r="CU823" s="244">
        <v>0</v>
      </c>
      <c r="CV823" s="244">
        <v>0</v>
      </c>
      <c r="CW823" s="228">
        <v>9999</v>
      </c>
    </row>
    <row r="824" spans="1:101">
      <c r="A824" s="221" t="s">
        <v>492</v>
      </c>
      <c r="C824" s="244">
        <v>10</v>
      </c>
      <c r="D824" s="244">
        <v>25.236085891723633</v>
      </c>
      <c r="E824" s="244">
        <v>2.3103044033050537</v>
      </c>
      <c r="F824" s="244">
        <v>8.1096944808959961</v>
      </c>
      <c r="G824" s="244">
        <v>0</v>
      </c>
      <c r="H824" s="244">
        <v>0</v>
      </c>
      <c r="I824" s="244"/>
      <c r="J824" s="244">
        <v>0.38816192746162415</v>
      </c>
      <c r="K824" s="244">
        <v>0.3632161021232605</v>
      </c>
      <c r="L824" s="244">
        <v>27.519973754882813</v>
      </c>
      <c r="M824" s="244">
        <v>3.2714912667870522E-3</v>
      </c>
      <c r="N824" s="244">
        <v>9.8620802164077759E-3</v>
      </c>
      <c r="O824" s="244">
        <v>2.3334074020385742</v>
      </c>
      <c r="P824" s="244">
        <v>7.0809833705425262E-3</v>
      </c>
      <c r="Q824" s="244">
        <v>2.233748696744442E-2</v>
      </c>
      <c r="R824" s="244">
        <v>0.80633538961410522</v>
      </c>
      <c r="S824" s="244">
        <v>4.4560842514038086</v>
      </c>
      <c r="T824" s="244">
        <v>0</v>
      </c>
      <c r="U824" s="244">
        <v>8.9822397232055664</v>
      </c>
      <c r="V824" s="244">
        <v>0.81096947193145752</v>
      </c>
      <c r="W824" s="244">
        <v>0.81096947193145752</v>
      </c>
      <c r="X824" s="244">
        <v>0</v>
      </c>
      <c r="Y824" s="244">
        <v>0</v>
      </c>
      <c r="Z824" s="244">
        <v>0</v>
      </c>
      <c r="AA824" s="244">
        <v>0</v>
      </c>
      <c r="AB824" s="244">
        <v>0</v>
      </c>
      <c r="AC824" s="244">
        <v>0</v>
      </c>
      <c r="AD824" s="244">
        <v>0</v>
      </c>
      <c r="AE824" s="244">
        <v>0</v>
      </c>
      <c r="AF824" s="244">
        <v>0</v>
      </c>
      <c r="AG824" s="244">
        <v>0</v>
      </c>
      <c r="AH824" s="244">
        <v>1.617304801940918</v>
      </c>
      <c r="AI824" s="244">
        <v>5.2670536041259766</v>
      </c>
      <c r="AJ824" s="244">
        <v>0</v>
      </c>
      <c r="AK824" s="244">
        <v>8.9822397232055664</v>
      </c>
      <c r="AL824" s="244">
        <v>15.866598129272461</v>
      </c>
      <c r="AM824" s="244">
        <v>19.349431991577148</v>
      </c>
      <c r="AN824" s="244">
        <v>0</v>
      </c>
      <c r="AO824" s="244">
        <v>3.4096705913543701</v>
      </c>
      <c r="AP824" s="244">
        <v>14.747273445129395</v>
      </c>
      <c r="AQ824" s="244">
        <v>37.506374359130859</v>
      </c>
      <c r="AR824" s="244">
        <v>1.617304801940918</v>
      </c>
      <c r="AS824" s="228">
        <v>23.190665482955566</v>
      </c>
      <c r="AT824" s="244">
        <v>19.349431991577148</v>
      </c>
      <c r="AU824" s="244">
        <v>2.8267776966094971</v>
      </c>
      <c r="AV824" s="244">
        <v>3.6923484802246094</v>
      </c>
      <c r="AW824" s="244">
        <v>14.747273445129395</v>
      </c>
      <c r="AX824" s="244">
        <v>40.615833282470703</v>
      </c>
      <c r="AY824" s="244">
        <v>5.2670536041259766</v>
      </c>
      <c r="AZ824" s="228">
        <v>7.7113000449559514</v>
      </c>
      <c r="BA824" s="244">
        <v>19.349431991577148</v>
      </c>
      <c r="BB824" s="244">
        <v>2.8267776966094971</v>
      </c>
      <c r="BC824" s="244">
        <v>3.6923484802246094</v>
      </c>
      <c r="BD824" s="244">
        <v>14.747273445129395</v>
      </c>
      <c r="BE824" s="244">
        <v>40.615833282470703</v>
      </c>
      <c r="BF824" s="244">
        <v>6.8843584060668945</v>
      </c>
      <c r="BG824" s="244">
        <v>-41.935073852539062</v>
      </c>
      <c r="BH824" s="228">
        <v>5.8997263307491883</v>
      </c>
      <c r="BI824" s="244">
        <v>4.7157282829284668</v>
      </c>
      <c r="BJ824" s="244">
        <v>15.357645034790039</v>
      </c>
      <c r="BK824" s="244">
        <v>0</v>
      </c>
      <c r="BL824" s="244">
        <v>26.190362930297852</v>
      </c>
      <c r="BM824" s="244">
        <v>46.263736724853516</v>
      </c>
      <c r="BN824" s="244">
        <v>19.349431991577148</v>
      </c>
      <c r="BO824" s="244">
        <v>19.287643432617188</v>
      </c>
      <c r="BP824" s="244">
        <v>2.8267776966094971</v>
      </c>
      <c r="BQ824" s="244">
        <v>0</v>
      </c>
      <c r="BR824" s="244">
        <v>0</v>
      </c>
      <c r="BS824" s="244">
        <v>0</v>
      </c>
      <c r="BT824" s="244">
        <v>14.747273445129395</v>
      </c>
      <c r="BU824" s="244">
        <v>0</v>
      </c>
      <c r="BV824" s="244">
        <v>111.96872711181641</v>
      </c>
      <c r="BW824" s="244">
        <v>3.6923484802246094</v>
      </c>
      <c r="BX824" s="244">
        <v>14.244659423828125</v>
      </c>
      <c r="BY824" s="244">
        <v>1.621938943862915</v>
      </c>
      <c r="BZ824" s="244">
        <v>0</v>
      </c>
      <c r="CA824" s="244">
        <v>0</v>
      </c>
      <c r="CB824" s="244">
        <v>171.87220764160156</v>
      </c>
      <c r="CC824" s="244">
        <v>15.866598129272461</v>
      </c>
      <c r="CD824" s="228">
        <v>10.832328276989447</v>
      </c>
      <c r="CE824" s="244">
        <v>-398.4613037109375</v>
      </c>
      <c r="CF824" s="244">
        <v>0.2078191458824683</v>
      </c>
      <c r="CG824" s="244">
        <v>0.21840694331402244</v>
      </c>
      <c r="CH824" s="244">
        <v>0.42622608919649074</v>
      </c>
      <c r="CI824" s="244">
        <v>1.019184654320944E-2</v>
      </c>
      <c r="CJ824" s="244">
        <v>1.3650433957126413E-2</v>
      </c>
      <c r="CK824" s="244">
        <v>2.3842280500335853E-2</v>
      </c>
      <c r="CL824" s="244"/>
      <c r="CM824" s="244">
        <v>2.3334074020385742</v>
      </c>
      <c r="CN824" s="244"/>
      <c r="CO824" s="244">
        <v>0.28600001335144043</v>
      </c>
      <c r="CP824" s="244">
        <v>0.31700000166893005</v>
      </c>
      <c r="CQ824" s="244">
        <v>19.287643432617188</v>
      </c>
      <c r="CR824" s="244">
        <v>0</v>
      </c>
      <c r="CS824" s="244">
        <v>0</v>
      </c>
      <c r="CT824" s="244">
        <v>19.287643432617188</v>
      </c>
      <c r="CU824" s="244">
        <v>0</v>
      </c>
      <c r="CV824" s="244">
        <v>0</v>
      </c>
      <c r="CW824" s="228">
        <v>9999</v>
      </c>
    </row>
    <row r="825" spans="1:101">
      <c r="A825" s="221" t="s">
        <v>521</v>
      </c>
      <c r="C825" s="244">
        <v>10</v>
      </c>
      <c r="D825" s="244">
        <v>4.2081913948059082</v>
      </c>
      <c r="E825" s="244">
        <v>4.0562610626220703</v>
      </c>
      <c r="F825" s="244">
        <v>8.1096944808959961</v>
      </c>
      <c r="G825" s="244">
        <v>0</v>
      </c>
      <c r="H825" s="244">
        <v>0</v>
      </c>
      <c r="I825" s="244"/>
      <c r="J825" s="244">
        <v>1</v>
      </c>
      <c r="K825" s="244">
        <v>0.63999998569488525</v>
      </c>
      <c r="L825" s="244">
        <v>4.5897178649902344</v>
      </c>
      <c r="M825" s="244">
        <v>3.3532181987538934E-4</v>
      </c>
      <c r="N825" s="244">
        <v>5.2394036902114749E-4</v>
      </c>
      <c r="O825" s="244">
        <v>4.0968236923217773</v>
      </c>
      <c r="P825" s="244">
        <v>1.2432265095412731E-2</v>
      </c>
      <c r="Q825" s="244">
        <v>3.9218500256538391E-2</v>
      </c>
      <c r="R825" s="244">
        <v>0.80633538961410522</v>
      </c>
      <c r="S825" s="244">
        <v>4.4560842514038086</v>
      </c>
      <c r="T825" s="244">
        <v>0</v>
      </c>
      <c r="U825" s="244">
        <v>8.9822397232055664</v>
      </c>
      <c r="V825" s="244">
        <v>0.81096947193145752</v>
      </c>
      <c r="W825" s="244">
        <v>0.81096947193145752</v>
      </c>
      <c r="X825" s="244">
        <v>0</v>
      </c>
      <c r="Y825" s="244">
        <v>0</v>
      </c>
      <c r="Z825" s="244">
        <v>0</v>
      </c>
      <c r="AA825" s="244">
        <v>0</v>
      </c>
      <c r="AB825" s="244">
        <v>0</v>
      </c>
      <c r="AC825" s="244">
        <v>0</v>
      </c>
      <c r="AD825" s="244">
        <v>0</v>
      </c>
      <c r="AE825" s="244">
        <v>0</v>
      </c>
      <c r="AF825" s="244">
        <v>0</v>
      </c>
      <c r="AG825" s="244">
        <v>0</v>
      </c>
      <c r="AH825" s="244">
        <v>1.617304801940918</v>
      </c>
      <c r="AI825" s="244">
        <v>5.2670536041259766</v>
      </c>
      <c r="AJ825" s="244">
        <v>0</v>
      </c>
      <c r="AK825" s="244">
        <v>8.9822397232055664</v>
      </c>
      <c r="AL825" s="244">
        <v>15.866598129272461</v>
      </c>
      <c r="AM825" s="244">
        <v>3.1800158023834229</v>
      </c>
      <c r="AN825" s="244">
        <v>0</v>
      </c>
      <c r="AO825" s="244">
        <v>0.5639532208442688</v>
      </c>
      <c r="AP825" s="244">
        <v>2.4595162868499756</v>
      </c>
      <c r="AQ825" s="244">
        <v>6.2034854888916016</v>
      </c>
      <c r="AR825" s="244">
        <v>1.617304801940918</v>
      </c>
      <c r="AS825" s="228">
        <v>3.8356932311137446</v>
      </c>
      <c r="AT825" s="244">
        <v>3.1800158023834229</v>
      </c>
      <c r="AU825" s="244">
        <v>0.15017753839492798</v>
      </c>
      <c r="AV825" s="244">
        <v>0.57897096872329712</v>
      </c>
      <c r="AW825" s="244">
        <v>2.4595162868499756</v>
      </c>
      <c r="AX825" s="244">
        <v>6.368680477142334</v>
      </c>
      <c r="AY825" s="244">
        <v>5.2670536041259766</v>
      </c>
      <c r="AZ825" s="228">
        <v>1.2091542883141075</v>
      </c>
      <c r="BA825" s="244">
        <v>3.1800158023834229</v>
      </c>
      <c r="BB825" s="244">
        <v>0.15017753839492798</v>
      </c>
      <c r="BC825" s="244">
        <v>0.57897096872329712</v>
      </c>
      <c r="BD825" s="244">
        <v>2.4595162868499756</v>
      </c>
      <c r="BE825" s="244">
        <v>6.368680477142334</v>
      </c>
      <c r="BF825" s="244">
        <v>6.8843584060668945</v>
      </c>
      <c r="BG825" s="244">
        <v>64.612251281738281</v>
      </c>
      <c r="BH825" s="255">
        <v>0.92509425792234035</v>
      </c>
      <c r="BI825" s="244">
        <v>28.275531768798828</v>
      </c>
      <c r="BJ825" s="244">
        <v>92.084526062011719</v>
      </c>
      <c r="BK825" s="244">
        <v>0</v>
      </c>
      <c r="BL825" s="244">
        <v>157.03755187988281</v>
      </c>
      <c r="BM825" s="244">
        <v>277.39761352539062</v>
      </c>
      <c r="BN825" s="244">
        <v>3.1800158023834229</v>
      </c>
      <c r="BO825" s="244">
        <v>33.863811492919922</v>
      </c>
      <c r="BP825" s="244">
        <v>0.15017753839492798</v>
      </c>
      <c r="BQ825" s="244">
        <v>0</v>
      </c>
      <c r="BR825" s="244">
        <v>0</v>
      </c>
      <c r="BS825" s="244">
        <v>0</v>
      </c>
      <c r="BT825" s="244">
        <v>2.4595162868499756</v>
      </c>
      <c r="BU825" s="244">
        <v>0</v>
      </c>
      <c r="BV825" s="244">
        <v>130.49069213867187</v>
      </c>
      <c r="BW825" s="244">
        <v>0.57897096872329712</v>
      </c>
      <c r="BX825" s="244">
        <v>14.244659423828125</v>
      </c>
      <c r="BY825" s="244">
        <v>1.621938943862915</v>
      </c>
      <c r="BZ825" s="244">
        <v>0</v>
      </c>
      <c r="CA825" s="244">
        <v>0</v>
      </c>
      <c r="CB825" s="244">
        <v>170.72319030761719</v>
      </c>
      <c r="CC825" s="244">
        <v>15.866598129272461</v>
      </c>
      <c r="CD825" s="228">
        <v>10.75991086883405</v>
      </c>
      <c r="CE825" s="244">
        <v>-2651.779541015625</v>
      </c>
      <c r="CF825" s="244">
        <v>3.4804970108145886E-2</v>
      </c>
      <c r="CG825" s="244">
        <v>0.38346268444398418</v>
      </c>
      <c r="CH825" s="244">
        <v>0.41826765455213005</v>
      </c>
      <c r="CI825" s="244">
        <v>1.7084528886192423E-3</v>
      </c>
      <c r="CJ825" s="244">
        <v>2.3966417777748935E-2</v>
      </c>
      <c r="CK825" s="244">
        <v>2.5674870666368178E-2</v>
      </c>
      <c r="CL825" s="244"/>
      <c r="CM825" s="244">
        <v>4.0968236923217773</v>
      </c>
      <c r="CN825" s="244"/>
      <c r="CO825" s="244">
        <v>0.28600001335144043</v>
      </c>
      <c r="CP825" s="244">
        <v>0.31699997186660767</v>
      </c>
      <c r="CQ825" s="244">
        <v>33.863811492919922</v>
      </c>
      <c r="CR825" s="244">
        <v>0</v>
      </c>
      <c r="CS825" s="244">
        <v>0</v>
      </c>
      <c r="CT825" s="244">
        <v>33.863811492919922</v>
      </c>
      <c r="CU825" s="244">
        <v>0</v>
      </c>
      <c r="CV825" s="244">
        <v>0</v>
      </c>
      <c r="CW825" s="228">
        <v>9999</v>
      </c>
    </row>
    <row r="826" spans="1:101">
      <c r="A826" s="221" t="s">
        <v>560</v>
      </c>
      <c r="C826" s="244">
        <v>10</v>
      </c>
      <c r="D826" s="244">
        <v>5.7686014175415039</v>
      </c>
      <c r="E826" s="244">
        <v>5.5148096084594727</v>
      </c>
      <c r="F826" s="244">
        <v>11.336667060852051</v>
      </c>
      <c r="G826" s="244">
        <v>0</v>
      </c>
      <c r="H826" s="244">
        <v>0</v>
      </c>
      <c r="I826" s="244"/>
      <c r="J826" s="244">
        <v>1</v>
      </c>
      <c r="K826" s="244">
        <v>0.63999998569488525</v>
      </c>
      <c r="L826" s="244">
        <v>6.2915987968444824</v>
      </c>
      <c r="M826" s="244">
        <v>4.5966016477905214E-4</v>
      </c>
      <c r="N826" s="244">
        <v>7.1821903111413121E-4</v>
      </c>
      <c r="O826" s="244">
        <v>5.5699577331542969</v>
      </c>
      <c r="P826" s="244">
        <v>1.6902653500437737E-2</v>
      </c>
      <c r="Q826" s="244">
        <v>5.332067608833313E-2</v>
      </c>
      <c r="R826" s="244">
        <v>1.1271885633468628</v>
      </c>
      <c r="S826" s="244">
        <v>6.2292284965515137</v>
      </c>
      <c r="T826" s="244">
        <v>0</v>
      </c>
      <c r="U826" s="244">
        <v>12.556410789489746</v>
      </c>
      <c r="V826" s="244">
        <v>1.1336666345596313</v>
      </c>
      <c r="W826" s="244">
        <v>1.1336666345596313</v>
      </c>
      <c r="X826" s="244">
        <v>0</v>
      </c>
      <c r="Y826" s="244">
        <v>0</v>
      </c>
      <c r="Z826" s="244">
        <v>0</v>
      </c>
      <c r="AA826" s="244">
        <v>0</v>
      </c>
      <c r="AB826" s="244">
        <v>0</v>
      </c>
      <c r="AC826" s="244">
        <v>0</v>
      </c>
      <c r="AD826" s="244">
        <v>0</v>
      </c>
      <c r="AE826" s="244">
        <v>0</v>
      </c>
      <c r="AF826" s="244">
        <v>0</v>
      </c>
      <c r="AG826" s="244">
        <v>0</v>
      </c>
      <c r="AH826" s="244">
        <v>2.2608551979064941</v>
      </c>
      <c r="AI826" s="244">
        <v>7.3628950119018555</v>
      </c>
      <c r="AJ826" s="244">
        <v>0</v>
      </c>
      <c r="AK826" s="244">
        <v>12.556410789489746</v>
      </c>
      <c r="AL826" s="244">
        <v>22.18016242980957</v>
      </c>
      <c r="AM826" s="244">
        <v>4.3591752052307129</v>
      </c>
      <c r="AN826" s="244">
        <v>0</v>
      </c>
      <c r="AO826" s="244">
        <v>0.77306878566741943</v>
      </c>
      <c r="AP826" s="244">
        <v>3.3715124130249023</v>
      </c>
      <c r="AQ826" s="244">
        <v>8.5037565231323242</v>
      </c>
      <c r="AR826" s="244">
        <v>2.2608551979064941</v>
      </c>
      <c r="AS826" s="228">
        <v>3.7613007731752743</v>
      </c>
      <c r="AT826" s="244">
        <v>4.3591752052307129</v>
      </c>
      <c r="AU826" s="244">
        <v>0.20586381852626801</v>
      </c>
      <c r="AV826" s="244">
        <v>0.7936551570892334</v>
      </c>
      <c r="AW826" s="244">
        <v>3.3715124130249023</v>
      </c>
      <c r="AX826" s="244">
        <v>8.7302064895629883</v>
      </c>
      <c r="AY826" s="244">
        <v>7.3628950119018555</v>
      </c>
      <c r="AZ826" s="228">
        <v>1.1857029658051952</v>
      </c>
      <c r="BA826" s="244">
        <v>4.3591752052307129</v>
      </c>
      <c r="BB826" s="244">
        <v>0.20586381852626801</v>
      </c>
      <c r="BC826" s="244">
        <v>0.7936551570892334</v>
      </c>
      <c r="BD826" s="244">
        <v>3.3715124130249023</v>
      </c>
      <c r="BE826" s="244">
        <v>8.7302064895629883</v>
      </c>
      <c r="BF826" s="244">
        <v>9.6237506866455078</v>
      </c>
      <c r="BG826" s="244">
        <v>66.992790222167969</v>
      </c>
      <c r="BH826" s="255">
        <v>0.90715223227972785</v>
      </c>
      <c r="BI826" s="244">
        <v>28.834781646728516</v>
      </c>
      <c r="BJ826" s="244">
        <v>93.90582275390625</v>
      </c>
      <c r="BK826" s="244">
        <v>0</v>
      </c>
      <c r="BL826" s="244">
        <v>160.14353942871094</v>
      </c>
      <c r="BM826" s="244">
        <v>282.8841552734375</v>
      </c>
      <c r="BN826" s="244">
        <v>4.3591752052307129</v>
      </c>
      <c r="BO826" s="244">
        <v>46.040550231933594</v>
      </c>
      <c r="BP826" s="244">
        <v>0.20586381852626801</v>
      </c>
      <c r="BQ826" s="244">
        <v>0</v>
      </c>
      <c r="BR826" s="244">
        <v>0</v>
      </c>
      <c r="BS826" s="244">
        <v>0</v>
      </c>
      <c r="BT826" s="244">
        <v>3.3715124130249023</v>
      </c>
      <c r="BU826" s="244">
        <v>0</v>
      </c>
      <c r="BV826" s="244">
        <v>178.87702941894531</v>
      </c>
      <c r="BW826" s="244">
        <v>0.7936551570892334</v>
      </c>
      <c r="BX826" s="244">
        <v>19.91282844543457</v>
      </c>
      <c r="BY826" s="244">
        <v>2.2673332691192627</v>
      </c>
      <c r="BZ826" s="244">
        <v>0</v>
      </c>
      <c r="CA826" s="244">
        <v>0</v>
      </c>
      <c r="CB826" s="244">
        <v>233.64778137207031</v>
      </c>
      <c r="CC826" s="244">
        <v>22.18016242980957</v>
      </c>
      <c r="CD826" s="228">
        <v>10.534088490952644</v>
      </c>
      <c r="CE826" s="244">
        <v>-2641.446044921875</v>
      </c>
      <c r="CF826" s="244">
        <v>4.7710756272616554E-2</v>
      </c>
      <c r="CG826" s="244">
        <v>0.52134806368098807</v>
      </c>
      <c r="CH826" s="244">
        <v>0.56905881995360463</v>
      </c>
      <c r="CI826" s="244">
        <v>2.3419522878165861E-3</v>
      </c>
      <c r="CJ826" s="244">
        <v>3.2584253980061775E-2</v>
      </c>
      <c r="CK826" s="244">
        <v>3.492620626787836E-2</v>
      </c>
      <c r="CL826" s="244"/>
      <c r="CM826" s="244">
        <v>5.5699577331542969</v>
      </c>
      <c r="CN826" s="244"/>
      <c r="CO826" s="244">
        <v>0.28600001335144043</v>
      </c>
      <c r="CP826" s="244">
        <v>0.31700000166893005</v>
      </c>
      <c r="CQ826" s="244">
        <v>46.040550231933594</v>
      </c>
      <c r="CR826" s="244">
        <v>0</v>
      </c>
      <c r="CS826" s="244">
        <v>0</v>
      </c>
      <c r="CT826" s="244">
        <v>46.040550231933594</v>
      </c>
      <c r="CU826" s="244">
        <v>0</v>
      </c>
      <c r="CV826" s="244">
        <v>0</v>
      </c>
      <c r="CW826" s="228">
        <v>9999</v>
      </c>
    </row>
    <row r="827" spans="1:101">
      <c r="A827" s="221" t="s">
        <v>480</v>
      </c>
      <c r="C827" s="244">
        <v>9.9999990463256836</v>
      </c>
      <c r="D827" s="244">
        <v>35.209327697753906</v>
      </c>
      <c r="E827" s="244">
        <v>3.2471961975097656</v>
      </c>
      <c r="F827" s="244">
        <v>11.336667060852051</v>
      </c>
      <c r="G827" s="244">
        <v>0</v>
      </c>
      <c r="H827" s="244">
        <v>0</v>
      </c>
      <c r="I827" s="244"/>
      <c r="J827" s="244">
        <v>0.38363197445869446</v>
      </c>
      <c r="K827" s="244">
        <v>0.36116680502891541</v>
      </c>
      <c r="L827" s="244">
        <v>38.395755767822266</v>
      </c>
      <c r="M827" s="244">
        <v>4.5773983001708984E-3</v>
      </c>
      <c r="N827" s="244">
        <v>1.3828967697918415E-2</v>
      </c>
      <c r="O827" s="244">
        <v>3.2796680927276611</v>
      </c>
      <c r="P827" s="244">
        <v>9.9525162950158119E-3</v>
      </c>
      <c r="Q827" s="244">
        <v>3.1395949423313141E-2</v>
      </c>
      <c r="R827" s="244">
        <v>1.1271885633468628</v>
      </c>
      <c r="S827" s="244">
        <v>6.2292284965515137</v>
      </c>
      <c r="T827" s="244">
        <v>0</v>
      </c>
      <c r="U827" s="244">
        <v>12.556410789489746</v>
      </c>
      <c r="V827" s="244">
        <v>1.1336666345596313</v>
      </c>
      <c r="W827" s="244">
        <v>1.1336666345596313</v>
      </c>
      <c r="X827" s="244">
        <v>0</v>
      </c>
      <c r="Y827" s="244">
        <v>0</v>
      </c>
      <c r="Z827" s="244">
        <v>0</v>
      </c>
      <c r="AA827" s="244">
        <v>0</v>
      </c>
      <c r="AB827" s="244">
        <v>0</v>
      </c>
      <c r="AC827" s="244">
        <v>0</v>
      </c>
      <c r="AD827" s="244">
        <v>0</v>
      </c>
      <c r="AE827" s="244">
        <v>0</v>
      </c>
      <c r="AF827" s="244">
        <v>0</v>
      </c>
      <c r="AG827" s="244">
        <v>0</v>
      </c>
      <c r="AH827" s="244">
        <v>2.2608551979064941</v>
      </c>
      <c r="AI827" s="244">
        <v>7.3628950119018555</v>
      </c>
      <c r="AJ827" s="244">
        <v>0</v>
      </c>
      <c r="AK827" s="244">
        <v>12.556410789489746</v>
      </c>
      <c r="AL827" s="244">
        <v>22.18016242980957</v>
      </c>
      <c r="AM827" s="244">
        <v>26.999164581298828</v>
      </c>
      <c r="AN827" s="244">
        <v>0</v>
      </c>
      <c r="AO827" s="244">
        <v>4.7574501037597656</v>
      </c>
      <c r="AP827" s="244">
        <v>20.575338363647461</v>
      </c>
      <c r="AQ827" s="244">
        <v>52.331954956054687</v>
      </c>
      <c r="AR827" s="244">
        <v>2.2608551979064941</v>
      </c>
      <c r="AS827" s="228">
        <v>23.146972480663237</v>
      </c>
      <c r="AT827" s="244">
        <v>26.999164581298828</v>
      </c>
      <c r="AU827" s="244">
        <v>3.963810920715332</v>
      </c>
      <c r="AV827" s="244">
        <v>5.1538314819335937</v>
      </c>
      <c r="AW827" s="244">
        <v>20.575338363647461</v>
      </c>
      <c r="AX827" s="244">
        <v>56.692146301269531</v>
      </c>
      <c r="AY827" s="244">
        <v>7.3628950119018555</v>
      </c>
      <c r="AZ827" s="228">
        <v>7.69970838074937</v>
      </c>
      <c r="BA827" s="244">
        <v>26.999164581298828</v>
      </c>
      <c r="BB827" s="244">
        <v>3.963810920715332</v>
      </c>
      <c r="BC827" s="244">
        <v>5.1538314819335937</v>
      </c>
      <c r="BD827" s="244">
        <v>20.575338363647461</v>
      </c>
      <c r="BE827" s="244">
        <v>56.692146301269531</v>
      </c>
      <c r="BF827" s="244">
        <v>9.6237506866455078</v>
      </c>
      <c r="BG827" s="244">
        <v>-41.942314147949219</v>
      </c>
      <c r="BH827" s="228">
        <v>5.8908578682321409</v>
      </c>
      <c r="BI827" s="244">
        <v>4.7249197959899902</v>
      </c>
      <c r="BJ827" s="244">
        <v>15.387578964233398</v>
      </c>
      <c r="BK827" s="244">
        <v>0</v>
      </c>
      <c r="BL827" s="244">
        <v>26.241413116455078</v>
      </c>
      <c r="BM827" s="244">
        <v>46.353912353515625</v>
      </c>
      <c r="BN827" s="244">
        <v>26.999164581298828</v>
      </c>
      <c r="BO827" s="244">
        <v>27.109310150146484</v>
      </c>
      <c r="BP827" s="244">
        <v>3.963810920715332</v>
      </c>
      <c r="BQ827" s="244">
        <v>0</v>
      </c>
      <c r="BR827" s="244">
        <v>0</v>
      </c>
      <c r="BS827" s="244">
        <v>0</v>
      </c>
      <c r="BT827" s="244">
        <v>20.575338363647461</v>
      </c>
      <c r="BU827" s="244">
        <v>0</v>
      </c>
      <c r="BV827" s="244">
        <v>149.29165649414062</v>
      </c>
      <c r="BW827" s="244">
        <v>5.1538314819335937</v>
      </c>
      <c r="BX827" s="244">
        <v>19.91282844543457</v>
      </c>
      <c r="BY827" s="244">
        <v>2.2673332691192627</v>
      </c>
      <c r="BZ827" s="244">
        <v>0</v>
      </c>
      <c r="CA827" s="244">
        <v>0</v>
      </c>
      <c r="CB827" s="244">
        <v>233.09310913085937</v>
      </c>
      <c r="CC827" s="244">
        <v>22.18016242980957</v>
      </c>
      <c r="CD827" s="228">
        <v>10.509080816977765</v>
      </c>
      <c r="CE827" s="244">
        <v>-384.3580322265625</v>
      </c>
      <c r="CF827" s="244">
        <v>0.28993943976404668</v>
      </c>
      <c r="CG827" s="244">
        <v>0.30697693329867343</v>
      </c>
      <c r="CH827" s="244">
        <v>0.59691637306272005</v>
      </c>
      <c r="CI827" s="244">
        <v>1.4219086016139011E-2</v>
      </c>
      <c r="CJ827" s="244">
        <v>1.9186058331166985E-2</v>
      </c>
      <c r="CK827" s="244">
        <v>3.3405144347305994E-2</v>
      </c>
      <c r="CL827" s="244"/>
      <c r="CM827" s="244">
        <v>3.2796680927276611</v>
      </c>
      <c r="CN827" s="244"/>
      <c r="CO827" s="244">
        <v>0.28600001335144043</v>
      </c>
      <c r="CP827" s="244">
        <v>0.31699997186660767</v>
      </c>
      <c r="CQ827" s="244">
        <v>27.109310150146484</v>
      </c>
      <c r="CR827" s="244">
        <v>0</v>
      </c>
      <c r="CS827" s="244">
        <v>0</v>
      </c>
      <c r="CT827" s="244">
        <v>27.109310150146484</v>
      </c>
      <c r="CU827" s="244">
        <v>0</v>
      </c>
      <c r="CV827" s="244">
        <v>0</v>
      </c>
      <c r="CW827" s="228">
        <v>9999</v>
      </c>
    </row>
    <row r="828" spans="1:101">
      <c r="A828" s="221" t="s">
        <v>514</v>
      </c>
      <c r="C828" s="244">
        <v>10</v>
      </c>
      <c r="D828" s="244">
        <v>53.953685760498047</v>
      </c>
      <c r="E828" s="244">
        <v>0</v>
      </c>
      <c r="F828" s="244">
        <v>8.1096944808959961</v>
      </c>
      <c r="G828" s="244">
        <v>0</v>
      </c>
      <c r="H828" s="244">
        <v>0</v>
      </c>
      <c r="I828" s="244"/>
      <c r="J828" s="244">
        <v>0.31782251596450806</v>
      </c>
      <c r="K828" s="244">
        <v>0.33139589428901672</v>
      </c>
      <c r="L828" s="244">
        <v>58.835533142089844</v>
      </c>
      <c r="M828" s="244">
        <v>7.3041506111621857E-3</v>
      </c>
      <c r="N828" s="244">
        <v>2.2736422717571259E-2</v>
      </c>
      <c r="O828" s="244">
        <v>0</v>
      </c>
      <c r="P828" s="244">
        <v>0</v>
      </c>
      <c r="Q828" s="244">
        <v>0</v>
      </c>
      <c r="R828" s="244">
        <v>0.80633538961410522</v>
      </c>
      <c r="S828" s="244">
        <v>4.4560842514038086</v>
      </c>
      <c r="T828" s="244">
        <v>0</v>
      </c>
      <c r="U828" s="244">
        <v>8.9822397232055664</v>
      </c>
      <c r="V828" s="244">
        <v>0.81096947193145752</v>
      </c>
      <c r="W828" s="244">
        <v>0.81096947193145752</v>
      </c>
      <c r="X828" s="244">
        <v>0</v>
      </c>
      <c r="Y828" s="244">
        <v>0</v>
      </c>
      <c r="Z828" s="244">
        <v>0</v>
      </c>
      <c r="AA828" s="244">
        <v>0</v>
      </c>
      <c r="AB828" s="244">
        <v>0</v>
      </c>
      <c r="AC828" s="244">
        <v>0</v>
      </c>
      <c r="AD828" s="244">
        <v>0</v>
      </c>
      <c r="AE828" s="244">
        <v>0</v>
      </c>
      <c r="AF828" s="244">
        <v>0</v>
      </c>
      <c r="AG828" s="244">
        <v>0</v>
      </c>
      <c r="AH828" s="244">
        <v>1.617304801940918</v>
      </c>
      <c r="AI828" s="244">
        <v>5.2670536041259766</v>
      </c>
      <c r="AJ828" s="244">
        <v>0</v>
      </c>
      <c r="AK828" s="244">
        <v>8.9822397232055664</v>
      </c>
      <c r="AL828" s="244">
        <v>15.866598129272461</v>
      </c>
      <c r="AM828" s="244">
        <v>41.4368896484375</v>
      </c>
      <c r="AN828" s="244">
        <v>0</v>
      </c>
      <c r="AO828" s="244">
        <v>7.2965402603149414</v>
      </c>
      <c r="AP828" s="244">
        <v>31.528507232666016</v>
      </c>
      <c r="AQ828" s="244">
        <v>80.261940002441406</v>
      </c>
      <c r="AR828" s="244">
        <v>1.617304801940918</v>
      </c>
      <c r="AS828" s="228">
        <v>49.626968328480054</v>
      </c>
      <c r="AT828" s="244">
        <v>41.4368896484375</v>
      </c>
      <c r="AU828" s="244">
        <v>6.516963005065918</v>
      </c>
      <c r="AV828" s="244">
        <v>7.9482364654541016</v>
      </c>
      <c r="AW828" s="244">
        <v>31.528507232666016</v>
      </c>
      <c r="AX828" s="244">
        <v>87.430595397949219</v>
      </c>
      <c r="AY828" s="244">
        <v>5.2670536041259766</v>
      </c>
      <c r="AZ828" s="228">
        <v>16.599526214108881</v>
      </c>
      <c r="BA828" s="244">
        <v>41.4368896484375</v>
      </c>
      <c r="BB828" s="244">
        <v>6.516963005065918</v>
      </c>
      <c r="BC828" s="244">
        <v>7.9482364654541016</v>
      </c>
      <c r="BD828" s="244">
        <v>31.528507232666016</v>
      </c>
      <c r="BE828" s="244">
        <v>87.430595397949219</v>
      </c>
      <c r="BF828" s="244">
        <v>6.8843584060668945</v>
      </c>
      <c r="BG828" s="244">
        <v>-53.339111328125</v>
      </c>
      <c r="BH828" s="228">
        <v>12.699889942344861</v>
      </c>
      <c r="BI828" s="244">
        <v>2.2057540416717529</v>
      </c>
      <c r="BJ828" s="244">
        <v>7.1834478378295898</v>
      </c>
      <c r="BK828" s="244">
        <v>0</v>
      </c>
      <c r="BL828" s="244">
        <v>12.250387191772461</v>
      </c>
      <c r="BM828" s="244">
        <v>21.639589309692383</v>
      </c>
      <c r="BN828" s="244">
        <v>41.4368896484375</v>
      </c>
      <c r="BO828" s="244">
        <v>0</v>
      </c>
      <c r="BP828" s="244">
        <v>6.516963005065918</v>
      </c>
      <c r="BQ828" s="244">
        <v>0</v>
      </c>
      <c r="BR828" s="244">
        <v>0</v>
      </c>
      <c r="BS828" s="244">
        <v>0</v>
      </c>
      <c r="BT828" s="244">
        <v>31.528507232666016</v>
      </c>
      <c r="BU828" s="244">
        <v>0</v>
      </c>
      <c r="BV828" s="244">
        <v>74.566108703613281</v>
      </c>
      <c r="BW828" s="244">
        <v>7.9482364654541016</v>
      </c>
      <c r="BX828" s="244">
        <v>14.244659423828125</v>
      </c>
      <c r="BY828" s="244">
        <v>1.621938943862915</v>
      </c>
      <c r="BZ828" s="244">
        <v>0</v>
      </c>
      <c r="CA828" s="244">
        <v>0</v>
      </c>
      <c r="CB828" s="244">
        <v>161.9967041015625</v>
      </c>
      <c r="CC828" s="244">
        <v>15.866598129272461</v>
      </c>
      <c r="CD828" s="228">
        <v>10.20992031821444</v>
      </c>
      <c r="CE828" s="244">
        <v>-142.78538513183594</v>
      </c>
      <c r="CF828" s="244">
        <v>0.44408667453091322</v>
      </c>
      <c r="CG828" s="244">
        <v>0</v>
      </c>
      <c r="CH828" s="244">
        <v>0.44408667453091322</v>
      </c>
      <c r="CI828" s="244">
        <v>2.1776569966640336E-2</v>
      </c>
      <c r="CJ828" s="244">
        <v>0</v>
      </c>
      <c r="CK828" s="244">
        <v>2.1776569966640336E-2</v>
      </c>
      <c r="CL828" s="244"/>
      <c r="CM828" s="244">
        <v>0</v>
      </c>
      <c r="CN828" s="244"/>
      <c r="CO828" s="244">
        <v>0</v>
      </c>
      <c r="CP828" s="244">
        <v>0</v>
      </c>
      <c r="CQ828" s="244">
        <v>0</v>
      </c>
      <c r="CR828" s="244">
        <v>0</v>
      </c>
      <c r="CS828" s="244">
        <v>0</v>
      </c>
      <c r="CT828" s="244">
        <v>0</v>
      </c>
      <c r="CU828" s="244">
        <v>0</v>
      </c>
      <c r="CV828" s="244">
        <v>9999</v>
      </c>
      <c r="CW828" s="228">
        <v>9999</v>
      </c>
    </row>
    <row r="829" spans="1:101">
      <c r="A829" s="221" t="s">
        <v>537</v>
      </c>
      <c r="C829" s="244">
        <v>9.9999980926513672</v>
      </c>
      <c r="D829" s="244">
        <v>38.560226440429688</v>
      </c>
      <c r="E829" s="244">
        <v>2.4744744300842285</v>
      </c>
      <c r="F829" s="244">
        <v>11.336667060852051</v>
      </c>
      <c r="G829" s="244">
        <v>0</v>
      </c>
      <c r="H829" s="244">
        <v>0</v>
      </c>
      <c r="I829" s="244"/>
      <c r="J829" s="244">
        <v>0.36761903762817383</v>
      </c>
      <c r="K829" s="244">
        <v>0.35392284393310547</v>
      </c>
      <c r="L829" s="244">
        <v>42.049747467041016</v>
      </c>
      <c r="M829" s="244">
        <v>5.063443910330534E-3</v>
      </c>
      <c r="N829" s="244">
        <v>1.5413815155625343E-2</v>
      </c>
      <c r="O829" s="244">
        <v>2.4992191791534424</v>
      </c>
      <c r="P829" s="244">
        <v>7.5841573998332024E-3</v>
      </c>
      <c r="Q829" s="244">
        <v>2.3924786597490311E-2</v>
      </c>
      <c r="R829" s="244">
        <v>1.1271885633468628</v>
      </c>
      <c r="S829" s="244">
        <v>6.2292284965515137</v>
      </c>
      <c r="T829" s="244">
        <v>0</v>
      </c>
      <c r="U829" s="244">
        <v>12.556410789489746</v>
      </c>
      <c r="V829" s="244">
        <v>1.1336666345596313</v>
      </c>
      <c r="W829" s="244">
        <v>1.1336666345596313</v>
      </c>
      <c r="X829" s="244">
        <v>0</v>
      </c>
      <c r="Y829" s="244">
        <v>0</v>
      </c>
      <c r="Z829" s="244">
        <v>0</v>
      </c>
      <c r="AA829" s="244">
        <v>0</v>
      </c>
      <c r="AB829" s="244">
        <v>0</v>
      </c>
      <c r="AC829" s="244">
        <v>0</v>
      </c>
      <c r="AD829" s="244">
        <v>0</v>
      </c>
      <c r="AE829" s="244">
        <v>0</v>
      </c>
      <c r="AF829" s="244">
        <v>0</v>
      </c>
      <c r="AG829" s="244">
        <v>0</v>
      </c>
      <c r="AH829" s="244">
        <v>2.2608551979064941</v>
      </c>
      <c r="AI829" s="244">
        <v>7.3628950119018555</v>
      </c>
      <c r="AJ829" s="244">
        <v>0</v>
      </c>
      <c r="AK829" s="244">
        <v>12.556410789489746</v>
      </c>
      <c r="AL829" s="244">
        <v>22.18016242980957</v>
      </c>
      <c r="AM829" s="244">
        <v>29.579860687255859</v>
      </c>
      <c r="AN829" s="244">
        <v>0</v>
      </c>
      <c r="AO829" s="244">
        <v>5.2113280296325684</v>
      </c>
      <c r="AP829" s="244">
        <v>22.533420562744141</v>
      </c>
      <c r="AQ829" s="244">
        <v>57.324607849121094</v>
      </c>
      <c r="AR829" s="244">
        <v>2.2608551979064941</v>
      </c>
      <c r="AS829" s="228">
        <v>25.355276769920511</v>
      </c>
      <c r="AT829" s="244">
        <v>29.579860687255859</v>
      </c>
      <c r="AU829" s="244">
        <v>4.4180760383605957</v>
      </c>
      <c r="AV829" s="244">
        <v>5.6531357765197754</v>
      </c>
      <c r="AW829" s="244">
        <v>22.533420562744141</v>
      </c>
      <c r="AX829" s="244">
        <v>62.184494018554688</v>
      </c>
      <c r="AY829" s="244">
        <v>7.3628950119018555</v>
      </c>
      <c r="AZ829" s="228">
        <v>8.4456578502831423</v>
      </c>
      <c r="BA829" s="244">
        <v>29.579860687255859</v>
      </c>
      <c r="BB829" s="244">
        <v>4.4180760383605957</v>
      </c>
      <c r="BC829" s="244">
        <v>5.6531357765197754</v>
      </c>
      <c r="BD829" s="244">
        <v>22.533420562744141</v>
      </c>
      <c r="BE829" s="244">
        <v>62.184494018554688</v>
      </c>
      <c r="BF829" s="244">
        <v>9.6237506866455078</v>
      </c>
      <c r="BG829" s="244">
        <v>-43.853897094726563</v>
      </c>
      <c r="BH829" s="228">
        <v>6.4615654956655506</v>
      </c>
      <c r="BI829" s="244">
        <v>4.3143386840820313</v>
      </c>
      <c r="BJ829" s="244">
        <v>14.050445556640625</v>
      </c>
      <c r="BK829" s="244">
        <v>0</v>
      </c>
      <c r="BL829" s="244">
        <v>23.961114883422852</v>
      </c>
      <c r="BM829" s="244">
        <v>42.325901031494141</v>
      </c>
      <c r="BN829" s="244">
        <v>29.579860687255859</v>
      </c>
      <c r="BO829" s="244">
        <v>20.658220291137695</v>
      </c>
      <c r="BP829" s="244">
        <v>4.4180760383605957</v>
      </c>
      <c r="BQ829" s="244">
        <v>0</v>
      </c>
      <c r="BR829" s="244">
        <v>0</v>
      </c>
      <c r="BS829" s="244">
        <v>0</v>
      </c>
      <c r="BT829" s="244">
        <v>22.533420562744141</v>
      </c>
      <c r="BU829" s="244">
        <v>0</v>
      </c>
      <c r="BV829" s="244">
        <v>136.68376159667969</v>
      </c>
      <c r="BW829" s="244">
        <v>5.6531357765197754</v>
      </c>
      <c r="BX829" s="244">
        <v>19.91282844543457</v>
      </c>
      <c r="BY829" s="244">
        <v>2.2673332691192627</v>
      </c>
      <c r="BZ829" s="244">
        <v>0</v>
      </c>
      <c r="CA829" s="244">
        <v>0</v>
      </c>
      <c r="CB829" s="244">
        <v>219.52647399902344</v>
      </c>
      <c r="CC829" s="244">
        <v>22.18016242980957</v>
      </c>
      <c r="CD829" s="228">
        <v>9.8974244542433745</v>
      </c>
      <c r="CE829" s="244">
        <v>-320.14492797851562</v>
      </c>
      <c r="CF829" s="244">
        <v>0.3174970939524151</v>
      </c>
      <c r="CG829" s="244">
        <v>0.23392691448069991</v>
      </c>
      <c r="CH829" s="244">
        <v>0.55142400843311501</v>
      </c>
      <c r="CI829" s="244">
        <v>1.5570184767059765E-2</v>
      </c>
      <c r="CJ829" s="244">
        <v>1.4620432155043743E-2</v>
      </c>
      <c r="CK829" s="244">
        <v>3.0190616922103508E-2</v>
      </c>
      <c r="CL829" s="244"/>
      <c r="CM829" s="244">
        <v>2.4992191791534424</v>
      </c>
      <c r="CN829" s="244"/>
      <c r="CO829" s="244">
        <v>0.28600001335144043</v>
      </c>
      <c r="CP829" s="244">
        <v>0.31700000166893005</v>
      </c>
      <c r="CQ829" s="244">
        <v>20.658220291137695</v>
      </c>
      <c r="CR829" s="244">
        <v>0</v>
      </c>
      <c r="CS829" s="244">
        <v>0</v>
      </c>
      <c r="CT829" s="244">
        <v>20.658220291137695</v>
      </c>
      <c r="CU829" s="244">
        <v>0</v>
      </c>
      <c r="CV829" s="244">
        <v>0</v>
      </c>
      <c r="CW829" s="228">
        <v>9999</v>
      </c>
    </row>
    <row r="830" spans="1:101">
      <c r="A830" s="221" t="s">
        <v>569</v>
      </c>
      <c r="C830" s="244">
        <v>10</v>
      </c>
      <c r="D830" s="244">
        <v>3.8457341194152832</v>
      </c>
      <c r="E830" s="244">
        <v>3.6765398979187012</v>
      </c>
      <c r="F830" s="244">
        <v>8.1096944808959961</v>
      </c>
      <c r="G830" s="244">
        <v>0</v>
      </c>
      <c r="H830" s="244">
        <v>0</v>
      </c>
      <c r="I830" s="244"/>
      <c r="J830" s="244">
        <v>1</v>
      </c>
      <c r="K830" s="244">
        <v>0.63999998569488525</v>
      </c>
      <c r="L830" s="244">
        <v>4.194399356842041</v>
      </c>
      <c r="M830" s="244">
        <v>3.0644010985270143E-4</v>
      </c>
      <c r="N830" s="244">
        <v>4.7881269711069763E-4</v>
      </c>
      <c r="O830" s="244">
        <v>3.7133052349090576</v>
      </c>
      <c r="P830" s="244">
        <v>1.1268435046076775E-2</v>
      </c>
      <c r="Q830" s="244">
        <v>3.5547114908695221E-2</v>
      </c>
      <c r="R830" s="244">
        <v>0.80633538961410522</v>
      </c>
      <c r="S830" s="244">
        <v>4.4560842514038086</v>
      </c>
      <c r="T830" s="244">
        <v>0</v>
      </c>
      <c r="U830" s="244">
        <v>8.9822397232055664</v>
      </c>
      <c r="V830" s="244">
        <v>0.81096947193145752</v>
      </c>
      <c r="W830" s="244">
        <v>0.81096947193145752</v>
      </c>
      <c r="X830" s="244">
        <v>0</v>
      </c>
      <c r="Y830" s="244">
        <v>0</v>
      </c>
      <c r="Z830" s="244">
        <v>0</v>
      </c>
      <c r="AA830" s="244">
        <v>0</v>
      </c>
      <c r="AB830" s="244">
        <v>0</v>
      </c>
      <c r="AC830" s="244">
        <v>0</v>
      </c>
      <c r="AD830" s="244">
        <v>0</v>
      </c>
      <c r="AE830" s="244">
        <v>0</v>
      </c>
      <c r="AF830" s="244">
        <v>0</v>
      </c>
      <c r="AG830" s="244">
        <v>0</v>
      </c>
      <c r="AH830" s="244">
        <v>1.617304801940918</v>
      </c>
      <c r="AI830" s="244">
        <v>5.2670536041259766</v>
      </c>
      <c r="AJ830" s="244">
        <v>0</v>
      </c>
      <c r="AK830" s="244">
        <v>8.9822397232055664</v>
      </c>
      <c r="AL830" s="244">
        <v>15.866598129272461</v>
      </c>
      <c r="AM830" s="244">
        <v>2.9061167240142822</v>
      </c>
      <c r="AN830" s="244">
        <v>0</v>
      </c>
      <c r="AO830" s="244">
        <v>0.51537913084030151</v>
      </c>
      <c r="AP830" s="244">
        <v>2.2476747035980225</v>
      </c>
      <c r="AQ830" s="244">
        <v>5.6691703796386719</v>
      </c>
      <c r="AR830" s="244">
        <v>1.617304801940918</v>
      </c>
      <c r="AS830" s="228">
        <v>3.5053196792068717</v>
      </c>
      <c r="AT830" s="244">
        <v>2.9061167240142822</v>
      </c>
      <c r="AU830" s="244">
        <v>0.13724254071712494</v>
      </c>
      <c r="AV830" s="244">
        <v>0.52910339832305908</v>
      </c>
      <c r="AW830" s="244">
        <v>2.2476747035980225</v>
      </c>
      <c r="AX830" s="244">
        <v>5.8201375007629395</v>
      </c>
      <c r="AY830" s="244">
        <v>5.2670536041259766</v>
      </c>
      <c r="AZ830" s="228">
        <v>1.1050081644063794</v>
      </c>
      <c r="BA830" s="244">
        <v>2.9061167240142822</v>
      </c>
      <c r="BB830" s="244">
        <v>0.13724254071712494</v>
      </c>
      <c r="BC830" s="244">
        <v>0.52910339832305908</v>
      </c>
      <c r="BD830" s="244">
        <v>2.2476747035980225</v>
      </c>
      <c r="BE830" s="244">
        <v>5.8201375007629395</v>
      </c>
      <c r="BF830" s="244">
        <v>6.8843584060668945</v>
      </c>
      <c r="BG830" s="244">
        <v>75.956092834472656</v>
      </c>
      <c r="BH830" s="255">
        <v>0.8454146155946114</v>
      </c>
      <c r="BI830" s="244">
        <v>30.94047737121582</v>
      </c>
      <c r="BJ830" s="244">
        <v>100.76341247558594</v>
      </c>
      <c r="BK830" s="244">
        <v>0</v>
      </c>
      <c r="BL830" s="244">
        <v>171.83821105957031</v>
      </c>
      <c r="BM830" s="244">
        <v>303.5421142578125</v>
      </c>
      <c r="BN830" s="244">
        <v>2.9061167240142822</v>
      </c>
      <c r="BO830" s="244">
        <v>30.693698883056641</v>
      </c>
      <c r="BP830" s="244">
        <v>0.13724254071712494</v>
      </c>
      <c r="BQ830" s="244">
        <v>0</v>
      </c>
      <c r="BR830" s="244">
        <v>0</v>
      </c>
      <c r="BS830" s="244">
        <v>0</v>
      </c>
      <c r="BT830" s="244">
        <v>2.2476747035980225</v>
      </c>
      <c r="BU830" s="244">
        <v>0</v>
      </c>
      <c r="BV830" s="244">
        <v>119.25135803222656</v>
      </c>
      <c r="BW830" s="244">
        <v>0.52910339832305908</v>
      </c>
      <c r="BX830" s="244">
        <v>14.244659423828125</v>
      </c>
      <c r="BY830" s="244">
        <v>1.621938943862915</v>
      </c>
      <c r="BZ830" s="244">
        <v>0</v>
      </c>
      <c r="CA830" s="244">
        <v>0</v>
      </c>
      <c r="CB830" s="244">
        <v>155.76519775390625</v>
      </c>
      <c r="CC830" s="244">
        <v>15.866598129272461</v>
      </c>
      <c r="CD830" s="228">
        <v>9.8171763519973165</v>
      </c>
      <c r="CE830" s="244">
        <v>-2620.787841796875</v>
      </c>
      <c r="CF830" s="244">
        <v>3.1807170848411066E-2</v>
      </c>
      <c r="CG830" s="244">
        <v>0.34756537578732394</v>
      </c>
      <c r="CH830" s="244">
        <v>0.379372546635735</v>
      </c>
      <c r="CI830" s="244">
        <v>1.5613015252110573E-3</v>
      </c>
      <c r="CJ830" s="244">
        <v>2.1722835986707836E-2</v>
      </c>
      <c r="CK830" s="244">
        <v>2.3284137511918893E-2</v>
      </c>
      <c r="CL830" s="244"/>
      <c r="CM830" s="244">
        <v>3.7133052349090576</v>
      </c>
      <c r="CN830" s="244"/>
      <c r="CO830" s="244">
        <v>0.28600001335144043</v>
      </c>
      <c r="CP830" s="244">
        <v>0.31700003147125244</v>
      </c>
      <c r="CQ830" s="244">
        <v>30.693698883056641</v>
      </c>
      <c r="CR830" s="244">
        <v>0</v>
      </c>
      <c r="CS830" s="244">
        <v>0</v>
      </c>
      <c r="CT830" s="244">
        <v>30.693698883056641</v>
      </c>
      <c r="CU830" s="244">
        <v>0</v>
      </c>
      <c r="CV830" s="244">
        <v>0</v>
      </c>
      <c r="CW830" s="228">
        <v>9999</v>
      </c>
    </row>
    <row r="831" spans="1:101">
      <c r="A831" s="221" t="s">
        <v>489</v>
      </c>
      <c r="C831" s="244">
        <v>10.000000953674316</v>
      </c>
      <c r="D831" s="244">
        <v>23.472883224487305</v>
      </c>
      <c r="E831" s="244">
        <v>2.164797306060791</v>
      </c>
      <c r="F831" s="244">
        <v>8.1096944808959961</v>
      </c>
      <c r="G831" s="244">
        <v>0</v>
      </c>
      <c r="H831" s="244">
        <v>0</v>
      </c>
      <c r="I831" s="244"/>
      <c r="J831" s="244">
        <v>0.38363197445869446</v>
      </c>
      <c r="K831" s="244">
        <v>0.36116683483123779</v>
      </c>
      <c r="L831" s="244">
        <v>25.597169876098633</v>
      </c>
      <c r="M831" s="244">
        <v>3.0515987891703844E-3</v>
      </c>
      <c r="N831" s="244">
        <v>9.2193111777305603E-3</v>
      </c>
      <c r="O831" s="244">
        <v>2.1864454746246338</v>
      </c>
      <c r="P831" s="244">
        <v>6.6350107081234455E-3</v>
      </c>
      <c r="Q831" s="244">
        <v>2.0930632948875427E-2</v>
      </c>
      <c r="R831" s="244">
        <v>0.80633538961410522</v>
      </c>
      <c r="S831" s="244">
        <v>4.4560842514038086</v>
      </c>
      <c r="T831" s="244">
        <v>0</v>
      </c>
      <c r="U831" s="244">
        <v>8.9822397232055664</v>
      </c>
      <c r="V831" s="244">
        <v>0.81096947193145752</v>
      </c>
      <c r="W831" s="244">
        <v>0.81096947193145752</v>
      </c>
      <c r="X831" s="244">
        <v>0</v>
      </c>
      <c r="Y831" s="244">
        <v>0</v>
      </c>
      <c r="Z831" s="244">
        <v>0</v>
      </c>
      <c r="AA831" s="244">
        <v>0</v>
      </c>
      <c r="AB831" s="244">
        <v>0</v>
      </c>
      <c r="AC831" s="244">
        <v>0</v>
      </c>
      <c r="AD831" s="244">
        <v>0</v>
      </c>
      <c r="AE831" s="244">
        <v>0</v>
      </c>
      <c r="AF831" s="244">
        <v>0</v>
      </c>
      <c r="AG831" s="244">
        <v>0</v>
      </c>
      <c r="AH831" s="244">
        <v>1.617304801940918</v>
      </c>
      <c r="AI831" s="244">
        <v>5.2670536041259766</v>
      </c>
      <c r="AJ831" s="244">
        <v>0</v>
      </c>
      <c r="AK831" s="244">
        <v>8.9822397232055664</v>
      </c>
      <c r="AL831" s="244">
        <v>15.866598129272461</v>
      </c>
      <c r="AM831" s="244">
        <v>17.999443054199219</v>
      </c>
      <c r="AN831" s="244">
        <v>0</v>
      </c>
      <c r="AO831" s="244">
        <v>3.1716337203979492</v>
      </c>
      <c r="AP831" s="244">
        <v>13.716892242431641</v>
      </c>
      <c r="AQ831" s="244">
        <v>34.887969970703125</v>
      </c>
      <c r="AR831" s="244">
        <v>1.617304801940918</v>
      </c>
      <c r="AS831" s="228">
        <v>21.571671393906797</v>
      </c>
      <c r="AT831" s="244">
        <v>17.999443054199219</v>
      </c>
      <c r="AU831" s="244">
        <v>2.6425397396087646</v>
      </c>
      <c r="AV831" s="244">
        <v>3.4358878135681152</v>
      </c>
      <c r="AW831" s="244">
        <v>13.716892242431641</v>
      </c>
      <c r="AX831" s="244">
        <v>37.794761657714844</v>
      </c>
      <c r="AY831" s="244">
        <v>5.2670536041259766</v>
      </c>
      <c r="AZ831" s="228">
        <v>7.1756934398373469</v>
      </c>
      <c r="BA831" s="244">
        <v>17.999443054199219</v>
      </c>
      <c r="BB831" s="244">
        <v>2.6425397396087646</v>
      </c>
      <c r="BC831" s="244">
        <v>3.4358878135681152</v>
      </c>
      <c r="BD831" s="244">
        <v>13.716892242431641</v>
      </c>
      <c r="BE831" s="244">
        <v>37.794761657714844</v>
      </c>
      <c r="BF831" s="244">
        <v>6.8843584060668945</v>
      </c>
      <c r="BG831" s="244">
        <v>-40.47357177734375</v>
      </c>
      <c r="BH831" s="228">
        <v>5.4899468677897145</v>
      </c>
      <c r="BI831" s="244">
        <v>5.0699639320373535</v>
      </c>
      <c r="BJ831" s="244">
        <v>16.511280059814453</v>
      </c>
      <c r="BK831" s="244">
        <v>0</v>
      </c>
      <c r="BL831" s="244">
        <v>28.157726287841797</v>
      </c>
      <c r="BM831" s="244">
        <v>49.738967895507813</v>
      </c>
      <c r="BN831" s="244">
        <v>17.999443054199219</v>
      </c>
      <c r="BO831" s="244">
        <v>18.072874069213867</v>
      </c>
      <c r="BP831" s="244">
        <v>2.6425397396087646</v>
      </c>
      <c r="BQ831" s="244">
        <v>0</v>
      </c>
      <c r="BR831" s="244">
        <v>0</v>
      </c>
      <c r="BS831" s="244">
        <v>0</v>
      </c>
      <c r="BT831" s="244">
        <v>13.716892242431641</v>
      </c>
      <c r="BU831" s="244">
        <v>0</v>
      </c>
      <c r="BV831" s="244">
        <v>99.52777099609375</v>
      </c>
      <c r="BW831" s="244">
        <v>3.4358878135681152</v>
      </c>
      <c r="BX831" s="244">
        <v>14.244659423828125</v>
      </c>
      <c r="BY831" s="244">
        <v>1.621938943862915</v>
      </c>
      <c r="BZ831" s="244">
        <v>0</v>
      </c>
      <c r="CA831" s="244">
        <v>0</v>
      </c>
      <c r="CB831" s="244">
        <v>155.39540100097656</v>
      </c>
      <c r="CC831" s="244">
        <v>15.866598129272461</v>
      </c>
      <c r="CD831" s="228">
        <v>9.7938703882203964</v>
      </c>
      <c r="CE831" s="244">
        <v>-380.9730224609375</v>
      </c>
      <c r="CF831" s="244">
        <v>0.19329295984269756</v>
      </c>
      <c r="CG831" s="244">
        <v>0.20465128886578093</v>
      </c>
      <c r="CH831" s="244">
        <v>0.3979442487084785</v>
      </c>
      <c r="CI831" s="244">
        <v>9.4793906774260153E-3</v>
      </c>
      <c r="CJ831" s="244">
        <v>1.2790705554111331E-2</v>
      </c>
      <c r="CK831" s="244">
        <v>2.2270096231537348E-2</v>
      </c>
      <c r="CL831" s="244"/>
      <c r="CM831" s="244">
        <v>2.1864454746246338</v>
      </c>
      <c r="CN831" s="244"/>
      <c r="CO831" s="244">
        <v>0.28600004315376282</v>
      </c>
      <c r="CP831" s="244">
        <v>0.31700003147125244</v>
      </c>
      <c r="CQ831" s="244">
        <v>18.072874069213867</v>
      </c>
      <c r="CR831" s="244">
        <v>0</v>
      </c>
      <c r="CS831" s="244">
        <v>0</v>
      </c>
      <c r="CT831" s="244">
        <v>18.072874069213867</v>
      </c>
      <c r="CU831" s="244">
        <v>0</v>
      </c>
      <c r="CV831" s="244">
        <v>0</v>
      </c>
      <c r="CW831" s="228">
        <v>9999</v>
      </c>
    </row>
    <row r="832" spans="1:101">
      <c r="A832" s="221" t="s">
        <v>482</v>
      </c>
      <c r="C832" s="244">
        <v>10</v>
      </c>
      <c r="D832" s="244">
        <v>5.416316032409668</v>
      </c>
      <c r="E832" s="244">
        <v>4.9120578765869141</v>
      </c>
      <c r="F832" s="244">
        <v>11.336667060852051</v>
      </c>
      <c r="G832" s="244">
        <v>0</v>
      </c>
      <c r="H832" s="244">
        <v>0</v>
      </c>
      <c r="I832" s="244"/>
      <c r="J832" s="244">
        <v>1</v>
      </c>
      <c r="K832" s="244">
        <v>0.64000004529953003</v>
      </c>
      <c r="L832" s="244">
        <v>5.907374382019043</v>
      </c>
      <c r="M832" s="244">
        <v>4.3158899643458426E-4</v>
      </c>
      <c r="N832" s="244">
        <v>6.7435781238600612E-4</v>
      </c>
      <c r="O832" s="244">
        <v>4.9611783027648926</v>
      </c>
      <c r="P832" s="244">
        <v>1.5055244788527489E-2</v>
      </c>
      <c r="Q832" s="244">
        <v>4.749288409948349E-2</v>
      </c>
      <c r="R832" s="244">
        <v>1.1271885633468628</v>
      </c>
      <c r="S832" s="244">
        <v>6.2292284965515137</v>
      </c>
      <c r="T832" s="244">
        <v>0</v>
      </c>
      <c r="U832" s="244">
        <v>12.556410789489746</v>
      </c>
      <c r="V832" s="244">
        <v>1.1336666345596313</v>
      </c>
      <c r="W832" s="244">
        <v>1.1336666345596313</v>
      </c>
      <c r="X832" s="244">
        <v>0</v>
      </c>
      <c r="Y832" s="244">
        <v>0</v>
      </c>
      <c r="Z832" s="244">
        <v>0</v>
      </c>
      <c r="AA832" s="244">
        <v>0</v>
      </c>
      <c r="AB832" s="244">
        <v>0</v>
      </c>
      <c r="AC832" s="244">
        <v>0</v>
      </c>
      <c r="AD832" s="244">
        <v>0</v>
      </c>
      <c r="AE832" s="244">
        <v>0</v>
      </c>
      <c r="AF832" s="244">
        <v>0</v>
      </c>
      <c r="AG832" s="244">
        <v>0</v>
      </c>
      <c r="AH832" s="244">
        <v>2.2608551979064941</v>
      </c>
      <c r="AI832" s="244">
        <v>7.3628950119018555</v>
      </c>
      <c r="AJ832" s="244">
        <v>0</v>
      </c>
      <c r="AK832" s="244">
        <v>12.556410789489746</v>
      </c>
      <c r="AL832" s="244">
        <v>22.18016242980957</v>
      </c>
      <c r="AM832" s="244">
        <v>4.0929627418518066</v>
      </c>
      <c r="AN832" s="244">
        <v>0</v>
      </c>
      <c r="AO832" s="244">
        <v>0.72585791349411011</v>
      </c>
      <c r="AP832" s="244">
        <v>3.1656160354614258</v>
      </c>
      <c r="AQ832" s="244">
        <v>7.9844365119934082</v>
      </c>
      <c r="AR832" s="244">
        <v>2.2608551979064941</v>
      </c>
      <c r="AS832" s="228">
        <v>3.5316002096024408</v>
      </c>
      <c r="AT832" s="244">
        <v>4.0929627418518066</v>
      </c>
      <c r="AU832" s="244">
        <v>0.19329182803630829</v>
      </c>
      <c r="AV832" s="244">
        <v>0.74518710374832153</v>
      </c>
      <c r="AW832" s="244">
        <v>3.1656160354614258</v>
      </c>
      <c r="AX832" s="244">
        <v>8.1970577239990234</v>
      </c>
      <c r="AY832" s="244">
        <v>7.3628950119018555</v>
      </c>
      <c r="AZ832" s="228">
        <v>1.1132927419354448</v>
      </c>
      <c r="BA832" s="244">
        <v>4.0929627418518066</v>
      </c>
      <c r="BB832" s="244">
        <v>0.19329182803630829</v>
      </c>
      <c r="BC832" s="244">
        <v>0.74518710374832153</v>
      </c>
      <c r="BD832" s="244">
        <v>3.1656160354614258</v>
      </c>
      <c r="BE832" s="244">
        <v>8.1970577239990234</v>
      </c>
      <c r="BF832" s="244">
        <v>9.6237506866455078</v>
      </c>
      <c r="BG832" s="244">
        <v>74.976020812988281</v>
      </c>
      <c r="BH832" s="255">
        <v>0.85175294753667941</v>
      </c>
      <c r="BI832" s="244">
        <v>30.710237503051758</v>
      </c>
      <c r="BJ832" s="244">
        <v>100.01359558105469</v>
      </c>
      <c r="BK832" s="244">
        <v>0</v>
      </c>
      <c r="BL832" s="244">
        <v>170.55950927734375</v>
      </c>
      <c r="BM832" s="244">
        <v>301.28335571289062</v>
      </c>
      <c r="BN832" s="244">
        <v>4.0929627418518066</v>
      </c>
      <c r="BO832" s="244">
        <v>41.008457183837891</v>
      </c>
      <c r="BP832" s="244">
        <v>0.19329182803630829</v>
      </c>
      <c r="BQ832" s="244">
        <v>0</v>
      </c>
      <c r="BR832" s="244">
        <v>0</v>
      </c>
      <c r="BS832" s="244">
        <v>0</v>
      </c>
      <c r="BT832" s="244">
        <v>3.1656160354614258</v>
      </c>
      <c r="BU832" s="244">
        <v>0</v>
      </c>
      <c r="BV832" s="244">
        <v>167.953125</v>
      </c>
      <c r="BW832" s="244">
        <v>0.74518710374832153</v>
      </c>
      <c r="BX832" s="244">
        <v>19.91282844543457</v>
      </c>
      <c r="BY832" s="244">
        <v>2.2673332691192627</v>
      </c>
      <c r="BZ832" s="244">
        <v>0</v>
      </c>
      <c r="CA832" s="244">
        <v>0</v>
      </c>
      <c r="CB832" s="244">
        <v>217.15864562988281</v>
      </c>
      <c r="CC832" s="244">
        <v>22.18016242980957</v>
      </c>
      <c r="CD832" s="228">
        <v>9.7906698196183122</v>
      </c>
      <c r="CE832" s="244">
        <v>-2592.885986328125</v>
      </c>
      <c r="CF832" s="244">
        <v>4.4797087938952283E-2</v>
      </c>
      <c r="CG832" s="244">
        <v>0.46436628628070337</v>
      </c>
      <c r="CH832" s="244">
        <v>0.50916337421965563</v>
      </c>
      <c r="CI832" s="244">
        <v>2.1989306140251805E-3</v>
      </c>
      <c r="CJ832" s="244">
        <v>2.9022892892543783E-2</v>
      </c>
      <c r="CK832" s="244">
        <v>3.1221823506568963E-2</v>
      </c>
      <c r="CL832" s="244"/>
      <c r="CM832" s="244">
        <v>4.9611783027648926</v>
      </c>
      <c r="CN832" s="244"/>
      <c r="CO832" s="244">
        <v>0.28600001335144043</v>
      </c>
      <c r="CP832" s="244">
        <v>0.31700000166893005</v>
      </c>
      <c r="CQ832" s="244">
        <v>41.008457183837891</v>
      </c>
      <c r="CR832" s="244">
        <v>0</v>
      </c>
      <c r="CS832" s="244">
        <v>0</v>
      </c>
      <c r="CT832" s="244">
        <v>41.008457183837891</v>
      </c>
      <c r="CU832" s="244">
        <v>0</v>
      </c>
      <c r="CV832" s="244">
        <v>0</v>
      </c>
      <c r="CW832" s="228">
        <v>9999</v>
      </c>
    </row>
    <row r="833" spans="1:101">
      <c r="A833" s="221" t="s">
        <v>510</v>
      </c>
      <c r="C833" s="244">
        <v>10</v>
      </c>
      <c r="D833" s="244">
        <v>44.493095397949219</v>
      </c>
      <c r="E833" s="244">
        <v>1.8768556118011475</v>
      </c>
      <c r="F833" s="244">
        <v>11.336667060852051</v>
      </c>
      <c r="G833" s="244">
        <v>0</v>
      </c>
      <c r="H833" s="244">
        <v>0</v>
      </c>
      <c r="I833" s="244"/>
      <c r="J833" s="244">
        <v>0.35111886262893677</v>
      </c>
      <c r="K833" s="244">
        <v>0.3464585542678833</v>
      </c>
      <c r="L833" s="244">
        <v>48.519321441650391</v>
      </c>
      <c r="M833" s="244">
        <v>5.9024426154792309E-3</v>
      </c>
      <c r="N833" s="244">
        <v>1.8104901537299156E-2</v>
      </c>
      <c r="O833" s="244">
        <v>1.8956241607666016</v>
      </c>
      <c r="P833" s="244">
        <v>5.7524810545146465E-3</v>
      </c>
      <c r="Q833" s="244">
        <v>1.8146628513932228E-2</v>
      </c>
      <c r="R833" s="244">
        <v>1.1271885633468628</v>
      </c>
      <c r="S833" s="244">
        <v>6.2292284965515137</v>
      </c>
      <c r="T833" s="244">
        <v>0</v>
      </c>
      <c r="U833" s="244">
        <v>12.556410789489746</v>
      </c>
      <c r="V833" s="244">
        <v>1.1336666345596313</v>
      </c>
      <c r="W833" s="244">
        <v>1.1336666345596313</v>
      </c>
      <c r="X833" s="244">
        <v>0</v>
      </c>
      <c r="Y833" s="244">
        <v>0</v>
      </c>
      <c r="Z833" s="244">
        <v>0</v>
      </c>
      <c r="AA833" s="244">
        <v>0</v>
      </c>
      <c r="AB833" s="244">
        <v>0</v>
      </c>
      <c r="AC833" s="244">
        <v>0</v>
      </c>
      <c r="AD833" s="244">
        <v>0</v>
      </c>
      <c r="AE833" s="244">
        <v>0</v>
      </c>
      <c r="AF833" s="244">
        <v>0</v>
      </c>
      <c r="AG833" s="244">
        <v>0</v>
      </c>
      <c r="AH833" s="244">
        <v>2.2608551979064941</v>
      </c>
      <c r="AI833" s="244">
        <v>7.3628950119018555</v>
      </c>
      <c r="AJ833" s="244">
        <v>0</v>
      </c>
      <c r="AK833" s="244">
        <v>12.556410789489746</v>
      </c>
      <c r="AL833" s="244">
        <v>22.18016242980957</v>
      </c>
      <c r="AM833" s="244">
        <v>34.144290924072266</v>
      </c>
      <c r="AN833" s="244">
        <v>0</v>
      </c>
      <c r="AO833" s="244">
        <v>6.0144596099853516</v>
      </c>
      <c r="AP833" s="244">
        <v>26.000301361083984</v>
      </c>
      <c r="AQ833" s="244">
        <v>66.159049987792969</v>
      </c>
      <c r="AR833" s="244">
        <v>2.2608551979064941</v>
      </c>
      <c r="AS833" s="228">
        <v>29.262843527707364</v>
      </c>
      <c r="AT833" s="244">
        <v>34.144290924072266</v>
      </c>
      <c r="AU833" s="244">
        <v>5.1894245147705078</v>
      </c>
      <c r="AV833" s="244">
        <v>6.5334019660949707</v>
      </c>
      <c r="AW833" s="244">
        <v>26.000301361083984</v>
      </c>
      <c r="AX833" s="244">
        <v>71.867416381835938</v>
      </c>
      <c r="AY833" s="244">
        <v>7.3628950119018555</v>
      </c>
      <c r="AZ833" s="228">
        <v>9.7607554482683661</v>
      </c>
      <c r="BA833" s="244">
        <v>34.144290924072266</v>
      </c>
      <c r="BB833" s="244">
        <v>5.1894245147705078</v>
      </c>
      <c r="BC833" s="244">
        <v>6.5334019660949707</v>
      </c>
      <c r="BD833" s="244">
        <v>26.000301361083984</v>
      </c>
      <c r="BE833" s="244">
        <v>71.867416381835938</v>
      </c>
      <c r="BF833" s="244">
        <v>9.6237506866455078</v>
      </c>
      <c r="BG833" s="244">
        <v>-46.471519470214844</v>
      </c>
      <c r="BH833" s="228">
        <v>7.4677143846226235</v>
      </c>
      <c r="BI833" s="244">
        <v>3.7390642166137695</v>
      </c>
      <c r="BJ833" s="244">
        <v>12.176957130432129</v>
      </c>
      <c r="BK833" s="244">
        <v>0</v>
      </c>
      <c r="BL833" s="244">
        <v>20.766136169433594</v>
      </c>
      <c r="BM833" s="244">
        <v>36.682159423828125</v>
      </c>
      <c r="BN833" s="244">
        <v>34.144290924072266</v>
      </c>
      <c r="BO833" s="244">
        <v>15.66898250579834</v>
      </c>
      <c r="BP833" s="244">
        <v>5.1894245147705078</v>
      </c>
      <c r="BQ833" s="244">
        <v>0</v>
      </c>
      <c r="BR833" s="244">
        <v>0</v>
      </c>
      <c r="BS833" s="244">
        <v>0</v>
      </c>
      <c r="BT833" s="244">
        <v>26.000301361083984</v>
      </c>
      <c r="BU833" s="244">
        <v>0</v>
      </c>
      <c r="BV833" s="244">
        <v>125.83030700683594</v>
      </c>
      <c r="BW833" s="244">
        <v>6.5334019660949707</v>
      </c>
      <c r="BX833" s="244">
        <v>19.91282844543457</v>
      </c>
      <c r="BY833" s="244">
        <v>2.2673332691192627</v>
      </c>
      <c r="BZ833" s="244">
        <v>0</v>
      </c>
      <c r="CA833" s="244">
        <v>0</v>
      </c>
      <c r="CB833" s="244">
        <v>213.36671447753906</v>
      </c>
      <c r="CC833" s="244">
        <v>22.18016242980957</v>
      </c>
      <c r="CD833" s="228">
        <v>9.6197093161251548</v>
      </c>
      <c r="CE833" s="244">
        <v>-259.72079467773437</v>
      </c>
      <c r="CF833" s="244">
        <v>0.36630425165781627</v>
      </c>
      <c r="CG833" s="244">
        <v>0.17743041667006187</v>
      </c>
      <c r="CH833" s="244">
        <v>0.54373466832787809</v>
      </c>
      <c r="CI833" s="244">
        <v>1.7963265068863952E-2</v>
      </c>
      <c r="CJ833" s="244">
        <v>1.1089401041878857E-2</v>
      </c>
      <c r="CK833" s="244">
        <v>2.9052666110742809E-2</v>
      </c>
      <c r="CL833" s="244"/>
      <c r="CM833" s="244">
        <v>1.8956241607666016</v>
      </c>
      <c r="CN833" s="244"/>
      <c r="CO833" s="244">
        <v>0.28600001335144043</v>
      </c>
      <c r="CP833" s="244">
        <v>0.31699997186660767</v>
      </c>
      <c r="CQ833" s="244">
        <v>15.66898250579834</v>
      </c>
      <c r="CR833" s="244">
        <v>0</v>
      </c>
      <c r="CS833" s="244">
        <v>0</v>
      </c>
      <c r="CT833" s="244">
        <v>15.66898250579834</v>
      </c>
      <c r="CU833" s="244">
        <v>0</v>
      </c>
      <c r="CV833" s="244">
        <v>0</v>
      </c>
      <c r="CW833" s="228">
        <v>9999</v>
      </c>
    </row>
    <row r="834" spans="1:101">
      <c r="A834" s="221" t="s">
        <v>546</v>
      </c>
      <c r="C834" s="244">
        <v>10</v>
      </c>
      <c r="D834" s="244">
        <v>25.706815719604492</v>
      </c>
      <c r="E834" s="244">
        <v>1.6496496200561523</v>
      </c>
      <c r="F834" s="244">
        <v>8.1096944808959961</v>
      </c>
      <c r="G834" s="244">
        <v>0</v>
      </c>
      <c r="H834" s="244">
        <v>0</v>
      </c>
      <c r="I834" s="244"/>
      <c r="J834" s="244">
        <v>0.36761906743049622</v>
      </c>
      <c r="K834" s="244">
        <v>0.35392287373542786</v>
      </c>
      <c r="L834" s="244">
        <v>28.033164978027344</v>
      </c>
      <c r="M834" s="244">
        <v>3.3756294287741184E-3</v>
      </c>
      <c r="N834" s="244">
        <v>1.0275877080857754E-2</v>
      </c>
      <c r="O834" s="244">
        <v>1.6661461591720581</v>
      </c>
      <c r="P834" s="244">
        <v>5.056105088442564E-3</v>
      </c>
      <c r="Q834" s="244">
        <v>1.5949858352541924E-2</v>
      </c>
      <c r="R834" s="244">
        <v>0.80633538961410522</v>
      </c>
      <c r="S834" s="244">
        <v>4.4560842514038086</v>
      </c>
      <c r="T834" s="244">
        <v>0</v>
      </c>
      <c r="U834" s="244">
        <v>8.9822397232055664</v>
      </c>
      <c r="V834" s="244">
        <v>0.81096947193145752</v>
      </c>
      <c r="W834" s="244">
        <v>0.81096947193145752</v>
      </c>
      <c r="X834" s="244">
        <v>0</v>
      </c>
      <c r="Y834" s="244">
        <v>0</v>
      </c>
      <c r="Z834" s="244">
        <v>0</v>
      </c>
      <c r="AA834" s="244">
        <v>0</v>
      </c>
      <c r="AB834" s="244">
        <v>0</v>
      </c>
      <c r="AC834" s="244">
        <v>0</v>
      </c>
      <c r="AD834" s="244">
        <v>0</v>
      </c>
      <c r="AE834" s="244">
        <v>0</v>
      </c>
      <c r="AF834" s="244">
        <v>0</v>
      </c>
      <c r="AG834" s="244">
        <v>0</v>
      </c>
      <c r="AH834" s="244">
        <v>1.617304801940918</v>
      </c>
      <c r="AI834" s="244">
        <v>5.2670536041259766</v>
      </c>
      <c r="AJ834" s="244">
        <v>0</v>
      </c>
      <c r="AK834" s="244">
        <v>8.9822397232055664</v>
      </c>
      <c r="AL834" s="244">
        <v>15.866598129272461</v>
      </c>
      <c r="AM834" s="244">
        <v>19.719907760620117</v>
      </c>
      <c r="AN834" s="244">
        <v>0</v>
      </c>
      <c r="AO834" s="244">
        <v>3.4742186069488525</v>
      </c>
      <c r="AP834" s="244">
        <v>15.02227783203125</v>
      </c>
      <c r="AQ834" s="244">
        <v>38.216403961181641</v>
      </c>
      <c r="AR834" s="244">
        <v>1.617304801940918</v>
      </c>
      <c r="AS834" s="228">
        <v>23.629684859216376</v>
      </c>
      <c r="AT834" s="244">
        <v>19.719907760620117</v>
      </c>
      <c r="AU834" s="244">
        <v>2.9453845024108887</v>
      </c>
      <c r="AV834" s="244">
        <v>3.7687571048736572</v>
      </c>
      <c r="AW834" s="244">
        <v>15.02227783203125</v>
      </c>
      <c r="AX834" s="244">
        <v>41.456325531005859</v>
      </c>
      <c r="AY834" s="244">
        <v>5.2670536041259766</v>
      </c>
      <c r="AZ834" s="228">
        <v>7.8708760869984911</v>
      </c>
      <c r="BA834" s="244">
        <v>19.719907760620117</v>
      </c>
      <c r="BB834" s="244">
        <v>2.9453845024108887</v>
      </c>
      <c r="BC834" s="244">
        <v>3.7687571048736572</v>
      </c>
      <c r="BD834" s="244">
        <v>15.02227783203125</v>
      </c>
      <c r="BE834" s="244">
        <v>41.456325531005859</v>
      </c>
      <c r="BF834" s="244">
        <v>6.8843584060668945</v>
      </c>
      <c r="BG834" s="244">
        <v>-42.512779235839844</v>
      </c>
      <c r="BH834" s="228">
        <v>6.0218140424847642</v>
      </c>
      <c r="BI834" s="244">
        <v>4.6293997764587402</v>
      </c>
      <c r="BJ834" s="244">
        <v>15.076499938964844</v>
      </c>
      <c r="BK834" s="244">
        <v>0</v>
      </c>
      <c r="BL834" s="244">
        <v>25.710908889770508</v>
      </c>
      <c r="BM834" s="244">
        <v>45.41680908203125</v>
      </c>
      <c r="BN834" s="244">
        <v>19.719907760620117</v>
      </c>
      <c r="BO834" s="244">
        <v>13.772147178649902</v>
      </c>
      <c r="BP834" s="244">
        <v>2.9453845024108887</v>
      </c>
      <c r="BQ834" s="244">
        <v>0</v>
      </c>
      <c r="BR834" s="244">
        <v>0</v>
      </c>
      <c r="BS834" s="244">
        <v>0</v>
      </c>
      <c r="BT834" s="244">
        <v>15.02227783203125</v>
      </c>
      <c r="BU834" s="244">
        <v>0</v>
      </c>
      <c r="BV834" s="244">
        <v>91.122505187988281</v>
      </c>
      <c r="BW834" s="244">
        <v>3.7687571048736572</v>
      </c>
      <c r="BX834" s="244">
        <v>14.244659423828125</v>
      </c>
      <c r="BY834" s="244">
        <v>1.621938943862915</v>
      </c>
      <c r="BZ834" s="244">
        <v>0</v>
      </c>
      <c r="CA834" s="244">
        <v>0</v>
      </c>
      <c r="CB834" s="244">
        <v>146.35098266601562</v>
      </c>
      <c r="CC834" s="244">
        <v>15.866598129272461</v>
      </c>
      <c r="CD834" s="228">
        <v>9.223840937739169</v>
      </c>
      <c r="CE834" s="244">
        <v>-317.05404663085937</v>
      </c>
      <c r="CF834" s="244">
        <v>0.21166472930160965</v>
      </c>
      <c r="CG834" s="244">
        <v>0.1559512763204681</v>
      </c>
      <c r="CH834" s="244">
        <v>0.36761600562207775</v>
      </c>
      <c r="CI834" s="244">
        <v>1.0380123178039848E-2</v>
      </c>
      <c r="CJ834" s="244">
        <v>9.7469547700291606E-3</v>
      </c>
      <c r="CK834" s="244">
        <v>2.0127077948069009E-2</v>
      </c>
      <c r="CL834" s="244"/>
      <c r="CM834" s="244">
        <v>1.6661461591720581</v>
      </c>
      <c r="CN834" s="244"/>
      <c r="CO834" s="244">
        <v>0.28600001335144043</v>
      </c>
      <c r="CP834" s="244">
        <v>0.31699997186660767</v>
      </c>
      <c r="CQ834" s="244">
        <v>13.772147178649902</v>
      </c>
      <c r="CR834" s="244">
        <v>0</v>
      </c>
      <c r="CS834" s="244">
        <v>0</v>
      </c>
      <c r="CT834" s="244">
        <v>13.772147178649902</v>
      </c>
      <c r="CU834" s="244">
        <v>0</v>
      </c>
      <c r="CV834" s="244">
        <v>0</v>
      </c>
      <c r="CW834" s="228">
        <v>9999</v>
      </c>
    </row>
    <row r="835" spans="1:101">
      <c r="A835" s="221" t="s">
        <v>491</v>
      </c>
      <c r="C835" s="244">
        <v>9.9999990463256836</v>
      </c>
      <c r="D835" s="244">
        <v>3.610877513885498</v>
      </c>
      <c r="E835" s="244">
        <v>3.274705171585083</v>
      </c>
      <c r="F835" s="244">
        <v>8.1096944808959961</v>
      </c>
      <c r="G835" s="244">
        <v>0</v>
      </c>
      <c r="H835" s="244">
        <v>0</v>
      </c>
      <c r="I835" s="244"/>
      <c r="J835" s="244">
        <v>1</v>
      </c>
      <c r="K835" s="244">
        <v>0.63999998569488525</v>
      </c>
      <c r="L835" s="244">
        <v>3.9382498264312744</v>
      </c>
      <c r="M835" s="244">
        <v>2.8772599762305617E-4</v>
      </c>
      <c r="N835" s="244">
        <v>4.4957187492400408E-4</v>
      </c>
      <c r="O835" s="244">
        <v>3.3074522018432617</v>
      </c>
      <c r="P835" s="244">
        <v>1.0036829859018326E-2</v>
      </c>
      <c r="Q835" s="244">
        <v>3.1661923974752426E-2</v>
      </c>
      <c r="R835" s="244">
        <v>0.80633538961410522</v>
      </c>
      <c r="S835" s="244">
        <v>4.4560842514038086</v>
      </c>
      <c r="T835" s="244">
        <v>0</v>
      </c>
      <c r="U835" s="244">
        <v>8.9822397232055664</v>
      </c>
      <c r="V835" s="244">
        <v>0.81096947193145752</v>
      </c>
      <c r="W835" s="244">
        <v>0.81096947193145752</v>
      </c>
      <c r="X835" s="244">
        <v>0</v>
      </c>
      <c r="Y835" s="244">
        <v>0</v>
      </c>
      <c r="Z835" s="244">
        <v>0</v>
      </c>
      <c r="AA835" s="244">
        <v>0</v>
      </c>
      <c r="AB835" s="244">
        <v>0</v>
      </c>
      <c r="AC835" s="244">
        <v>0</v>
      </c>
      <c r="AD835" s="244">
        <v>0</v>
      </c>
      <c r="AE835" s="244">
        <v>0</v>
      </c>
      <c r="AF835" s="244">
        <v>0</v>
      </c>
      <c r="AG835" s="244">
        <v>0</v>
      </c>
      <c r="AH835" s="244">
        <v>1.617304801940918</v>
      </c>
      <c r="AI835" s="244">
        <v>5.2670536041259766</v>
      </c>
      <c r="AJ835" s="244">
        <v>0</v>
      </c>
      <c r="AK835" s="244">
        <v>8.9822397232055664</v>
      </c>
      <c r="AL835" s="244">
        <v>15.866598129272461</v>
      </c>
      <c r="AM835" s="244">
        <v>2.7286419868469238</v>
      </c>
      <c r="AN835" s="244">
        <v>0</v>
      </c>
      <c r="AO835" s="244">
        <v>0.48390525579452515</v>
      </c>
      <c r="AP835" s="244">
        <v>2.1104104518890381</v>
      </c>
      <c r="AQ835" s="244">
        <v>5.3229575157165527</v>
      </c>
      <c r="AR835" s="244">
        <v>1.617304801940918</v>
      </c>
      <c r="AS835" s="228">
        <v>3.2912518975820371</v>
      </c>
      <c r="AT835" s="244">
        <v>2.7286419868469238</v>
      </c>
      <c r="AU835" s="244">
        <v>0.12886121869087219</v>
      </c>
      <c r="AV835" s="244">
        <v>0.49679136276245117</v>
      </c>
      <c r="AW835" s="244">
        <v>2.1104104518890381</v>
      </c>
      <c r="AX835" s="244">
        <v>5.4647049903869629</v>
      </c>
      <c r="AY835" s="244">
        <v>5.2670536041259766</v>
      </c>
      <c r="AZ835" s="228">
        <v>1.0375259694007564</v>
      </c>
      <c r="BA835" s="244">
        <v>2.7286419868469238</v>
      </c>
      <c r="BB835" s="244">
        <v>0.12886121869087219</v>
      </c>
      <c r="BC835" s="244">
        <v>0.49679136276245117</v>
      </c>
      <c r="BD835" s="244">
        <v>2.1104104518890381</v>
      </c>
      <c r="BE835" s="244">
        <v>5.4647049903869629</v>
      </c>
      <c r="BF835" s="244">
        <v>6.8843584060668945</v>
      </c>
      <c r="BG835" s="244">
        <v>84.522308349609375</v>
      </c>
      <c r="BH835" s="255">
        <v>0.79378564506948635</v>
      </c>
      <c r="BI835" s="244">
        <v>32.952892303466797</v>
      </c>
      <c r="BJ835" s="244">
        <v>107.31721496582031</v>
      </c>
      <c r="BK835" s="244">
        <v>0</v>
      </c>
      <c r="BL835" s="244">
        <v>183.01481628417969</v>
      </c>
      <c r="BM835" s="244">
        <v>323.284912109375</v>
      </c>
      <c r="BN835" s="244">
        <v>2.7286419868469238</v>
      </c>
      <c r="BO835" s="244">
        <v>27.338970184326172</v>
      </c>
      <c r="BP835" s="244">
        <v>0.12886121869087219</v>
      </c>
      <c r="BQ835" s="244">
        <v>0</v>
      </c>
      <c r="BR835" s="244">
        <v>0</v>
      </c>
      <c r="BS835" s="244">
        <v>0</v>
      </c>
      <c r="BT835" s="244">
        <v>2.1104104518890381</v>
      </c>
      <c r="BU835" s="244">
        <v>0</v>
      </c>
      <c r="BV835" s="244">
        <v>111.96872711181641</v>
      </c>
      <c r="BW835" s="244">
        <v>0.49679136276245117</v>
      </c>
      <c r="BX835" s="244">
        <v>14.244659423828125</v>
      </c>
      <c r="BY835" s="244">
        <v>1.621938943862915</v>
      </c>
      <c r="BZ835" s="244">
        <v>0</v>
      </c>
      <c r="CA835" s="244">
        <v>0</v>
      </c>
      <c r="CB835" s="244">
        <v>144.77239990234375</v>
      </c>
      <c r="CC835" s="244">
        <v>15.866598129272461</v>
      </c>
      <c r="CD835" s="228">
        <v>9.1243503466458282</v>
      </c>
      <c r="CE835" s="244">
        <v>-2570.883544921875</v>
      </c>
      <c r="CF835" s="244">
        <v>2.986472529263497E-2</v>
      </c>
      <c r="CG835" s="244">
        <v>0.30957752418713136</v>
      </c>
      <c r="CH835" s="244">
        <v>0.33944224947976631</v>
      </c>
      <c r="CI835" s="244">
        <v>1.4659537426834526E-3</v>
      </c>
      <c r="CJ835" s="244">
        <v>1.9348595261695842E-2</v>
      </c>
      <c r="CK835" s="244">
        <v>2.0814549004379294E-2</v>
      </c>
      <c r="CL835" s="244"/>
      <c r="CM835" s="244">
        <v>3.3074522018432617</v>
      </c>
      <c r="CN835" s="244"/>
      <c r="CO835" s="244">
        <v>0.28600001335144043</v>
      </c>
      <c r="CP835" s="244">
        <v>0.31700000166893005</v>
      </c>
      <c r="CQ835" s="244">
        <v>27.338970184326172</v>
      </c>
      <c r="CR835" s="244">
        <v>0</v>
      </c>
      <c r="CS835" s="244">
        <v>0</v>
      </c>
      <c r="CT835" s="244">
        <v>27.338970184326172</v>
      </c>
      <c r="CU835" s="244">
        <v>0</v>
      </c>
      <c r="CV835" s="244">
        <v>0</v>
      </c>
      <c r="CW835" s="228">
        <v>9999</v>
      </c>
    </row>
    <row r="836" spans="1:101">
      <c r="A836" s="221" t="s">
        <v>519</v>
      </c>
      <c r="C836" s="244">
        <v>10.000000953674316</v>
      </c>
      <c r="D836" s="244">
        <v>29.662063598632813</v>
      </c>
      <c r="E836" s="244">
        <v>1.2512370347976685</v>
      </c>
      <c r="F836" s="244">
        <v>8.1096944808959961</v>
      </c>
      <c r="G836" s="244">
        <v>0</v>
      </c>
      <c r="H836" s="244">
        <v>0</v>
      </c>
      <c r="I836" s="244"/>
      <c r="J836" s="244">
        <v>0.35111886262893677</v>
      </c>
      <c r="K836" s="244">
        <v>0.34645852446556091</v>
      </c>
      <c r="L836" s="244">
        <v>32.346214294433594</v>
      </c>
      <c r="M836" s="244">
        <v>3.9349622093141079E-3</v>
      </c>
      <c r="N836" s="244">
        <v>1.2069934979081154E-2</v>
      </c>
      <c r="O836" s="244">
        <v>1.263749361038208</v>
      </c>
      <c r="P836" s="244">
        <v>3.8349875248968601E-3</v>
      </c>
      <c r="Q836" s="244">
        <v>1.2097752653062344E-2</v>
      </c>
      <c r="R836" s="244">
        <v>0.80633538961410522</v>
      </c>
      <c r="S836" s="244">
        <v>4.4560842514038086</v>
      </c>
      <c r="T836" s="244">
        <v>0</v>
      </c>
      <c r="U836" s="244">
        <v>8.9822397232055664</v>
      </c>
      <c r="V836" s="244">
        <v>0.81096947193145752</v>
      </c>
      <c r="W836" s="244">
        <v>0.81096947193145752</v>
      </c>
      <c r="X836" s="244">
        <v>0</v>
      </c>
      <c r="Y836" s="244">
        <v>0</v>
      </c>
      <c r="Z836" s="244">
        <v>0</v>
      </c>
      <c r="AA836" s="244">
        <v>0</v>
      </c>
      <c r="AB836" s="244">
        <v>0</v>
      </c>
      <c r="AC836" s="244">
        <v>0</v>
      </c>
      <c r="AD836" s="244">
        <v>0</v>
      </c>
      <c r="AE836" s="244">
        <v>0</v>
      </c>
      <c r="AF836" s="244">
        <v>0</v>
      </c>
      <c r="AG836" s="244">
        <v>0</v>
      </c>
      <c r="AH836" s="244">
        <v>1.617304801940918</v>
      </c>
      <c r="AI836" s="244">
        <v>5.2670536041259766</v>
      </c>
      <c r="AJ836" s="244">
        <v>0</v>
      </c>
      <c r="AK836" s="244">
        <v>8.9822397232055664</v>
      </c>
      <c r="AL836" s="244">
        <v>15.866598129272461</v>
      </c>
      <c r="AM836" s="244">
        <v>22.762861251831055</v>
      </c>
      <c r="AN836" s="244">
        <v>0</v>
      </c>
      <c r="AO836" s="244">
        <v>4.0096397399902344</v>
      </c>
      <c r="AP836" s="244">
        <v>17.333536148071289</v>
      </c>
      <c r="AQ836" s="244">
        <v>44.106037139892578</v>
      </c>
      <c r="AR836" s="244">
        <v>1.617304801940918</v>
      </c>
      <c r="AS836" s="228">
        <v>27.271319210493836</v>
      </c>
      <c r="AT836" s="244">
        <v>22.762861251831055</v>
      </c>
      <c r="AU836" s="244">
        <v>3.4596171379089355</v>
      </c>
      <c r="AV836" s="244">
        <v>4.3556013107299805</v>
      </c>
      <c r="AW836" s="244">
        <v>17.333536148071289</v>
      </c>
      <c r="AX836" s="244">
        <v>47.911617279052734</v>
      </c>
      <c r="AY836" s="244">
        <v>5.2670536041259766</v>
      </c>
      <c r="AZ836" s="228">
        <v>9.0964737337446593</v>
      </c>
      <c r="BA836" s="244">
        <v>22.762861251831055</v>
      </c>
      <c r="BB836" s="244">
        <v>3.4596171379089355</v>
      </c>
      <c r="BC836" s="244">
        <v>4.3556013107299805</v>
      </c>
      <c r="BD836" s="244">
        <v>17.333536148071289</v>
      </c>
      <c r="BE836" s="244">
        <v>47.911617279052734</v>
      </c>
      <c r="BF836" s="244">
        <v>6.8843584060668945</v>
      </c>
      <c r="BG836" s="244">
        <v>-45.309238433837891</v>
      </c>
      <c r="BH836" s="228">
        <v>6.959488710213753</v>
      </c>
      <c r="BI836" s="244">
        <v>4.0121145248413086</v>
      </c>
      <c r="BJ836" s="244">
        <v>13.066196441650391</v>
      </c>
      <c r="BK836" s="244">
        <v>0</v>
      </c>
      <c r="BL836" s="244">
        <v>22.282609939575195</v>
      </c>
      <c r="BM836" s="244">
        <v>39.360919952392578</v>
      </c>
      <c r="BN836" s="244">
        <v>22.762861251831055</v>
      </c>
      <c r="BO836" s="244">
        <v>10.445988655090332</v>
      </c>
      <c r="BP836" s="244">
        <v>3.4596171379089355</v>
      </c>
      <c r="BQ836" s="244">
        <v>0</v>
      </c>
      <c r="BR836" s="244">
        <v>0</v>
      </c>
      <c r="BS836" s="244">
        <v>0</v>
      </c>
      <c r="BT836" s="244">
        <v>17.333536148071289</v>
      </c>
      <c r="BU836" s="244">
        <v>0</v>
      </c>
      <c r="BV836" s="244">
        <v>83.886871337890625</v>
      </c>
      <c r="BW836" s="244">
        <v>4.3556013107299805</v>
      </c>
      <c r="BX836" s="244">
        <v>14.244659423828125</v>
      </c>
      <c r="BY836" s="244">
        <v>1.621938943862915</v>
      </c>
      <c r="BZ836" s="244">
        <v>0</v>
      </c>
      <c r="CA836" s="244">
        <v>0</v>
      </c>
      <c r="CB836" s="244">
        <v>142.24447631835937</v>
      </c>
      <c r="CC836" s="244">
        <v>15.866598129272461</v>
      </c>
      <c r="CD836" s="228">
        <v>8.9650265636756075</v>
      </c>
      <c r="CE836" s="244">
        <v>-257.04202270507812</v>
      </c>
      <c r="CF836" s="244">
        <v>0.24420283443854437</v>
      </c>
      <c r="CG836" s="244">
        <v>0.11828694444670736</v>
      </c>
      <c r="CH836" s="244">
        <v>0.36248977888525175</v>
      </c>
      <c r="CI836" s="244">
        <v>1.1975510045909306E-2</v>
      </c>
      <c r="CJ836" s="244">
        <v>7.3929340279192341E-3</v>
      </c>
      <c r="CK836" s="244">
        <v>1.9368444073828539E-2</v>
      </c>
      <c r="CL836" s="244"/>
      <c r="CM836" s="244">
        <v>1.263749361038208</v>
      </c>
      <c r="CN836" s="244"/>
      <c r="CO836" s="244">
        <v>0.28600001335144043</v>
      </c>
      <c r="CP836" s="244">
        <v>0.31700000166893005</v>
      </c>
      <c r="CQ836" s="244">
        <v>10.445988655090332</v>
      </c>
      <c r="CR836" s="244">
        <v>0</v>
      </c>
      <c r="CS836" s="244">
        <v>0</v>
      </c>
      <c r="CT836" s="244">
        <v>10.445988655090332</v>
      </c>
      <c r="CU836" s="244">
        <v>0</v>
      </c>
      <c r="CV836" s="244">
        <v>0</v>
      </c>
      <c r="CW836" s="228">
        <v>9999</v>
      </c>
    </row>
    <row r="837" spans="1:101">
      <c r="A837" s="221" t="s">
        <v>534</v>
      </c>
      <c r="C837" s="244">
        <v>10</v>
      </c>
      <c r="D837" s="244">
        <v>35.919483184814453</v>
      </c>
      <c r="E837" s="244">
        <v>2.3186275959014893</v>
      </c>
      <c r="F837" s="244">
        <v>11.336667060852051</v>
      </c>
      <c r="G837" s="244">
        <v>0</v>
      </c>
      <c r="H837" s="244">
        <v>0</v>
      </c>
      <c r="I837" s="244"/>
      <c r="J837" s="244">
        <v>0.36388406157493591</v>
      </c>
      <c r="K837" s="244">
        <v>0.35223326086997986</v>
      </c>
      <c r="L837" s="244">
        <v>39.169994354248047</v>
      </c>
      <c r="M837" s="244">
        <v>4.7276350669562817E-3</v>
      </c>
      <c r="N837" s="244">
        <v>1.4416612684726715E-2</v>
      </c>
      <c r="O837" s="244">
        <v>2.3418140411376953</v>
      </c>
      <c r="P837" s="244">
        <v>7.1064936928451061E-3</v>
      </c>
      <c r="Q837" s="244">
        <v>2.2417960688471794E-2</v>
      </c>
      <c r="R837" s="244">
        <v>1.1271885633468628</v>
      </c>
      <c r="S837" s="244">
        <v>6.2292284965515137</v>
      </c>
      <c r="T837" s="244">
        <v>0</v>
      </c>
      <c r="U837" s="244">
        <v>12.556410789489746</v>
      </c>
      <c r="V837" s="244">
        <v>1.1336666345596313</v>
      </c>
      <c r="W837" s="244">
        <v>1.1336666345596313</v>
      </c>
      <c r="X837" s="244">
        <v>0</v>
      </c>
      <c r="Y837" s="244">
        <v>0</v>
      </c>
      <c r="Z837" s="244">
        <v>0</v>
      </c>
      <c r="AA837" s="244">
        <v>0</v>
      </c>
      <c r="AB837" s="244">
        <v>0</v>
      </c>
      <c r="AC837" s="244">
        <v>0</v>
      </c>
      <c r="AD837" s="244">
        <v>0</v>
      </c>
      <c r="AE837" s="244">
        <v>0</v>
      </c>
      <c r="AF837" s="244">
        <v>0</v>
      </c>
      <c r="AG837" s="244">
        <v>0</v>
      </c>
      <c r="AH837" s="244">
        <v>2.2608551979064941</v>
      </c>
      <c r="AI837" s="244">
        <v>7.3628950119018555</v>
      </c>
      <c r="AJ837" s="244">
        <v>0</v>
      </c>
      <c r="AK837" s="244">
        <v>12.556410789489746</v>
      </c>
      <c r="AL837" s="244">
        <v>22.18016242980957</v>
      </c>
      <c r="AM837" s="244">
        <v>27.556552886962891</v>
      </c>
      <c r="AN837" s="244">
        <v>0</v>
      </c>
      <c r="AO837" s="244">
        <v>4.8546786308288574</v>
      </c>
      <c r="AP837" s="244">
        <v>20.990232467651367</v>
      </c>
      <c r="AQ837" s="244">
        <v>53.401462554931641</v>
      </c>
      <c r="AR837" s="244">
        <v>2.2608551979064941</v>
      </c>
      <c r="AS837" s="228">
        <v>23.620028401151821</v>
      </c>
      <c r="AT837" s="244">
        <v>27.556552886962891</v>
      </c>
      <c r="AU837" s="244">
        <v>4.1322479248046875</v>
      </c>
      <c r="AV837" s="244">
        <v>5.2679033279418945</v>
      </c>
      <c r="AW837" s="244">
        <v>20.990232467651367</v>
      </c>
      <c r="AX837" s="244">
        <v>57.946937561035156</v>
      </c>
      <c r="AY837" s="244">
        <v>7.3628950119018555</v>
      </c>
      <c r="AZ837" s="228">
        <v>7.8701292868496937</v>
      </c>
      <c r="BA837" s="244">
        <v>27.556552886962891</v>
      </c>
      <c r="BB837" s="244">
        <v>4.1322479248046875</v>
      </c>
      <c r="BC837" s="244">
        <v>5.2679033279418945</v>
      </c>
      <c r="BD837" s="244">
        <v>20.990232467651367</v>
      </c>
      <c r="BE837" s="244">
        <v>57.946937561035156</v>
      </c>
      <c r="BF837" s="244">
        <v>9.6237506866455078</v>
      </c>
      <c r="BG837" s="244">
        <v>-42.541961669921875</v>
      </c>
      <c r="BH837" s="228">
        <v>6.0212427199652705</v>
      </c>
      <c r="BI837" s="244">
        <v>4.6315264701843262</v>
      </c>
      <c r="BJ837" s="244">
        <v>15.083426475524902</v>
      </c>
      <c r="BK837" s="244">
        <v>0</v>
      </c>
      <c r="BL837" s="244">
        <v>25.722723007202148</v>
      </c>
      <c r="BM837" s="244">
        <v>45.437679290771484</v>
      </c>
      <c r="BN837" s="244">
        <v>27.556552886962891</v>
      </c>
      <c r="BO837" s="244">
        <v>19.35713005065918</v>
      </c>
      <c r="BP837" s="244">
        <v>4.1322479248046875</v>
      </c>
      <c r="BQ837" s="244">
        <v>0</v>
      </c>
      <c r="BR837" s="244">
        <v>0</v>
      </c>
      <c r="BS837" s="244">
        <v>0</v>
      </c>
      <c r="BT837" s="244">
        <v>20.990232467651367</v>
      </c>
      <c r="BU837" s="244">
        <v>0</v>
      </c>
      <c r="BV837" s="244">
        <v>121.49665832519531</v>
      </c>
      <c r="BW837" s="244">
        <v>5.2679033279418945</v>
      </c>
      <c r="BX837" s="244">
        <v>19.91282844543457</v>
      </c>
      <c r="BY837" s="244">
        <v>2.2673332691192627</v>
      </c>
      <c r="BZ837" s="244">
        <v>0</v>
      </c>
      <c r="CA837" s="244">
        <v>0</v>
      </c>
      <c r="CB837" s="244">
        <v>198.80072021484375</v>
      </c>
      <c r="CC837" s="244">
        <v>22.18016242980957</v>
      </c>
      <c r="CD837" s="228">
        <v>8.9629970936041179</v>
      </c>
      <c r="CE837" s="244">
        <v>-305.36846923828125</v>
      </c>
      <c r="CF837" s="244">
        <v>0.29574592467094718</v>
      </c>
      <c r="CG837" s="244">
        <v>0.21919378487907765</v>
      </c>
      <c r="CH837" s="244">
        <v>0.51493970955002477</v>
      </c>
      <c r="CI837" s="244">
        <v>1.4503417882686784E-2</v>
      </c>
      <c r="CJ837" s="244">
        <v>1.3699611554942318E-2</v>
      </c>
      <c r="CK837" s="244">
        <v>2.8203029437629104E-2</v>
      </c>
      <c r="CL837" s="244"/>
      <c r="CM837" s="244">
        <v>2.3418140411376953</v>
      </c>
      <c r="CN837" s="244"/>
      <c r="CO837" s="244">
        <v>0.28600001335144043</v>
      </c>
      <c r="CP837" s="244">
        <v>0.31700000166893005</v>
      </c>
      <c r="CQ837" s="244">
        <v>19.35713005065918</v>
      </c>
      <c r="CR837" s="244">
        <v>0</v>
      </c>
      <c r="CS837" s="244">
        <v>0</v>
      </c>
      <c r="CT837" s="244">
        <v>19.35713005065918</v>
      </c>
      <c r="CU837" s="244">
        <v>0</v>
      </c>
      <c r="CV837" s="244">
        <v>0</v>
      </c>
      <c r="CW837" s="228">
        <v>9999</v>
      </c>
    </row>
    <row r="838" spans="1:101">
      <c r="A838" s="221" t="s">
        <v>479</v>
      </c>
      <c r="C838" s="244">
        <v>10</v>
      </c>
      <c r="D838" s="244">
        <v>4.8145031929016113</v>
      </c>
      <c r="E838" s="244">
        <v>4.6026878356933594</v>
      </c>
      <c r="F838" s="244">
        <v>11.336667060852051</v>
      </c>
      <c r="G838" s="244">
        <v>0</v>
      </c>
      <c r="H838" s="244">
        <v>0</v>
      </c>
      <c r="I838" s="244"/>
      <c r="J838" s="244">
        <v>1</v>
      </c>
      <c r="K838" s="244">
        <v>0.63999998569488525</v>
      </c>
      <c r="L838" s="244">
        <v>5.2509994506835937</v>
      </c>
      <c r="M838" s="244">
        <v>3.8363467319868505E-4</v>
      </c>
      <c r="N838" s="244">
        <v>5.9942918596789241E-4</v>
      </c>
      <c r="O838" s="244">
        <v>4.648714542388916</v>
      </c>
      <c r="P838" s="244">
        <v>1.4107039198279381E-2</v>
      </c>
      <c r="Q838" s="244">
        <v>4.4501699507236481E-2</v>
      </c>
      <c r="R838" s="244">
        <v>1.1271885633468628</v>
      </c>
      <c r="S838" s="244">
        <v>6.2292284965515137</v>
      </c>
      <c r="T838" s="244">
        <v>0</v>
      </c>
      <c r="U838" s="244">
        <v>12.556410789489746</v>
      </c>
      <c r="V838" s="244">
        <v>1.1336666345596313</v>
      </c>
      <c r="W838" s="244">
        <v>1.1336666345596313</v>
      </c>
      <c r="X838" s="244">
        <v>0</v>
      </c>
      <c r="Y838" s="244">
        <v>0</v>
      </c>
      <c r="Z838" s="244">
        <v>0</v>
      </c>
      <c r="AA838" s="244">
        <v>0</v>
      </c>
      <c r="AB838" s="244">
        <v>0</v>
      </c>
      <c r="AC838" s="244">
        <v>0</v>
      </c>
      <c r="AD838" s="244">
        <v>0</v>
      </c>
      <c r="AE838" s="244">
        <v>0</v>
      </c>
      <c r="AF838" s="244">
        <v>0</v>
      </c>
      <c r="AG838" s="244">
        <v>0</v>
      </c>
      <c r="AH838" s="244">
        <v>2.2608551979064941</v>
      </c>
      <c r="AI838" s="244">
        <v>7.3628950119018555</v>
      </c>
      <c r="AJ838" s="244">
        <v>0</v>
      </c>
      <c r="AK838" s="244">
        <v>12.556410789489746</v>
      </c>
      <c r="AL838" s="244">
        <v>22.18016242980957</v>
      </c>
      <c r="AM838" s="244">
        <v>3.6381890773773193</v>
      </c>
      <c r="AN838" s="244">
        <v>0</v>
      </c>
      <c r="AO838" s="244">
        <v>0.64520704746246338</v>
      </c>
      <c r="AP838" s="244">
        <v>2.8138809204101562</v>
      </c>
      <c r="AQ838" s="244">
        <v>7.0972771644592285</v>
      </c>
      <c r="AR838" s="244">
        <v>2.2608551979064941</v>
      </c>
      <c r="AS838" s="228">
        <v>3.1392001804546674</v>
      </c>
      <c r="AT838" s="244">
        <v>3.6381890773773193</v>
      </c>
      <c r="AU838" s="244">
        <v>0.17181496322154999</v>
      </c>
      <c r="AV838" s="244">
        <v>0.66238850355148315</v>
      </c>
      <c r="AW838" s="244">
        <v>2.8138809204101562</v>
      </c>
      <c r="AX838" s="244">
        <v>7.2862734794616699</v>
      </c>
      <c r="AY838" s="244">
        <v>7.3628950119018555</v>
      </c>
      <c r="AZ838" s="255">
        <v>0.98959354096639518</v>
      </c>
      <c r="BA838" s="244">
        <v>3.6381890773773193</v>
      </c>
      <c r="BB838" s="244">
        <v>0.17181496322154999</v>
      </c>
      <c r="BC838" s="244">
        <v>0.66238850355148315</v>
      </c>
      <c r="BD838" s="244">
        <v>2.8138809204101562</v>
      </c>
      <c r="BE838" s="244">
        <v>7.2862734794616699</v>
      </c>
      <c r="BF838" s="244">
        <v>9.6237506866455078</v>
      </c>
      <c r="BG838" s="244">
        <v>91.316497802734375</v>
      </c>
      <c r="BH838" s="255">
        <v>0.75711372546634503</v>
      </c>
      <c r="BI838" s="244">
        <v>34.549015045166016</v>
      </c>
      <c r="BJ838" s="244">
        <v>112.51528930664062</v>
      </c>
      <c r="BK838" s="244">
        <v>0</v>
      </c>
      <c r="BL838" s="244">
        <v>191.87944030761719</v>
      </c>
      <c r="BM838" s="244">
        <v>338.94375610351562</v>
      </c>
      <c r="BN838" s="244">
        <v>3.6381890773773193</v>
      </c>
      <c r="BO838" s="244">
        <v>38.425670623779297</v>
      </c>
      <c r="BP838" s="244">
        <v>0.17181496322154999</v>
      </c>
      <c r="BQ838" s="244">
        <v>0</v>
      </c>
      <c r="BR838" s="244">
        <v>0</v>
      </c>
      <c r="BS838" s="244">
        <v>0</v>
      </c>
      <c r="BT838" s="244">
        <v>2.8138809204101562</v>
      </c>
      <c r="BU838" s="244">
        <v>0</v>
      </c>
      <c r="BV838" s="244">
        <v>149.29165649414062</v>
      </c>
      <c r="BW838" s="244">
        <v>0.66238850355148315</v>
      </c>
      <c r="BX838" s="244">
        <v>19.91282844543457</v>
      </c>
      <c r="BY838" s="244">
        <v>2.2673332691192627</v>
      </c>
      <c r="BZ838" s="244">
        <v>0</v>
      </c>
      <c r="CA838" s="244">
        <v>0</v>
      </c>
      <c r="CB838" s="244">
        <v>195.00360107421875</v>
      </c>
      <c r="CC838" s="244">
        <v>22.18016242980957</v>
      </c>
      <c r="CD838" s="228">
        <v>8.7918024715990235</v>
      </c>
      <c r="CE838" s="244">
        <v>-2585.38623046875</v>
      </c>
      <c r="CF838" s="244">
        <v>3.9819633723513256E-2</v>
      </c>
      <c r="CG838" s="244">
        <v>0.43511967866572843</v>
      </c>
      <c r="CH838" s="244">
        <v>0.4749393123892417</v>
      </c>
      <c r="CI838" s="244">
        <v>1.9546049902446037E-3</v>
      </c>
      <c r="CJ838" s="244">
        <v>2.7194979916608065E-2</v>
      </c>
      <c r="CK838" s="244">
        <v>2.9149584906852669E-2</v>
      </c>
      <c r="CL838" s="244"/>
      <c r="CM838" s="244">
        <v>4.648714542388916</v>
      </c>
      <c r="CN838" s="244"/>
      <c r="CO838" s="244">
        <v>0.28599998354911804</v>
      </c>
      <c r="CP838" s="244">
        <v>0.31699997186660767</v>
      </c>
      <c r="CQ838" s="244">
        <v>38.425670623779297</v>
      </c>
      <c r="CR838" s="244">
        <v>0</v>
      </c>
      <c r="CS838" s="244">
        <v>0</v>
      </c>
      <c r="CT838" s="244">
        <v>38.425670623779297</v>
      </c>
      <c r="CU838" s="244">
        <v>0</v>
      </c>
      <c r="CV838" s="244">
        <v>0</v>
      </c>
      <c r="CW838" s="228">
        <v>9999</v>
      </c>
    </row>
    <row r="839" spans="1:101">
      <c r="A839" s="221" t="s">
        <v>507</v>
      </c>
      <c r="C839" s="244">
        <v>10</v>
      </c>
      <c r="D839" s="244">
        <v>41.495536804199219</v>
      </c>
      <c r="E839" s="244">
        <v>1.7586479187011719</v>
      </c>
      <c r="F839" s="244">
        <v>11.336667060852051</v>
      </c>
      <c r="G839" s="244">
        <v>0</v>
      </c>
      <c r="H839" s="244">
        <v>0</v>
      </c>
      <c r="I839" s="244"/>
      <c r="J839" s="244">
        <v>0.34806486964225769</v>
      </c>
      <c r="K839" s="244">
        <v>0.34507694840431213</v>
      </c>
      <c r="L839" s="244">
        <v>45.250480651855469</v>
      </c>
      <c r="M839" s="244">
        <v>5.5151339620351791E-3</v>
      </c>
      <c r="N839" s="244">
        <v>1.694030687212944E-2</v>
      </c>
      <c r="O839" s="244">
        <v>1.7762343883514404</v>
      </c>
      <c r="P839" s="244">
        <v>5.3901802748441696E-3</v>
      </c>
      <c r="Q839" s="244">
        <v>1.7003722488880157E-2</v>
      </c>
      <c r="R839" s="244">
        <v>1.1271885633468628</v>
      </c>
      <c r="S839" s="244">
        <v>6.2292284965515137</v>
      </c>
      <c r="T839" s="244">
        <v>0</v>
      </c>
      <c r="U839" s="244">
        <v>12.556410789489746</v>
      </c>
      <c r="V839" s="244">
        <v>1.1336666345596313</v>
      </c>
      <c r="W839" s="244">
        <v>1.1336666345596313</v>
      </c>
      <c r="X839" s="244">
        <v>0</v>
      </c>
      <c r="Y839" s="244">
        <v>0</v>
      </c>
      <c r="Z839" s="244">
        <v>0</v>
      </c>
      <c r="AA839" s="244">
        <v>0</v>
      </c>
      <c r="AB839" s="244">
        <v>0</v>
      </c>
      <c r="AC839" s="244">
        <v>0</v>
      </c>
      <c r="AD839" s="244">
        <v>0</v>
      </c>
      <c r="AE839" s="244">
        <v>0</v>
      </c>
      <c r="AF839" s="244">
        <v>0</v>
      </c>
      <c r="AG839" s="244">
        <v>0</v>
      </c>
      <c r="AH839" s="244">
        <v>2.2608551979064941</v>
      </c>
      <c r="AI839" s="244">
        <v>7.3628950119018555</v>
      </c>
      <c r="AJ839" s="244">
        <v>0</v>
      </c>
      <c r="AK839" s="244">
        <v>12.556410789489746</v>
      </c>
      <c r="AL839" s="244">
        <v>22.18016242980957</v>
      </c>
      <c r="AM839" s="244">
        <v>31.846237182617188</v>
      </c>
      <c r="AN839" s="244">
        <v>0</v>
      </c>
      <c r="AO839" s="244">
        <v>5.6094851493835449</v>
      </c>
      <c r="AP839" s="244">
        <v>24.248611450195313</v>
      </c>
      <c r="AQ839" s="244">
        <v>61.704334259033203</v>
      </c>
      <c r="AR839" s="244">
        <v>2.2608551979064941</v>
      </c>
      <c r="AS839" s="228">
        <v>27.292474918045613</v>
      </c>
      <c r="AT839" s="244">
        <v>31.846237182617188</v>
      </c>
      <c r="AU839" s="244">
        <v>4.8556160926818848</v>
      </c>
      <c r="AV839" s="244">
        <v>6.0950465202331543</v>
      </c>
      <c r="AW839" s="244">
        <v>24.248611450195313</v>
      </c>
      <c r="AX839" s="244">
        <v>67.045509338378906</v>
      </c>
      <c r="AY839" s="244">
        <v>7.3628950119018555</v>
      </c>
      <c r="AZ839" s="228">
        <v>9.1058625787611351</v>
      </c>
      <c r="BA839" s="244">
        <v>31.846237182617188</v>
      </c>
      <c r="BB839" s="244">
        <v>4.8556160926818848</v>
      </c>
      <c r="BC839" s="244">
        <v>6.0950465202331543</v>
      </c>
      <c r="BD839" s="244">
        <v>24.248611450195313</v>
      </c>
      <c r="BE839" s="244">
        <v>67.045509338378906</v>
      </c>
      <c r="BF839" s="244">
        <v>9.6237506866455078</v>
      </c>
      <c r="BG839" s="244">
        <v>-45.353023529052734</v>
      </c>
      <c r="BH839" s="228">
        <v>6.9666719265950992</v>
      </c>
      <c r="BI839" s="244">
        <v>4.0091700553894043</v>
      </c>
      <c r="BJ839" s="244">
        <v>13.056607246398926</v>
      </c>
      <c r="BK839" s="244">
        <v>0</v>
      </c>
      <c r="BL839" s="244">
        <v>22.266258239746094</v>
      </c>
      <c r="BM839" s="244">
        <v>39.332035064697266</v>
      </c>
      <c r="BN839" s="244">
        <v>31.846237182617188</v>
      </c>
      <c r="BO839" s="244">
        <v>14.682122230529785</v>
      </c>
      <c r="BP839" s="244">
        <v>4.8556160926818848</v>
      </c>
      <c r="BQ839" s="244">
        <v>0</v>
      </c>
      <c r="BR839" s="244">
        <v>0</v>
      </c>
      <c r="BS839" s="244">
        <v>0</v>
      </c>
      <c r="BT839" s="244">
        <v>24.248611450195313</v>
      </c>
      <c r="BU839" s="244">
        <v>0</v>
      </c>
      <c r="BV839" s="244">
        <v>111.84915161132812</v>
      </c>
      <c r="BW839" s="244">
        <v>6.0950465202331543</v>
      </c>
      <c r="BX839" s="244">
        <v>19.91282844543457</v>
      </c>
      <c r="BY839" s="244">
        <v>2.2673332691192627</v>
      </c>
      <c r="BZ839" s="244">
        <v>0</v>
      </c>
      <c r="CA839" s="244">
        <v>0</v>
      </c>
      <c r="CB839" s="244">
        <v>193.5767822265625</v>
      </c>
      <c r="CC839" s="244">
        <v>22.18016242980957</v>
      </c>
      <c r="CD839" s="228">
        <v>8.7274740183957835</v>
      </c>
      <c r="CE839" s="244">
        <v>-247.46441650390625</v>
      </c>
      <c r="CF839" s="244">
        <v>0.34161844985606893</v>
      </c>
      <c r="CG839" s="244">
        <v>0.16625553613152741</v>
      </c>
      <c r="CH839" s="244">
        <v>0.50787398598759637</v>
      </c>
      <c r="CI839" s="244">
        <v>1.6752616902505634E-2</v>
      </c>
      <c r="CJ839" s="244">
        <v>1.0390971008220388E-2</v>
      </c>
      <c r="CK839" s="244">
        <v>2.7143587910726023E-2</v>
      </c>
      <c r="CL839" s="244"/>
      <c r="CM839" s="244">
        <v>1.7762343883514404</v>
      </c>
      <c r="CN839" s="244"/>
      <c r="CO839" s="244">
        <v>0.28600001335144043</v>
      </c>
      <c r="CP839" s="244">
        <v>0.31699997186660767</v>
      </c>
      <c r="CQ839" s="244">
        <v>14.682122230529785</v>
      </c>
      <c r="CR839" s="244">
        <v>0</v>
      </c>
      <c r="CS839" s="244">
        <v>0</v>
      </c>
      <c r="CT839" s="244">
        <v>14.682122230529785</v>
      </c>
      <c r="CU839" s="244">
        <v>0</v>
      </c>
      <c r="CV839" s="244">
        <v>0</v>
      </c>
      <c r="CW839" s="228">
        <v>9999</v>
      </c>
    </row>
    <row r="840" spans="1:101">
      <c r="A840" s="221" t="s">
        <v>543</v>
      </c>
      <c r="C840" s="244">
        <v>10</v>
      </c>
      <c r="D840" s="244">
        <v>23.946321487426758</v>
      </c>
      <c r="E840" s="244">
        <v>1.5457518100738525</v>
      </c>
      <c r="F840" s="244">
        <v>8.1096944808959961</v>
      </c>
      <c r="G840" s="244">
        <v>0</v>
      </c>
      <c r="H840" s="244">
        <v>0</v>
      </c>
      <c r="I840" s="244"/>
      <c r="J840" s="244">
        <v>0.36388403177261353</v>
      </c>
      <c r="K840" s="244">
        <v>0.35223323106765747</v>
      </c>
      <c r="L840" s="244">
        <v>26.11332893371582</v>
      </c>
      <c r="M840" s="244">
        <v>3.1517562456429005E-3</v>
      </c>
      <c r="N840" s="244">
        <v>9.6110748127102852E-3</v>
      </c>
      <c r="O840" s="244">
        <v>1.5612093210220337</v>
      </c>
      <c r="P840" s="244">
        <v>4.7376626171171665E-3</v>
      </c>
      <c r="Q840" s="244">
        <v>1.4945307746529579E-2</v>
      </c>
      <c r="R840" s="244">
        <v>0.80633538961410522</v>
      </c>
      <c r="S840" s="244">
        <v>4.4560842514038086</v>
      </c>
      <c r="T840" s="244">
        <v>0</v>
      </c>
      <c r="U840" s="244">
        <v>8.9822397232055664</v>
      </c>
      <c r="V840" s="244">
        <v>0.81096947193145752</v>
      </c>
      <c r="W840" s="244">
        <v>0.81096947193145752</v>
      </c>
      <c r="X840" s="244">
        <v>0</v>
      </c>
      <c r="Y840" s="244">
        <v>0</v>
      </c>
      <c r="Z840" s="244">
        <v>0</v>
      </c>
      <c r="AA840" s="244">
        <v>0</v>
      </c>
      <c r="AB840" s="244">
        <v>0</v>
      </c>
      <c r="AC840" s="244">
        <v>0</v>
      </c>
      <c r="AD840" s="244">
        <v>0</v>
      </c>
      <c r="AE840" s="244">
        <v>0</v>
      </c>
      <c r="AF840" s="244">
        <v>0</v>
      </c>
      <c r="AG840" s="244">
        <v>0</v>
      </c>
      <c r="AH840" s="244">
        <v>1.617304801940918</v>
      </c>
      <c r="AI840" s="244">
        <v>5.2670536041259766</v>
      </c>
      <c r="AJ840" s="244">
        <v>0</v>
      </c>
      <c r="AK840" s="244">
        <v>8.9822397232055664</v>
      </c>
      <c r="AL840" s="244">
        <v>15.866598129272461</v>
      </c>
      <c r="AM840" s="244">
        <v>18.371036529541016</v>
      </c>
      <c r="AN840" s="244">
        <v>0</v>
      </c>
      <c r="AO840" s="244">
        <v>3.2364521026611328</v>
      </c>
      <c r="AP840" s="244">
        <v>13.993487358093262</v>
      </c>
      <c r="AQ840" s="244">
        <v>35.600975036621094</v>
      </c>
      <c r="AR840" s="244">
        <v>1.617304801940918</v>
      </c>
      <c r="AS840" s="228">
        <v>22.012532600856503</v>
      </c>
      <c r="AT840" s="244">
        <v>18.371036529541016</v>
      </c>
      <c r="AU840" s="244">
        <v>2.7548320293426514</v>
      </c>
      <c r="AV840" s="244">
        <v>3.5119354724884033</v>
      </c>
      <c r="AW840" s="244">
        <v>13.993487358093262</v>
      </c>
      <c r="AX840" s="244">
        <v>38.631290435791016</v>
      </c>
      <c r="AY840" s="244">
        <v>5.2670536041259766</v>
      </c>
      <c r="AZ840" s="228">
        <v>7.3345163005101774</v>
      </c>
      <c r="BA840" s="244">
        <v>18.371036529541016</v>
      </c>
      <c r="BB840" s="244">
        <v>2.7548320293426514</v>
      </c>
      <c r="BC840" s="244">
        <v>3.5119354724884033</v>
      </c>
      <c r="BD840" s="244">
        <v>13.993487358093262</v>
      </c>
      <c r="BE840" s="244">
        <v>38.631290435791016</v>
      </c>
      <c r="BF840" s="244">
        <v>6.8843584060668945</v>
      </c>
      <c r="BG840" s="244">
        <v>-41.102245330810547</v>
      </c>
      <c r="BH840" s="228">
        <v>5.6114583389520023</v>
      </c>
      <c r="BI840" s="244">
        <v>4.969749927520752</v>
      </c>
      <c r="BJ840" s="244">
        <v>16.184915542602539</v>
      </c>
      <c r="BK840" s="244">
        <v>0</v>
      </c>
      <c r="BL840" s="244">
        <v>27.601156234741211</v>
      </c>
      <c r="BM840" s="244">
        <v>48.755821228027344</v>
      </c>
      <c r="BN840" s="244">
        <v>18.371036529541016</v>
      </c>
      <c r="BO840" s="244">
        <v>12.904753684997559</v>
      </c>
      <c r="BP840" s="244">
        <v>2.7548320293426514</v>
      </c>
      <c r="BQ840" s="244">
        <v>0</v>
      </c>
      <c r="BR840" s="244">
        <v>0</v>
      </c>
      <c r="BS840" s="244">
        <v>0</v>
      </c>
      <c r="BT840" s="244">
        <v>13.993487358093262</v>
      </c>
      <c r="BU840" s="244">
        <v>0</v>
      </c>
      <c r="BV840" s="244">
        <v>80.997779846191406</v>
      </c>
      <c r="BW840" s="244">
        <v>3.5119354724884033</v>
      </c>
      <c r="BX840" s="244">
        <v>14.244659423828125</v>
      </c>
      <c r="BY840" s="244">
        <v>1.621938943862915</v>
      </c>
      <c r="BZ840" s="244">
        <v>0</v>
      </c>
      <c r="CA840" s="244">
        <v>0</v>
      </c>
      <c r="CB840" s="244">
        <v>132.53382873535156</v>
      </c>
      <c r="CC840" s="244">
        <v>15.866598129272461</v>
      </c>
      <c r="CD840" s="228">
        <v>8.3530081148667197</v>
      </c>
      <c r="CE840" s="244">
        <v>-302.05035400390625</v>
      </c>
      <c r="CF840" s="244">
        <v>0.19716394978063112</v>
      </c>
      <c r="CG840" s="244">
        <v>0.14612918991938462</v>
      </c>
      <c r="CH840" s="244">
        <v>0.34329313970001574</v>
      </c>
      <c r="CI840" s="244">
        <v>9.6689452551245308E-3</v>
      </c>
      <c r="CJ840" s="244">
        <v>9.133074369961542E-3</v>
      </c>
      <c r="CK840" s="244">
        <v>1.8802019625086073E-2</v>
      </c>
      <c r="CL840" s="244"/>
      <c r="CM840" s="244">
        <v>1.5612093210220337</v>
      </c>
      <c r="CN840" s="244"/>
      <c r="CO840" s="244">
        <v>0.28600001335144043</v>
      </c>
      <c r="CP840" s="244">
        <v>0.31700000166893005</v>
      </c>
      <c r="CQ840" s="244">
        <v>12.904753684997559</v>
      </c>
      <c r="CR840" s="244">
        <v>0</v>
      </c>
      <c r="CS840" s="244">
        <v>0</v>
      </c>
      <c r="CT840" s="244">
        <v>12.904753684997559</v>
      </c>
      <c r="CU840" s="244">
        <v>0</v>
      </c>
      <c r="CV840" s="244">
        <v>0</v>
      </c>
      <c r="CW840" s="228">
        <v>9999</v>
      </c>
    </row>
    <row r="841" spans="1:101">
      <c r="A841" s="221" t="s">
        <v>488</v>
      </c>
      <c r="C841" s="244">
        <v>10</v>
      </c>
      <c r="D841" s="244">
        <v>3.2096688747406006</v>
      </c>
      <c r="E841" s="244">
        <v>3.0684583187103271</v>
      </c>
      <c r="F841" s="244">
        <v>8.1096944808959961</v>
      </c>
      <c r="G841" s="244">
        <v>0</v>
      </c>
      <c r="H841" s="244">
        <v>0</v>
      </c>
      <c r="I841" s="244"/>
      <c r="J841" s="244">
        <v>1</v>
      </c>
      <c r="K841" s="244">
        <v>0.63999998569488525</v>
      </c>
      <c r="L841" s="244">
        <v>3.5006663799285889</v>
      </c>
      <c r="M841" s="244">
        <v>2.5575645850040019E-4</v>
      </c>
      <c r="N841" s="244">
        <v>3.9961945731192827E-4</v>
      </c>
      <c r="O841" s="244">
        <v>3.0991430282592773</v>
      </c>
      <c r="P841" s="244">
        <v>9.4046927988529205E-3</v>
      </c>
      <c r="Q841" s="244">
        <v>2.9667800292372704E-2</v>
      </c>
      <c r="R841" s="244">
        <v>0.80633538961410522</v>
      </c>
      <c r="S841" s="244">
        <v>4.4560842514038086</v>
      </c>
      <c r="T841" s="244">
        <v>0</v>
      </c>
      <c r="U841" s="244">
        <v>8.9822397232055664</v>
      </c>
      <c r="V841" s="244">
        <v>0.81096947193145752</v>
      </c>
      <c r="W841" s="244">
        <v>0.81096947193145752</v>
      </c>
      <c r="X841" s="244">
        <v>0</v>
      </c>
      <c r="Y841" s="244">
        <v>0</v>
      </c>
      <c r="Z841" s="244">
        <v>0</v>
      </c>
      <c r="AA841" s="244">
        <v>0</v>
      </c>
      <c r="AB841" s="244">
        <v>0</v>
      </c>
      <c r="AC841" s="244">
        <v>0</v>
      </c>
      <c r="AD841" s="244">
        <v>0</v>
      </c>
      <c r="AE841" s="244">
        <v>0</v>
      </c>
      <c r="AF841" s="244">
        <v>0</v>
      </c>
      <c r="AG841" s="244">
        <v>0</v>
      </c>
      <c r="AH841" s="244">
        <v>1.617304801940918</v>
      </c>
      <c r="AI841" s="244">
        <v>5.2670536041259766</v>
      </c>
      <c r="AJ841" s="244">
        <v>0</v>
      </c>
      <c r="AK841" s="244">
        <v>8.9822397232055664</v>
      </c>
      <c r="AL841" s="244">
        <v>15.866598129272461</v>
      </c>
      <c r="AM841" s="244">
        <v>2.4254593849182129</v>
      </c>
      <c r="AN841" s="244">
        <v>0</v>
      </c>
      <c r="AO841" s="244">
        <v>0.43013802170753479</v>
      </c>
      <c r="AP841" s="244">
        <v>1.8759206533432007</v>
      </c>
      <c r="AQ841" s="244">
        <v>4.7315182685852051</v>
      </c>
      <c r="AR841" s="244">
        <v>1.617304801940918</v>
      </c>
      <c r="AS841" s="228">
        <v>2.9255573098613676</v>
      </c>
      <c r="AT841" s="244">
        <v>2.4254593849182129</v>
      </c>
      <c r="AU841" s="244">
        <v>0.11454331129789352</v>
      </c>
      <c r="AV841" s="244">
        <v>0.44159233570098877</v>
      </c>
      <c r="AW841" s="244">
        <v>1.8759206533432007</v>
      </c>
      <c r="AX841" s="244">
        <v>4.857515811920166</v>
      </c>
      <c r="AY841" s="244">
        <v>5.2670536041259766</v>
      </c>
      <c r="AZ841" s="255">
        <v>0.92224532735245435</v>
      </c>
      <c r="BA841" s="244">
        <v>2.4254593849182129</v>
      </c>
      <c r="BB841" s="244">
        <v>0.11454331129789352</v>
      </c>
      <c r="BC841" s="244">
        <v>0.44159233570098877</v>
      </c>
      <c r="BD841" s="244">
        <v>1.8759206533432007</v>
      </c>
      <c r="BE841" s="244">
        <v>4.857515811920166</v>
      </c>
      <c r="BF841" s="244">
        <v>6.8843584060668945</v>
      </c>
      <c r="BG841" s="244">
        <v>102.05606842041016</v>
      </c>
      <c r="BH841" s="255">
        <v>0.7055872562954798</v>
      </c>
      <c r="BI841" s="244">
        <v>37.072006225585937</v>
      </c>
      <c r="BJ841" s="244">
        <v>120.73187255859375</v>
      </c>
      <c r="BK841" s="244">
        <v>0</v>
      </c>
      <c r="BL841" s="244">
        <v>205.89169311523437</v>
      </c>
      <c r="BM841" s="244">
        <v>363.695556640625</v>
      </c>
      <c r="BN841" s="244">
        <v>2.4254593849182129</v>
      </c>
      <c r="BO841" s="244">
        <v>25.61711311340332</v>
      </c>
      <c r="BP841" s="244">
        <v>0.11454331129789352</v>
      </c>
      <c r="BQ841" s="244">
        <v>0</v>
      </c>
      <c r="BR841" s="244">
        <v>0</v>
      </c>
      <c r="BS841" s="244">
        <v>0</v>
      </c>
      <c r="BT841" s="244">
        <v>1.8759206533432007</v>
      </c>
      <c r="BU841" s="244">
        <v>0</v>
      </c>
      <c r="BV841" s="244">
        <v>99.52777099609375</v>
      </c>
      <c r="BW841" s="244">
        <v>0.44159233570098877</v>
      </c>
      <c r="BX841" s="244">
        <v>14.244659423828125</v>
      </c>
      <c r="BY841" s="244">
        <v>1.621938943862915</v>
      </c>
      <c r="BZ841" s="244">
        <v>0</v>
      </c>
      <c r="CA841" s="244">
        <v>0</v>
      </c>
      <c r="CB841" s="244">
        <v>130.00239562988281</v>
      </c>
      <c r="CC841" s="244">
        <v>15.866598129272461</v>
      </c>
      <c r="CD841" s="228">
        <v>8.1934638277275393</v>
      </c>
      <c r="CE841" s="244">
        <v>-2560.63427734375</v>
      </c>
      <c r="CF841" s="244">
        <v>2.6546422482342086E-2</v>
      </c>
      <c r="CG841" s="244">
        <v>0.29007978577714871</v>
      </c>
      <c r="CH841" s="244">
        <v>0.31662620825949078</v>
      </c>
      <c r="CI841" s="244">
        <v>1.3030699934964043E-3</v>
      </c>
      <c r="CJ841" s="244">
        <v>1.8129986611072041E-2</v>
      </c>
      <c r="CK841" s="244">
        <v>1.9433056604568445E-2</v>
      </c>
      <c r="CL841" s="244"/>
      <c r="CM841" s="244">
        <v>3.0991430282592773</v>
      </c>
      <c r="CN841" s="244"/>
      <c r="CO841" s="244">
        <v>0.28600001335144043</v>
      </c>
      <c r="CP841" s="244">
        <v>0.31700000166893005</v>
      </c>
      <c r="CQ841" s="244">
        <v>25.61711311340332</v>
      </c>
      <c r="CR841" s="244">
        <v>0</v>
      </c>
      <c r="CS841" s="244">
        <v>0</v>
      </c>
      <c r="CT841" s="244">
        <v>25.61711311340332</v>
      </c>
      <c r="CU841" s="244">
        <v>0</v>
      </c>
      <c r="CV841" s="244">
        <v>0</v>
      </c>
      <c r="CW841" s="228">
        <v>9999</v>
      </c>
    </row>
    <row r="842" spans="1:101">
      <c r="A842" s="221" t="s">
        <v>516</v>
      </c>
      <c r="C842" s="244">
        <v>10.000000953674316</v>
      </c>
      <c r="D842" s="244">
        <v>27.663690567016602</v>
      </c>
      <c r="E842" s="244">
        <v>1.1724319458007812</v>
      </c>
      <c r="F842" s="244">
        <v>8.1096944808959961</v>
      </c>
      <c r="G842" s="244">
        <v>0</v>
      </c>
      <c r="H842" s="244">
        <v>0</v>
      </c>
      <c r="I842" s="244"/>
      <c r="J842" s="244">
        <v>0.3480648398399353</v>
      </c>
      <c r="K842" s="244">
        <v>0.34507697820663452</v>
      </c>
      <c r="L842" s="244">
        <v>30.166986465454102</v>
      </c>
      <c r="M842" s="244">
        <v>3.676756052300334E-3</v>
      </c>
      <c r="N842" s="244">
        <v>1.129353791475296E-2</v>
      </c>
      <c r="O842" s="244">
        <v>1.1841562986373901</v>
      </c>
      <c r="P842" s="244">
        <v>3.5934532061219215E-3</v>
      </c>
      <c r="Q842" s="244">
        <v>1.1335814371705055E-2</v>
      </c>
      <c r="R842" s="244">
        <v>0.80633538961410522</v>
      </c>
      <c r="S842" s="244">
        <v>4.4560842514038086</v>
      </c>
      <c r="T842" s="244">
        <v>0</v>
      </c>
      <c r="U842" s="244">
        <v>8.9822397232055664</v>
      </c>
      <c r="V842" s="244">
        <v>0.81096947193145752</v>
      </c>
      <c r="W842" s="244">
        <v>0.81096947193145752</v>
      </c>
      <c r="X842" s="244">
        <v>0</v>
      </c>
      <c r="Y842" s="244">
        <v>0</v>
      </c>
      <c r="Z842" s="244">
        <v>0</v>
      </c>
      <c r="AA842" s="244">
        <v>0</v>
      </c>
      <c r="AB842" s="244">
        <v>0</v>
      </c>
      <c r="AC842" s="244">
        <v>0</v>
      </c>
      <c r="AD842" s="244">
        <v>0</v>
      </c>
      <c r="AE842" s="244">
        <v>0</v>
      </c>
      <c r="AF842" s="244">
        <v>0</v>
      </c>
      <c r="AG842" s="244">
        <v>0</v>
      </c>
      <c r="AH842" s="244">
        <v>1.617304801940918</v>
      </c>
      <c r="AI842" s="244">
        <v>5.2670536041259766</v>
      </c>
      <c r="AJ842" s="244">
        <v>0</v>
      </c>
      <c r="AK842" s="244">
        <v>8.9822397232055664</v>
      </c>
      <c r="AL842" s="244">
        <v>15.866598129272461</v>
      </c>
      <c r="AM842" s="244">
        <v>21.230825424194336</v>
      </c>
      <c r="AN842" s="244">
        <v>0</v>
      </c>
      <c r="AO842" s="244">
        <v>3.739656925201416</v>
      </c>
      <c r="AP842" s="244">
        <v>16.165742874145508</v>
      </c>
      <c r="AQ842" s="244">
        <v>41.136226654052734</v>
      </c>
      <c r="AR842" s="244">
        <v>1.617304801940918</v>
      </c>
      <c r="AS842" s="228">
        <v>25.435047035121009</v>
      </c>
      <c r="AT842" s="244">
        <v>21.230825424194336</v>
      </c>
      <c r="AU842" s="244">
        <v>3.2370777130126953</v>
      </c>
      <c r="AV842" s="244">
        <v>4.0633645057678223</v>
      </c>
      <c r="AW842" s="244">
        <v>16.165742874145508</v>
      </c>
      <c r="AX842" s="244">
        <v>44.697010040283203</v>
      </c>
      <c r="AY842" s="244">
        <v>5.2670536041259766</v>
      </c>
      <c r="AZ842" s="228">
        <v>8.4861504865792003</v>
      </c>
      <c r="BA842" s="244">
        <v>21.230825424194336</v>
      </c>
      <c r="BB842" s="244">
        <v>3.2370777130126953</v>
      </c>
      <c r="BC842" s="244">
        <v>4.0633645057678223</v>
      </c>
      <c r="BD842" s="244">
        <v>16.165742874145508</v>
      </c>
      <c r="BE842" s="244">
        <v>44.697010040283203</v>
      </c>
      <c r="BF842" s="244">
        <v>6.8843584060668945</v>
      </c>
      <c r="BG842" s="244">
        <v>-44.106781005859375</v>
      </c>
      <c r="BH842" s="228">
        <v>6.4925453789235013</v>
      </c>
      <c r="BI842" s="244">
        <v>4.3019452095031738</v>
      </c>
      <c r="BJ842" s="244">
        <v>14.01008415222168</v>
      </c>
      <c r="BK842" s="244">
        <v>0</v>
      </c>
      <c r="BL842" s="244">
        <v>23.892280578613281</v>
      </c>
      <c r="BM842" s="244">
        <v>42.204311370849609</v>
      </c>
      <c r="BN842" s="244">
        <v>21.230825424194336</v>
      </c>
      <c r="BO842" s="244">
        <v>9.7880821228027344</v>
      </c>
      <c r="BP842" s="244">
        <v>3.2370777130126953</v>
      </c>
      <c r="BQ842" s="244">
        <v>0</v>
      </c>
      <c r="BR842" s="244">
        <v>0</v>
      </c>
      <c r="BS842" s="244">
        <v>0</v>
      </c>
      <c r="BT842" s="244">
        <v>16.165742874145508</v>
      </c>
      <c r="BU842" s="244">
        <v>0</v>
      </c>
      <c r="BV842" s="244">
        <v>74.566108703613281</v>
      </c>
      <c r="BW842" s="244">
        <v>4.0633645057678223</v>
      </c>
      <c r="BX842" s="244">
        <v>14.244659423828125</v>
      </c>
      <c r="BY842" s="244">
        <v>1.621938943862915</v>
      </c>
      <c r="BZ842" s="244">
        <v>0</v>
      </c>
      <c r="CA842" s="244">
        <v>0</v>
      </c>
      <c r="CB842" s="244">
        <v>129.05120849609375</v>
      </c>
      <c r="CC842" s="244">
        <v>15.866598129272461</v>
      </c>
      <c r="CD842" s="228">
        <v>8.1335140874506386</v>
      </c>
      <c r="CE842" s="244">
        <v>-244.59217834472656</v>
      </c>
      <c r="CF842" s="244">
        <v>0.22774563323737873</v>
      </c>
      <c r="CG842" s="244">
        <v>0.1108370240876838</v>
      </c>
      <c r="CH842" s="244">
        <v>0.33858265732506254</v>
      </c>
      <c r="CI842" s="244">
        <v>1.1168411268337083E-2</v>
      </c>
      <c r="CJ842" s="244">
        <v>6.9273140054802538E-3</v>
      </c>
      <c r="CK842" s="244">
        <v>1.8095725273817337E-2</v>
      </c>
      <c r="CL842" s="244"/>
      <c r="CM842" s="244">
        <v>1.1841562986373901</v>
      </c>
      <c r="CN842" s="244"/>
      <c r="CO842" s="244">
        <v>0.28600001335144043</v>
      </c>
      <c r="CP842" s="244">
        <v>0.31700000166893005</v>
      </c>
      <c r="CQ842" s="244">
        <v>9.7880821228027344</v>
      </c>
      <c r="CR842" s="244">
        <v>0</v>
      </c>
      <c r="CS842" s="244">
        <v>0</v>
      </c>
      <c r="CT842" s="244">
        <v>9.7880821228027344</v>
      </c>
      <c r="CU842" s="244">
        <v>0</v>
      </c>
      <c r="CV842" s="244">
        <v>0</v>
      </c>
      <c r="CW842" s="228">
        <v>9999</v>
      </c>
    </row>
    <row r="843" spans="1:101">
      <c r="A843" s="221" t="s">
        <v>536</v>
      </c>
      <c r="C843" s="244">
        <v>10</v>
      </c>
      <c r="D843" s="244">
        <v>4.4079113006591797</v>
      </c>
      <c r="E843" s="244">
        <v>3.9975354671478271</v>
      </c>
      <c r="F843" s="244">
        <v>11.336667060852051</v>
      </c>
      <c r="G843" s="244">
        <v>0</v>
      </c>
      <c r="H843" s="244">
        <v>0</v>
      </c>
      <c r="I843" s="244"/>
      <c r="J843" s="244">
        <v>1</v>
      </c>
      <c r="K843" s="244">
        <v>0.63999998569488525</v>
      </c>
      <c r="L843" s="244">
        <v>4.8075451850891113</v>
      </c>
      <c r="M843" s="244">
        <v>3.5123614361509681E-4</v>
      </c>
      <c r="N843" s="244">
        <v>5.4880650714039803E-4</v>
      </c>
      <c r="O843" s="244">
        <v>4.037510871887207</v>
      </c>
      <c r="P843" s="244">
        <v>1.2252273969352245E-2</v>
      </c>
      <c r="Q843" s="244">
        <v>3.865070641040802E-2</v>
      </c>
      <c r="R843" s="244">
        <v>1.1271885633468628</v>
      </c>
      <c r="S843" s="244">
        <v>6.2292284965515137</v>
      </c>
      <c r="T843" s="244">
        <v>0</v>
      </c>
      <c r="U843" s="244">
        <v>12.556410789489746</v>
      </c>
      <c r="V843" s="244">
        <v>1.1336666345596313</v>
      </c>
      <c r="W843" s="244">
        <v>1.1336666345596313</v>
      </c>
      <c r="X843" s="244">
        <v>0</v>
      </c>
      <c r="Y843" s="244">
        <v>0</v>
      </c>
      <c r="Z843" s="244">
        <v>0</v>
      </c>
      <c r="AA843" s="244">
        <v>0</v>
      </c>
      <c r="AB843" s="244">
        <v>0</v>
      </c>
      <c r="AC843" s="244">
        <v>0</v>
      </c>
      <c r="AD843" s="244">
        <v>0</v>
      </c>
      <c r="AE843" s="244">
        <v>0</v>
      </c>
      <c r="AF843" s="244">
        <v>0</v>
      </c>
      <c r="AG843" s="244">
        <v>0</v>
      </c>
      <c r="AH843" s="244">
        <v>2.2608551979064941</v>
      </c>
      <c r="AI843" s="244">
        <v>7.3628950119018555</v>
      </c>
      <c r="AJ843" s="244">
        <v>0</v>
      </c>
      <c r="AK843" s="244">
        <v>12.556410789489746</v>
      </c>
      <c r="AL843" s="244">
        <v>22.18016242980957</v>
      </c>
      <c r="AM843" s="244">
        <v>3.3309388160705566</v>
      </c>
      <c r="AN843" s="244">
        <v>0</v>
      </c>
      <c r="AO843" s="244">
        <v>0.59071832895278931</v>
      </c>
      <c r="AP843" s="244">
        <v>2.5762443542480469</v>
      </c>
      <c r="AQ843" s="244">
        <v>6.497901439666748</v>
      </c>
      <c r="AR843" s="244">
        <v>2.2608551979064941</v>
      </c>
      <c r="AS843" s="228">
        <v>2.8740900811729637</v>
      </c>
      <c r="AT843" s="244">
        <v>3.3309388160705566</v>
      </c>
      <c r="AU843" s="244">
        <v>0.15730497241020203</v>
      </c>
      <c r="AV843" s="244">
        <v>0.60644882917404175</v>
      </c>
      <c r="AW843" s="244">
        <v>2.5762443542480469</v>
      </c>
      <c r="AX843" s="244">
        <v>6.6709370613098145</v>
      </c>
      <c r="AY843" s="244">
        <v>7.3628950119018555</v>
      </c>
      <c r="AZ843" s="255">
        <v>0.90602091339254576</v>
      </c>
      <c r="BA843" s="244">
        <v>3.3309388160705566</v>
      </c>
      <c r="BB843" s="244">
        <v>0.15730497241020203</v>
      </c>
      <c r="BC843" s="244">
        <v>0.60644882917404175</v>
      </c>
      <c r="BD843" s="244">
        <v>2.5762443542480469</v>
      </c>
      <c r="BE843" s="244">
        <v>6.6709370613098145</v>
      </c>
      <c r="BF843" s="244">
        <v>9.6237506866455078</v>
      </c>
      <c r="BG843" s="244">
        <v>104.88191223144531</v>
      </c>
      <c r="BH843" s="255">
        <v>0.69317435966606111</v>
      </c>
      <c r="BI843" s="244">
        <v>37.735862731933594</v>
      </c>
      <c r="BJ843" s="244">
        <v>122.89385223388672</v>
      </c>
      <c r="BK843" s="244">
        <v>0</v>
      </c>
      <c r="BL843" s="244">
        <v>209.57867431640625</v>
      </c>
      <c r="BM843" s="244">
        <v>370.20840454101562</v>
      </c>
      <c r="BN843" s="244">
        <v>3.3309388160705566</v>
      </c>
      <c r="BO843" s="244">
        <v>33.373538970947266</v>
      </c>
      <c r="BP843" s="244">
        <v>0.15730497241020203</v>
      </c>
      <c r="BQ843" s="244">
        <v>0</v>
      </c>
      <c r="BR843" s="244">
        <v>0</v>
      </c>
      <c r="BS843" s="244">
        <v>0</v>
      </c>
      <c r="BT843" s="244">
        <v>2.5762443542480469</v>
      </c>
      <c r="BU843" s="244">
        <v>0</v>
      </c>
      <c r="BV843" s="244">
        <v>136.68376159667969</v>
      </c>
      <c r="BW843" s="244">
        <v>0.60644882917404175</v>
      </c>
      <c r="BX843" s="244">
        <v>19.91282844543457</v>
      </c>
      <c r="BY843" s="244">
        <v>2.2673332691192627</v>
      </c>
      <c r="BZ843" s="244">
        <v>0</v>
      </c>
      <c r="CA843" s="244">
        <v>0</v>
      </c>
      <c r="CB843" s="244">
        <v>176.72824096679687</v>
      </c>
      <c r="CC843" s="244">
        <v>22.18016242980957</v>
      </c>
      <c r="CD843" s="228">
        <v>7.9678516240739139</v>
      </c>
      <c r="CE843" s="244">
        <v>-2523.96044921875</v>
      </c>
      <c r="CF843" s="244">
        <v>3.6456808336216701E-2</v>
      </c>
      <c r="CG843" s="244">
        <v>0.3779110088541171</v>
      </c>
      <c r="CH843" s="244">
        <v>0.41436781719033378</v>
      </c>
      <c r="CI843" s="244">
        <v>1.7895357852144821E-3</v>
      </c>
      <c r="CJ843" s="244">
        <v>2.3619438053382468E-2</v>
      </c>
      <c r="CK843" s="244">
        <v>2.540897383859695E-2</v>
      </c>
      <c r="CL843" s="244"/>
      <c r="CM843" s="244">
        <v>4.037510871887207</v>
      </c>
      <c r="CN843" s="244"/>
      <c r="CO843" s="244">
        <v>0.28600001335144043</v>
      </c>
      <c r="CP843" s="244">
        <v>0.31700000166893005</v>
      </c>
      <c r="CQ843" s="244">
        <v>33.373538970947266</v>
      </c>
      <c r="CR843" s="244">
        <v>0</v>
      </c>
      <c r="CS843" s="244">
        <v>0</v>
      </c>
      <c r="CT843" s="244">
        <v>33.373538970947266</v>
      </c>
      <c r="CU843" s="244">
        <v>0</v>
      </c>
      <c r="CV843" s="244">
        <v>0</v>
      </c>
      <c r="CW843" s="228">
        <v>9999</v>
      </c>
    </row>
    <row r="844" spans="1:101">
      <c r="A844" s="221" t="s">
        <v>545</v>
      </c>
      <c r="C844" s="244">
        <v>10</v>
      </c>
      <c r="D844" s="244">
        <v>2.9386076927185059</v>
      </c>
      <c r="E844" s="244">
        <v>2.6650235652923584</v>
      </c>
      <c r="F844" s="244">
        <v>8.1096944808959961</v>
      </c>
      <c r="G844" s="244">
        <v>0</v>
      </c>
      <c r="H844" s="244">
        <v>0</v>
      </c>
      <c r="I844" s="244"/>
      <c r="J844" s="244">
        <v>1</v>
      </c>
      <c r="K844" s="244">
        <v>0.63999998569488525</v>
      </c>
      <c r="L844" s="244">
        <v>3.2050302028656006</v>
      </c>
      <c r="M844" s="244">
        <v>2.3415744362864643E-4</v>
      </c>
      <c r="N844" s="244">
        <v>3.6587100476026535E-4</v>
      </c>
      <c r="O844" s="244">
        <v>2.691673755645752</v>
      </c>
      <c r="P844" s="244">
        <v>8.168182335793972E-3</v>
      </c>
      <c r="Q844" s="244">
        <v>2.5767136365175247E-2</v>
      </c>
      <c r="R844" s="244">
        <v>0.80633538961410522</v>
      </c>
      <c r="S844" s="244">
        <v>4.4560842514038086</v>
      </c>
      <c r="T844" s="244">
        <v>0</v>
      </c>
      <c r="U844" s="244">
        <v>8.9822397232055664</v>
      </c>
      <c r="V844" s="244">
        <v>0.81096947193145752</v>
      </c>
      <c r="W844" s="244">
        <v>0.81096947193145752</v>
      </c>
      <c r="X844" s="244">
        <v>0</v>
      </c>
      <c r="Y844" s="244">
        <v>0</v>
      </c>
      <c r="Z844" s="244">
        <v>0</v>
      </c>
      <c r="AA844" s="244">
        <v>0</v>
      </c>
      <c r="AB844" s="244">
        <v>0</v>
      </c>
      <c r="AC844" s="244">
        <v>0</v>
      </c>
      <c r="AD844" s="244">
        <v>0</v>
      </c>
      <c r="AE844" s="244">
        <v>0</v>
      </c>
      <c r="AF844" s="244">
        <v>0</v>
      </c>
      <c r="AG844" s="244">
        <v>0</v>
      </c>
      <c r="AH844" s="244">
        <v>1.617304801940918</v>
      </c>
      <c r="AI844" s="244">
        <v>5.2670536041259766</v>
      </c>
      <c r="AJ844" s="244">
        <v>0</v>
      </c>
      <c r="AK844" s="244">
        <v>8.9822397232055664</v>
      </c>
      <c r="AL844" s="244">
        <v>15.866598129272461</v>
      </c>
      <c r="AM844" s="244">
        <v>2.2206258773803711</v>
      </c>
      <c r="AN844" s="244">
        <v>0</v>
      </c>
      <c r="AO844" s="244">
        <v>0.39381220936775208</v>
      </c>
      <c r="AP844" s="244">
        <v>1.7174961566925049</v>
      </c>
      <c r="AQ844" s="244">
        <v>4.3319344520568848</v>
      </c>
      <c r="AR844" s="244">
        <v>1.617304801940918</v>
      </c>
      <c r="AS844" s="228">
        <v>2.6784895949059688</v>
      </c>
      <c r="AT844" s="244">
        <v>2.2206258773803711</v>
      </c>
      <c r="AU844" s="244">
        <v>0.10486994683742523</v>
      </c>
      <c r="AV844" s="244">
        <v>0.40429919958114624</v>
      </c>
      <c r="AW844" s="244">
        <v>1.7174961566925049</v>
      </c>
      <c r="AX844" s="244">
        <v>4.447291374206543</v>
      </c>
      <c r="AY844" s="244">
        <v>5.2670536041259766</v>
      </c>
      <c r="AZ844" s="255">
        <v>0.84436032250593429</v>
      </c>
      <c r="BA844" s="244">
        <v>2.2206258773803711</v>
      </c>
      <c r="BB844" s="244">
        <v>0.10486994683742523</v>
      </c>
      <c r="BC844" s="244">
        <v>0.40429919958114624</v>
      </c>
      <c r="BD844" s="244">
        <v>1.7174961566925049</v>
      </c>
      <c r="BE844" s="244">
        <v>4.447291374206543</v>
      </c>
      <c r="BF844" s="244">
        <v>6.8843584060668945</v>
      </c>
      <c r="BG844" s="244">
        <v>116.61211395263672</v>
      </c>
      <c r="BH844" s="255">
        <v>0.64599935137870679</v>
      </c>
      <c r="BI844" s="244">
        <v>40.491573333740234</v>
      </c>
      <c r="BJ844" s="244">
        <v>131.86834716796875</v>
      </c>
      <c r="BK844" s="244">
        <v>0</v>
      </c>
      <c r="BL844" s="244">
        <v>224.88340759277344</v>
      </c>
      <c r="BM844" s="244">
        <v>397.24331665039062</v>
      </c>
      <c r="BN844" s="244">
        <v>2.2206258773803711</v>
      </c>
      <c r="BO844" s="244">
        <v>22.249027252197266</v>
      </c>
      <c r="BP844" s="244">
        <v>0.10486994683742523</v>
      </c>
      <c r="BQ844" s="244">
        <v>0</v>
      </c>
      <c r="BR844" s="244">
        <v>0</v>
      </c>
      <c r="BS844" s="244">
        <v>0</v>
      </c>
      <c r="BT844" s="244">
        <v>1.7174961566925049</v>
      </c>
      <c r="BU844" s="244">
        <v>0</v>
      </c>
      <c r="BV844" s="244">
        <v>91.122505187988281</v>
      </c>
      <c r="BW844" s="244">
        <v>0.40429919958114624</v>
      </c>
      <c r="BX844" s="244">
        <v>14.244659423828125</v>
      </c>
      <c r="BY844" s="244">
        <v>1.621938943862915</v>
      </c>
      <c r="BZ844" s="244">
        <v>0</v>
      </c>
      <c r="CA844" s="244">
        <v>0</v>
      </c>
      <c r="CB844" s="244">
        <v>117.81882476806641</v>
      </c>
      <c r="CC844" s="244">
        <v>15.866598129272461</v>
      </c>
      <c r="CD844" s="228">
        <v>7.4255880744161287</v>
      </c>
      <c r="CE844" s="244">
        <v>-2496.925537109375</v>
      </c>
      <c r="CF844" s="244">
        <v>2.4304538890811165E-2</v>
      </c>
      <c r="CG844" s="244">
        <v>0.25194067256941471</v>
      </c>
      <c r="CH844" s="244">
        <v>0.2762452114602259</v>
      </c>
      <c r="CI844" s="244">
        <v>1.1930238568096546E-3</v>
      </c>
      <c r="CJ844" s="244">
        <v>1.5746292035588309E-2</v>
      </c>
      <c r="CK844" s="244">
        <v>1.6939315892397964E-2</v>
      </c>
      <c r="CL844" s="244"/>
      <c r="CM844" s="244">
        <v>2.691673755645752</v>
      </c>
      <c r="CN844" s="244"/>
      <c r="CO844" s="244">
        <v>0.28600001335144043</v>
      </c>
      <c r="CP844" s="244">
        <v>0.31700000166893005</v>
      </c>
      <c r="CQ844" s="244">
        <v>22.249027252197266</v>
      </c>
      <c r="CR844" s="244">
        <v>0</v>
      </c>
      <c r="CS844" s="244">
        <v>0</v>
      </c>
      <c r="CT844" s="244">
        <v>22.249027252197266</v>
      </c>
      <c r="CU844" s="244">
        <v>0</v>
      </c>
      <c r="CV844" s="244">
        <v>0</v>
      </c>
      <c r="CW844" s="228">
        <v>9999</v>
      </c>
    </row>
    <row r="845" spans="1:101">
      <c r="A845" s="221" t="s">
        <v>509</v>
      </c>
      <c r="C845" s="244">
        <v>9.9999990463256836</v>
      </c>
      <c r="D845" s="244">
        <v>4.057898998260498</v>
      </c>
      <c r="E845" s="244">
        <v>3.6801090240478516</v>
      </c>
      <c r="F845" s="244">
        <v>11.336667060852051</v>
      </c>
      <c r="G845" s="244">
        <v>0</v>
      </c>
      <c r="H845" s="244">
        <v>0</v>
      </c>
      <c r="I845" s="244"/>
      <c r="J845" s="244">
        <v>1</v>
      </c>
      <c r="K845" s="244">
        <v>0.63999998569488525</v>
      </c>
      <c r="L845" s="244">
        <v>4.4257993698120117</v>
      </c>
      <c r="M845" s="244">
        <v>3.2334605930373073E-4</v>
      </c>
      <c r="N845" s="244">
        <v>5.052282358519733E-4</v>
      </c>
      <c r="O845" s="244">
        <v>3.7169101238250732</v>
      </c>
      <c r="P845" s="244">
        <v>1.1279375292360783E-2</v>
      </c>
      <c r="Q845" s="244">
        <v>3.5581625998020172E-2</v>
      </c>
      <c r="R845" s="244">
        <v>1.1271885633468628</v>
      </c>
      <c r="S845" s="244">
        <v>6.2292284965515137</v>
      </c>
      <c r="T845" s="244">
        <v>0</v>
      </c>
      <c r="U845" s="244">
        <v>12.556410789489746</v>
      </c>
      <c r="V845" s="244">
        <v>1.1336666345596313</v>
      </c>
      <c r="W845" s="244">
        <v>1.1336666345596313</v>
      </c>
      <c r="X845" s="244">
        <v>0</v>
      </c>
      <c r="Y845" s="244">
        <v>0</v>
      </c>
      <c r="Z845" s="244">
        <v>0</v>
      </c>
      <c r="AA845" s="244">
        <v>0</v>
      </c>
      <c r="AB845" s="244">
        <v>0</v>
      </c>
      <c r="AC845" s="244">
        <v>0</v>
      </c>
      <c r="AD845" s="244">
        <v>0</v>
      </c>
      <c r="AE845" s="244">
        <v>0</v>
      </c>
      <c r="AF845" s="244">
        <v>0</v>
      </c>
      <c r="AG845" s="244">
        <v>0</v>
      </c>
      <c r="AH845" s="244">
        <v>2.2608551979064941</v>
      </c>
      <c r="AI845" s="244">
        <v>7.3628950119018555</v>
      </c>
      <c r="AJ845" s="244">
        <v>0</v>
      </c>
      <c r="AK845" s="244">
        <v>12.556410789489746</v>
      </c>
      <c r="AL845" s="244">
        <v>22.18016242980957</v>
      </c>
      <c r="AM845" s="244">
        <v>3.066443920135498</v>
      </c>
      <c r="AN845" s="244">
        <v>0</v>
      </c>
      <c r="AO845" s="244">
        <v>0.54381203651428223</v>
      </c>
      <c r="AP845" s="244">
        <v>2.3716762065887451</v>
      </c>
      <c r="AQ845" s="244">
        <v>5.9819321632385254</v>
      </c>
      <c r="AR845" s="244">
        <v>2.2608551979064941</v>
      </c>
      <c r="AS845" s="228">
        <v>2.6458714245731758</v>
      </c>
      <c r="AT845" s="244">
        <v>3.066443920135498</v>
      </c>
      <c r="AU845" s="244">
        <v>0.14481405913829803</v>
      </c>
      <c r="AV845" s="244">
        <v>0.55829340219497681</v>
      </c>
      <c r="AW845" s="244">
        <v>2.3716762065887451</v>
      </c>
      <c r="AX845" s="244">
        <v>6.1412277221679687</v>
      </c>
      <c r="AY845" s="244">
        <v>7.3628950119018555</v>
      </c>
      <c r="AZ845" s="255">
        <v>0.83407782926425256</v>
      </c>
      <c r="BA845" s="244">
        <v>3.066443920135498</v>
      </c>
      <c r="BB845" s="244">
        <v>0.14481405913829803</v>
      </c>
      <c r="BC845" s="244">
        <v>0.55829340219497681</v>
      </c>
      <c r="BD845" s="244">
        <v>2.3716762065887451</v>
      </c>
      <c r="BE845" s="244">
        <v>6.1412277221679687</v>
      </c>
      <c r="BF845" s="244">
        <v>9.6237506866455078</v>
      </c>
      <c r="BG845" s="244">
        <v>118.73697662353516</v>
      </c>
      <c r="BH845" s="255">
        <v>0.63813247207176815</v>
      </c>
      <c r="BI845" s="244">
        <v>40.990756988525391</v>
      </c>
      <c r="BJ845" s="244">
        <v>133.4940185546875</v>
      </c>
      <c r="BK845" s="244">
        <v>0</v>
      </c>
      <c r="BL845" s="244">
        <v>227.65580749511719</v>
      </c>
      <c r="BM845" s="244">
        <v>402.14059448242187</v>
      </c>
      <c r="BN845" s="244">
        <v>3.066443920135498</v>
      </c>
      <c r="BO845" s="244">
        <v>30.723495483398438</v>
      </c>
      <c r="BP845" s="244">
        <v>0.14481405913829803</v>
      </c>
      <c r="BQ845" s="244">
        <v>0</v>
      </c>
      <c r="BR845" s="244">
        <v>0</v>
      </c>
      <c r="BS845" s="244">
        <v>0</v>
      </c>
      <c r="BT845" s="244">
        <v>2.3716762065887451</v>
      </c>
      <c r="BU845" s="244">
        <v>0</v>
      </c>
      <c r="BV845" s="244">
        <v>125.83030700683594</v>
      </c>
      <c r="BW845" s="244">
        <v>0.55829340219497681</v>
      </c>
      <c r="BX845" s="244">
        <v>19.91282844543457</v>
      </c>
      <c r="BY845" s="244">
        <v>2.2673332691192627</v>
      </c>
      <c r="BZ845" s="244">
        <v>0</v>
      </c>
      <c r="CA845" s="244">
        <v>0</v>
      </c>
      <c r="CB845" s="244">
        <v>162.69502258300781</v>
      </c>
      <c r="CC845" s="244">
        <v>22.18016242980957</v>
      </c>
      <c r="CD845" s="228">
        <v>7.335159778007263</v>
      </c>
      <c r="CE845" s="244">
        <v>-2492.0283203125</v>
      </c>
      <c r="CF845" s="244">
        <v>3.3561935461426495E-2</v>
      </c>
      <c r="CG845" s="244">
        <v>0.34790277778443518</v>
      </c>
      <c r="CH845" s="244">
        <v>0.38146471324586168</v>
      </c>
      <c r="CI845" s="244">
        <v>1.6474367140256992E-3</v>
      </c>
      <c r="CJ845" s="244">
        <v>2.1743923611527164E-2</v>
      </c>
      <c r="CK845" s="244">
        <v>2.3391360325552862E-2</v>
      </c>
      <c r="CL845" s="244"/>
      <c r="CM845" s="244">
        <v>3.7169101238250732</v>
      </c>
      <c r="CN845" s="244"/>
      <c r="CO845" s="244">
        <v>0.28600001335144043</v>
      </c>
      <c r="CP845" s="244">
        <v>0.31699997186660767</v>
      </c>
      <c r="CQ845" s="244">
        <v>30.723495483398438</v>
      </c>
      <c r="CR845" s="244">
        <v>0</v>
      </c>
      <c r="CS845" s="244">
        <v>0</v>
      </c>
      <c r="CT845" s="244">
        <v>30.723495483398438</v>
      </c>
      <c r="CU845" s="244">
        <v>0</v>
      </c>
      <c r="CV845" s="244">
        <v>0</v>
      </c>
      <c r="CW845" s="228">
        <v>9999</v>
      </c>
    </row>
    <row r="846" spans="1:101">
      <c r="A846" s="221" t="s">
        <v>533</v>
      </c>
      <c r="C846" s="244">
        <v>10</v>
      </c>
      <c r="D846" s="244">
        <v>3.9181435108184814</v>
      </c>
      <c r="E846" s="244">
        <v>3.7457635402679443</v>
      </c>
      <c r="F846" s="244">
        <v>11.336667060852051</v>
      </c>
      <c r="G846" s="244">
        <v>0</v>
      </c>
      <c r="H846" s="244">
        <v>0</v>
      </c>
      <c r="I846" s="244"/>
      <c r="J846" s="244">
        <v>1</v>
      </c>
      <c r="K846" s="244">
        <v>0.63999998569488525</v>
      </c>
      <c r="L846" s="244">
        <v>4.2733736038208008</v>
      </c>
      <c r="M846" s="244">
        <v>3.1220991513691843E-4</v>
      </c>
      <c r="N846" s="244">
        <v>4.8782801604829729E-4</v>
      </c>
      <c r="O846" s="244">
        <v>3.7832212448120117</v>
      </c>
      <c r="P846" s="244">
        <v>1.1480603367090225E-2</v>
      </c>
      <c r="Q846" s="244">
        <v>3.6216415464878082E-2</v>
      </c>
      <c r="R846" s="244">
        <v>1.1271885633468628</v>
      </c>
      <c r="S846" s="244">
        <v>6.2292284965515137</v>
      </c>
      <c r="T846" s="244">
        <v>0</v>
      </c>
      <c r="U846" s="244">
        <v>12.556410789489746</v>
      </c>
      <c r="V846" s="244">
        <v>1.1336666345596313</v>
      </c>
      <c r="W846" s="244">
        <v>1.1336666345596313</v>
      </c>
      <c r="X846" s="244">
        <v>0</v>
      </c>
      <c r="Y846" s="244">
        <v>0</v>
      </c>
      <c r="Z846" s="244">
        <v>0</v>
      </c>
      <c r="AA846" s="244">
        <v>0</v>
      </c>
      <c r="AB846" s="244">
        <v>0</v>
      </c>
      <c r="AC846" s="244">
        <v>0</v>
      </c>
      <c r="AD846" s="244">
        <v>0</v>
      </c>
      <c r="AE846" s="244">
        <v>0</v>
      </c>
      <c r="AF846" s="244">
        <v>0</v>
      </c>
      <c r="AG846" s="244">
        <v>0</v>
      </c>
      <c r="AH846" s="244">
        <v>2.2608551979064941</v>
      </c>
      <c r="AI846" s="244">
        <v>7.3628950119018555</v>
      </c>
      <c r="AJ846" s="244">
        <v>0</v>
      </c>
      <c r="AK846" s="244">
        <v>12.556410789489746</v>
      </c>
      <c r="AL846" s="244">
        <v>22.18016242980957</v>
      </c>
      <c r="AM846" s="244">
        <v>2.9608345031738281</v>
      </c>
      <c r="AN846" s="244">
        <v>0</v>
      </c>
      <c r="AO846" s="244">
        <v>0.52508294582366943</v>
      </c>
      <c r="AP846" s="244">
        <v>2.2899949550628662</v>
      </c>
      <c r="AQ846" s="244">
        <v>5.7759122848510742</v>
      </c>
      <c r="AR846" s="244">
        <v>2.2608551979064941</v>
      </c>
      <c r="AS846" s="228">
        <v>2.5547467212445718</v>
      </c>
      <c r="AT846" s="244">
        <v>2.9608345031738281</v>
      </c>
      <c r="AU846" s="244">
        <v>0.13982662558555603</v>
      </c>
      <c r="AV846" s="244">
        <v>0.53906559944152832</v>
      </c>
      <c r="AW846" s="244">
        <v>2.2899949550628662</v>
      </c>
      <c r="AX846" s="244">
        <v>5.9297218322753906</v>
      </c>
      <c r="AY846" s="244">
        <v>7.3628950119018555</v>
      </c>
      <c r="AZ846" s="255">
        <v>0.80535191357111124</v>
      </c>
      <c r="BA846" s="244">
        <v>2.9608345031738281</v>
      </c>
      <c r="BB846" s="244">
        <v>0.13982662558555603</v>
      </c>
      <c r="BC846" s="244">
        <v>0.53906559944152832</v>
      </c>
      <c r="BD846" s="244">
        <v>2.2899949550628662</v>
      </c>
      <c r="BE846" s="244">
        <v>5.9297218322753906</v>
      </c>
      <c r="BF846" s="244">
        <v>9.6237506866455078</v>
      </c>
      <c r="BG846" s="244">
        <v>124.96061706542969</v>
      </c>
      <c r="BH846" s="255">
        <v>0.61615497914408857</v>
      </c>
      <c r="BI846" s="244">
        <v>42.452842712402344</v>
      </c>
      <c r="BJ846" s="244">
        <v>138.25556945800781</v>
      </c>
      <c r="BK846" s="244">
        <v>0</v>
      </c>
      <c r="BL846" s="244">
        <v>235.77598571777344</v>
      </c>
      <c r="BM846" s="244">
        <v>416.48440551757812</v>
      </c>
      <c r="BN846" s="244">
        <v>2.9608345031738281</v>
      </c>
      <c r="BO846" s="244">
        <v>31.271615982055664</v>
      </c>
      <c r="BP846" s="244">
        <v>0.13982662558555603</v>
      </c>
      <c r="BQ846" s="244">
        <v>0</v>
      </c>
      <c r="BR846" s="244">
        <v>0</v>
      </c>
      <c r="BS846" s="244">
        <v>0</v>
      </c>
      <c r="BT846" s="244">
        <v>2.2899949550628662</v>
      </c>
      <c r="BU846" s="244">
        <v>0</v>
      </c>
      <c r="BV846" s="244">
        <v>121.49665832519531</v>
      </c>
      <c r="BW846" s="244">
        <v>0.53906559944152832</v>
      </c>
      <c r="BX846" s="244">
        <v>19.91282844543457</v>
      </c>
      <c r="BY846" s="244">
        <v>2.2673332691192627</v>
      </c>
      <c r="BZ846" s="244">
        <v>0</v>
      </c>
      <c r="CA846" s="244">
        <v>0</v>
      </c>
      <c r="CB846" s="244">
        <v>158.697998046875</v>
      </c>
      <c r="CC846" s="244">
        <v>22.18016242980957</v>
      </c>
      <c r="CD846" s="228">
        <v>7.1549521609836946</v>
      </c>
      <c r="CE846" s="244">
        <v>-2507.844970703125</v>
      </c>
      <c r="CF846" s="244">
        <v>3.2406051854414905E-2</v>
      </c>
      <c r="CG846" s="244">
        <v>0.35410950707443845</v>
      </c>
      <c r="CH846" s="244">
        <v>0.38651555892885336</v>
      </c>
      <c r="CI846" s="244">
        <v>1.5906984757462048E-3</v>
      </c>
      <c r="CJ846" s="244">
        <v>2.2131844192152365E-2</v>
      </c>
      <c r="CK846" s="244">
        <v>2.3722542667898569E-2</v>
      </c>
      <c r="CL846" s="244"/>
      <c r="CM846" s="244">
        <v>3.7832212448120117</v>
      </c>
      <c r="CN846" s="244"/>
      <c r="CO846" s="244">
        <v>0.28600001335144043</v>
      </c>
      <c r="CP846" s="244">
        <v>0.31700000166893005</v>
      </c>
      <c r="CQ846" s="244">
        <v>31.271615982055664</v>
      </c>
      <c r="CR846" s="244">
        <v>0</v>
      </c>
      <c r="CS846" s="244">
        <v>0</v>
      </c>
      <c r="CT846" s="244">
        <v>31.271615982055664</v>
      </c>
      <c r="CU846" s="244">
        <v>0</v>
      </c>
      <c r="CV846" s="244">
        <v>0</v>
      </c>
      <c r="CW846" s="228">
        <v>9999</v>
      </c>
    </row>
    <row r="847" spans="1:101">
      <c r="A847" s="221" t="s">
        <v>518</v>
      </c>
      <c r="C847" s="244">
        <v>9.9999990463256836</v>
      </c>
      <c r="D847" s="244">
        <v>2.705265998840332</v>
      </c>
      <c r="E847" s="244">
        <v>2.4534058570861816</v>
      </c>
      <c r="F847" s="244">
        <v>8.1096944808959961</v>
      </c>
      <c r="G847" s="244">
        <v>0</v>
      </c>
      <c r="H847" s="244">
        <v>0</v>
      </c>
      <c r="I847" s="244"/>
      <c r="J847" s="244">
        <v>1</v>
      </c>
      <c r="K847" s="244">
        <v>0.63999992609024048</v>
      </c>
      <c r="L847" s="244">
        <v>2.9505329132080078</v>
      </c>
      <c r="M847" s="244">
        <v>2.1556405408773571E-4</v>
      </c>
      <c r="N847" s="244">
        <v>3.3681883360259235E-4</v>
      </c>
      <c r="O847" s="244">
        <v>2.4779400825500488</v>
      </c>
      <c r="P847" s="244">
        <v>7.5195832177996635E-3</v>
      </c>
      <c r="Q847" s="244">
        <v>2.3721082136034966E-2</v>
      </c>
      <c r="R847" s="244">
        <v>0.80633538961410522</v>
      </c>
      <c r="S847" s="244">
        <v>4.4560842514038086</v>
      </c>
      <c r="T847" s="244">
        <v>0</v>
      </c>
      <c r="U847" s="244">
        <v>8.9822397232055664</v>
      </c>
      <c r="V847" s="244">
        <v>0.81096947193145752</v>
      </c>
      <c r="W847" s="244">
        <v>0.81096947193145752</v>
      </c>
      <c r="X847" s="244">
        <v>0</v>
      </c>
      <c r="Y847" s="244">
        <v>0</v>
      </c>
      <c r="Z847" s="244">
        <v>0</v>
      </c>
      <c r="AA847" s="244">
        <v>0</v>
      </c>
      <c r="AB847" s="244">
        <v>0</v>
      </c>
      <c r="AC847" s="244">
        <v>0</v>
      </c>
      <c r="AD847" s="244">
        <v>0</v>
      </c>
      <c r="AE847" s="244">
        <v>0</v>
      </c>
      <c r="AF847" s="244">
        <v>0</v>
      </c>
      <c r="AG847" s="244">
        <v>0</v>
      </c>
      <c r="AH847" s="244">
        <v>1.617304801940918</v>
      </c>
      <c r="AI847" s="244">
        <v>5.2670536041259766</v>
      </c>
      <c r="AJ847" s="244">
        <v>0</v>
      </c>
      <c r="AK847" s="244">
        <v>8.9822397232055664</v>
      </c>
      <c r="AL847" s="244">
        <v>15.866598129272461</v>
      </c>
      <c r="AM847" s="244">
        <v>2.0442957878112793</v>
      </c>
      <c r="AN847" s="244">
        <v>0</v>
      </c>
      <c r="AO847" s="244">
        <v>0.36254137754440308</v>
      </c>
      <c r="AP847" s="244">
        <v>1.5811177492141724</v>
      </c>
      <c r="AQ847" s="244">
        <v>3.98795485496521</v>
      </c>
      <c r="AR847" s="244">
        <v>1.617304801940918</v>
      </c>
      <c r="AS847" s="228">
        <v>2.4658028361819193</v>
      </c>
      <c r="AT847" s="244">
        <v>2.0442957878112793</v>
      </c>
      <c r="AU847" s="244">
        <v>9.6542716026306152E-2</v>
      </c>
      <c r="AV847" s="244">
        <v>0.37219563126564026</v>
      </c>
      <c r="AW847" s="244">
        <v>1.5811177492141724</v>
      </c>
      <c r="AX847" s="244">
        <v>4.0941519737243652</v>
      </c>
      <c r="AY847" s="244">
        <v>5.2670536041259766</v>
      </c>
      <c r="AZ847" s="255">
        <v>0.77731348480054063</v>
      </c>
      <c r="BA847" s="244">
        <v>2.0442957878112793</v>
      </c>
      <c r="BB847" s="244">
        <v>9.6542716026306152E-2</v>
      </c>
      <c r="BC847" s="244">
        <v>0.37219563126564026</v>
      </c>
      <c r="BD847" s="244">
        <v>1.5811177492141724</v>
      </c>
      <c r="BE847" s="244">
        <v>4.0941519737243652</v>
      </c>
      <c r="BF847" s="244">
        <v>6.8843584060668945</v>
      </c>
      <c r="BG847" s="244">
        <v>131.47894287109375</v>
      </c>
      <c r="BH847" s="255">
        <v>0.59470346203476698</v>
      </c>
      <c r="BI847" s="244">
        <v>43.984161376953125</v>
      </c>
      <c r="BJ847" s="244">
        <v>143.24259948730469</v>
      </c>
      <c r="BK847" s="244">
        <v>0</v>
      </c>
      <c r="BL847" s="244">
        <v>244.2806396484375</v>
      </c>
      <c r="BM847" s="244">
        <v>431.50738525390625</v>
      </c>
      <c r="BN847" s="244">
        <v>2.0442957878112793</v>
      </c>
      <c r="BO847" s="244">
        <v>20.482330322265625</v>
      </c>
      <c r="BP847" s="244">
        <v>9.6542716026306152E-2</v>
      </c>
      <c r="BQ847" s="244">
        <v>0</v>
      </c>
      <c r="BR847" s="244">
        <v>0</v>
      </c>
      <c r="BS847" s="244">
        <v>0</v>
      </c>
      <c r="BT847" s="244">
        <v>1.5811177492141724</v>
      </c>
      <c r="BU847" s="244">
        <v>0</v>
      </c>
      <c r="BV847" s="244">
        <v>83.886871337890625</v>
      </c>
      <c r="BW847" s="244">
        <v>0.37219563126564026</v>
      </c>
      <c r="BX847" s="244">
        <v>14.244659423828125</v>
      </c>
      <c r="BY847" s="244">
        <v>1.621938943862915</v>
      </c>
      <c r="BZ847" s="244">
        <v>0</v>
      </c>
      <c r="CA847" s="244">
        <v>0</v>
      </c>
      <c r="CB847" s="244">
        <v>108.46335601806641</v>
      </c>
      <c r="CC847" s="244">
        <v>15.866598129272461</v>
      </c>
      <c r="CD847" s="228">
        <v>6.8359550693194731</v>
      </c>
      <c r="CE847" s="244">
        <v>-2462.6611328125</v>
      </c>
      <c r="CF847" s="244">
        <v>2.2374623640951032E-2</v>
      </c>
      <c r="CG847" s="244">
        <v>0.23193518518962428</v>
      </c>
      <c r="CH847" s="244">
        <v>0.2543098088305753</v>
      </c>
      <c r="CI847" s="244">
        <v>1.098291142683799E-3</v>
      </c>
      <c r="CJ847" s="244">
        <v>1.4495949074351448E-2</v>
      </c>
      <c r="CK847" s="244">
        <v>1.5594240217035246E-2</v>
      </c>
      <c r="CL847" s="244"/>
      <c r="CM847" s="244">
        <v>2.4779400825500488</v>
      </c>
      <c r="CN847" s="244"/>
      <c r="CO847" s="244">
        <v>0.28600004315376282</v>
      </c>
      <c r="CP847" s="244">
        <v>0.31700000166893005</v>
      </c>
      <c r="CQ847" s="244">
        <v>20.482330322265625</v>
      </c>
      <c r="CR847" s="244">
        <v>0</v>
      </c>
      <c r="CS847" s="244">
        <v>0</v>
      </c>
      <c r="CT847" s="244">
        <v>20.482330322265625</v>
      </c>
      <c r="CU847" s="244">
        <v>0</v>
      </c>
      <c r="CV847" s="244">
        <v>0</v>
      </c>
      <c r="CW847" s="228">
        <v>9999</v>
      </c>
    </row>
    <row r="848" spans="1:101">
      <c r="A848" s="221" t="s">
        <v>542</v>
      </c>
      <c r="C848" s="244">
        <v>10</v>
      </c>
      <c r="D848" s="244">
        <v>2.6120955944061279</v>
      </c>
      <c r="E848" s="244">
        <v>2.4971756935119629</v>
      </c>
      <c r="F848" s="244">
        <v>8.1096944808959961</v>
      </c>
      <c r="G848" s="244">
        <v>0</v>
      </c>
      <c r="H848" s="244">
        <v>0</v>
      </c>
      <c r="I848" s="244"/>
      <c r="J848" s="244">
        <v>1</v>
      </c>
      <c r="K848" s="244">
        <v>0.64000004529953003</v>
      </c>
      <c r="L848" s="244">
        <v>2.8489155769348145</v>
      </c>
      <c r="M848" s="244">
        <v>2.0813995797652751E-4</v>
      </c>
      <c r="N848" s="244">
        <v>3.2521868706680834E-4</v>
      </c>
      <c r="O848" s="244">
        <v>2.5221474170684814</v>
      </c>
      <c r="P848" s="244">
        <v>7.6537360437214375E-3</v>
      </c>
      <c r="Q848" s="244">
        <v>2.4144276976585388E-2</v>
      </c>
      <c r="R848" s="244">
        <v>0.80633538961410522</v>
      </c>
      <c r="S848" s="244">
        <v>4.4560842514038086</v>
      </c>
      <c r="T848" s="244">
        <v>0</v>
      </c>
      <c r="U848" s="244">
        <v>8.9822397232055664</v>
      </c>
      <c r="V848" s="244">
        <v>0.81096947193145752</v>
      </c>
      <c r="W848" s="244">
        <v>0.81096947193145752</v>
      </c>
      <c r="X848" s="244">
        <v>0</v>
      </c>
      <c r="Y848" s="244">
        <v>0</v>
      </c>
      <c r="Z848" s="244">
        <v>0</v>
      </c>
      <c r="AA848" s="244">
        <v>0</v>
      </c>
      <c r="AB848" s="244">
        <v>0</v>
      </c>
      <c r="AC848" s="244">
        <v>0</v>
      </c>
      <c r="AD848" s="244">
        <v>0</v>
      </c>
      <c r="AE848" s="244">
        <v>0</v>
      </c>
      <c r="AF848" s="244">
        <v>0</v>
      </c>
      <c r="AG848" s="244">
        <v>0</v>
      </c>
      <c r="AH848" s="244">
        <v>1.617304801940918</v>
      </c>
      <c r="AI848" s="244">
        <v>5.2670536041259766</v>
      </c>
      <c r="AJ848" s="244">
        <v>0</v>
      </c>
      <c r="AK848" s="244">
        <v>8.9822397232055664</v>
      </c>
      <c r="AL848" s="244">
        <v>15.866598129272461</v>
      </c>
      <c r="AM848" s="244">
        <v>1.9738897085189819</v>
      </c>
      <c r="AN848" s="244">
        <v>0</v>
      </c>
      <c r="AO848" s="244">
        <v>0.35005530714988708</v>
      </c>
      <c r="AP848" s="244">
        <v>1.5266634225845337</v>
      </c>
      <c r="AQ848" s="244">
        <v>3.8506083488464355</v>
      </c>
      <c r="AR848" s="244">
        <v>1.617304801940918</v>
      </c>
      <c r="AS848" s="228">
        <v>2.3808797770963253</v>
      </c>
      <c r="AT848" s="244">
        <v>1.9738897085189819</v>
      </c>
      <c r="AU848" s="244">
        <v>9.3217760324478149E-2</v>
      </c>
      <c r="AV848" s="244">
        <v>0.35937708616256714</v>
      </c>
      <c r="AW848" s="244">
        <v>1.5266634225845337</v>
      </c>
      <c r="AX848" s="244">
        <v>3.9531478881835937</v>
      </c>
      <c r="AY848" s="244">
        <v>5.2670536041259766</v>
      </c>
      <c r="AZ848" s="255">
        <v>0.75054255856105101</v>
      </c>
      <c r="BA848" s="244">
        <v>1.9738897085189819</v>
      </c>
      <c r="BB848" s="244">
        <v>9.3217760324478149E-2</v>
      </c>
      <c r="BC848" s="244">
        <v>0.35937708616256714</v>
      </c>
      <c r="BD848" s="244">
        <v>1.5266634225845337</v>
      </c>
      <c r="BE848" s="244">
        <v>3.9531478881835937</v>
      </c>
      <c r="BF848" s="244">
        <v>6.8843584060668945</v>
      </c>
      <c r="BG848" s="244">
        <v>138.15711975097656</v>
      </c>
      <c r="BH848" s="255">
        <v>0.5742216836688776</v>
      </c>
      <c r="BI848" s="244">
        <v>45.553024291992188</v>
      </c>
      <c r="BJ848" s="244">
        <v>148.35189819335938</v>
      </c>
      <c r="BK848" s="244">
        <v>0</v>
      </c>
      <c r="BL848" s="244">
        <v>252.99385070800781</v>
      </c>
      <c r="BM848" s="244">
        <v>446.89877319335937</v>
      </c>
      <c r="BN848" s="244">
        <v>1.9738897085189819</v>
      </c>
      <c r="BO848" s="244">
        <v>20.847743988037109</v>
      </c>
      <c r="BP848" s="244">
        <v>9.3217760324478149E-2</v>
      </c>
      <c r="BQ848" s="244">
        <v>0</v>
      </c>
      <c r="BR848" s="244">
        <v>0</v>
      </c>
      <c r="BS848" s="244">
        <v>0</v>
      </c>
      <c r="BT848" s="244">
        <v>1.5266634225845337</v>
      </c>
      <c r="BU848" s="244">
        <v>0</v>
      </c>
      <c r="BV848" s="244">
        <v>80.997779846191406</v>
      </c>
      <c r="BW848" s="244">
        <v>0.35937708616256714</v>
      </c>
      <c r="BX848" s="244">
        <v>14.244659423828125</v>
      </c>
      <c r="BY848" s="244">
        <v>1.621938943862915</v>
      </c>
      <c r="BZ848" s="244">
        <v>0</v>
      </c>
      <c r="CA848" s="244">
        <v>0</v>
      </c>
      <c r="CB848" s="244">
        <v>105.79867553710937</v>
      </c>
      <c r="CC848" s="244">
        <v>15.866598129272461</v>
      </c>
      <c r="CD848" s="228">
        <v>6.6680122203922183</v>
      </c>
      <c r="CE848" s="244">
        <v>-2477.43115234375</v>
      </c>
      <c r="CF848" s="244">
        <v>2.1604034569609926E-2</v>
      </c>
      <c r="CG848" s="244">
        <v>0.23607300471629172</v>
      </c>
      <c r="CH848" s="244">
        <v>0.25767703928590163</v>
      </c>
      <c r="CI848" s="244">
        <v>1.0604656504974706E-3</v>
      </c>
      <c r="CJ848" s="244">
        <v>1.4754562794768234E-2</v>
      </c>
      <c r="CK848" s="244">
        <v>1.5815028445265705E-2</v>
      </c>
      <c r="CL848" s="244"/>
      <c r="CM848" s="244">
        <v>2.5221474170684814</v>
      </c>
      <c r="CN848" s="244"/>
      <c r="CO848" s="244">
        <v>0.28600001335144043</v>
      </c>
      <c r="CP848" s="244">
        <v>0.31700000166893005</v>
      </c>
      <c r="CQ848" s="244">
        <v>20.847743988037109</v>
      </c>
      <c r="CR848" s="244">
        <v>0</v>
      </c>
      <c r="CS848" s="244">
        <v>0</v>
      </c>
      <c r="CT848" s="244">
        <v>20.847743988037109</v>
      </c>
      <c r="CU848" s="244">
        <v>0</v>
      </c>
      <c r="CV848" s="244">
        <v>0</v>
      </c>
      <c r="CW848" s="228">
        <v>9999</v>
      </c>
    </row>
    <row r="849" spans="1:101">
      <c r="A849" s="221" t="s">
        <v>506</v>
      </c>
      <c r="C849" s="244">
        <v>10.000000953674316</v>
      </c>
      <c r="D849" s="244">
        <v>3.6070210933685303</v>
      </c>
      <c r="E849" s="244">
        <v>3.4483292102813721</v>
      </c>
      <c r="F849" s="244">
        <v>11.336667060852051</v>
      </c>
      <c r="G849" s="244">
        <v>0</v>
      </c>
      <c r="H849" s="244">
        <v>0</v>
      </c>
      <c r="I849" s="244"/>
      <c r="J849" s="244">
        <v>1</v>
      </c>
      <c r="K849" s="244">
        <v>0.64000004529953003</v>
      </c>
      <c r="L849" s="244">
        <v>3.9340438842773438</v>
      </c>
      <c r="M849" s="244">
        <v>2.8741871938109398E-4</v>
      </c>
      <c r="N849" s="244">
        <v>4.490917781367898E-4</v>
      </c>
      <c r="O849" s="244">
        <v>3.4828124046325684</v>
      </c>
      <c r="P849" s="244">
        <v>1.0568979196250439E-2</v>
      </c>
      <c r="Q849" s="244">
        <v>3.3340629190206528E-2</v>
      </c>
      <c r="R849" s="244">
        <v>1.1271885633468628</v>
      </c>
      <c r="S849" s="244">
        <v>6.2292284965515137</v>
      </c>
      <c r="T849" s="244">
        <v>0</v>
      </c>
      <c r="U849" s="244">
        <v>12.556410789489746</v>
      </c>
      <c r="V849" s="244">
        <v>1.1336666345596313</v>
      </c>
      <c r="W849" s="244">
        <v>1.1336666345596313</v>
      </c>
      <c r="X849" s="244">
        <v>0</v>
      </c>
      <c r="Y849" s="244">
        <v>0</v>
      </c>
      <c r="Z849" s="244">
        <v>0</v>
      </c>
      <c r="AA849" s="244">
        <v>0</v>
      </c>
      <c r="AB849" s="244">
        <v>0</v>
      </c>
      <c r="AC849" s="244">
        <v>0</v>
      </c>
      <c r="AD849" s="244">
        <v>0</v>
      </c>
      <c r="AE849" s="244">
        <v>0</v>
      </c>
      <c r="AF849" s="244">
        <v>0</v>
      </c>
      <c r="AG849" s="244">
        <v>0</v>
      </c>
      <c r="AH849" s="244">
        <v>2.2608551979064941</v>
      </c>
      <c r="AI849" s="244">
        <v>7.3628950119018555</v>
      </c>
      <c r="AJ849" s="244">
        <v>0</v>
      </c>
      <c r="AK849" s="244">
        <v>12.556410789489746</v>
      </c>
      <c r="AL849" s="244">
        <v>22.18016242980957</v>
      </c>
      <c r="AM849" s="244">
        <v>2.7257277965545654</v>
      </c>
      <c r="AN849" s="244">
        <v>0</v>
      </c>
      <c r="AO849" s="244">
        <v>0.48338848352432251</v>
      </c>
      <c r="AP849" s="244">
        <v>2.1081569194793701</v>
      </c>
      <c r="AQ849" s="244">
        <v>5.3172731399536133</v>
      </c>
      <c r="AR849" s="244">
        <v>2.2608551979064941</v>
      </c>
      <c r="AS849" s="228">
        <v>2.3518857839643799</v>
      </c>
      <c r="AT849" s="244">
        <v>2.7257277965545654</v>
      </c>
      <c r="AU849" s="244">
        <v>0.12872359156608582</v>
      </c>
      <c r="AV849" s="244">
        <v>0.49626085162162781</v>
      </c>
      <c r="AW849" s="244">
        <v>2.1081569194793701</v>
      </c>
      <c r="AX849" s="244">
        <v>5.4588689804077148</v>
      </c>
      <c r="AY849" s="244">
        <v>7.3628950119018555</v>
      </c>
      <c r="AZ849" s="255">
        <v>0.74140254098632574</v>
      </c>
      <c r="BA849" s="244">
        <v>2.7257277965545654</v>
      </c>
      <c r="BB849" s="244">
        <v>0.12872359156608582</v>
      </c>
      <c r="BC849" s="244">
        <v>0.49626085162162781</v>
      </c>
      <c r="BD849" s="244">
        <v>2.1081569194793701</v>
      </c>
      <c r="BE849" s="244">
        <v>5.4588689804077148</v>
      </c>
      <c r="BF849" s="244">
        <v>9.6237506866455078</v>
      </c>
      <c r="BG849" s="244">
        <v>140.54756164550781</v>
      </c>
      <c r="BH849" s="255">
        <v>0.56722888402060956</v>
      </c>
      <c r="BI849" s="244">
        <v>46.114604949951172</v>
      </c>
      <c r="BJ849" s="244">
        <v>150.18077087402344</v>
      </c>
      <c r="BK849" s="244">
        <v>0</v>
      </c>
      <c r="BL849" s="244">
        <v>256.11279296875</v>
      </c>
      <c r="BM849" s="244">
        <v>452.40817260742187</v>
      </c>
      <c r="BN849" s="244">
        <v>2.7257277965545654</v>
      </c>
      <c r="BO849" s="244">
        <v>28.788475036621094</v>
      </c>
      <c r="BP849" s="244">
        <v>0.12872359156608582</v>
      </c>
      <c r="BQ849" s="244">
        <v>0</v>
      </c>
      <c r="BR849" s="244">
        <v>0</v>
      </c>
      <c r="BS849" s="244">
        <v>0</v>
      </c>
      <c r="BT849" s="244">
        <v>2.1081569194793701</v>
      </c>
      <c r="BU849" s="244">
        <v>0</v>
      </c>
      <c r="BV849" s="244">
        <v>111.84915161132812</v>
      </c>
      <c r="BW849" s="244">
        <v>0.49626085162162781</v>
      </c>
      <c r="BX849" s="244">
        <v>19.91282844543457</v>
      </c>
      <c r="BY849" s="244">
        <v>2.2673332691192627</v>
      </c>
      <c r="BZ849" s="244">
        <v>0</v>
      </c>
      <c r="CA849" s="244">
        <v>0</v>
      </c>
      <c r="CB849" s="244">
        <v>146.09649658203125</v>
      </c>
      <c r="CC849" s="244">
        <v>22.18016242980957</v>
      </c>
      <c r="CD849" s="228">
        <v>6.5868093157908554</v>
      </c>
      <c r="CE849" s="244">
        <v>-2471.921630859375</v>
      </c>
      <c r="CF849" s="244">
        <v>2.9832831521267957E-2</v>
      </c>
      <c r="CG849" s="244">
        <v>0.32599124731671653</v>
      </c>
      <c r="CH849" s="244">
        <v>0.3558240788379845</v>
      </c>
      <c r="CI849" s="244">
        <v>1.4643881902450663E-3</v>
      </c>
      <c r="CJ849" s="244">
        <v>2.0374452957294908E-2</v>
      </c>
      <c r="CK849" s="244">
        <v>2.1838841147539974E-2</v>
      </c>
      <c r="CL849" s="244"/>
      <c r="CM849" s="244">
        <v>3.4828124046325684</v>
      </c>
      <c r="CN849" s="244"/>
      <c r="CO849" s="244">
        <v>0.28600001335144043</v>
      </c>
      <c r="CP849" s="244">
        <v>0.31700000166893005</v>
      </c>
      <c r="CQ849" s="244">
        <v>28.788475036621094</v>
      </c>
      <c r="CR849" s="244">
        <v>0</v>
      </c>
      <c r="CS849" s="244">
        <v>0</v>
      </c>
      <c r="CT849" s="244">
        <v>28.788475036621094</v>
      </c>
      <c r="CU849" s="244">
        <v>0</v>
      </c>
      <c r="CV849" s="244">
        <v>0</v>
      </c>
      <c r="CW849" s="228">
        <v>9999</v>
      </c>
    </row>
    <row r="850" spans="1:101">
      <c r="A850" s="221" t="s">
        <v>515</v>
      </c>
      <c r="C850" s="244">
        <v>10</v>
      </c>
      <c r="D850" s="244">
        <v>2.4046807289123535</v>
      </c>
      <c r="E850" s="244">
        <v>2.2988860607147217</v>
      </c>
      <c r="F850" s="244">
        <v>8.1096944808959961</v>
      </c>
      <c r="G850" s="244">
        <v>0</v>
      </c>
      <c r="H850" s="244">
        <v>0</v>
      </c>
      <c r="I850" s="244"/>
      <c r="J850" s="244">
        <v>1</v>
      </c>
      <c r="K850" s="244">
        <v>0.63999998569488525</v>
      </c>
      <c r="L850" s="244">
        <v>2.6226959228515625</v>
      </c>
      <c r="M850" s="244">
        <v>1.9161247473675758E-4</v>
      </c>
      <c r="N850" s="244">
        <v>2.9939450905658305E-4</v>
      </c>
      <c r="O850" s="244">
        <v>2.3218750953674316</v>
      </c>
      <c r="P850" s="244">
        <v>7.0459870621562004E-3</v>
      </c>
      <c r="Q850" s="244">
        <v>2.2227087989449501E-2</v>
      </c>
      <c r="R850" s="244">
        <v>0.80633538961410522</v>
      </c>
      <c r="S850" s="244">
        <v>4.4560842514038086</v>
      </c>
      <c r="T850" s="244">
        <v>0</v>
      </c>
      <c r="U850" s="244">
        <v>8.9822397232055664</v>
      </c>
      <c r="V850" s="244">
        <v>0.81096947193145752</v>
      </c>
      <c r="W850" s="244">
        <v>0.81096947193145752</v>
      </c>
      <c r="X850" s="244">
        <v>0</v>
      </c>
      <c r="Y850" s="244">
        <v>0</v>
      </c>
      <c r="Z850" s="244">
        <v>0</v>
      </c>
      <c r="AA850" s="244">
        <v>0</v>
      </c>
      <c r="AB850" s="244">
        <v>0</v>
      </c>
      <c r="AC850" s="244">
        <v>0</v>
      </c>
      <c r="AD850" s="244">
        <v>0</v>
      </c>
      <c r="AE850" s="244">
        <v>0</v>
      </c>
      <c r="AF850" s="244">
        <v>0</v>
      </c>
      <c r="AG850" s="244">
        <v>0</v>
      </c>
      <c r="AH850" s="244">
        <v>1.617304801940918</v>
      </c>
      <c r="AI850" s="244">
        <v>5.2670536041259766</v>
      </c>
      <c r="AJ850" s="244">
        <v>0</v>
      </c>
      <c r="AK850" s="244">
        <v>8.9822397232055664</v>
      </c>
      <c r="AL850" s="244">
        <v>15.866598129272461</v>
      </c>
      <c r="AM850" s="244">
        <v>1.8171519041061401</v>
      </c>
      <c r="AN850" s="244">
        <v>0</v>
      </c>
      <c r="AO850" s="244">
        <v>0.32225897908210754</v>
      </c>
      <c r="AP850" s="244">
        <v>1.405437707901001</v>
      </c>
      <c r="AQ850" s="244">
        <v>3.5448486804962158</v>
      </c>
      <c r="AR850" s="244">
        <v>1.617304801940918</v>
      </c>
      <c r="AS850" s="228">
        <v>2.1918246060929083</v>
      </c>
      <c r="AT850" s="244">
        <v>1.8171519041061401</v>
      </c>
      <c r="AU850" s="244">
        <v>8.5815727710723877E-2</v>
      </c>
      <c r="AV850" s="244">
        <v>0.33084052801132202</v>
      </c>
      <c r="AW850" s="244">
        <v>1.405437707901001</v>
      </c>
      <c r="AX850" s="244">
        <v>3.6392459869384766</v>
      </c>
      <c r="AY850" s="244">
        <v>5.2670536041259766</v>
      </c>
      <c r="AZ850" s="255">
        <v>0.69094527204189982</v>
      </c>
      <c r="BA850" s="244">
        <v>1.8171519041061401</v>
      </c>
      <c r="BB850" s="244">
        <v>8.5815727710723877E-2</v>
      </c>
      <c r="BC850" s="244">
        <v>0.33084052801132202</v>
      </c>
      <c r="BD850" s="244">
        <v>1.405437707901001</v>
      </c>
      <c r="BE850" s="244">
        <v>3.6392459869384766</v>
      </c>
      <c r="BF850" s="244">
        <v>6.8843584060668945</v>
      </c>
      <c r="BG850" s="244">
        <v>154.88230895996094</v>
      </c>
      <c r="BH850" s="255">
        <v>0.52862526303054036</v>
      </c>
      <c r="BI850" s="244">
        <v>49.482181549072266</v>
      </c>
      <c r="BJ850" s="244">
        <v>161.14791870117187</v>
      </c>
      <c r="BK850" s="244">
        <v>0</v>
      </c>
      <c r="BL850" s="244">
        <v>274.81573486328125</v>
      </c>
      <c r="BM850" s="244">
        <v>485.44583129882812</v>
      </c>
      <c r="BN850" s="244">
        <v>1.8171519041061401</v>
      </c>
      <c r="BO850" s="244">
        <v>19.192317962646484</v>
      </c>
      <c r="BP850" s="244">
        <v>8.5815727710723877E-2</v>
      </c>
      <c r="BQ850" s="244">
        <v>0</v>
      </c>
      <c r="BR850" s="244">
        <v>0</v>
      </c>
      <c r="BS850" s="244">
        <v>0</v>
      </c>
      <c r="BT850" s="244">
        <v>1.405437707901001</v>
      </c>
      <c r="BU850" s="244">
        <v>0</v>
      </c>
      <c r="BV850" s="244">
        <v>74.566108703613281</v>
      </c>
      <c r="BW850" s="244">
        <v>0.33084052801132202</v>
      </c>
      <c r="BX850" s="244">
        <v>14.244659423828125</v>
      </c>
      <c r="BY850" s="244">
        <v>1.621938943862915</v>
      </c>
      <c r="BZ850" s="244">
        <v>0</v>
      </c>
      <c r="CA850" s="244">
        <v>0</v>
      </c>
      <c r="CB850" s="244">
        <v>97.397674560546875</v>
      </c>
      <c r="CC850" s="244">
        <v>15.866598129272461</v>
      </c>
      <c r="CD850" s="228">
        <v>6.1385351968269797</v>
      </c>
      <c r="CE850" s="244">
        <v>-2438.884033203125</v>
      </c>
      <c r="CF850" s="244">
        <v>1.988855434751197E-2</v>
      </c>
      <c r="CG850" s="244">
        <v>0.21732749821114536</v>
      </c>
      <c r="CH850" s="244">
        <v>0.23721605255865733</v>
      </c>
      <c r="CI850" s="244">
        <v>9.7625879349670999E-4</v>
      </c>
      <c r="CJ850" s="244">
        <v>1.3582968638196594E-2</v>
      </c>
      <c r="CK850" s="244">
        <v>1.4559227431693304E-2</v>
      </c>
      <c r="CL850" s="244"/>
      <c r="CM850" s="244">
        <v>2.3218750953674316</v>
      </c>
      <c r="CN850" s="244"/>
      <c r="CO850" s="244">
        <v>0.28600001335144043</v>
      </c>
      <c r="CP850" s="244">
        <v>0.31700000166893005</v>
      </c>
      <c r="CQ850" s="244">
        <v>19.192317962646484</v>
      </c>
      <c r="CR850" s="244">
        <v>0</v>
      </c>
      <c r="CS850" s="244">
        <v>0</v>
      </c>
      <c r="CT850" s="244">
        <v>19.192317962646484</v>
      </c>
      <c r="CU850" s="244">
        <v>0</v>
      </c>
      <c r="CV850" s="244">
        <v>0</v>
      </c>
      <c r="CW850" s="228">
        <v>9999</v>
      </c>
    </row>
    <row r="851" spans="1:101">
      <c r="C851" s="244"/>
      <c r="D851" s="244"/>
      <c r="E851" s="244"/>
      <c r="F851" s="244"/>
      <c r="G851" s="244"/>
      <c r="H851" s="244"/>
      <c r="I851" s="244"/>
      <c r="J851" s="244"/>
      <c r="K851" s="244"/>
      <c r="L851" s="244"/>
      <c r="M851" s="244"/>
      <c r="N851" s="244"/>
      <c r="O851" s="244"/>
      <c r="P851" s="244"/>
      <c r="Q851" s="244"/>
      <c r="R851" s="244"/>
      <c r="S851" s="244"/>
      <c r="T851" s="244"/>
      <c r="U851" s="244"/>
      <c r="V851" s="244"/>
      <c r="W851" s="244"/>
      <c r="X851" s="244"/>
      <c r="Y851" s="244"/>
      <c r="Z851" s="244"/>
      <c r="AA851" s="244"/>
      <c r="AB851" s="244"/>
      <c r="AC851" s="244"/>
      <c r="AD851" s="244"/>
      <c r="AE851" s="244"/>
      <c r="AF851" s="244"/>
      <c r="AG851" s="244"/>
      <c r="AH851" s="244"/>
      <c r="AI851" s="244"/>
      <c r="AJ851" s="244"/>
      <c r="AK851" s="244"/>
      <c r="AL851" s="244"/>
      <c r="AM851" s="244"/>
      <c r="AN851" s="244"/>
      <c r="AO851" s="244"/>
      <c r="AP851" s="244"/>
      <c r="AQ851" s="244"/>
      <c r="AR851" s="244"/>
      <c r="AS851" s="255"/>
      <c r="AT851" s="244"/>
      <c r="AU851" s="244"/>
      <c r="AV851" s="244"/>
      <c r="AW851" s="244"/>
      <c r="AX851" s="244"/>
      <c r="AY851" s="244"/>
      <c r="AZ851" s="255"/>
      <c r="BA851" s="244"/>
      <c r="BB851" s="244"/>
      <c r="BC851" s="244"/>
      <c r="BD851" s="244"/>
      <c r="BE851" s="244"/>
      <c r="BF851" s="244"/>
      <c r="BG851" s="244"/>
      <c r="BH851" s="255"/>
      <c r="BI851" s="244"/>
      <c r="BJ851" s="244"/>
      <c r="BK851" s="244"/>
      <c r="BL851" s="244"/>
      <c r="BM851" s="244"/>
      <c r="BN851" s="244"/>
      <c r="BO851" s="244"/>
      <c r="BP851" s="244"/>
      <c r="BQ851" s="244"/>
      <c r="BR851" s="244"/>
      <c r="BS851" s="244"/>
      <c r="BT851" s="244"/>
      <c r="BU851" s="244"/>
      <c r="BV851" s="244"/>
      <c r="BW851" s="244"/>
      <c r="BX851" s="244"/>
      <c r="BY851" s="244"/>
      <c r="BZ851" s="244"/>
      <c r="CA851" s="244"/>
      <c r="CB851" s="244"/>
      <c r="CC851" s="244"/>
      <c r="CD851" s="255"/>
      <c r="CE851" s="244"/>
      <c r="CF851" s="244"/>
      <c r="CG851" s="244"/>
      <c r="CH851" s="244"/>
      <c r="CI851" s="244"/>
      <c r="CJ851" s="244"/>
      <c r="CK851" s="244"/>
      <c r="CL851" s="244"/>
      <c r="CM851" s="244"/>
      <c r="CN851" s="244"/>
      <c r="CO851" s="244"/>
      <c r="CP851" s="244"/>
      <c r="CQ851" s="244"/>
      <c r="CR851" s="244"/>
      <c r="CS851" s="244"/>
      <c r="CT851" s="244"/>
      <c r="CU851" s="244"/>
      <c r="CV851" s="244"/>
      <c r="CW851" s="255"/>
    </row>
    <row r="852" spans="1:101">
      <c r="C852" s="244"/>
      <c r="D852" s="244"/>
      <c r="E852" s="244"/>
      <c r="F852" s="244"/>
      <c r="G852" s="244"/>
      <c r="H852" s="244"/>
      <c r="I852" s="244"/>
      <c r="J852" s="244"/>
      <c r="K852" s="244"/>
      <c r="L852" s="244"/>
      <c r="M852" s="244"/>
      <c r="N852" s="244"/>
      <c r="O852" s="244"/>
      <c r="P852" s="244"/>
      <c r="Q852" s="244"/>
      <c r="R852" s="244"/>
      <c r="S852" s="244"/>
      <c r="T852" s="244"/>
      <c r="U852" s="244"/>
      <c r="V852" s="244"/>
      <c r="W852" s="244"/>
      <c r="X852" s="244"/>
      <c r="Y852" s="244"/>
      <c r="Z852" s="244"/>
      <c r="AA852" s="244"/>
      <c r="AB852" s="244"/>
      <c r="AC852" s="244"/>
      <c r="AD852" s="244"/>
      <c r="AE852" s="244"/>
      <c r="AF852" s="244"/>
      <c r="AG852" s="244"/>
      <c r="AH852" s="244"/>
      <c r="AI852" s="244"/>
      <c r="AJ852" s="244"/>
      <c r="AK852" s="244"/>
      <c r="AL852" s="244"/>
      <c r="AM852" s="244"/>
      <c r="AN852" s="244"/>
      <c r="AO852" s="244"/>
      <c r="AP852" s="244"/>
      <c r="AQ852" s="244"/>
      <c r="AR852" s="244"/>
      <c r="AS852" s="255"/>
      <c r="AT852" s="244"/>
      <c r="AU852" s="244"/>
      <c r="AV852" s="244"/>
      <c r="AW852" s="244"/>
      <c r="AX852" s="244"/>
      <c r="AY852" s="244"/>
      <c r="AZ852" s="255"/>
      <c r="BA852" s="244"/>
      <c r="BB852" s="244"/>
      <c r="BC852" s="244"/>
      <c r="BD852" s="244"/>
      <c r="BE852" s="244"/>
      <c r="BF852" s="244"/>
      <c r="BG852" s="244"/>
      <c r="BH852" s="255"/>
      <c r="BI852" s="244"/>
      <c r="BJ852" s="244"/>
      <c r="BK852" s="244"/>
      <c r="BL852" s="244"/>
      <c r="BM852" s="244"/>
      <c r="BN852" s="244"/>
      <c r="BO852" s="244"/>
      <c r="BP852" s="244"/>
      <c r="BQ852" s="244"/>
      <c r="BR852" s="244"/>
      <c r="BS852" s="244"/>
      <c r="BT852" s="244"/>
      <c r="BU852" s="244"/>
      <c r="BV852" s="244"/>
      <c r="BW852" s="244"/>
      <c r="BX852" s="244"/>
      <c r="BY852" s="244"/>
      <c r="BZ852" s="244"/>
      <c r="CA852" s="244"/>
      <c r="CB852" s="244"/>
      <c r="CC852" s="244"/>
      <c r="CD852" s="255"/>
      <c r="CE852" s="244"/>
      <c r="CF852" s="244"/>
      <c r="CG852" s="244"/>
      <c r="CH852" s="244"/>
      <c r="CI852" s="244"/>
      <c r="CJ852" s="244"/>
      <c r="CK852" s="244"/>
      <c r="CL852" s="244"/>
      <c r="CM852" s="244"/>
      <c r="CN852" s="244"/>
      <c r="CO852" s="244"/>
      <c r="CP852" s="244"/>
      <c r="CQ852" s="244"/>
      <c r="CR852" s="244"/>
      <c r="CS852" s="244"/>
      <c r="CT852" s="244"/>
      <c r="CU852" s="244"/>
      <c r="CV852" s="244"/>
      <c r="CW852" s="255"/>
    </row>
    <row r="853" spans="1:101" ht="13.5" thickBot="1">
      <c r="A853" s="232" t="s">
        <v>228</v>
      </c>
      <c r="B853" s="234"/>
      <c r="C853" s="244"/>
      <c r="D853" s="244"/>
      <c r="E853" s="244"/>
      <c r="F853" s="244"/>
      <c r="G853" s="244"/>
      <c r="H853" s="244"/>
      <c r="I853" s="244"/>
      <c r="J853" s="244"/>
      <c r="K853" s="244"/>
      <c r="L853" s="244"/>
      <c r="M853" s="244"/>
      <c r="N853" s="244"/>
      <c r="O853" s="244"/>
      <c r="P853" s="244"/>
      <c r="Q853" s="244"/>
      <c r="R853" s="244"/>
      <c r="S853" s="244"/>
      <c r="T853" s="244"/>
      <c r="U853" s="244"/>
      <c r="V853" s="244"/>
      <c r="W853" s="244"/>
      <c r="X853" s="244"/>
      <c r="Y853" s="244"/>
      <c r="Z853" s="244"/>
      <c r="AA853" s="244"/>
      <c r="AB853" s="244"/>
      <c r="AC853" s="244"/>
      <c r="AD853" s="244"/>
      <c r="AE853" s="244"/>
      <c r="AF853" s="244"/>
      <c r="AG853" s="244"/>
      <c r="AH853" s="244"/>
      <c r="AI853" s="244"/>
      <c r="AJ853" s="244"/>
      <c r="AK853" s="244"/>
      <c r="AL853" s="244"/>
      <c r="AM853" s="244"/>
      <c r="AN853" s="244"/>
      <c r="AO853" s="244"/>
      <c r="AP853" s="244"/>
      <c r="AQ853" s="244"/>
      <c r="AR853" s="244"/>
      <c r="AS853" s="255"/>
      <c r="AT853" s="244"/>
      <c r="AU853" s="244"/>
      <c r="AV853" s="244"/>
      <c r="AW853" s="244"/>
      <c r="AX853" s="244"/>
      <c r="AY853" s="244"/>
      <c r="AZ853" s="255"/>
      <c r="BA853" s="244"/>
      <c r="BB853" s="244"/>
      <c r="BC853" s="244"/>
      <c r="BD853" s="244"/>
      <c r="BE853" s="244"/>
      <c r="BF853" s="244"/>
      <c r="BG853" s="244"/>
      <c r="BH853" s="255"/>
      <c r="BI853" s="244"/>
      <c r="BJ853" s="244"/>
      <c r="BK853" s="244"/>
      <c r="BL853" s="244"/>
      <c r="BM853" s="244"/>
      <c r="BN853" s="244"/>
      <c r="BO853" s="244"/>
      <c r="BP853" s="244"/>
      <c r="BQ853" s="244"/>
      <c r="BR853" s="244"/>
      <c r="BS853" s="244"/>
      <c r="BT853" s="244"/>
      <c r="BU853" s="244"/>
      <c r="BV853" s="244"/>
      <c r="BW853" s="244"/>
      <c r="BX853" s="244"/>
      <c r="BY853" s="244"/>
      <c r="BZ853" s="244"/>
      <c r="CA853" s="244"/>
      <c r="CB853" s="244"/>
      <c r="CC853" s="244"/>
      <c r="CD853" s="255"/>
      <c r="CE853" s="244"/>
      <c r="CF853" s="244"/>
      <c r="CG853" s="244"/>
      <c r="CH853" s="244"/>
      <c r="CI853" s="244"/>
      <c r="CJ853" s="244"/>
      <c r="CK853" s="244"/>
      <c r="CL853" s="244"/>
      <c r="CM853" s="244"/>
      <c r="CN853" s="244"/>
      <c r="CO853" s="244"/>
      <c r="CP853" s="244"/>
      <c r="CQ853" s="244"/>
      <c r="CR853" s="244"/>
      <c r="CS853" s="244"/>
      <c r="CT853" s="244"/>
      <c r="CU853" s="244"/>
      <c r="CV853" s="244"/>
      <c r="CW853" s="255"/>
    </row>
    <row r="854" spans="1:101" ht="13.5" thickBot="1">
      <c r="A854" s="256" t="s">
        <v>229</v>
      </c>
      <c r="B854" s="257"/>
      <c r="C854" s="258"/>
      <c r="D854" s="258"/>
      <c r="E854" s="258"/>
      <c r="F854" s="258"/>
      <c r="G854" s="258"/>
      <c r="H854" s="258"/>
      <c r="I854" s="258"/>
      <c r="J854" s="258"/>
      <c r="K854" s="258"/>
      <c r="L854" s="259"/>
      <c r="M854" s="260"/>
      <c r="N854" s="261" t="s">
        <v>606</v>
      </c>
      <c r="O854" s="258"/>
      <c r="P854" s="258"/>
      <c r="Q854" s="258"/>
      <c r="R854" s="258"/>
      <c r="S854" s="258"/>
      <c r="T854" s="258"/>
      <c r="U854" s="258"/>
      <c r="V854" s="258"/>
      <c r="W854" s="258"/>
      <c r="X854" s="258"/>
      <c r="Y854" s="259"/>
      <c r="Z854" s="260"/>
      <c r="AA854" s="261" t="s">
        <v>607</v>
      </c>
      <c r="AB854" s="258"/>
      <c r="AC854" s="258"/>
      <c r="AD854" s="258"/>
      <c r="AE854" s="258"/>
      <c r="AF854" s="258"/>
      <c r="AG854" s="258"/>
      <c r="AH854" s="258"/>
      <c r="AI854" s="258"/>
      <c r="AJ854" s="258"/>
      <c r="AK854" s="258"/>
      <c r="AL854" s="259"/>
      <c r="AM854" s="244"/>
      <c r="AN854" s="244"/>
      <c r="AO854" s="244"/>
      <c r="AP854" s="244"/>
      <c r="AQ854" s="244"/>
      <c r="AR854" s="244"/>
      <c r="AS854" s="255"/>
      <c r="AT854" s="244"/>
      <c r="AU854" s="244"/>
      <c r="AV854" s="244"/>
      <c r="AW854" s="244"/>
      <c r="AX854" s="244"/>
      <c r="AY854" s="244"/>
      <c r="AZ854" s="255"/>
      <c r="BA854" s="244"/>
      <c r="BB854" s="244"/>
      <c r="BC854" s="244"/>
      <c r="BD854" s="244"/>
      <c r="BE854" s="244"/>
      <c r="BF854" s="244"/>
      <c r="BG854" s="244"/>
      <c r="BH854" s="255"/>
      <c r="BI854" s="244"/>
      <c r="BJ854" s="244"/>
      <c r="BK854" s="244"/>
      <c r="BL854" s="244"/>
      <c r="BM854" s="244"/>
      <c r="BN854" s="244"/>
      <c r="BO854" s="244"/>
      <c r="BP854" s="244"/>
      <c r="BQ854" s="244"/>
      <c r="BR854" s="244"/>
      <c r="BS854" s="244"/>
      <c r="BT854" s="244"/>
      <c r="BU854" s="244"/>
      <c r="BV854" s="244"/>
      <c r="BW854" s="244"/>
      <c r="BX854" s="244"/>
      <c r="BY854" s="244"/>
      <c r="BZ854" s="244"/>
      <c r="CA854" s="244"/>
      <c r="CB854" s="244"/>
      <c r="CC854" s="244"/>
      <c r="CD854" s="255"/>
      <c r="CE854" s="244"/>
      <c r="CF854" s="244"/>
      <c r="CG854" s="244"/>
      <c r="CH854" s="244"/>
      <c r="CI854" s="244"/>
      <c r="CJ854" s="244"/>
      <c r="CK854" s="244"/>
      <c r="CL854" s="244"/>
      <c r="CM854" s="244"/>
      <c r="CN854" s="244"/>
      <c r="CO854" s="244"/>
      <c r="CP854" s="244"/>
      <c r="CQ854" s="244"/>
      <c r="CR854" s="244"/>
      <c r="CS854" s="244"/>
      <c r="CT854" s="244"/>
      <c r="CU854" s="244"/>
      <c r="CV854" s="244"/>
      <c r="CW854" s="255"/>
    </row>
    <row r="855" spans="1:101" ht="102">
      <c r="A855" s="251"/>
      <c r="B855" s="252" t="s">
        <v>230</v>
      </c>
      <c r="C855" s="253" t="s">
        <v>231</v>
      </c>
      <c r="D855" s="253" t="s">
        <v>232</v>
      </c>
      <c r="E855" s="253" t="s">
        <v>233</v>
      </c>
      <c r="F855" s="253" t="s">
        <v>234</v>
      </c>
      <c r="G855" s="253" t="s">
        <v>235</v>
      </c>
      <c r="H855" s="253" t="s">
        <v>236</v>
      </c>
      <c r="I855" s="253" t="s">
        <v>237</v>
      </c>
      <c r="J855" s="253" t="s">
        <v>238</v>
      </c>
      <c r="K855" s="253" t="s">
        <v>49</v>
      </c>
      <c r="L855" s="253" t="s">
        <v>211</v>
      </c>
      <c r="M855" s="253" t="s">
        <v>239</v>
      </c>
      <c r="N855" s="253" t="s">
        <v>240</v>
      </c>
      <c r="O855" s="253" t="s">
        <v>241</v>
      </c>
      <c r="P855" s="253" t="s">
        <v>242</v>
      </c>
      <c r="Q855" s="253" t="s">
        <v>243</v>
      </c>
      <c r="R855" s="253" t="s">
        <v>244</v>
      </c>
      <c r="S855" s="253" t="s">
        <v>245</v>
      </c>
      <c r="T855" s="253" t="s">
        <v>246</v>
      </c>
      <c r="U855" s="253" t="s">
        <v>247</v>
      </c>
      <c r="V855" s="253" t="s">
        <v>248</v>
      </c>
      <c r="W855" s="253" t="s">
        <v>249</v>
      </c>
      <c r="X855" s="253" t="s">
        <v>250</v>
      </c>
      <c r="Y855" s="253" t="s">
        <v>251</v>
      </c>
      <c r="Z855" s="253"/>
      <c r="AA855" s="253" t="s">
        <v>240</v>
      </c>
      <c r="AB855" s="253" t="s">
        <v>241</v>
      </c>
      <c r="AC855" s="253" t="s">
        <v>242</v>
      </c>
      <c r="AD855" s="253" t="s">
        <v>243</v>
      </c>
      <c r="AE855" s="253" t="s">
        <v>244</v>
      </c>
      <c r="AF855" s="253" t="s">
        <v>245</v>
      </c>
      <c r="AG855" s="253" t="s">
        <v>246</v>
      </c>
      <c r="AH855" s="253" t="s">
        <v>247</v>
      </c>
      <c r="AI855" s="253" t="s">
        <v>248</v>
      </c>
      <c r="AJ855" s="253" t="s">
        <v>249</v>
      </c>
      <c r="AK855" s="253" t="s">
        <v>250</v>
      </c>
      <c r="AL855" s="253" t="s">
        <v>251</v>
      </c>
      <c r="AM855" s="244"/>
      <c r="AN855" s="244"/>
      <c r="AO855" s="244"/>
      <c r="AP855" s="244"/>
      <c r="AQ855" s="244"/>
      <c r="AR855" s="244"/>
      <c r="AS855" s="255"/>
      <c r="AT855" s="244"/>
      <c r="AU855" s="244"/>
      <c r="AV855" s="244"/>
      <c r="AW855" s="244"/>
      <c r="AX855" s="244"/>
      <c r="AY855" s="244"/>
      <c r="AZ855" s="255"/>
      <c r="BA855" s="244"/>
      <c r="BB855" s="244"/>
      <c r="BC855" s="244"/>
      <c r="BD855" s="244"/>
      <c r="BE855" s="244"/>
      <c r="BF855" s="244"/>
      <c r="BG855" s="244"/>
      <c r="BH855" s="255"/>
      <c r="BI855" s="244"/>
      <c r="BJ855" s="244"/>
      <c r="BK855" s="244"/>
      <c r="BL855" s="244"/>
      <c r="BM855" s="244"/>
      <c r="BN855" s="244"/>
      <c r="BO855" s="244"/>
      <c r="BP855" s="244"/>
      <c r="BQ855" s="244"/>
      <c r="BR855" s="244"/>
      <c r="BS855" s="244"/>
      <c r="BT855" s="244"/>
      <c r="BU855" s="244"/>
      <c r="BV855" s="244"/>
      <c r="BW855" s="244"/>
      <c r="BX855" s="244"/>
      <c r="BY855" s="244"/>
      <c r="BZ855" s="244"/>
      <c r="CA855" s="244"/>
      <c r="CB855" s="244"/>
      <c r="CC855" s="244"/>
      <c r="CD855" s="255"/>
      <c r="CE855" s="244"/>
      <c r="CF855" s="244"/>
      <c r="CG855" s="244"/>
      <c r="CH855" s="244"/>
      <c r="CI855" s="244"/>
      <c r="CJ855" s="244"/>
      <c r="CK855" s="244"/>
      <c r="CL855" s="244"/>
      <c r="CM855" s="244"/>
      <c r="CN855" s="244"/>
      <c r="CO855" s="244"/>
      <c r="CP855" s="244"/>
      <c r="CQ855" s="244"/>
      <c r="CR855" s="244"/>
      <c r="CS855" s="244"/>
      <c r="CT855" s="244"/>
      <c r="CU855" s="244"/>
      <c r="CV855" s="244"/>
      <c r="CW855" s="255"/>
    </row>
    <row r="856" spans="1:101">
      <c r="B856" s="262" t="s">
        <v>252</v>
      </c>
      <c r="C856" s="263">
        <v>43494.46484375</v>
      </c>
      <c r="D856" s="263">
        <v>1228.1241455078125</v>
      </c>
      <c r="E856" s="263">
        <v>0</v>
      </c>
      <c r="F856" s="263">
        <v>1228.1241455078125</v>
      </c>
      <c r="G856" s="263">
        <v>2157.197509765625</v>
      </c>
      <c r="H856" s="263">
        <v>200852.15625</v>
      </c>
      <c r="I856" s="263">
        <v>247.35026550292969</v>
      </c>
      <c r="J856" s="263">
        <v>-61.36798095703125</v>
      </c>
      <c r="K856" s="263">
        <v>-219.27069091796875</v>
      </c>
      <c r="L856" s="228">
        <v>1497.4949951171875</v>
      </c>
      <c r="M856" s="244">
        <v>520.717041015625</v>
      </c>
      <c r="N856" s="264">
        <v>3302.7251778601767</v>
      </c>
      <c r="O856" s="264">
        <v>3048.4263340514622</v>
      </c>
      <c r="P856" s="264">
        <v>3278.8862239079153</v>
      </c>
      <c r="Q856" s="264">
        <v>2938.9982420247261</v>
      </c>
      <c r="R856" s="264">
        <v>2834.3674289724945</v>
      </c>
      <c r="S856" s="264">
        <v>2603.9130233083351</v>
      </c>
      <c r="T856" s="264">
        <v>2632.5547404273952</v>
      </c>
      <c r="U856" s="264">
        <v>2635.3702925093912</v>
      </c>
      <c r="V856" s="264">
        <v>2685.8637524959113</v>
      </c>
      <c r="W856" s="264">
        <v>2764.8350361043608</v>
      </c>
      <c r="X856" s="264">
        <v>2951.4138362480217</v>
      </c>
      <c r="Y856" s="264">
        <v>3237.9928060626921</v>
      </c>
      <c r="Z856" s="264"/>
      <c r="AA856" s="264">
        <v>659.15143263297182</v>
      </c>
      <c r="AB856" s="264">
        <v>928.50930296140393</v>
      </c>
      <c r="AC856" s="264">
        <v>850.53299594343184</v>
      </c>
      <c r="AD856" s="264">
        <v>923.81854422217725</v>
      </c>
      <c r="AE856" s="264">
        <v>685.80593866723029</v>
      </c>
      <c r="AF856" s="264">
        <v>562.07881947152714</v>
      </c>
      <c r="AG856" s="264">
        <v>697.22929839619803</v>
      </c>
      <c r="AH856" s="264">
        <v>591.60350875349218</v>
      </c>
      <c r="AI856" s="264">
        <v>571.57234137755131</v>
      </c>
      <c r="AJ856" s="264">
        <v>538.29449668497523</v>
      </c>
      <c r="AK856" s="264">
        <v>652.47346280894203</v>
      </c>
      <c r="AL856" s="264">
        <v>918.08091982290898</v>
      </c>
      <c r="AM856" s="244"/>
      <c r="AN856" s="244"/>
      <c r="AO856" s="244"/>
      <c r="AP856" s="244"/>
      <c r="AQ856" s="244"/>
      <c r="AR856" s="244"/>
      <c r="AS856" s="255"/>
      <c r="AT856" s="244"/>
      <c r="AU856" s="244"/>
      <c r="AV856" s="244"/>
      <c r="AW856" s="244"/>
      <c r="AX856" s="244"/>
      <c r="AY856" s="244"/>
      <c r="AZ856" s="255"/>
      <c r="BA856" s="244"/>
      <c r="BB856" s="244"/>
      <c r="BC856" s="244"/>
      <c r="BD856" s="244"/>
      <c r="BE856" s="244"/>
      <c r="BF856" s="244"/>
      <c r="BG856" s="244"/>
      <c r="BH856" s="255"/>
      <c r="BI856" s="244"/>
      <c r="BJ856" s="244"/>
      <c r="BK856" s="244"/>
      <c r="BL856" s="244"/>
      <c r="BM856" s="244"/>
      <c r="BN856" s="244"/>
      <c r="BO856" s="244"/>
      <c r="BP856" s="244"/>
      <c r="BQ856" s="244"/>
      <c r="BR856" s="244"/>
      <c r="BS856" s="244"/>
      <c r="BT856" s="244"/>
      <c r="BU856" s="244"/>
      <c r="BV856" s="244"/>
      <c r="BW856" s="244"/>
      <c r="BX856" s="244"/>
      <c r="BY856" s="244"/>
      <c r="BZ856" s="244"/>
      <c r="CA856" s="244"/>
      <c r="CB856" s="244"/>
      <c r="CC856" s="244"/>
      <c r="CD856" s="255"/>
      <c r="CE856" s="244"/>
      <c r="CF856" s="244"/>
      <c r="CG856" s="244"/>
      <c r="CH856" s="244"/>
      <c r="CI856" s="244"/>
      <c r="CJ856" s="244"/>
      <c r="CK856" s="244"/>
      <c r="CL856" s="244"/>
      <c r="CM856" s="244"/>
      <c r="CN856" s="244"/>
      <c r="CO856" s="244"/>
      <c r="CP856" s="244"/>
      <c r="CQ856" s="244"/>
      <c r="CR856" s="244"/>
      <c r="CS856" s="244"/>
      <c r="CT856" s="244"/>
      <c r="CU856" s="244"/>
      <c r="CV856" s="244"/>
      <c r="CW856" s="255"/>
    </row>
    <row r="857" spans="1:101">
      <c r="B857" s="262" t="s">
        <v>253</v>
      </c>
      <c r="C857" s="263">
        <v>43494.5</v>
      </c>
      <c r="D857" s="263">
        <v>1228.1241455078125</v>
      </c>
      <c r="E857" s="263">
        <v>245.62461853027344</v>
      </c>
      <c r="F857" s="263">
        <v>1473.748779296875</v>
      </c>
      <c r="G857" s="263">
        <v>2402.822998046875</v>
      </c>
      <c r="H857" s="263">
        <v>200852.046875</v>
      </c>
      <c r="I857" s="263">
        <v>296.82003784179687</v>
      </c>
      <c r="J857" s="263">
        <v>-60.424739837646484</v>
      </c>
      <c r="K857" s="263">
        <v>-309.653564453125</v>
      </c>
      <c r="L857" s="228">
        <v>532.51422119140625</v>
      </c>
      <c r="M857" s="244">
        <v>520.717041015625</v>
      </c>
      <c r="N857" s="264">
        <v>82.110132461422708</v>
      </c>
      <c r="O857" s="264">
        <v>75.737156479948084</v>
      </c>
      <c r="P857" s="264">
        <v>81.488109797491404</v>
      </c>
      <c r="Q857" s="264">
        <v>73.238172470775723</v>
      </c>
      <c r="R857" s="264">
        <v>70.864605954772415</v>
      </c>
      <c r="S857" s="264">
        <v>65.192592531058452</v>
      </c>
      <c r="T857" s="264">
        <v>66.018972581988137</v>
      </c>
      <c r="U857" s="264">
        <v>66.036939231443455</v>
      </c>
      <c r="V857" s="264">
        <v>67.298951208761338</v>
      </c>
      <c r="W857" s="264">
        <v>69.145458753606945</v>
      </c>
      <c r="X857" s="264">
        <v>73.585914000398475</v>
      </c>
      <c r="Y857" s="264">
        <v>80.555872700340942</v>
      </c>
      <c r="Z857" s="264"/>
      <c r="AA857" s="264">
        <v>16.697035448381456</v>
      </c>
      <c r="AB857" s="264">
        <v>23.075425284788096</v>
      </c>
      <c r="AC857" s="264">
        <v>21.341848082171385</v>
      </c>
      <c r="AD857" s="264">
        <v>23.071794166972367</v>
      </c>
      <c r="AE857" s="264">
        <v>17.337024761768056</v>
      </c>
      <c r="AF857" s="264">
        <v>14.386224913868485</v>
      </c>
      <c r="AG857" s="264">
        <v>17.611305896076598</v>
      </c>
      <c r="AH857" s="264">
        <v>15.124809037844397</v>
      </c>
      <c r="AI857" s="264">
        <v>14.594213418682621</v>
      </c>
      <c r="AJ857" s="264">
        <v>13.844830411071193</v>
      </c>
      <c r="AK857" s="264">
        <v>16.507013593022634</v>
      </c>
      <c r="AL857" s="264">
        <v>22.914074492708444</v>
      </c>
      <c r="AM857" s="244"/>
      <c r="AN857" s="244"/>
      <c r="AO857" s="244"/>
      <c r="AP857" s="244"/>
      <c r="AQ857" s="244"/>
      <c r="AR857" s="244"/>
      <c r="AS857" s="255"/>
      <c r="AT857" s="244"/>
      <c r="AU857" s="244"/>
      <c r="AV857" s="244"/>
      <c r="AW857" s="244"/>
      <c r="AX857" s="244"/>
      <c r="AY857" s="244"/>
      <c r="AZ857" s="255"/>
      <c r="BA857" s="244"/>
      <c r="BB857" s="244"/>
      <c r="BC857" s="244"/>
      <c r="BD857" s="244"/>
      <c r="BE857" s="244"/>
      <c r="BF857" s="244"/>
      <c r="BG857" s="244"/>
      <c r="BH857" s="255"/>
      <c r="BI857" s="244"/>
      <c r="BJ857" s="244"/>
      <c r="BK857" s="244"/>
      <c r="BL857" s="244"/>
      <c r="BM857" s="244"/>
      <c r="BN857" s="244"/>
      <c r="BO857" s="244"/>
      <c r="BP857" s="244"/>
      <c r="BQ857" s="244"/>
      <c r="BR857" s="244"/>
      <c r="BS857" s="244"/>
      <c r="BT857" s="244"/>
      <c r="BU857" s="244"/>
      <c r="BV857" s="244"/>
      <c r="BW857" s="244"/>
      <c r="BX857" s="244"/>
      <c r="BY857" s="244"/>
      <c r="BZ857" s="244"/>
      <c r="CA857" s="244"/>
      <c r="CB857" s="244"/>
      <c r="CC857" s="244"/>
      <c r="CD857" s="255"/>
      <c r="CE857" s="244"/>
      <c r="CF857" s="244"/>
      <c r="CG857" s="244"/>
      <c r="CH857" s="244"/>
      <c r="CI857" s="244"/>
      <c r="CJ857" s="244"/>
      <c r="CK857" s="244"/>
      <c r="CL857" s="244"/>
      <c r="CM857" s="244"/>
      <c r="CN857" s="244"/>
      <c r="CO857" s="244"/>
      <c r="CP857" s="244"/>
      <c r="CQ857" s="244"/>
      <c r="CR857" s="244"/>
      <c r="CS857" s="244"/>
      <c r="CT857" s="244"/>
      <c r="CU857" s="244"/>
      <c r="CV857" s="244"/>
      <c r="CW857" s="255"/>
    </row>
    <row r="858" spans="1:101">
      <c r="B858" s="262" t="s">
        <v>254</v>
      </c>
      <c r="C858" s="265"/>
      <c r="D858" s="265"/>
      <c r="E858" s="265"/>
      <c r="F858" s="265"/>
      <c r="G858" s="265"/>
      <c r="H858" s="265"/>
      <c r="I858" s="265"/>
      <c r="J858" s="265"/>
      <c r="K858" s="265"/>
      <c r="L858" s="255"/>
      <c r="M858" s="266"/>
      <c r="N858" s="266"/>
      <c r="O858" s="266"/>
      <c r="P858" s="266"/>
      <c r="Q858" s="266"/>
      <c r="R858" s="266"/>
      <c r="S858" s="266"/>
      <c r="T858" s="266"/>
      <c r="U858" s="266"/>
      <c r="V858" s="266"/>
      <c r="W858" s="266"/>
      <c r="X858" s="266"/>
      <c r="Y858" s="266"/>
      <c r="Z858" s="266"/>
      <c r="AA858" s="266"/>
      <c r="AB858" s="266"/>
      <c r="AC858" s="266"/>
      <c r="AD858" s="266"/>
      <c r="AE858" s="266"/>
      <c r="AF858" s="266"/>
      <c r="AG858" s="266"/>
      <c r="AH858" s="266"/>
      <c r="AI858" s="266"/>
      <c r="AJ858" s="266"/>
      <c r="AK858" s="266"/>
      <c r="AL858" s="266"/>
      <c r="AM858" s="244"/>
      <c r="AN858" s="244"/>
      <c r="AO858" s="244"/>
      <c r="AP858" s="244"/>
      <c r="AQ858" s="244"/>
      <c r="AR858" s="244"/>
      <c r="AS858" s="255"/>
      <c r="AT858" s="244"/>
      <c r="AU858" s="244"/>
      <c r="AV858" s="244"/>
      <c r="AW858" s="244"/>
      <c r="AX858" s="244"/>
      <c r="AY858" s="244"/>
      <c r="AZ858" s="255"/>
      <c r="BA858" s="244"/>
      <c r="BB858" s="244"/>
      <c r="BC858" s="244"/>
      <c r="BD858" s="244"/>
      <c r="BE858" s="244"/>
      <c r="BF858" s="244"/>
      <c r="BG858" s="244"/>
      <c r="BH858" s="255"/>
      <c r="BI858" s="244"/>
      <c r="BJ858" s="244"/>
      <c r="BK858" s="244"/>
      <c r="BL858" s="244"/>
      <c r="BM858" s="244"/>
      <c r="BN858" s="244"/>
      <c r="BO858" s="244"/>
      <c r="BP858" s="244"/>
      <c r="BQ858" s="244"/>
      <c r="BR858" s="244"/>
      <c r="BS858" s="244"/>
      <c r="BT858" s="244"/>
      <c r="BU858" s="244"/>
      <c r="BV858" s="244"/>
      <c r="BW858" s="244"/>
      <c r="BX858" s="244"/>
      <c r="BY858" s="244"/>
      <c r="BZ858" s="244"/>
      <c r="CA858" s="244"/>
      <c r="CB858" s="244"/>
      <c r="CC858" s="244"/>
      <c r="CD858" s="255"/>
      <c r="CE858" s="244"/>
      <c r="CF858" s="244"/>
      <c r="CG858" s="244"/>
      <c r="CH858" s="244"/>
      <c r="CI858" s="244"/>
      <c r="CJ858" s="244"/>
      <c r="CK858" s="244"/>
      <c r="CL858" s="244"/>
      <c r="CM858" s="244"/>
      <c r="CN858" s="244"/>
      <c r="CO858" s="244"/>
      <c r="CP858" s="244"/>
      <c r="CQ858" s="244"/>
      <c r="CR858" s="244"/>
      <c r="CS858" s="244"/>
      <c r="CT858" s="244"/>
      <c r="CU858" s="244"/>
      <c r="CV858" s="244"/>
      <c r="CW858" s="255"/>
    </row>
    <row r="859" spans="1:101">
      <c r="B859" s="221" t="s">
        <v>51</v>
      </c>
      <c r="C859" s="244">
        <v>43494.5</v>
      </c>
      <c r="D859" s="244">
        <v>1228.1241455078125</v>
      </c>
      <c r="E859" s="244">
        <v>245.62461853027344</v>
      </c>
      <c r="F859" s="244">
        <v>1473.748779296875</v>
      </c>
      <c r="G859" s="244">
        <v>2402.822998046875</v>
      </c>
      <c r="H859" s="244">
        <v>200852.046875</v>
      </c>
      <c r="I859" s="244">
        <v>296.82003784179687</v>
      </c>
      <c r="J859" s="244">
        <v>-60.424739837646484</v>
      </c>
      <c r="K859" s="244">
        <v>-309.653564453125</v>
      </c>
      <c r="L859" s="228">
        <v>532.51422119140625</v>
      </c>
      <c r="M859" s="244">
        <v>520.717041015625</v>
      </c>
      <c r="N859" s="264">
        <v>3302.7251778601794</v>
      </c>
      <c r="O859" s="264">
        <v>3048.4263340514613</v>
      </c>
      <c r="P859" s="264">
        <v>3278.8862239079153</v>
      </c>
      <c r="Q859" s="264">
        <v>2938.9982420247261</v>
      </c>
      <c r="R859" s="264">
        <v>2834.367428972495</v>
      </c>
      <c r="S859" s="264">
        <v>2603.9130233083351</v>
      </c>
      <c r="T859" s="264">
        <v>2632.5547404273957</v>
      </c>
      <c r="U859" s="264">
        <v>2635.3702925093903</v>
      </c>
      <c r="V859" s="264">
        <v>2685.8637524959126</v>
      </c>
      <c r="W859" s="264">
        <v>2764.8350361043595</v>
      </c>
      <c r="X859" s="264">
        <v>2951.4138362480226</v>
      </c>
      <c r="Y859" s="264">
        <v>3237.9928060626944</v>
      </c>
      <c r="Z859" s="264"/>
      <c r="AA859" s="264">
        <v>659.15143263297125</v>
      </c>
      <c r="AB859" s="264">
        <v>928.50930296140314</v>
      </c>
      <c r="AC859" s="264">
        <v>850.53299594343127</v>
      </c>
      <c r="AD859" s="264">
        <v>923.81854422217691</v>
      </c>
      <c r="AE859" s="264">
        <v>685.8059386672295</v>
      </c>
      <c r="AF859" s="264">
        <v>562.07881947152714</v>
      </c>
      <c r="AG859" s="264">
        <v>697.22929839619735</v>
      </c>
      <c r="AH859" s="264">
        <v>591.60350875349229</v>
      </c>
      <c r="AI859" s="264">
        <v>571.57234137755063</v>
      </c>
      <c r="AJ859" s="264">
        <v>538.29449668497534</v>
      </c>
      <c r="AK859" s="264">
        <v>652.47346280894203</v>
      </c>
      <c r="AL859" s="264">
        <v>918.08091982291012</v>
      </c>
      <c r="AM859" s="244"/>
      <c r="AN859" s="244"/>
      <c r="AO859" s="244"/>
      <c r="AP859" s="244"/>
      <c r="AQ859" s="244"/>
      <c r="AR859" s="244"/>
      <c r="AS859" s="255"/>
      <c r="AT859" s="244"/>
      <c r="AU859" s="244"/>
      <c r="AV859" s="244"/>
      <c r="AW859" s="244"/>
      <c r="AX859" s="244"/>
      <c r="AY859" s="244"/>
      <c r="AZ859" s="255"/>
      <c r="BA859" s="244"/>
      <c r="BB859" s="244"/>
      <c r="BC859" s="244"/>
      <c r="BD859" s="244"/>
      <c r="BE859" s="244"/>
      <c r="BF859" s="244"/>
      <c r="BG859" s="244"/>
      <c r="BH859" s="255"/>
      <c r="BI859" s="244"/>
      <c r="BJ859" s="244"/>
      <c r="BK859" s="244"/>
      <c r="BL859" s="244"/>
      <c r="BM859" s="244"/>
      <c r="BN859" s="244"/>
      <c r="BO859" s="244"/>
      <c r="BP859" s="244"/>
      <c r="BQ859" s="244"/>
      <c r="BR859" s="244"/>
      <c r="BS859" s="244"/>
      <c r="BT859" s="244"/>
      <c r="BU859" s="244"/>
      <c r="BV859" s="244"/>
      <c r="BW859" s="244"/>
      <c r="BX859" s="244"/>
      <c r="BY859" s="244"/>
      <c r="BZ859" s="244"/>
      <c r="CA859" s="244"/>
      <c r="CB859" s="244"/>
      <c r="CC859" s="244"/>
      <c r="CD859" s="255"/>
      <c r="CE859" s="244"/>
      <c r="CF859" s="244"/>
      <c r="CG859" s="244"/>
      <c r="CH859" s="244"/>
      <c r="CI859" s="244"/>
      <c r="CJ859" s="244"/>
      <c r="CK859" s="244"/>
      <c r="CL859" s="244"/>
      <c r="CM859" s="244"/>
      <c r="CN859" s="244"/>
      <c r="CO859" s="244"/>
      <c r="CP859" s="244"/>
      <c r="CQ859" s="244"/>
      <c r="CR859" s="244"/>
      <c r="CS859" s="244"/>
      <c r="CT859" s="244"/>
      <c r="CU859" s="244"/>
      <c r="CV859" s="244"/>
      <c r="CW859" s="255"/>
    </row>
    <row r="860" spans="1:101">
      <c r="B860" s="221" t="s">
        <v>52</v>
      </c>
      <c r="C860" s="266">
        <v>0</v>
      </c>
      <c r="D860" s="266">
        <v>0</v>
      </c>
      <c r="E860" s="266">
        <v>0</v>
      </c>
      <c r="F860" s="266">
        <v>0</v>
      </c>
      <c r="G860" s="266">
        <v>0</v>
      </c>
      <c r="H860" s="266">
        <v>0</v>
      </c>
      <c r="I860" s="266">
        <v>0</v>
      </c>
      <c r="J860" s="266">
        <v>0</v>
      </c>
      <c r="K860" s="266">
        <v>0</v>
      </c>
      <c r="L860" s="267">
        <v>0</v>
      </c>
      <c r="M860" s="266">
        <v>0</v>
      </c>
      <c r="N860" s="266">
        <v>0</v>
      </c>
      <c r="O860" s="266">
        <v>0</v>
      </c>
      <c r="P860" s="266">
        <v>0</v>
      </c>
      <c r="Q860" s="266">
        <v>0</v>
      </c>
      <c r="R860" s="266">
        <v>0</v>
      </c>
      <c r="S860" s="266">
        <v>0</v>
      </c>
      <c r="T860" s="266">
        <v>0</v>
      </c>
      <c r="U860" s="266">
        <v>0</v>
      </c>
      <c r="V860" s="266">
        <v>0</v>
      </c>
      <c r="W860" s="266">
        <v>0</v>
      </c>
      <c r="X860" s="266">
        <v>0</v>
      </c>
      <c r="Y860" s="266">
        <v>0</v>
      </c>
      <c r="Z860" s="266"/>
      <c r="AA860" s="266">
        <v>0</v>
      </c>
      <c r="AB860" s="266">
        <v>0</v>
      </c>
      <c r="AC860" s="266">
        <v>0</v>
      </c>
      <c r="AD860" s="266">
        <v>0</v>
      </c>
      <c r="AE860" s="266">
        <v>0</v>
      </c>
      <c r="AF860" s="266">
        <v>0</v>
      </c>
      <c r="AG860" s="266">
        <v>0</v>
      </c>
      <c r="AH860" s="266">
        <v>0</v>
      </c>
      <c r="AI860" s="266">
        <v>0</v>
      </c>
      <c r="AJ860" s="266">
        <v>0</v>
      </c>
      <c r="AK860" s="266">
        <v>0</v>
      </c>
      <c r="AL860" s="266">
        <v>0</v>
      </c>
      <c r="AM860" s="244"/>
      <c r="AN860" s="244"/>
      <c r="AO860" s="244"/>
      <c r="AP860" s="244"/>
      <c r="AQ860" s="244"/>
      <c r="AR860" s="244"/>
      <c r="AS860" s="255"/>
      <c r="AT860" s="244"/>
      <c r="AU860" s="244"/>
      <c r="AV860" s="244"/>
      <c r="AW860" s="244"/>
      <c r="AX860" s="244"/>
      <c r="AY860" s="244"/>
      <c r="AZ860" s="255"/>
      <c r="BA860" s="244"/>
      <c r="BB860" s="244"/>
      <c r="BC860" s="244"/>
      <c r="BD860" s="244"/>
      <c r="BE860" s="244"/>
      <c r="BF860" s="244"/>
      <c r="BG860" s="244"/>
      <c r="BH860" s="255"/>
      <c r="BI860" s="244"/>
      <c r="BJ860" s="244"/>
      <c r="BK860" s="244"/>
      <c r="BL860" s="244"/>
      <c r="BM860" s="244"/>
      <c r="BN860" s="244"/>
      <c r="BO860" s="244"/>
      <c r="BP860" s="244"/>
      <c r="BQ860" s="244"/>
      <c r="BR860" s="244"/>
      <c r="BS860" s="244"/>
      <c r="BT860" s="244"/>
      <c r="BU860" s="244"/>
      <c r="BV860" s="244"/>
      <c r="BW860" s="244"/>
      <c r="BX860" s="244"/>
      <c r="BY860" s="244"/>
      <c r="BZ860" s="244"/>
      <c r="CA860" s="244"/>
      <c r="CB860" s="244"/>
      <c r="CC860" s="244"/>
      <c r="CD860" s="255"/>
      <c r="CE860" s="244"/>
      <c r="CF860" s="244"/>
      <c r="CG860" s="244"/>
      <c r="CH860" s="244"/>
      <c r="CI860" s="244"/>
      <c r="CJ860" s="244"/>
      <c r="CK860" s="244"/>
      <c r="CL860" s="244"/>
      <c r="CM860" s="244"/>
      <c r="CN860" s="244"/>
      <c r="CO860" s="244"/>
      <c r="CP860" s="244"/>
      <c r="CQ860" s="244"/>
      <c r="CR860" s="244"/>
      <c r="CS860" s="244"/>
      <c r="CT860" s="244"/>
      <c r="CU860" s="244"/>
      <c r="CV860" s="244"/>
      <c r="CW860" s="255"/>
    </row>
    <row r="861" spans="1:101">
      <c r="B861" s="221" t="s">
        <v>53</v>
      </c>
      <c r="C861" s="266">
        <v>0</v>
      </c>
      <c r="D861" s="266">
        <v>0</v>
      </c>
      <c r="E861" s="266">
        <v>0</v>
      </c>
      <c r="F861" s="266">
        <v>0</v>
      </c>
      <c r="G861" s="266">
        <v>0</v>
      </c>
      <c r="H861" s="266">
        <v>0</v>
      </c>
      <c r="I861" s="266">
        <v>0</v>
      </c>
      <c r="J861" s="266">
        <v>0</v>
      </c>
      <c r="K861" s="266">
        <v>0</v>
      </c>
      <c r="L861" s="267">
        <v>0</v>
      </c>
      <c r="M861" s="266">
        <v>0</v>
      </c>
      <c r="N861" s="266">
        <v>0</v>
      </c>
      <c r="O861" s="266">
        <v>0</v>
      </c>
      <c r="P861" s="266">
        <v>0</v>
      </c>
      <c r="Q861" s="266">
        <v>0</v>
      </c>
      <c r="R861" s="266">
        <v>0</v>
      </c>
      <c r="S861" s="266">
        <v>0</v>
      </c>
      <c r="T861" s="266">
        <v>0</v>
      </c>
      <c r="U861" s="266">
        <v>0</v>
      </c>
      <c r="V861" s="266">
        <v>0</v>
      </c>
      <c r="W861" s="266">
        <v>0</v>
      </c>
      <c r="X861" s="266">
        <v>0</v>
      </c>
      <c r="Y861" s="266">
        <v>0</v>
      </c>
      <c r="Z861" s="266"/>
      <c r="AA861" s="266">
        <v>0</v>
      </c>
      <c r="AB861" s="266">
        <v>0</v>
      </c>
      <c r="AC861" s="266">
        <v>0</v>
      </c>
      <c r="AD861" s="266">
        <v>0</v>
      </c>
      <c r="AE861" s="266">
        <v>0</v>
      </c>
      <c r="AF861" s="266">
        <v>0</v>
      </c>
      <c r="AG861" s="266">
        <v>0</v>
      </c>
      <c r="AH861" s="266">
        <v>0</v>
      </c>
      <c r="AI861" s="266">
        <v>0</v>
      </c>
      <c r="AJ861" s="266">
        <v>0</v>
      </c>
      <c r="AK861" s="266">
        <v>0</v>
      </c>
      <c r="AL861" s="266">
        <v>0</v>
      </c>
      <c r="AM861" s="244"/>
      <c r="AN861" s="244"/>
      <c r="AO861" s="244"/>
      <c r="AP861" s="244"/>
      <c r="AQ861" s="244"/>
      <c r="AR861" s="244"/>
      <c r="AS861" s="255"/>
      <c r="AT861" s="244"/>
      <c r="AU861" s="244"/>
      <c r="AV861" s="244"/>
      <c r="AW861" s="244"/>
      <c r="AX861" s="244"/>
      <c r="AY861" s="244"/>
      <c r="AZ861" s="255"/>
      <c r="BA861" s="244"/>
      <c r="BB861" s="244"/>
      <c r="BC861" s="244"/>
      <c r="BD861" s="244"/>
      <c r="BE861" s="244"/>
      <c r="BF861" s="244"/>
      <c r="BG861" s="244"/>
      <c r="BH861" s="255"/>
      <c r="BI861" s="244"/>
      <c r="BJ861" s="244"/>
      <c r="BK861" s="244"/>
      <c r="BL861" s="244"/>
      <c r="BM861" s="244"/>
      <c r="BN861" s="244"/>
      <c r="BO861" s="244"/>
      <c r="BP861" s="244"/>
      <c r="BQ861" s="244"/>
      <c r="BR861" s="244"/>
      <c r="BS861" s="244"/>
      <c r="BT861" s="244"/>
      <c r="BU861" s="244"/>
      <c r="BV861" s="244"/>
      <c r="BW861" s="244"/>
      <c r="BX861" s="244"/>
      <c r="BY861" s="244"/>
      <c r="BZ861" s="244"/>
      <c r="CA861" s="244"/>
      <c r="CB861" s="244"/>
      <c r="CC861" s="244"/>
      <c r="CD861" s="255"/>
      <c r="CE861" s="244"/>
      <c r="CF861" s="244"/>
      <c r="CG861" s="244"/>
      <c r="CH861" s="244"/>
      <c r="CI861" s="244"/>
      <c r="CJ861" s="244"/>
      <c r="CK861" s="244"/>
      <c r="CL861" s="244"/>
      <c r="CM861" s="244"/>
      <c r="CN861" s="244"/>
      <c r="CO861" s="244"/>
      <c r="CP861" s="244"/>
      <c r="CQ861" s="244"/>
      <c r="CR861" s="244"/>
      <c r="CS861" s="244"/>
      <c r="CT861" s="244"/>
      <c r="CU861" s="244"/>
      <c r="CV861" s="244"/>
      <c r="CW861" s="255"/>
    </row>
    <row r="862" spans="1:101">
      <c r="B862" s="221" t="s">
        <v>54</v>
      </c>
      <c r="C862" s="266">
        <v>0</v>
      </c>
      <c r="D862" s="266">
        <v>0</v>
      </c>
      <c r="E862" s="266">
        <v>0</v>
      </c>
      <c r="F862" s="266">
        <v>0</v>
      </c>
      <c r="G862" s="266">
        <v>0</v>
      </c>
      <c r="H862" s="266">
        <v>0</v>
      </c>
      <c r="I862" s="266">
        <v>0</v>
      </c>
      <c r="J862" s="266">
        <v>0</v>
      </c>
      <c r="K862" s="266">
        <v>0</v>
      </c>
      <c r="L862" s="267">
        <v>0</v>
      </c>
      <c r="M862" s="266">
        <v>0</v>
      </c>
      <c r="N862" s="266">
        <v>0</v>
      </c>
      <c r="O862" s="266">
        <v>0</v>
      </c>
      <c r="P862" s="266">
        <v>0</v>
      </c>
      <c r="Q862" s="266">
        <v>0</v>
      </c>
      <c r="R862" s="266">
        <v>0</v>
      </c>
      <c r="S862" s="266">
        <v>0</v>
      </c>
      <c r="T862" s="266">
        <v>0</v>
      </c>
      <c r="U862" s="266">
        <v>0</v>
      </c>
      <c r="V862" s="266">
        <v>0</v>
      </c>
      <c r="W862" s="266">
        <v>0</v>
      </c>
      <c r="X862" s="266">
        <v>0</v>
      </c>
      <c r="Y862" s="266">
        <v>0</v>
      </c>
      <c r="Z862" s="266"/>
      <c r="AA862" s="266">
        <v>0</v>
      </c>
      <c r="AB862" s="266">
        <v>0</v>
      </c>
      <c r="AC862" s="266">
        <v>0</v>
      </c>
      <c r="AD862" s="266">
        <v>0</v>
      </c>
      <c r="AE862" s="266">
        <v>0</v>
      </c>
      <c r="AF862" s="266">
        <v>0</v>
      </c>
      <c r="AG862" s="266">
        <v>0</v>
      </c>
      <c r="AH862" s="266">
        <v>0</v>
      </c>
      <c r="AI862" s="266">
        <v>0</v>
      </c>
      <c r="AJ862" s="266">
        <v>0</v>
      </c>
      <c r="AK862" s="266">
        <v>0</v>
      </c>
      <c r="AL862" s="266">
        <v>0</v>
      </c>
      <c r="AM862" s="244"/>
      <c r="AN862" s="244"/>
      <c r="AO862" s="244"/>
      <c r="AP862" s="244"/>
      <c r="AQ862" s="244"/>
      <c r="AR862" s="244"/>
      <c r="AS862" s="255"/>
      <c r="AT862" s="244"/>
      <c r="AU862" s="244"/>
      <c r="AV862" s="244"/>
      <c r="AW862" s="244"/>
      <c r="AX862" s="244"/>
      <c r="AY862" s="244"/>
      <c r="AZ862" s="255"/>
      <c r="BA862" s="244"/>
      <c r="BB862" s="244"/>
      <c r="BC862" s="244"/>
      <c r="BD862" s="244"/>
      <c r="BE862" s="244"/>
      <c r="BF862" s="244"/>
      <c r="BG862" s="244"/>
      <c r="BH862" s="255"/>
      <c r="BI862" s="244"/>
      <c r="BJ862" s="244"/>
      <c r="BK862" s="244"/>
      <c r="BL862" s="244"/>
      <c r="BM862" s="244"/>
      <c r="BN862" s="244"/>
      <c r="BO862" s="244"/>
      <c r="BP862" s="244"/>
      <c r="BQ862" s="244"/>
      <c r="BR862" s="244"/>
      <c r="BS862" s="244"/>
      <c r="BT862" s="244"/>
      <c r="BU862" s="244"/>
      <c r="BV862" s="244"/>
      <c r="BW862" s="244"/>
      <c r="BX862" s="244"/>
      <c r="BY862" s="244"/>
      <c r="BZ862" s="244"/>
      <c r="CA862" s="244"/>
      <c r="CB862" s="244"/>
      <c r="CC862" s="244"/>
      <c r="CD862" s="255"/>
      <c r="CE862" s="244"/>
      <c r="CF862" s="244"/>
      <c r="CG862" s="244"/>
      <c r="CH862" s="244"/>
      <c r="CI862" s="244"/>
      <c r="CJ862" s="244"/>
      <c r="CK862" s="244"/>
      <c r="CL862" s="244"/>
      <c r="CM862" s="244"/>
      <c r="CN862" s="244"/>
      <c r="CO862" s="244"/>
      <c r="CP862" s="244"/>
      <c r="CQ862" s="244"/>
      <c r="CR862" s="244"/>
      <c r="CS862" s="244"/>
      <c r="CT862" s="244"/>
      <c r="CU862" s="244"/>
      <c r="CV862" s="244"/>
      <c r="CW862" s="255"/>
    </row>
    <row r="863" spans="1:101">
      <c r="B863" s="221" t="s">
        <v>55</v>
      </c>
      <c r="C863" s="266">
        <v>0</v>
      </c>
      <c r="D863" s="266">
        <v>0</v>
      </c>
      <c r="E863" s="266">
        <v>0</v>
      </c>
      <c r="F863" s="266">
        <v>0</v>
      </c>
      <c r="G863" s="266">
        <v>0</v>
      </c>
      <c r="H863" s="266">
        <v>0</v>
      </c>
      <c r="I863" s="266">
        <v>0</v>
      </c>
      <c r="J863" s="266">
        <v>0</v>
      </c>
      <c r="K863" s="266">
        <v>0</v>
      </c>
      <c r="L863" s="267">
        <v>0</v>
      </c>
      <c r="M863" s="266">
        <v>0</v>
      </c>
      <c r="N863" s="266">
        <v>0</v>
      </c>
      <c r="O863" s="266">
        <v>0</v>
      </c>
      <c r="P863" s="266">
        <v>0</v>
      </c>
      <c r="Q863" s="266">
        <v>0</v>
      </c>
      <c r="R863" s="266">
        <v>0</v>
      </c>
      <c r="S863" s="266">
        <v>0</v>
      </c>
      <c r="T863" s="266">
        <v>0</v>
      </c>
      <c r="U863" s="266">
        <v>0</v>
      </c>
      <c r="V863" s="266">
        <v>0</v>
      </c>
      <c r="W863" s="266">
        <v>0</v>
      </c>
      <c r="X863" s="266">
        <v>0</v>
      </c>
      <c r="Y863" s="266">
        <v>0</v>
      </c>
      <c r="Z863" s="266"/>
      <c r="AA863" s="266">
        <v>0</v>
      </c>
      <c r="AB863" s="266">
        <v>0</v>
      </c>
      <c r="AC863" s="266">
        <v>0</v>
      </c>
      <c r="AD863" s="266">
        <v>0</v>
      </c>
      <c r="AE863" s="266">
        <v>0</v>
      </c>
      <c r="AF863" s="266">
        <v>0</v>
      </c>
      <c r="AG863" s="266">
        <v>0</v>
      </c>
      <c r="AH863" s="266">
        <v>0</v>
      </c>
      <c r="AI863" s="266">
        <v>0</v>
      </c>
      <c r="AJ863" s="266">
        <v>0</v>
      </c>
      <c r="AK863" s="266">
        <v>0</v>
      </c>
      <c r="AL863" s="266">
        <v>0</v>
      </c>
      <c r="AM863" s="244"/>
      <c r="AN863" s="244"/>
      <c r="AO863" s="244"/>
      <c r="AP863" s="244"/>
      <c r="AQ863" s="244"/>
      <c r="AR863" s="244"/>
      <c r="AS863" s="255"/>
      <c r="AT863" s="244"/>
      <c r="AU863" s="244"/>
      <c r="AV863" s="244"/>
      <c r="AW863" s="244"/>
      <c r="AX863" s="244"/>
      <c r="AY863" s="244"/>
      <c r="AZ863" s="255"/>
      <c r="BA863" s="244"/>
      <c r="BB863" s="244"/>
      <c r="BC863" s="244"/>
      <c r="BD863" s="244"/>
      <c r="BE863" s="244"/>
      <c r="BF863" s="244"/>
      <c r="BG863" s="244"/>
      <c r="BH863" s="255"/>
      <c r="BI863" s="244"/>
      <c r="BJ863" s="244"/>
      <c r="BK863" s="244"/>
      <c r="BL863" s="244"/>
      <c r="BM863" s="244"/>
      <c r="BN863" s="244"/>
      <c r="BO863" s="244"/>
      <c r="BP863" s="244"/>
      <c r="BQ863" s="244"/>
      <c r="BR863" s="244"/>
      <c r="BS863" s="244"/>
      <c r="BT863" s="244"/>
      <c r="BU863" s="244"/>
      <c r="BV863" s="244"/>
      <c r="BW863" s="244"/>
      <c r="BX863" s="244"/>
      <c r="BY863" s="244"/>
      <c r="BZ863" s="244"/>
      <c r="CA863" s="244"/>
      <c r="CB863" s="244"/>
      <c r="CC863" s="244"/>
      <c r="CD863" s="255"/>
      <c r="CE863" s="244"/>
      <c r="CF863" s="244"/>
      <c r="CG863" s="244"/>
      <c r="CH863" s="244"/>
      <c r="CI863" s="244"/>
      <c r="CJ863" s="244"/>
      <c r="CK863" s="244"/>
      <c r="CL863" s="244"/>
      <c r="CM863" s="244"/>
      <c r="CN863" s="244"/>
      <c r="CO863" s="244"/>
      <c r="CP863" s="244"/>
      <c r="CQ863" s="244"/>
      <c r="CR863" s="244"/>
      <c r="CS863" s="244"/>
      <c r="CT863" s="244"/>
      <c r="CU863" s="244"/>
      <c r="CV863" s="244"/>
      <c r="CW863" s="255"/>
    </row>
    <row r="864" spans="1:101">
      <c r="B864" s="221" t="s">
        <v>56</v>
      </c>
      <c r="C864" s="266">
        <v>0</v>
      </c>
      <c r="D864" s="266">
        <v>0</v>
      </c>
      <c r="E864" s="266">
        <v>0</v>
      </c>
      <c r="F864" s="266">
        <v>0</v>
      </c>
      <c r="G864" s="266">
        <v>0</v>
      </c>
      <c r="H864" s="266">
        <v>0</v>
      </c>
      <c r="I864" s="266">
        <v>0</v>
      </c>
      <c r="J864" s="266">
        <v>0</v>
      </c>
      <c r="K864" s="266">
        <v>0</v>
      </c>
      <c r="L864" s="267">
        <v>0</v>
      </c>
      <c r="M864" s="266">
        <v>0</v>
      </c>
      <c r="N864" s="266">
        <v>0</v>
      </c>
      <c r="O864" s="266">
        <v>0</v>
      </c>
      <c r="P864" s="266">
        <v>0</v>
      </c>
      <c r="Q864" s="266">
        <v>0</v>
      </c>
      <c r="R864" s="266">
        <v>0</v>
      </c>
      <c r="S864" s="266">
        <v>0</v>
      </c>
      <c r="T864" s="266">
        <v>0</v>
      </c>
      <c r="U864" s="266">
        <v>0</v>
      </c>
      <c r="V864" s="266">
        <v>0</v>
      </c>
      <c r="W864" s="266">
        <v>0</v>
      </c>
      <c r="X864" s="266">
        <v>0</v>
      </c>
      <c r="Y864" s="266">
        <v>0</v>
      </c>
      <c r="Z864" s="266"/>
      <c r="AA864" s="266">
        <v>0</v>
      </c>
      <c r="AB864" s="266">
        <v>0</v>
      </c>
      <c r="AC864" s="266">
        <v>0</v>
      </c>
      <c r="AD864" s="266">
        <v>0</v>
      </c>
      <c r="AE864" s="266">
        <v>0</v>
      </c>
      <c r="AF864" s="266">
        <v>0</v>
      </c>
      <c r="AG864" s="266">
        <v>0</v>
      </c>
      <c r="AH864" s="266">
        <v>0</v>
      </c>
      <c r="AI864" s="266">
        <v>0</v>
      </c>
      <c r="AJ864" s="266">
        <v>0</v>
      </c>
      <c r="AK864" s="266">
        <v>0</v>
      </c>
      <c r="AL864" s="266">
        <v>0</v>
      </c>
      <c r="AM864" s="244"/>
      <c r="AN864" s="244"/>
      <c r="AO864" s="244"/>
      <c r="AP864" s="244"/>
      <c r="AQ864" s="244"/>
      <c r="AR864" s="244"/>
      <c r="AS864" s="255"/>
      <c r="AT864" s="244"/>
      <c r="AU864" s="244"/>
      <c r="AV864" s="244"/>
      <c r="AW864" s="244"/>
      <c r="AX864" s="244"/>
      <c r="AY864" s="244"/>
      <c r="AZ864" s="255"/>
      <c r="BA864" s="244"/>
      <c r="BB864" s="244"/>
      <c r="BC864" s="244"/>
      <c r="BD864" s="244"/>
      <c r="BE864" s="244"/>
      <c r="BF864" s="244"/>
      <c r="BG864" s="244"/>
      <c r="BH864" s="255"/>
      <c r="BI864" s="244"/>
      <c r="BJ864" s="244"/>
      <c r="BK864" s="244"/>
      <c r="BL864" s="244"/>
      <c r="BM864" s="244"/>
      <c r="BN864" s="244"/>
      <c r="BO864" s="244"/>
      <c r="BP864" s="244"/>
      <c r="BQ864" s="244"/>
      <c r="BR864" s="244"/>
      <c r="BS864" s="244"/>
      <c r="BT864" s="244"/>
      <c r="BU864" s="244"/>
      <c r="BV864" s="244"/>
      <c r="BW864" s="244"/>
      <c r="BX864" s="244"/>
      <c r="BY864" s="244"/>
      <c r="BZ864" s="244"/>
      <c r="CA864" s="244"/>
      <c r="CB864" s="244"/>
      <c r="CC864" s="244"/>
      <c r="CD864" s="255"/>
      <c r="CE864" s="244"/>
      <c r="CF864" s="244"/>
      <c r="CG864" s="244"/>
      <c r="CH864" s="244"/>
      <c r="CI864" s="244"/>
      <c r="CJ864" s="244"/>
      <c r="CK864" s="244"/>
      <c r="CL864" s="244"/>
      <c r="CM864" s="244"/>
      <c r="CN864" s="244"/>
      <c r="CO864" s="244"/>
      <c r="CP864" s="244"/>
      <c r="CQ864" s="244"/>
      <c r="CR864" s="244"/>
      <c r="CS864" s="244"/>
      <c r="CT864" s="244"/>
      <c r="CU864" s="244"/>
      <c r="CV864" s="244"/>
      <c r="CW864" s="255"/>
    </row>
    <row r="865" spans="2:101">
      <c r="B865" s="221" t="s">
        <v>57</v>
      </c>
      <c r="C865" s="266">
        <v>0</v>
      </c>
      <c r="D865" s="266">
        <v>0</v>
      </c>
      <c r="E865" s="266">
        <v>0</v>
      </c>
      <c r="F865" s="266">
        <v>0</v>
      </c>
      <c r="G865" s="266">
        <v>0</v>
      </c>
      <c r="H865" s="266">
        <v>0</v>
      </c>
      <c r="I865" s="266">
        <v>0</v>
      </c>
      <c r="J865" s="266">
        <v>0</v>
      </c>
      <c r="K865" s="266">
        <v>0</v>
      </c>
      <c r="L865" s="267">
        <v>0</v>
      </c>
      <c r="M865" s="266">
        <v>0</v>
      </c>
      <c r="N865" s="266">
        <v>0</v>
      </c>
      <c r="O865" s="266">
        <v>0</v>
      </c>
      <c r="P865" s="266">
        <v>0</v>
      </c>
      <c r="Q865" s="266">
        <v>0</v>
      </c>
      <c r="R865" s="266">
        <v>0</v>
      </c>
      <c r="S865" s="266">
        <v>0</v>
      </c>
      <c r="T865" s="266">
        <v>0</v>
      </c>
      <c r="U865" s="266">
        <v>0</v>
      </c>
      <c r="V865" s="266">
        <v>0</v>
      </c>
      <c r="W865" s="266">
        <v>0</v>
      </c>
      <c r="X865" s="266">
        <v>0</v>
      </c>
      <c r="Y865" s="266">
        <v>0</v>
      </c>
      <c r="Z865" s="266"/>
      <c r="AA865" s="266">
        <v>0</v>
      </c>
      <c r="AB865" s="266">
        <v>0</v>
      </c>
      <c r="AC865" s="266">
        <v>0</v>
      </c>
      <c r="AD865" s="266">
        <v>0</v>
      </c>
      <c r="AE865" s="266">
        <v>0</v>
      </c>
      <c r="AF865" s="266">
        <v>0</v>
      </c>
      <c r="AG865" s="266">
        <v>0</v>
      </c>
      <c r="AH865" s="266">
        <v>0</v>
      </c>
      <c r="AI865" s="266">
        <v>0</v>
      </c>
      <c r="AJ865" s="266">
        <v>0</v>
      </c>
      <c r="AK865" s="266">
        <v>0</v>
      </c>
      <c r="AL865" s="266">
        <v>0</v>
      </c>
      <c r="AM865" s="244"/>
      <c r="AN865" s="244"/>
      <c r="AO865" s="244"/>
      <c r="AP865" s="244"/>
      <c r="AQ865" s="244"/>
      <c r="AR865" s="244"/>
      <c r="AS865" s="255"/>
      <c r="AT865" s="244"/>
      <c r="AU865" s="244"/>
      <c r="AV865" s="244"/>
      <c r="AW865" s="244"/>
      <c r="AX865" s="244"/>
      <c r="AY865" s="244"/>
      <c r="AZ865" s="255"/>
      <c r="BA865" s="244"/>
      <c r="BB865" s="244"/>
      <c r="BC865" s="244"/>
      <c r="BD865" s="244"/>
      <c r="BE865" s="244"/>
      <c r="BF865" s="244"/>
      <c r="BG865" s="244"/>
      <c r="BH865" s="255"/>
      <c r="BI865" s="244"/>
      <c r="BJ865" s="244"/>
      <c r="BK865" s="244"/>
      <c r="BL865" s="244"/>
      <c r="BM865" s="244"/>
      <c r="BN865" s="244"/>
      <c r="BO865" s="244"/>
      <c r="BP865" s="244"/>
      <c r="BQ865" s="244"/>
      <c r="BR865" s="244"/>
      <c r="BS865" s="244"/>
      <c r="BT865" s="244"/>
      <c r="BU865" s="244"/>
      <c r="BV865" s="244"/>
      <c r="BW865" s="244"/>
      <c r="BX865" s="244"/>
      <c r="BY865" s="244"/>
      <c r="BZ865" s="244"/>
      <c r="CA865" s="244"/>
      <c r="CB865" s="244"/>
      <c r="CC865" s="244"/>
      <c r="CD865" s="255"/>
      <c r="CE865" s="244"/>
      <c r="CF865" s="244"/>
      <c r="CG865" s="244"/>
      <c r="CH865" s="244"/>
      <c r="CI865" s="244"/>
      <c r="CJ865" s="244"/>
      <c r="CK865" s="244"/>
      <c r="CL865" s="244"/>
      <c r="CM865" s="244"/>
      <c r="CN865" s="244"/>
      <c r="CO865" s="244"/>
      <c r="CP865" s="244"/>
      <c r="CQ865" s="244"/>
      <c r="CR865" s="244"/>
      <c r="CS865" s="244"/>
      <c r="CT865" s="244"/>
      <c r="CU865" s="244"/>
      <c r="CV865" s="244"/>
      <c r="CW865" s="255"/>
    </row>
    <row r="866" spans="2:101">
      <c r="B866" s="221" t="s">
        <v>58</v>
      </c>
      <c r="C866" s="266">
        <v>0</v>
      </c>
      <c r="D866" s="266">
        <v>0</v>
      </c>
      <c r="E866" s="266">
        <v>0</v>
      </c>
      <c r="F866" s="266">
        <v>0</v>
      </c>
      <c r="G866" s="266">
        <v>0</v>
      </c>
      <c r="H866" s="266">
        <v>0</v>
      </c>
      <c r="I866" s="266">
        <v>0</v>
      </c>
      <c r="J866" s="266">
        <v>0</v>
      </c>
      <c r="K866" s="266">
        <v>0</v>
      </c>
      <c r="L866" s="267">
        <v>0</v>
      </c>
      <c r="M866" s="266">
        <v>0</v>
      </c>
      <c r="N866" s="266">
        <v>0</v>
      </c>
      <c r="O866" s="266">
        <v>0</v>
      </c>
      <c r="P866" s="266">
        <v>0</v>
      </c>
      <c r="Q866" s="266">
        <v>0</v>
      </c>
      <c r="R866" s="266">
        <v>0</v>
      </c>
      <c r="S866" s="266">
        <v>0</v>
      </c>
      <c r="T866" s="266">
        <v>0</v>
      </c>
      <c r="U866" s="266">
        <v>0</v>
      </c>
      <c r="V866" s="266">
        <v>0</v>
      </c>
      <c r="W866" s="266">
        <v>0</v>
      </c>
      <c r="X866" s="266">
        <v>0</v>
      </c>
      <c r="Y866" s="266">
        <v>0</v>
      </c>
      <c r="Z866" s="266"/>
      <c r="AA866" s="266">
        <v>0</v>
      </c>
      <c r="AB866" s="266">
        <v>0</v>
      </c>
      <c r="AC866" s="266">
        <v>0</v>
      </c>
      <c r="AD866" s="266">
        <v>0</v>
      </c>
      <c r="AE866" s="266">
        <v>0</v>
      </c>
      <c r="AF866" s="266">
        <v>0</v>
      </c>
      <c r="AG866" s="266">
        <v>0</v>
      </c>
      <c r="AH866" s="266">
        <v>0</v>
      </c>
      <c r="AI866" s="266">
        <v>0</v>
      </c>
      <c r="AJ866" s="266">
        <v>0</v>
      </c>
      <c r="AK866" s="266">
        <v>0</v>
      </c>
      <c r="AL866" s="266">
        <v>0</v>
      </c>
      <c r="AM866" s="244"/>
      <c r="AN866" s="244"/>
      <c r="AO866" s="244"/>
      <c r="AP866" s="244"/>
      <c r="AQ866" s="244"/>
      <c r="AR866" s="244"/>
      <c r="AS866" s="255"/>
      <c r="AT866" s="244"/>
      <c r="AU866" s="244"/>
      <c r="AV866" s="244"/>
      <c r="AW866" s="244"/>
      <c r="AX866" s="244"/>
      <c r="AY866" s="244"/>
      <c r="AZ866" s="255"/>
      <c r="BA866" s="244"/>
      <c r="BB866" s="244"/>
      <c r="BC866" s="244"/>
      <c r="BD866" s="244"/>
      <c r="BE866" s="244"/>
      <c r="BF866" s="244"/>
      <c r="BG866" s="244"/>
      <c r="BH866" s="255"/>
      <c r="BI866" s="244"/>
      <c r="BJ866" s="244"/>
      <c r="BK866" s="244"/>
      <c r="BL866" s="244"/>
      <c r="BM866" s="244"/>
      <c r="BN866" s="244"/>
      <c r="BO866" s="244"/>
      <c r="BP866" s="244"/>
      <c r="BQ866" s="244"/>
      <c r="BR866" s="244"/>
      <c r="BS866" s="244"/>
      <c r="BT866" s="244"/>
      <c r="BU866" s="244"/>
      <c r="BV866" s="244"/>
      <c r="BW866" s="244"/>
      <c r="BX866" s="244"/>
      <c r="BY866" s="244"/>
      <c r="BZ866" s="244"/>
      <c r="CA866" s="244"/>
      <c r="CB866" s="244"/>
      <c r="CC866" s="244"/>
      <c r="CD866" s="255"/>
      <c r="CE866" s="244"/>
      <c r="CF866" s="244"/>
      <c r="CG866" s="244"/>
      <c r="CH866" s="244"/>
      <c r="CI866" s="244"/>
      <c r="CJ866" s="244"/>
      <c r="CK866" s="244"/>
      <c r="CL866" s="244"/>
      <c r="CM866" s="244"/>
      <c r="CN866" s="244"/>
      <c r="CO866" s="244"/>
      <c r="CP866" s="244"/>
      <c r="CQ866" s="244"/>
      <c r="CR866" s="244"/>
      <c r="CS866" s="244"/>
      <c r="CT866" s="244"/>
      <c r="CU866" s="244"/>
      <c r="CV866" s="244"/>
      <c r="CW866" s="255"/>
    </row>
    <row r="867" spans="2:101">
      <c r="B867" s="221" t="s">
        <v>59</v>
      </c>
      <c r="C867" s="266">
        <v>0</v>
      </c>
      <c r="D867" s="266">
        <v>0</v>
      </c>
      <c r="E867" s="266">
        <v>0</v>
      </c>
      <c r="F867" s="266">
        <v>0</v>
      </c>
      <c r="G867" s="266">
        <v>0</v>
      </c>
      <c r="H867" s="266">
        <v>0</v>
      </c>
      <c r="I867" s="266">
        <v>0</v>
      </c>
      <c r="J867" s="266">
        <v>0</v>
      </c>
      <c r="K867" s="266">
        <v>0</v>
      </c>
      <c r="L867" s="267">
        <v>0</v>
      </c>
      <c r="M867" s="266">
        <v>0</v>
      </c>
      <c r="N867" s="266">
        <v>0</v>
      </c>
      <c r="O867" s="266">
        <v>0</v>
      </c>
      <c r="P867" s="266">
        <v>0</v>
      </c>
      <c r="Q867" s="266">
        <v>0</v>
      </c>
      <c r="R867" s="266">
        <v>0</v>
      </c>
      <c r="S867" s="266">
        <v>0</v>
      </c>
      <c r="T867" s="266">
        <v>0</v>
      </c>
      <c r="U867" s="266">
        <v>0</v>
      </c>
      <c r="V867" s="266">
        <v>0</v>
      </c>
      <c r="W867" s="266">
        <v>0</v>
      </c>
      <c r="X867" s="266">
        <v>0</v>
      </c>
      <c r="Y867" s="266">
        <v>0</v>
      </c>
      <c r="Z867" s="266"/>
      <c r="AA867" s="266">
        <v>0</v>
      </c>
      <c r="AB867" s="266">
        <v>0</v>
      </c>
      <c r="AC867" s="266">
        <v>0</v>
      </c>
      <c r="AD867" s="266">
        <v>0</v>
      </c>
      <c r="AE867" s="266">
        <v>0</v>
      </c>
      <c r="AF867" s="266">
        <v>0</v>
      </c>
      <c r="AG867" s="266">
        <v>0</v>
      </c>
      <c r="AH867" s="266">
        <v>0</v>
      </c>
      <c r="AI867" s="266">
        <v>0</v>
      </c>
      <c r="AJ867" s="266">
        <v>0</v>
      </c>
      <c r="AK867" s="266">
        <v>0</v>
      </c>
      <c r="AL867" s="266">
        <v>0</v>
      </c>
      <c r="AM867" s="244"/>
      <c r="AN867" s="244"/>
      <c r="AO867" s="244"/>
      <c r="AP867" s="244"/>
      <c r="AQ867" s="244"/>
      <c r="AR867" s="244"/>
      <c r="AS867" s="255"/>
      <c r="AT867" s="244"/>
      <c r="AU867" s="244"/>
      <c r="AV867" s="244"/>
      <c r="AW867" s="244"/>
      <c r="AX867" s="244"/>
      <c r="AY867" s="244"/>
      <c r="AZ867" s="255"/>
      <c r="BA867" s="244"/>
      <c r="BB867" s="244"/>
      <c r="BC867" s="244"/>
      <c r="BD867" s="244"/>
      <c r="BE867" s="244"/>
      <c r="BF867" s="244"/>
      <c r="BG867" s="244"/>
      <c r="BH867" s="255"/>
      <c r="BI867" s="244"/>
      <c r="BJ867" s="244"/>
      <c r="BK867" s="244"/>
      <c r="BL867" s="244"/>
      <c r="BM867" s="244"/>
      <c r="BN867" s="244"/>
      <c r="BO867" s="244"/>
      <c r="BP867" s="244"/>
      <c r="BQ867" s="244"/>
      <c r="BR867" s="244"/>
      <c r="BS867" s="244"/>
      <c r="BT867" s="244"/>
      <c r="BU867" s="244"/>
      <c r="BV867" s="244"/>
      <c r="BW867" s="244"/>
      <c r="BX867" s="244"/>
      <c r="BY867" s="244"/>
      <c r="BZ867" s="244"/>
      <c r="CA867" s="244"/>
      <c r="CB867" s="244"/>
      <c r="CC867" s="244"/>
      <c r="CD867" s="255"/>
      <c r="CE867" s="244"/>
      <c r="CF867" s="244"/>
      <c r="CG867" s="244"/>
      <c r="CH867" s="244"/>
      <c r="CI867" s="244"/>
      <c r="CJ867" s="244"/>
      <c r="CK867" s="244"/>
      <c r="CL867" s="244"/>
      <c r="CM867" s="244"/>
      <c r="CN867" s="244"/>
      <c r="CO867" s="244"/>
      <c r="CP867" s="244"/>
      <c r="CQ867" s="244"/>
      <c r="CR867" s="244"/>
      <c r="CS867" s="244"/>
      <c r="CT867" s="244"/>
      <c r="CU867" s="244"/>
      <c r="CV867" s="244"/>
      <c r="CW867" s="255"/>
    </row>
    <row r="868" spans="2:101">
      <c r="B868" s="221" t="s">
        <v>60</v>
      </c>
      <c r="C868" s="266">
        <v>0</v>
      </c>
      <c r="D868" s="266">
        <v>0</v>
      </c>
      <c r="E868" s="266">
        <v>0</v>
      </c>
      <c r="F868" s="266">
        <v>0</v>
      </c>
      <c r="G868" s="266">
        <v>0</v>
      </c>
      <c r="H868" s="266">
        <v>0</v>
      </c>
      <c r="I868" s="266">
        <v>0</v>
      </c>
      <c r="J868" s="266">
        <v>0</v>
      </c>
      <c r="K868" s="266">
        <v>0</v>
      </c>
      <c r="L868" s="267">
        <v>0</v>
      </c>
      <c r="M868" s="266">
        <v>0</v>
      </c>
      <c r="N868" s="266">
        <v>0</v>
      </c>
      <c r="O868" s="266">
        <v>0</v>
      </c>
      <c r="P868" s="266">
        <v>0</v>
      </c>
      <c r="Q868" s="266">
        <v>0</v>
      </c>
      <c r="R868" s="266">
        <v>0</v>
      </c>
      <c r="S868" s="266">
        <v>0</v>
      </c>
      <c r="T868" s="266">
        <v>0</v>
      </c>
      <c r="U868" s="266">
        <v>0</v>
      </c>
      <c r="V868" s="266">
        <v>0</v>
      </c>
      <c r="W868" s="266">
        <v>0</v>
      </c>
      <c r="X868" s="266">
        <v>0</v>
      </c>
      <c r="Y868" s="266">
        <v>0</v>
      </c>
      <c r="Z868" s="266"/>
      <c r="AA868" s="266">
        <v>0</v>
      </c>
      <c r="AB868" s="266">
        <v>0</v>
      </c>
      <c r="AC868" s="266">
        <v>0</v>
      </c>
      <c r="AD868" s="266">
        <v>0</v>
      </c>
      <c r="AE868" s="266">
        <v>0</v>
      </c>
      <c r="AF868" s="266">
        <v>0</v>
      </c>
      <c r="AG868" s="266">
        <v>0</v>
      </c>
      <c r="AH868" s="266">
        <v>0</v>
      </c>
      <c r="AI868" s="266">
        <v>0</v>
      </c>
      <c r="AJ868" s="266">
        <v>0</v>
      </c>
      <c r="AK868" s="266">
        <v>0</v>
      </c>
      <c r="AL868" s="266">
        <v>0</v>
      </c>
      <c r="AM868" s="244"/>
      <c r="AN868" s="244"/>
      <c r="AO868" s="244"/>
      <c r="AP868" s="244"/>
      <c r="AQ868" s="244"/>
      <c r="AR868" s="244"/>
      <c r="AS868" s="255"/>
      <c r="AT868" s="244"/>
      <c r="AU868" s="244"/>
      <c r="AV868" s="244"/>
      <c r="AW868" s="244"/>
      <c r="AX868" s="244"/>
      <c r="AY868" s="244"/>
      <c r="AZ868" s="255"/>
      <c r="BA868" s="244"/>
      <c r="BB868" s="244"/>
      <c r="BC868" s="244"/>
      <c r="BD868" s="244"/>
      <c r="BE868" s="244"/>
      <c r="BF868" s="244"/>
      <c r="BG868" s="244"/>
      <c r="BH868" s="255"/>
      <c r="BI868" s="244"/>
      <c r="BJ868" s="244"/>
      <c r="BK868" s="244"/>
      <c r="BL868" s="244"/>
      <c r="BM868" s="244"/>
      <c r="BN868" s="244"/>
      <c r="BO868" s="244"/>
      <c r="BP868" s="244"/>
      <c r="BQ868" s="244"/>
      <c r="BR868" s="244"/>
      <c r="BS868" s="244"/>
      <c r="BT868" s="244"/>
      <c r="BU868" s="244"/>
      <c r="BV868" s="244"/>
      <c r="BW868" s="244"/>
      <c r="BX868" s="244"/>
      <c r="BY868" s="244"/>
      <c r="BZ868" s="244"/>
      <c r="CA868" s="244"/>
      <c r="CB868" s="244"/>
      <c r="CC868" s="244"/>
      <c r="CD868" s="255"/>
      <c r="CE868" s="244"/>
      <c r="CF868" s="244"/>
      <c r="CG868" s="244"/>
      <c r="CH868" s="244"/>
      <c r="CI868" s="244"/>
      <c r="CJ868" s="244"/>
      <c r="CK868" s="244"/>
      <c r="CL868" s="244"/>
      <c r="CM868" s="244"/>
      <c r="CN868" s="244"/>
      <c r="CO868" s="244"/>
      <c r="CP868" s="244"/>
      <c r="CQ868" s="244"/>
      <c r="CR868" s="244"/>
      <c r="CS868" s="244"/>
      <c r="CT868" s="244"/>
      <c r="CU868" s="244"/>
      <c r="CV868" s="244"/>
      <c r="CW868" s="255"/>
    </row>
    <row r="869" spans="2:101">
      <c r="B869" s="221" t="s">
        <v>61</v>
      </c>
      <c r="C869" s="266">
        <v>0</v>
      </c>
      <c r="D869" s="266">
        <v>0</v>
      </c>
      <c r="E869" s="266">
        <v>0</v>
      </c>
      <c r="F869" s="266">
        <v>0</v>
      </c>
      <c r="G869" s="266">
        <v>0</v>
      </c>
      <c r="H869" s="266">
        <v>0</v>
      </c>
      <c r="I869" s="266">
        <v>0</v>
      </c>
      <c r="J869" s="266">
        <v>0</v>
      </c>
      <c r="K869" s="266">
        <v>0</v>
      </c>
      <c r="L869" s="267">
        <v>0</v>
      </c>
      <c r="M869" s="266">
        <v>0</v>
      </c>
      <c r="N869" s="266">
        <v>0</v>
      </c>
      <c r="O869" s="266">
        <v>0</v>
      </c>
      <c r="P869" s="266">
        <v>0</v>
      </c>
      <c r="Q869" s="266">
        <v>0</v>
      </c>
      <c r="R869" s="266">
        <v>0</v>
      </c>
      <c r="S869" s="266">
        <v>0</v>
      </c>
      <c r="T869" s="266">
        <v>0</v>
      </c>
      <c r="U869" s="266">
        <v>0</v>
      </c>
      <c r="V869" s="266">
        <v>0</v>
      </c>
      <c r="W869" s="266">
        <v>0</v>
      </c>
      <c r="X869" s="266">
        <v>0</v>
      </c>
      <c r="Y869" s="266">
        <v>0</v>
      </c>
      <c r="Z869" s="266"/>
      <c r="AA869" s="266">
        <v>0</v>
      </c>
      <c r="AB869" s="266">
        <v>0</v>
      </c>
      <c r="AC869" s="266">
        <v>0</v>
      </c>
      <c r="AD869" s="266">
        <v>0</v>
      </c>
      <c r="AE869" s="266">
        <v>0</v>
      </c>
      <c r="AF869" s="266">
        <v>0</v>
      </c>
      <c r="AG869" s="266">
        <v>0</v>
      </c>
      <c r="AH869" s="266">
        <v>0</v>
      </c>
      <c r="AI869" s="266">
        <v>0</v>
      </c>
      <c r="AJ869" s="266">
        <v>0</v>
      </c>
      <c r="AK869" s="266">
        <v>0</v>
      </c>
      <c r="AL869" s="266">
        <v>0</v>
      </c>
      <c r="AM869" s="244"/>
      <c r="AN869" s="244"/>
      <c r="AO869" s="244"/>
      <c r="AP869" s="244"/>
      <c r="AQ869" s="244"/>
      <c r="AR869" s="244"/>
      <c r="AS869" s="255"/>
      <c r="AT869" s="244"/>
      <c r="AU869" s="244"/>
      <c r="AV869" s="244"/>
      <c r="AW869" s="244"/>
      <c r="AX869" s="244"/>
      <c r="AY869" s="244"/>
      <c r="AZ869" s="255"/>
      <c r="BA869" s="244"/>
      <c r="BB869" s="244"/>
      <c r="BC869" s="244"/>
      <c r="BD869" s="244"/>
      <c r="BE869" s="244"/>
      <c r="BF869" s="244"/>
      <c r="BG869" s="244"/>
      <c r="BH869" s="255"/>
      <c r="BI869" s="244"/>
      <c r="BJ869" s="244"/>
      <c r="BK869" s="244"/>
      <c r="BL869" s="244"/>
      <c r="BM869" s="244"/>
      <c r="BN869" s="244"/>
      <c r="BO869" s="244"/>
      <c r="BP869" s="244"/>
      <c r="BQ869" s="244"/>
      <c r="BR869" s="244"/>
      <c r="BS869" s="244"/>
      <c r="BT869" s="244"/>
      <c r="BU869" s="244"/>
      <c r="BV869" s="244"/>
      <c r="BW869" s="244"/>
      <c r="BX869" s="244"/>
      <c r="BY869" s="244"/>
      <c r="BZ869" s="244"/>
      <c r="CA869" s="244"/>
      <c r="CB869" s="244"/>
      <c r="CC869" s="244"/>
      <c r="CD869" s="255"/>
      <c r="CE869" s="244"/>
      <c r="CF869" s="244"/>
      <c r="CG869" s="244"/>
      <c r="CH869" s="244"/>
      <c r="CI869" s="244"/>
      <c r="CJ869" s="244"/>
      <c r="CK869" s="244"/>
      <c r="CL869" s="244"/>
      <c r="CM869" s="244"/>
      <c r="CN869" s="244"/>
      <c r="CO869" s="244"/>
      <c r="CP869" s="244"/>
      <c r="CQ869" s="244"/>
      <c r="CR869" s="244"/>
      <c r="CS869" s="244"/>
      <c r="CT869" s="244"/>
      <c r="CU869" s="244"/>
      <c r="CV869" s="244"/>
      <c r="CW869" s="255"/>
    </row>
    <row r="870" spans="2:101">
      <c r="B870" s="221" t="s">
        <v>62</v>
      </c>
      <c r="C870" s="266">
        <v>0</v>
      </c>
      <c r="D870" s="266">
        <v>0</v>
      </c>
      <c r="E870" s="266">
        <v>0</v>
      </c>
      <c r="F870" s="266">
        <v>0</v>
      </c>
      <c r="G870" s="266">
        <v>0</v>
      </c>
      <c r="H870" s="266">
        <v>0</v>
      </c>
      <c r="I870" s="266">
        <v>0</v>
      </c>
      <c r="J870" s="266">
        <v>0</v>
      </c>
      <c r="K870" s="266">
        <v>0</v>
      </c>
      <c r="L870" s="267">
        <v>0</v>
      </c>
      <c r="M870" s="266">
        <v>0</v>
      </c>
      <c r="N870" s="266">
        <v>0</v>
      </c>
      <c r="O870" s="266">
        <v>0</v>
      </c>
      <c r="P870" s="266">
        <v>0</v>
      </c>
      <c r="Q870" s="266">
        <v>0</v>
      </c>
      <c r="R870" s="266">
        <v>0</v>
      </c>
      <c r="S870" s="266">
        <v>0</v>
      </c>
      <c r="T870" s="266">
        <v>0</v>
      </c>
      <c r="U870" s="266">
        <v>0</v>
      </c>
      <c r="V870" s="266">
        <v>0</v>
      </c>
      <c r="W870" s="266">
        <v>0</v>
      </c>
      <c r="X870" s="266">
        <v>0</v>
      </c>
      <c r="Y870" s="266">
        <v>0</v>
      </c>
      <c r="Z870" s="266"/>
      <c r="AA870" s="266">
        <v>0</v>
      </c>
      <c r="AB870" s="266">
        <v>0</v>
      </c>
      <c r="AC870" s="266">
        <v>0</v>
      </c>
      <c r="AD870" s="266">
        <v>0</v>
      </c>
      <c r="AE870" s="266">
        <v>0</v>
      </c>
      <c r="AF870" s="266">
        <v>0</v>
      </c>
      <c r="AG870" s="266">
        <v>0</v>
      </c>
      <c r="AH870" s="266">
        <v>0</v>
      </c>
      <c r="AI870" s="266">
        <v>0</v>
      </c>
      <c r="AJ870" s="266">
        <v>0</v>
      </c>
      <c r="AK870" s="266">
        <v>0</v>
      </c>
      <c r="AL870" s="266">
        <v>0</v>
      </c>
      <c r="AM870" s="244"/>
      <c r="AN870" s="244"/>
      <c r="AO870" s="244"/>
      <c r="AP870" s="244"/>
      <c r="AQ870" s="244"/>
      <c r="AR870" s="244"/>
      <c r="AS870" s="255"/>
      <c r="AT870" s="244"/>
      <c r="AU870" s="244"/>
      <c r="AV870" s="244"/>
      <c r="AW870" s="244"/>
      <c r="AX870" s="244"/>
      <c r="AY870" s="244"/>
      <c r="AZ870" s="255"/>
      <c r="BA870" s="244"/>
      <c r="BB870" s="244"/>
      <c r="BC870" s="244"/>
      <c r="BD870" s="244"/>
      <c r="BE870" s="244"/>
      <c r="BF870" s="244"/>
      <c r="BG870" s="244"/>
      <c r="BH870" s="255"/>
      <c r="BI870" s="244"/>
      <c r="BJ870" s="244"/>
      <c r="BK870" s="244"/>
      <c r="BL870" s="244"/>
      <c r="BM870" s="244"/>
      <c r="BN870" s="244"/>
      <c r="BO870" s="244"/>
      <c r="BP870" s="244"/>
      <c r="BQ870" s="244"/>
      <c r="BR870" s="244"/>
      <c r="BS870" s="244"/>
      <c r="BT870" s="244"/>
      <c r="BU870" s="244"/>
      <c r="BV870" s="244"/>
      <c r="BW870" s="244"/>
      <c r="BX870" s="244"/>
      <c r="BY870" s="244"/>
      <c r="BZ870" s="244"/>
      <c r="CA870" s="244"/>
      <c r="CB870" s="244"/>
      <c r="CC870" s="244"/>
      <c r="CD870" s="255"/>
      <c r="CE870" s="244"/>
      <c r="CF870" s="244"/>
      <c r="CG870" s="244"/>
      <c r="CH870" s="244"/>
      <c r="CI870" s="244"/>
      <c r="CJ870" s="244"/>
      <c r="CK870" s="244"/>
      <c r="CL870" s="244"/>
      <c r="CM870" s="244"/>
      <c r="CN870" s="244"/>
      <c r="CO870" s="244"/>
      <c r="CP870" s="244"/>
      <c r="CQ870" s="244"/>
      <c r="CR870" s="244"/>
      <c r="CS870" s="244"/>
      <c r="CT870" s="244"/>
      <c r="CU870" s="244"/>
      <c r="CV870" s="244"/>
      <c r="CW870" s="255"/>
    </row>
    <row r="871" spans="2:101">
      <c r="B871" s="221" t="s">
        <v>63</v>
      </c>
      <c r="C871" s="266">
        <v>0</v>
      </c>
      <c r="D871" s="266">
        <v>0</v>
      </c>
      <c r="E871" s="266">
        <v>0</v>
      </c>
      <c r="F871" s="266">
        <v>0</v>
      </c>
      <c r="G871" s="266">
        <v>0</v>
      </c>
      <c r="H871" s="266">
        <v>0</v>
      </c>
      <c r="I871" s="266">
        <v>0</v>
      </c>
      <c r="J871" s="266">
        <v>0</v>
      </c>
      <c r="K871" s="266">
        <v>0</v>
      </c>
      <c r="L871" s="267">
        <v>0</v>
      </c>
      <c r="M871" s="266">
        <v>0</v>
      </c>
      <c r="N871" s="266">
        <v>0</v>
      </c>
      <c r="O871" s="266">
        <v>0</v>
      </c>
      <c r="P871" s="266">
        <v>0</v>
      </c>
      <c r="Q871" s="266">
        <v>0</v>
      </c>
      <c r="R871" s="266">
        <v>0</v>
      </c>
      <c r="S871" s="266">
        <v>0</v>
      </c>
      <c r="T871" s="266">
        <v>0</v>
      </c>
      <c r="U871" s="266">
        <v>0</v>
      </c>
      <c r="V871" s="266">
        <v>0</v>
      </c>
      <c r="W871" s="266">
        <v>0</v>
      </c>
      <c r="X871" s="266">
        <v>0</v>
      </c>
      <c r="Y871" s="266">
        <v>0</v>
      </c>
      <c r="Z871" s="266"/>
      <c r="AA871" s="266">
        <v>0</v>
      </c>
      <c r="AB871" s="266">
        <v>0</v>
      </c>
      <c r="AC871" s="266">
        <v>0</v>
      </c>
      <c r="AD871" s="266">
        <v>0</v>
      </c>
      <c r="AE871" s="266">
        <v>0</v>
      </c>
      <c r="AF871" s="266">
        <v>0</v>
      </c>
      <c r="AG871" s="266">
        <v>0</v>
      </c>
      <c r="AH871" s="266">
        <v>0</v>
      </c>
      <c r="AI871" s="266">
        <v>0</v>
      </c>
      <c r="AJ871" s="266">
        <v>0</v>
      </c>
      <c r="AK871" s="266">
        <v>0</v>
      </c>
      <c r="AL871" s="266">
        <v>0</v>
      </c>
      <c r="AM871" s="244"/>
      <c r="AN871" s="244"/>
      <c r="AO871" s="244"/>
      <c r="AP871" s="244"/>
      <c r="AQ871" s="244"/>
      <c r="AR871" s="244"/>
      <c r="AS871" s="255"/>
      <c r="AT871" s="244"/>
      <c r="AU871" s="244"/>
      <c r="AV871" s="244"/>
      <c r="AW871" s="244"/>
      <c r="AX871" s="244"/>
      <c r="AY871" s="244"/>
      <c r="AZ871" s="255"/>
      <c r="BA871" s="244"/>
      <c r="BB871" s="244"/>
      <c r="BC871" s="244"/>
      <c r="BD871" s="244"/>
      <c r="BE871" s="244"/>
      <c r="BF871" s="244"/>
      <c r="BG871" s="244"/>
      <c r="BH871" s="255"/>
      <c r="BI871" s="244"/>
      <c r="BJ871" s="244"/>
      <c r="BK871" s="244"/>
      <c r="BL871" s="244"/>
      <c r="BM871" s="244"/>
      <c r="BN871" s="244"/>
      <c r="BO871" s="244"/>
      <c r="BP871" s="244"/>
      <c r="BQ871" s="244"/>
      <c r="BR871" s="244"/>
      <c r="BS871" s="244"/>
      <c r="BT871" s="244"/>
      <c r="BU871" s="244"/>
      <c r="BV871" s="244"/>
      <c r="BW871" s="244"/>
      <c r="BX871" s="244"/>
      <c r="BY871" s="244"/>
      <c r="BZ871" s="244"/>
      <c r="CA871" s="244"/>
      <c r="CB871" s="244"/>
      <c r="CC871" s="244"/>
      <c r="CD871" s="255"/>
      <c r="CE871" s="244"/>
      <c r="CF871" s="244"/>
      <c r="CG871" s="244"/>
      <c r="CH871" s="244"/>
      <c r="CI871" s="244"/>
      <c r="CJ871" s="244"/>
      <c r="CK871" s="244"/>
      <c r="CL871" s="244"/>
      <c r="CM871" s="244"/>
      <c r="CN871" s="244"/>
      <c r="CO871" s="244"/>
      <c r="CP871" s="244"/>
      <c r="CQ871" s="244"/>
      <c r="CR871" s="244"/>
      <c r="CS871" s="244"/>
      <c r="CT871" s="244"/>
      <c r="CU871" s="244"/>
      <c r="CV871" s="244"/>
      <c r="CW871" s="255"/>
    </row>
    <row r="872" spans="2:101">
      <c r="B872" s="221" t="s">
        <v>64</v>
      </c>
      <c r="C872" s="266">
        <v>0</v>
      </c>
      <c r="D872" s="266">
        <v>0</v>
      </c>
      <c r="E872" s="266">
        <v>0</v>
      </c>
      <c r="F872" s="266">
        <v>0</v>
      </c>
      <c r="G872" s="266">
        <v>0</v>
      </c>
      <c r="H872" s="266">
        <v>0</v>
      </c>
      <c r="I872" s="266">
        <v>0</v>
      </c>
      <c r="J872" s="266">
        <v>0</v>
      </c>
      <c r="K872" s="266">
        <v>0</v>
      </c>
      <c r="L872" s="267">
        <v>0</v>
      </c>
      <c r="M872" s="266">
        <v>0</v>
      </c>
      <c r="N872" s="266">
        <v>0</v>
      </c>
      <c r="O872" s="266">
        <v>0</v>
      </c>
      <c r="P872" s="266">
        <v>0</v>
      </c>
      <c r="Q872" s="266">
        <v>0</v>
      </c>
      <c r="R872" s="266">
        <v>0</v>
      </c>
      <c r="S872" s="266">
        <v>0</v>
      </c>
      <c r="T872" s="266">
        <v>0</v>
      </c>
      <c r="U872" s="266">
        <v>0</v>
      </c>
      <c r="V872" s="266">
        <v>0</v>
      </c>
      <c r="W872" s="266">
        <v>0</v>
      </c>
      <c r="X872" s="266">
        <v>0</v>
      </c>
      <c r="Y872" s="266">
        <v>0</v>
      </c>
      <c r="Z872" s="266"/>
      <c r="AA872" s="266">
        <v>0</v>
      </c>
      <c r="AB872" s="266">
        <v>0</v>
      </c>
      <c r="AC872" s="266">
        <v>0</v>
      </c>
      <c r="AD872" s="266">
        <v>0</v>
      </c>
      <c r="AE872" s="266">
        <v>0</v>
      </c>
      <c r="AF872" s="266">
        <v>0</v>
      </c>
      <c r="AG872" s="266">
        <v>0</v>
      </c>
      <c r="AH872" s="266">
        <v>0</v>
      </c>
      <c r="AI872" s="266">
        <v>0</v>
      </c>
      <c r="AJ872" s="266">
        <v>0</v>
      </c>
      <c r="AK872" s="266">
        <v>0</v>
      </c>
      <c r="AL872" s="266">
        <v>0</v>
      </c>
      <c r="AM872" s="244"/>
      <c r="AN872" s="244"/>
      <c r="AO872" s="244"/>
      <c r="AP872" s="244"/>
      <c r="AQ872" s="244"/>
      <c r="AR872" s="244"/>
      <c r="AS872" s="255"/>
      <c r="AT872" s="244"/>
      <c r="AU872" s="244"/>
      <c r="AV872" s="244"/>
      <c r="AW872" s="244"/>
      <c r="AX872" s="244"/>
      <c r="AY872" s="244"/>
      <c r="AZ872" s="255"/>
      <c r="BA872" s="244"/>
      <c r="BB872" s="244"/>
      <c r="BC872" s="244"/>
      <c r="BD872" s="244"/>
      <c r="BE872" s="244"/>
      <c r="BF872" s="244"/>
      <c r="BG872" s="244"/>
      <c r="BH872" s="255"/>
      <c r="BI872" s="244"/>
      <c r="BJ872" s="244"/>
      <c r="BK872" s="244"/>
      <c r="BL872" s="244"/>
      <c r="BM872" s="244"/>
      <c r="BN872" s="244"/>
      <c r="BO872" s="244"/>
      <c r="BP872" s="244"/>
      <c r="BQ872" s="244"/>
      <c r="BR872" s="244"/>
      <c r="BS872" s="244"/>
      <c r="BT872" s="244"/>
      <c r="BU872" s="244"/>
      <c r="BV872" s="244"/>
      <c r="BW872" s="244"/>
      <c r="BX872" s="244"/>
      <c r="BY872" s="244"/>
      <c r="BZ872" s="244"/>
      <c r="CA872" s="244"/>
      <c r="CB872" s="244"/>
      <c r="CC872" s="244"/>
      <c r="CD872" s="255"/>
      <c r="CE872" s="244"/>
      <c r="CF872" s="244"/>
      <c r="CG872" s="244"/>
      <c r="CH872" s="244"/>
      <c r="CI872" s="244"/>
      <c r="CJ872" s="244"/>
      <c r="CK872" s="244"/>
      <c r="CL872" s="244"/>
      <c r="CM872" s="244"/>
      <c r="CN872" s="244"/>
      <c r="CO872" s="244"/>
      <c r="CP872" s="244"/>
      <c r="CQ872" s="244"/>
      <c r="CR872" s="244"/>
      <c r="CS872" s="244"/>
      <c r="CT872" s="244"/>
      <c r="CU872" s="244"/>
      <c r="CV872" s="244"/>
      <c r="CW872" s="255"/>
    </row>
    <row r="873" spans="2:101">
      <c r="B873" s="221" t="s">
        <v>65</v>
      </c>
      <c r="C873" s="266">
        <v>0</v>
      </c>
      <c r="D873" s="266">
        <v>0</v>
      </c>
      <c r="E873" s="266">
        <v>0</v>
      </c>
      <c r="F873" s="266">
        <v>0</v>
      </c>
      <c r="G873" s="266">
        <v>0</v>
      </c>
      <c r="H873" s="266">
        <v>0</v>
      </c>
      <c r="I873" s="266">
        <v>0</v>
      </c>
      <c r="J873" s="266">
        <v>0</v>
      </c>
      <c r="K873" s="266">
        <v>0</v>
      </c>
      <c r="L873" s="267">
        <v>0</v>
      </c>
      <c r="M873" s="266">
        <v>0</v>
      </c>
      <c r="N873" s="266">
        <v>0</v>
      </c>
      <c r="O873" s="266">
        <v>0</v>
      </c>
      <c r="P873" s="266">
        <v>0</v>
      </c>
      <c r="Q873" s="266">
        <v>0</v>
      </c>
      <c r="R873" s="266">
        <v>0</v>
      </c>
      <c r="S873" s="266">
        <v>0</v>
      </c>
      <c r="T873" s="266">
        <v>0</v>
      </c>
      <c r="U873" s="266">
        <v>0</v>
      </c>
      <c r="V873" s="266">
        <v>0</v>
      </c>
      <c r="W873" s="266">
        <v>0</v>
      </c>
      <c r="X873" s="266">
        <v>0</v>
      </c>
      <c r="Y873" s="266">
        <v>0</v>
      </c>
      <c r="Z873" s="266"/>
      <c r="AA873" s="266">
        <v>0</v>
      </c>
      <c r="AB873" s="266">
        <v>0</v>
      </c>
      <c r="AC873" s="266">
        <v>0</v>
      </c>
      <c r="AD873" s="266">
        <v>0</v>
      </c>
      <c r="AE873" s="266">
        <v>0</v>
      </c>
      <c r="AF873" s="266">
        <v>0</v>
      </c>
      <c r="AG873" s="266">
        <v>0</v>
      </c>
      <c r="AH873" s="266">
        <v>0</v>
      </c>
      <c r="AI873" s="266">
        <v>0</v>
      </c>
      <c r="AJ873" s="266">
        <v>0</v>
      </c>
      <c r="AK873" s="266">
        <v>0</v>
      </c>
      <c r="AL873" s="266">
        <v>0</v>
      </c>
      <c r="AM873" s="244"/>
      <c r="AN873" s="244"/>
      <c r="AO873" s="244"/>
      <c r="AP873" s="244"/>
      <c r="AQ873" s="244"/>
      <c r="AR873" s="244"/>
      <c r="AS873" s="255"/>
      <c r="AT873" s="244"/>
      <c r="AU873" s="244"/>
      <c r="AV873" s="244"/>
      <c r="AW873" s="244"/>
      <c r="AX873" s="244"/>
      <c r="AY873" s="244"/>
      <c r="AZ873" s="255"/>
      <c r="BA873" s="244"/>
      <c r="BB873" s="244"/>
      <c r="BC873" s="244"/>
      <c r="BD873" s="244"/>
      <c r="BE873" s="244"/>
      <c r="BF873" s="244"/>
      <c r="BG873" s="244"/>
      <c r="BH873" s="255"/>
      <c r="BI873" s="244"/>
      <c r="BJ873" s="244"/>
      <c r="BK873" s="244"/>
      <c r="BL873" s="244"/>
      <c r="BM873" s="244"/>
      <c r="BN873" s="244"/>
      <c r="BO873" s="244"/>
      <c r="BP873" s="244"/>
      <c r="BQ873" s="244"/>
      <c r="BR873" s="244"/>
      <c r="BS873" s="244"/>
      <c r="BT873" s="244"/>
      <c r="BU873" s="244"/>
      <c r="BV873" s="244"/>
      <c r="BW873" s="244"/>
      <c r="BX873" s="244"/>
      <c r="BY873" s="244"/>
      <c r="BZ873" s="244"/>
      <c r="CA873" s="244"/>
      <c r="CB873" s="244"/>
      <c r="CC873" s="244"/>
      <c r="CD873" s="255"/>
      <c r="CE873" s="244"/>
      <c r="CF873" s="244"/>
      <c r="CG873" s="244"/>
      <c r="CH873" s="244"/>
      <c r="CI873" s="244"/>
      <c r="CJ873" s="244"/>
      <c r="CK873" s="244"/>
      <c r="CL873" s="244"/>
      <c r="CM873" s="244"/>
      <c r="CN873" s="244"/>
      <c r="CO873" s="244"/>
      <c r="CP873" s="244"/>
      <c r="CQ873" s="244"/>
      <c r="CR873" s="244"/>
      <c r="CS873" s="244"/>
      <c r="CT873" s="244"/>
      <c r="CU873" s="244"/>
      <c r="CV873" s="244"/>
      <c r="CW873" s="255"/>
    </row>
    <row r="874" spans="2:101">
      <c r="B874" s="221" t="s">
        <v>66</v>
      </c>
      <c r="C874" s="266">
        <v>0</v>
      </c>
      <c r="D874" s="266">
        <v>0</v>
      </c>
      <c r="E874" s="266">
        <v>0</v>
      </c>
      <c r="F874" s="266">
        <v>0</v>
      </c>
      <c r="G874" s="266">
        <v>0</v>
      </c>
      <c r="H874" s="266">
        <v>0</v>
      </c>
      <c r="I874" s="266">
        <v>0</v>
      </c>
      <c r="J874" s="266">
        <v>0</v>
      </c>
      <c r="K874" s="266">
        <v>0</v>
      </c>
      <c r="L874" s="267">
        <v>0</v>
      </c>
      <c r="M874" s="266">
        <v>0</v>
      </c>
      <c r="N874" s="266">
        <v>0</v>
      </c>
      <c r="O874" s="266">
        <v>0</v>
      </c>
      <c r="P874" s="266">
        <v>0</v>
      </c>
      <c r="Q874" s="266">
        <v>0</v>
      </c>
      <c r="R874" s="266">
        <v>0</v>
      </c>
      <c r="S874" s="266">
        <v>0</v>
      </c>
      <c r="T874" s="266">
        <v>0</v>
      </c>
      <c r="U874" s="266">
        <v>0</v>
      </c>
      <c r="V874" s="266">
        <v>0</v>
      </c>
      <c r="W874" s="266">
        <v>0</v>
      </c>
      <c r="X874" s="266">
        <v>0</v>
      </c>
      <c r="Y874" s="266">
        <v>0</v>
      </c>
      <c r="Z874" s="266"/>
      <c r="AA874" s="266">
        <v>0</v>
      </c>
      <c r="AB874" s="266">
        <v>0</v>
      </c>
      <c r="AC874" s="266">
        <v>0</v>
      </c>
      <c r="AD874" s="266">
        <v>0</v>
      </c>
      <c r="AE874" s="266">
        <v>0</v>
      </c>
      <c r="AF874" s="266">
        <v>0</v>
      </c>
      <c r="AG874" s="266">
        <v>0</v>
      </c>
      <c r="AH874" s="266">
        <v>0</v>
      </c>
      <c r="AI874" s="266">
        <v>0</v>
      </c>
      <c r="AJ874" s="266">
        <v>0</v>
      </c>
      <c r="AK874" s="266">
        <v>0</v>
      </c>
      <c r="AL874" s="266">
        <v>0</v>
      </c>
      <c r="AM874" s="244"/>
      <c r="AN874" s="244"/>
      <c r="AO874" s="244"/>
      <c r="AP874" s="244"/>
      <c r="AQ874" s="244"/>
      <c r="AR874" s="244"/>
      <c r="AS874" s="255"/>
      <c r="AT874" s="244"/>
      <c r="AU874" s="244"/>
      <c r="AV874" s="244"/>
      <c r="AW874" s="244"/>
      <c r="AX874" s="244"/>
      <c r="AY874" s="244"/>
      <c r="AZ874" s="255"/>
      <c r="BA874" s="244"/>
      <c r="BB874" s="244"/>
      <c r="BC874" s="244"/>
      <c r="BD874" s="244"/>
      <c r="BE874" s="244"/>
      <c r="BF874" s="244"/>
      <c r="BG874" s="244"/>
      <c r="BH874" s="255"/>
      <c r="BI874" s="244"/>
      <c r="BJ874" s="244"/>
      <c r="BK874" s="244"/>
      <c r="BL874" s="244"/>
      <c r="BM874" s="244"/>
      <c r="BN874" s="244"/>
      <c r="BO874" s="244"/>
      <c r="BP874" s="244"/>
      <c r="BQ874" s="244"/>
      <c r="BR874" s="244"/>
      <c r="BS874" s="244"/>
      <c r="BT874" s="244"/>
      <c r="BU874" s="244"/>
      <c r="BV874" s="244"/>
      <c r="BW874" s="244"/>
      <c r="BX874" s="244"/>
      <c r="BY874" s="244"/>
      <c r="BZ874" s="244"/>
      <c r="CA874" s="244"/>
      <c r="CB874" s="244"/>
      <c r="CC874" s="244"/>
      <c r="CD874" s="255"/>
      <c r="CE874" s="244"/>
      <c r="CF874" s="244"/>
      <c r="CG874" s="244"/>
      <c r="CH874" s="244"/>
      <c r="CI874" s="244"/>
      <c r="CJ874" s="244"/>
      <c r="CK874" s="244"/>
      <c r="CL874" s="244"/>
      <c r="CM874" s="244"/>
      <c r="CN874" s="244"/>
      <c r="CO874" s="244"/>
      <c r="CP874" s="244"/>
      <c r="CQ874" s="244"/>
      <c r="CR874" s="244"/>
      <c r="CS874" s="244"/>
      <c r="CT874" s="244"/>
      <c r="CU874" s="244"/>
      <c r="CV874" s="244"/>
      <c r="CW874" s="255"/>
    </row>
    <row r="875" spans="2:101">
      <c r="B875" s="221" t="s">
        <v>67</v>
      </c>
      <c r="C875" s="266">
        <v>0</v>
      </c>
      <c r="D875" s="266">
        <v>0</v>
      </c>
      <c r="E875" s="266">
        <v>0</v>
      </c>
      <c r="F875" s="266">
        <v>0</v>
      </c>
      <c r="G875" s="266">
        <v>0</v>
      </c>
      <c r="H875" s="266">
        <v>0</v>
      </c>
      <c r="I875" s="266">
        <v>0</v>
      </c>
      <c r="J875" s="266">
        <v>0</v>
      </c>
      <c r="K875" s="266">
        <v>0</v>
      </c>
      <c r="L875" s="267">
        <v>0</v>
      </c>
      <c r="M875" s="266">
        <v>0</v>
      </c>
      <c r="N875" s="266">
        <v>0</v>
      </c>
      <c r="O875" s="266">
        <v>0</v>
      </c>
      <c r="P875" s="266">
        <v>0</v>
      </c>
      <c r="Q875" s="266">
        <v>0</v>
      </c>
      <c r="R875" s="266">
        <v>0</v>
      </c>
      <c r="S875" s="266">
        <v>0</v>
      </c>
      <c r="T875" s="266">
        <v>0</v>
      </c>
      <c r="U875" s="266">
        <v>0</v>
      </c>
      <c r="V875" s="266">
        <v>0</v>
      </c>
      <c r="W875" s="266">
        <v>0</v>
      </c>
      <c r="X875" s="266">
        <v>0</v>
      </c>
      <c r="Y875" s="266">
        <v>0</v>
      </c>
      <c r="Z875" s="266"/>
      <c r="AA875" s="266">
        <v>0</v>
      </c>
      <c r="AB875" s="266">
        <v>0</v>
      </c>
      <c r="AC875" s="266">
        <v>0</v>
      </c>
      <c r="AD875" s="266">
        <v>0</v>
      </c>
      <c r="AE875" s="266">
        <v>0</v>
      </c>
      <c r="AF875" s="266">
        <v>0</v>
      </c>
      <c r="AG875" s="266">
        <v>0</v>
      </c>
      <c r="AH875" s="266">
        <v>0</v>
      </c>
      <c r="AI875" s="266">
        <v>0</v>
      </c>
      <c r="AJ875" s="266">
        <v>0</v>
      </c>
      <c r="AK875" s="266">
        <v>0</v>
      </c>
      <c r="AL875" s="266">
        <v>0</v>
      </c>
      <c r="AM875" s="244"/>
      <c r="AN875" s="244"/>
      <c r="AO875" s="244"/>
      <c r="AP875" s="244"/>
      <c r="AQ875" s="244"/>
      <c r="AR875" s="244"/>
      <c r="AS875" s="255"/>
      <c r="AT875" s="244"/>
      <c r="AU875" s="244"/>
      <c r="AV875" s="244"/>
      <c r="AW875" s="244"/>
      <c r="AX875" s="244"/>
      <c r="AY875" s="244"/>
      <c r="AZ875" s="255"/>
      <c r="BA875" s="244"/>
      <c r="BB875" s="244"/>
      <c r="BC875" s="244"/>
      <c r="BD875" s="244"/>
      <c r="BE875" s="244"/>
      <c r="BF875" s="244"/>
      <c r="BG875" s="244"/>
      <c r="BH875" s="255"/>
      <c r="BI875" s="244"/>
      <c r="BJ875" s="244"/>
      <c r="BK875" s="244"/>
      <c r="BL875" s="244"/>
      <c r="BM875" s="244"/>
      <c r="BN875" s="244"/>
      <c r="BO875" s="244"/>
      <c r="BP875" s="244"/>
      <c r="BQ875" s="244"/>
      <c r="BR875" s="244"/>
      <c r="BS875" s="244"/>
      <c r="BT875" s="244"/>
      <c r="BU875" s="244"/>
      <c r="BV875" s="244"/>
      <c r="BW875" s="244"/>
      <c r="BX875" s="244"/>
      <c r="BY875" s="244"/>
      <c r="BZ875" s="244"/>
      <c r="CA875" s="244"/>
      <c r="CB875" s="244"/>
      <c r="CC875" s="244"/>
      <c r="CD875" s="255"/>
      <c r="CE875" s="244"/>
      <c r="CF875" s="244"/>
      <c r="CG875" s="244"/>
      <c r="CH875" s="244"/>
      <c r="CI875" s="244"/>
      <c r="CJ875" s="244"/>
      <c r="CK875" s="244"/>
      <c r="CL875" s="244"/>
      <c r="CM875" s="244"/>
      <c r="CN875" s="244"/>
      <c r="CO875" s="244"/>
      <c r="CP875" s="244"/>
      <c r="CQ875" s="244"/>
      <c r="CR875" s="244"/>
      <c r="CS875" s="244"/>
      <c r="CT875" s="244"/>
      <c r="CU875" s="244"/>
      <c r="CV875" s="244"/>
      <c r="CW875" s="255"/>
    </row>
    <row r="876" spans="2:101">
      <c r="B876" s="221" t="s">
        <v>68</v>
      </c>
      <c r="C876" s="266">
        <v>0</v>
      </c>
      <c r="D876" s="266">
        <v>0</v>
      </c>
      <c r="E876" s="266">
        <v>0</v>
      </c>
      <c r="F876" s="266">
        <v>0</v>
      </c>
      <c r="G876" s="266">
        <v>0</v>
      </c>
      <c r="H876" s="266">
        <v>0</v>
      </c>
      <c r="I876" s="266">
        <v>0</v>
      </c>
      <c r="J876" s="266">
        <v>0</v>
      </c>
      <c r="K876" s="266">
        <v>0</v>
      </c>
      <c r="L876" s="267">
        <v>0</v>
      </c>
      <c r="M876" s="266">
        <v>0</v>
      </c>
      <c r="N876" s="266">
        <v>0</v>
      </c>
      <c r="O876" s="266">
        <v>0</v>
      </c>
      <c r="P876" s="266">
        <v>0</v>
      </c>
      <c r="Q876" s="266">
        <v>0</v>
      </c>
      <c r="R876" s="266">
        <v>0</v>
      </c>
      <c r="S876" s="266">
        <v>0</v>
      </c>
      <c r="T876" s="266">
        <v>0</v>
      </c>
      <c r="U876" s="266">
        <v>0</v>
      </c>
      <c r="V876" s="266">
        <v>0</v>
      </c>
      <c r="W876" s="266">
        <v>0</v>
      </c>
      <c r="X876" s="266">
        <v>0</v>
      </c>
      <c r="Y876" s="266">
        <v>0</v>
      </c>
      <c r="Z876" s="266"/>
      <c r="AA876" s="266">
        <v>0</v>
      </c>
      <c r="AB876" s="266">
        <v>0</v>
      </c>
      <c r="AC876" s="266">
        <v>0</v>
      </c>
      <c r="AD876" s="266">
        <v>0</v>
      </c>
      <c r="AE876" s="266">
        <v>0</v>
      </c>
      <c r="AF876" s="266">
        <v>0</v>
      </c>
      <c r="AG876" s="266">
        <v>0</v>
      </c>
      <c r="AH876" s="266">
        <v>0</v>
      </c>
      <c r="AI876" s="266">
        <v>0</v>
      </c>
      <c r="AJ876" s="266">
        <v>0</v>
      </c>
      <c r="AK876" s="266">
        <v>0</v>
      </c>
      <c r="AL876" s="266">
        <v>0</v>
      </c>
      <c r="AM876" s="244"/>
      <c r="AN876" s="244"/>
      <c r="AO876" s="244"/>
      <c r="AP876" s="244"/>
      <c r="AQ876" s="244"/>
      <c r="AR876" s="244"/>
      <c r="AS876" s="255"/>
      <c r="AT876" s="244"/>
      <c r="AU876" s="244"/>
      <c r="AV876" s="244"/>
      <c r="AW876" s="244"/>
      <c r="AX876" s="244"/>
      <c r="AY876" s="244"/>
      <c r="AZ876" s="255"/>
      <c r="BA876" s="244"/>
      <c r="BB876" s="244"/>
      <c r="BC876" s="244"/>
      <c r="BD876" s="244"/>
      <c r="BE876" s="244"/>
      <c r="BF876" s="244"/>
      <c r="BG876" s="244"/>
      <c r="BH876" s="255"/>
      <c r="BI876" s="244"/>
      <c r="BJ876" s="244"/>
      <c r="BK876" s="244"/>
      <c r="BL876" s="244"/>
      <c r="BM876" s="244"/>
      <c r="BN876" s="244"/>
      <c r="BO876" s="244"/>
      <c r="BP876" s="244"/>
      <c r="BQ876" s="244"/>
      <c r="BR876" s="244"/>
      <c r="BS876" s="244"/>
      <c r="BT876" s="244"/>
      <c r="BU876" s="244"/>
      <c r="BV876" s="244"/>
      <c r="BW876" s="244"/>
      <c r="BX876" s="244"/>
      <c r="BY876" s="244"/>
      <c r="BZ876" s="244"/>
      <c r="CA876" s="244"/>
      <c r="CB876" s="244"/>
      <c r="CC876" s="244"/>
      <c r="CD876" s="255"/>
      <c r="CE876" s="244"/>
      <c r="CF876" s="244"/>
      <c r="CG876" s="244"/>
      <c r="CH876" s="244"/>
      <c r="CI876" s="244"/>
      <c r="CJ876" s="244"/>
      <c r="CK876" s="244"/>
      <c r="CL876" s="244"/>
      <c r="CM876" s="244"/>
      <c r="CN876" s="244"/>
      <c r="CO876" s="244"/>
      <c r="CP876" s="244"/>
      <c r="CQ876" s="244"/>
      <c r="CR876" s="244"/>
      <c r="CS876" s="244"/>
      <c r="CT876" s="244"/>
      <c r="CU876" s="244"/>
      <c r="CV876" s="244"/>
      <c r="CW876" s="255"/>
    </row>
    <row r="877" spans="2:101">
      <c r="B877" s="221" t="s">
        <v>69</v>
      </c>
      <c r="C877" s="266">
        <v>0</v>
      </c>
      <c r="D877" s="266">
        <v>0</v>
      </c>
      <c r="E877" s="266">
        <v>0</v>
      </c>
      <c r="F877" s="266">
        <v>0</v>
      </c>
      <c r="G877" s="266">
        <v>0</v>
      </c>
      <c r="H877" s="266">
        <v>0</v>
      </c>
      <c r="I877" s="266">
        <v>0</v>
      </c>
      <c r="J877" s="266">
        <v>0</v>
      </c>
      <c r="K877" s="266">
        <v>0</v>
      </c>
      <c r="L877" s="267">
        <v>0</v>
      </c>
      <c r="M877" s="266">
        <v>0</v>
      </c>
      <c r="N877" s="266">
        <v>0</v>
      </c>
      <c r="O877" s="266">
        <v>0</v>
      </c>
      <c r="P877" s="266">
        <v>0</v>
      </c>
      <c r="Q877" s="266">
        <v>0</v>
      </c>
      <c r="R877" s="266">
        <v>0</v>
      </c>
      <c r="S877" s="266">
        <v>0</v>
      </c>
      <c r="T877" s="266">
        <v>0</v>
      </c>
      <c r="U877" s="266">
        <v>0</v>
      </c>
      <c r="V877" s="266">
        <v>0</v>
      </c>
      <c r="W877" s="266">
        <v>0</v>
      </c>
      <c r="X877" s="266">
        <v>0</v>
      </c>
      <c r="Y877" s="266">
        <v>0</v>
      </c>
      <c r="Z877" s="266"/>
      <c r="AA877" s="266">
        <v>0</v>
      </c>
      <c r="AB877" s="266">
        <v>0</v>
      </c>
      <c r="AC877" s="266">
        <v>0</v>
      </c>
      <c r="AD877" s="266">
        <v>0</v>
      </c>
      <c r="AE877" s="266">
        <v>0</v>
      </c>
      <c r="AF877" s="266">
        <v>0</v>
      </c>
      <c r="AG877" s="266">
        <v>0</v>
      </c>
      <c r="AH877" s="266">
        <v>0</v>
      </c>
      <c r="AI877" s="266">
        <v>0</v>
      </c>
      <c r="AJ877" s="266">
        <v>0</v>
      </c>
      <c r="AK877" s="266">
        <v>0</v>
      </c>
      <c r="AL877" s="266">
        <v>0</v>
      </c>
      <c r="AM877" s="244"/>
      <c r="AN877" s="244"/>
      <c r="AO877" s="244"/>
      <c r="AP877" s="244"/>
      <c r="AQ877" s="244"/>
      <c r="AR877" s="244"/>
      <c r="AS877" s="255"/>
      <c r="AT877" s="244"/>
      <c r="AU877" s="244"/>
      <c r="AV877" s="244"/>
      <c r="AW877" s="244"/>
      <c r="AX877" s="244"/>
      <c r="AY877" s="244"/>
      <c r="AZ877" s="255"/>
      <c r="BA877" s="244"/>
      <c r="BB877" s="244"/>
      <c r="BC877" s="244"/>
      <c r="BD877" s="244"/>
      <c r="BE877" s="244"/>
      <c r="BF877" s="244"/>
      <c r="BG877" s="244"/>
      <c r="BH877" s="255"/>
      <c r="BI877" s="244"/>
      <c r="BJ877" s="244"/>
      <c r="BK877" s="244"/>
      <c r="BL877" s="244"/>
      <c r="BM877" s="244"/>
      <c r="BN877" s="244"/>
      <c r="BO877" s="244"/>
      <c r="BP877" s="244"/>
      <c r="BQ877" s="244"/>
      <c r="BR877" s="244"/>
      <c r="BS877" s="244"/>
      <c r="BT877" s="244"/>
      <c r="BU877" s="244"/>
      <c r="BV877" s="244"/>
      <c r="BW877" s="244"/>
      <c r="BX877" s="244"/>
      <c r="BY877" s="244"/>
      <c r="BZ877" s="244"/>
      <c r="CA877" s="244"/>
      <c r="CB877" s="244"/>
      <c r="CC877" s="244"/>
      <c r="CD877" s="255"/>
      <c r="CE877" s="244"/>
      <c r="CF877" s="244"/>
      <c r="CG877" s="244"/>
      <c r="CH877" s="244"/>
      <c r="CI877" s="244"/>
      <c r="CJ877" s="244"/>
      <c r="CK877" s="244"/>
      <c r="CL877" s="244"/>
      <c r="CM877" s="244"/>
      <c r="CN877" s="244"/>
      <c r="CO877" s="244"/>
      <c r="CP877" s="244"/>
      <c r="CQ877" s="244"/>
      <c r="CR877" s="244"/>
      <c r="CS877" s="244"/>
      <c r="CT877" s="244"/>
      <c r="CU877" s="244"/>
      <c r="CV877" s="244"/>
      <c r="CW877" s="255"/>
    </row>
    <row r="878" spans="2:101">
      <c r="B878" s="221" t="s">
        <v>70</v>
      </c>
      <c r="C878" s="266">
        <v>0</v>
      </c>
      <c r="D878" s="266">
        <v>0</v>
      </c>
      <c r="E878" s="266">
        <v>0</v>
      </c>
      <c r="F878" s="266">
        <v>0</v>
      </c>
      <c r="G878" s="266">
        <v>0</v>
      </c>
      <c r="H878" s="266">
        <v>0</v>
      </c>
      <c r="I878" s="266">
        <v>0</v>
      </c>
      <c r="J878" s="266">
        <v>0</v>
      </c>
      <c r="K878" s="266">
        <v>0</v>
      </c>
      <c r="L878" s="267">
        <v>0</v>
      </c>
      <c r="M878" s="266">
        <v>0</v>
      </c>
      <c r="N878" s="266">
        <v>0</v>
      </c>
      <c r="O878" s="266">
        <v>0</v>
      </c>
      <c r="P878" s="266">
        <v>0</v>
      </c>
      <c r="Q878" s="266">
        <v>0</v>
      </c>
      <c r="R878" s="266">
        <v>0</v>
      </c>
      <c r="S878" s="266">
        <v>0</v>
      </c>
      <c r="T878" s="266">
        <v>0</v>
      </c>
      <c r="U878" s="266">
        <v>0</v>
      </c>
      <c r="V878" s="266">
        <v>0</v>
      </c>
      <c r="W878" s="266">
        <v>0</v>
      </c>
      <c r="X878" s="266">
        <v>0</v>
      </c>
      <c r="Y878" s="266">
        <v>0</v>
      </c>
      <c r="Z878" s="266"/>
      <c r="AA878" s="266">
        <v>0</v>
      </c>
      <c r="AB878" s="266">
        <v>0</v>
      </c>
      <c r="AC878" s="266">
        <v>0</v>
      </c>
      <c r="AD878" s="266">
        <v>0</v>
      </c>
      <c r="AE878" s="266">
        <v>0</v>
      </c>
      <c r="AF878" s="266">
        <v>0</v>
      </c>
      <c r="AG878" s="266">
        <v>0</v>
      </c>
      <c r="AH878" s="266">
        <v>0</v>
      </c>
      <c r="AI878" s="266">
        <v>0</v>
      </c>
      <c r="AJ878" s="266">
        <v>0</v>
      </c>
      <c r="AK878" s="266">
        <v>0</v>
      </c>
      <c r="AL878" s="266">
        <v>0</v>
      </c>
      <c r="AM878" s="244"/>
      <c r="AN878" s="244"/>
      <c r="AO878" s="244"/>
      <c r="AP878" s="244"/>
      <c r="AQ878" s="244"/>
      <c r="AR878" s="244"/>
      <c r="AS878" s="255"/>
      <c r="AT878" s="244"/>
      <c r="AU878" s="244"/>
      <c r="AV878" s="244"/>
      <c r="AW878" s="244"/>
      <c r="AX878" s="244"/>
      <c r="AY878" s="244"/>
      <c r="AZ878" s="255"/>
      <c r="BA878" s="244"/>
      <c r="BB878" s="244"/>
      <c r="BC878" s="244"/>
      <c r="BD878" s="244"/>
      <c r="BE878" s="244"/>
      <c r="BF878" s="244"/>
      <c r="BG878" s="244"/>
      <c r="BH878" s="255"/>
      <c r="BI878" s="244"/>
      <c r="BJ878" s="244"/>
      <c r="BK878" s="244"/>
      <c r="BL878" s="244"/>
      <c r="BM878" s="244"/>
      <c r="BN878" s="244"/>
      <c r="BO878" s="244"/>
      <c r="BP878" s="244"/>
      <c r="BQ878" s="244"/>
      <c r="BR878" s="244"/>
      <c r="BS878" s="244"/>
      <c r="BT878" s="244"/>
      <c r="BU878" s="244"/>
      <c r="BV878" s="244"/>
      <c r="BW878" s="244"/>
      <c r="BX878" s="244"/>
      <c r="BY878" s="244"/>
      <c r="BZ878" s="244"/>
      <c r="CA878" s="244"/>
      <c r="CB878" s="244"/>
      <c r="CC878" s="244"/>
      <c r="CD878" s="255"/>
      <c r="CE878" s="244"/>
      <c r="CF878" s="244"/>
      <c r="CG878" s="244"/>
      <c r="CH878" s="244"/>
      <c r="CI878" s="244"/>
      <c r="CJ878" s="244"/>
      <c r="CK878" s="244"/>
      <c r="CL878" s="244"/>
      <c r="CM878" s="244"/>
      <c r="CN878" s="244"/>
      <c r="CO878" s="244"/>
      <c r="CP878" s="244"/>
      <c r="CQ878" s="244"/>
      <c r="CR878" s="244"/>
      <c r="CS878" s="244"/>
      <c r="CT878" s="244"/>
      <c r="CU878" s="244"/>
      <c r="CV878" s="244"/>
      <c r="CW878" s="255"/>
    </row>
    <row r="879" spans="2:101">
      <c r="B879" s="221" t="s">
        <v>71</v>
      </c>
      <c r="C879" s="266">
        <v>0</v>
      </c>
      <c r="D879" s="266">
        <v>0</v>
      </c>
      <c r="E879" s="266">
        <v>0</v>
      </c>
      <c r="F879" s="266">
        <v>0</v>
      </c>
      <c r="G879" s="266">
        <v>0</v>
      </c>
      <c r="H879" s="266">
        <v>0</v>
      </c>
      <c r="I879" s="266">
        <v>0</v>
      </c>
      <c r="J879" s="266">
        <v>0</v>
      </c>
      <c r="K879" s="266">
        <v>0</v>
      </c>
      <c r="L879" s="267">
        <v>0</v>
      </c>
      <c r="M879" s="266">
        <v>0</v>
      </c>
      <c r="N879" s="266">
        <v>0</v>
      </c>
      <c r="O879" s="266">
        <v>0</v>
      </c>
      <c r="P879" s="266">
        <v>0</v>
      </c>
      <c r="Q879" s="266">
        <v>0</v>
      </c>
      <c r="R879" s="266">
        <v>0</v>
      </c>
      <c r="S879" s="266">
        <v>0</v>
      </c>
      <c r="T879" s="266">
        <v>0</v>
      </c>
      <c r="U879" s="266">
        <v>0</v>
      </c>
      <c r="V879" s="266">
        <v>0</v>
      </c>
      <c r="W879" s="266">
        <v>0</v>
      </c>
      <c r="X879" s="266">
        <v>0</v>
      </c>
      <c r="Y879" s="266">
        <v>0</v>
      </c>
      <c r="Z879" s="266"/>
      <c r="AA879" s="266">
        <v>0</v>
      </c>
      <c r="AB879" s="266">
        <v>0</v>
      </c>
      <c r="AC879" s="266">
        <v>0</v>
      </c>
      <c r="AD879" s="266">
        <v>0</v>
      </c>
      <c r="AE879" s="266">
        <v>0</v>
      </c>
      <c r="AF879" s="266">
        <v>0</v>
      </c>
      <c r="AG879" s="266">
        <v>0</v>
      </c>
      <c r="AH879" s="266">
        <v>0</v>
      </c>
      <c r="AI879" s="266">
        <v>0</v>
      </c>
      <c r="AJ879" s="266">
        <v>0</v>
      </c>
      <c r="AK879" s="266">
        <v>0</v>
      </c>
      <c r="AL879" s="266">
        <v>0</v>
      </c>
      <c r="AM879" s="244"/>
      <c r="AN879" s="244"/>
      <c r="AO879" s="244"/>
      <c r="AP879" s="244"/>
      <c r="AQ879" s="244"/>
      <c r="AR879" s="244"/>
      <c r="AS879" s="255"/>
      <c r="AT879" s="244"/>
      <c r="AU879" s="244"/>
      <c r="AV879" s="244"/>
      <c r="AW879" s="244"/>
      <c r="AX879" s="244"/>
      <c r="AY879" s="244"/>
      <c r="AZ879" s="255"/>
      <c r="BA879" s="244"/>
      <c r="BB879" s="244"/>
      <c r="BC879" s="244"/>
      <c r="BD879" s="244"/>
      <c r="BE879" s="244"/>
      <c r="BF879" s="244"/>
      <c r="BG879" s="244"/>
      <c r="BH879" s="255"/>
      <c r="BI879" s="244"/>
      <c r="BJ879" s="244"/>
      <c r="BK879" s="244"/>
      <c r="BL879" s="244"/>
      <c r="BM879" s="244"/>
      <c r="BN879" s="244"/>
      <c r="BO879" s="244"/>
      <c r="BP879" s="244"/>
      <c r="BQ879" s="244"/>
      <c r="BR879" s="244"/>
      <c r="BS879" s="244"/>
      <c r="BT879" s="244"/>
      <c r="BU879" s="244"/>
      <c r="BV879" s="244"/>
      <c r="BW879" s="244"/>
      <c r="BX879" s="244"/>
      <c r="BY879" s="244"/>
      <c r="BZ879" s="244"/>
      <c r="CA879" s="244"/>
      <c r="CB879" s="244"/>
      <c r="CC879" s="244"/>
      <c r="CD879" s="255"/>
      <c r="CE879" s="244"/>
      <c r="CF879" s="244"/>
      <c r="CG879" s="244"/>
      <c r="CH879" s="244"/>
      <c r="CI879" s="244"/>
      <c r="CJ879" s="244"/>
      <c r="CK879" s="244"/>
      <c r="CL879" s="244"/>
      <c r="CM879" s="244"/>
      <c r="CN879" s="244"/>
      <c r="CO879" s="244"/>
      <c r="CP879" s="244"/>
      <c r="CQ879" s="244"/>
      <c r="CR879" s="244"/>
      <c r="CS879" s="244"/>
      <c r="CT879" s="244"/>
      <c r="CU879" s="244"/>
      <c r="CV879" s="244"/>
      <c r="CW879" s="255"/>
    </row>
    <row r="880" spans="2:101">
      <c r="B880" s="221" t="s">
        <v>72</v>
      </c>
      <c r="C880" s="266">
        <v>0</v>
      </c>
      <c r="D880" s="266">
        <v>0</v>
      </c>
      <c r="E880" s="266">
        <v>0</v>
      </c>
      <c r="F880" s="266">
        <v>0</v>
      </c>
      <c r="G880" s="266">
        <v>0</v>
      </c>
      <c r="H880" s="266">
        <v>0</v>
      </c>
      <c r="I880" s="266">
        <v>0</v>
      </c>
      <c r="J880" s="266">
        <v>0</v>
      </c>
      <c r="K880" s="266">
        <v>0</v>
      </c>
      <c r="L880" s="267">
        <v>0</v>
      </c>
      <c r="M880" s="266">
        <v>0</v>
      </c>
      <c r="N880" s="266">
        <v>0</v>
      </c>
      <c r="O880" s="266">
        <v>0</v>
      </c>
      <c r="P880" s="266">
        <v>0</v>
      </c>
      <c r="Q880" s="266">
        <v>0</v>
      </c>
      <c r="R880" s="266">
        <v>0</v>
      </c>
      <c r="S880" s="266">
        <v>0</v>
      </c>
      <c r="T880" s="266">
        <v>0</v>
      </c>
      <c r="U880" s="266">
        <v>0</v>
      </c>
      <c r="V880" s="266">
        <v>0</v>
      </c>
      <c r="W880" s="266">
        <v>0</v>
      </c>
      <c r="X880" s="266">
        <v>0</v>
      </c>
      <c r="Y880" s="266">
        <v>0</v>
      </c>
      <c r="Z880" s="266"/>
      <c r="AA880" s="266">
        <v>0</v>
      </c>
      <c r="AB880" s="266">
        <v>0</v>
      </c>
      <c r="AC880" s="266">
        <v>0</v>
      </c>
      <c r="AD880" s="266">
        <v>0</v>
      </c>
      <c r="AE880" s="266">
        <v>0</v>
      </c>
      <c r="AF880" s="266">
        <v>0</v>
      </c>
      <c r="AG880" s="266">
        <v>0</v>
      </c>
      <c r="AH880" s="266">
        <v>0</v>
      </c>
      <c r="AI880" s="266">
        <v>0</v>
      </c>
      <c r="AJ880" s="266">
        <v>0</v>
      </c>
      <c r="AK880" s="266">
        <v>0</v>
      </c>
      <c r="AL880" s="266">
        <v>0</v>
      </c>
      <c r="AM880" s="244"/>
      <c r="AN880" s="244"/>
      <c r="AO880" s="244"/>
      <c r="AP880" s="244"/>
      <c r="AQ880" s="244"/>
      <c r="AR880" s="244"/>
      <c r="AS880" s="255"/>
      <c r="AT880" s="244"/>
      <c r="AU880" s="244"/>
      <c r="AV880" s="244"/>
      <c r="AW880" s="244"/>
      <c r="AX880" s="244"/>
      <c r="AY880" s="244"/>
      <c r="AZ880" s="255"/>
      <c r="BA880" s="244"/>
      <c r="BB880" s="244"/>
      <c r="BC880" s="244"/>
      <c r="BD880" s="244"/>
      <c r="BE880" s="244"/>
      <c r="BF880" s="244"/>
      <c r="BG880" s="244"/>
      <c r="BH880" s="255"/>
      <c r="BI880" s="244"/>
      <c r="BJ880" s="244"/>
      <c r="BK880" s="244"/>
      <c r="BL880" s="244"/>
      <c r="BM880" s="244"/>
      <c r="BN880" s="244"/>
      <c r="BO880" s="244"/>
      <c r="BP880" s="244"/>
      <c r="BQ880" s="244"/>
      <c r="BR880" s="244"/>
      <c r="BS880" s="244"/>
      <c r="BT880" s="244"/>
      <c r="BU880" s="244"/>
      <c r="BV880" s="244"/>
      <c r="BW880" s="244"/>
      <c r="BX880" s="244"/>
      <c r="BY880" s="244"/>
      <c r="BZ880" s="244"/>
      <c r="CA880" s="244"/>
      <c r="CB880" s="244"/>
      <c r="CC880" s="244"/>
      <c r="CD880" s="255"/>
      <c r="CE880" s="244"/>
      <c r="CF880" s="244"/>
      <c r="CG880" s="244"/>
      <c r="CH880" s="244"/>
      <c r="CI880" s="244"/>
      <c r="CJ880" s="244"/>
      <c r="CK880" s="244"/>
      <c r="CL880" s="244"/>
      <c r="CM880" s="244"/>
      <c r="CN880" s="244"/>
      <c r="CO880" s="244"/>
      <c r="CP880" s="244"/>
      <c r="CQ880" s="244"/>
      <c r="CR880" s="244"/>
      <c r="CS880" s="244"/>
      <c r="CT880" s="244"/>
      <c r="CU880" s="244"/>
      <c r="CV880" s="244"/>
      <c r="CW880" s="255"/>
    </row>
    <row r="881" spans="1:101">
      <c r="C881" s="244"/>
      <c r="D881" s="244"/>
      <c r="E881" s="244"/>
      <c r="F881" s="244"/>
      <c r="G881" s="244"/>
      <c r="H881" s="244"/>
      <c r="I881" s="244"/>
      <c r="J881" s="244"/>
      <c r="K881" s="244"/>
      <c r="L881" s="244"/>
      <c r="M881" s="244"/>
      <c r="N881" s="244"/>
      <c r="O881" s="244"/>
      <c r="P881" s="244"/>
      <c r="Q881" s="244"/>
      <c r="R881" s="244"/>
      <c r="S881" s="244"/>
      <c r="T881" s="244"/>
      <c r="U881" s="244"/>
      <c r="V881" s="244"/>
      <c r="W881" s="244"/>
      <c r="X881" s="244"/>
      <c r="Y881" s="244"/>
      <c r="Z881" s="244"/>
      <c r="AA881" s="244"/>
      <c r="AB881" s="244"/>
      <c r="AC881" s="244"/>
      <c r="AD881" s="244"/>
      <c r="AE881" s="244"/>
      <c r="AF881" s="244"/>
      <c r="AG881" s="244"/>
      <c r="AH881" s="244"/>
      <c r="AI881" s="244"/>
      <c r="AJ881" s="244"/>
      <c r="AK881" s="244"/>
      <c r="AL881" s="244"/>
      <c r="AM881" s="244"/>
      <c r="AN881" s="244"/>
      <c r="AO881" s="244"/>
      <c r="AP881" s="244"/>
      <c r="AQ881" s="244"/>
      <c r="AR881" s="244"/>
      <c r="AS881" s="255"/>
      <c r="AT881" s="244"/>
      <c r="AU881" s="244"/>
      <c r="AV881" s="244"/>
      <c r="AW881" s="244"/>
      <c r="AX881" s="244"/>
      <c r="AY881" s="244"/>
      <c r="AZ881" s="255"/>
      <c r="BA881" s="244"/>
      <c r="BB881" s="244"/>
      <c r="BC881" s="244"/>
      <c r="BD881" s="244"/>
      <c r="BE881" s="244"/>
      <c r="BF881" s="244"/>
      <c r="BG881" s="244"/>
      <c r="BH881" s="255"/>
      <c r="BI881" s="244"/>
      <c r="BJ881" s="244"/>
      <c r="BK881" s="244"/>
      <c r="BL881" s="244"/>
      <c r="BM881" s="244"/>
      <c r="BN881" s="244"/>
      <c r="BO881" s="244"/>
      <c r="BP881" s="244"/>
      <c r="BQ881" s="244"/>
      <c r="BR881" s="244"/>
      <c r="BS881" s="244"/>
      <c r="BT881" s="244"/>
      <c r="BU881" s="244"/>
      <c r="BV881" s="244"/>
      <c r="BW881" s="244"/>
      <c r="BX881" s="244"/>
      <c r="BY881" s="244"/>
      <c r="BZ881" s="244"/>
      <c r="CA881" s="244"/>
      <c r="CB881" s="244"/>
      <c r="CC881" s="244"/>
      <c r="CD881" s="255"/>
      <c r="CE881" s="244"/>
      <c r="CF881" s="244"/>
      <c r="CG881" s="244"/>
      <c r="CH881" s="244"/>
      <c r="CI881" s="244"/>
      <c r="CJ881" s="244"/>
      <c r="CK881" s="244"/>
      <c r="CL881" s="244"/>
      <c r="CM881" s="244"/>
      <c r="CN881" s="244"/>
      <c r="CO881" s="244"/>
      <c r="CP881" s="244"/>
      <c r="CQ881" s="244"/>
      <c r="CR881" s="244"/>
      <c r="CS881" s="244"/>
      <c r="CT881" s="244"/>
      <c r="CU881" s="244"/>
      <c r="CV881" s="244"/>
      <c r="CW881" s="255"/>
    </row>
    <row r="882" spans="1:101">
      <c r="C882" s="244"/>
      <c r="D882" s="244"/>
      <c r="E882" s="244"/>
      <c r="F882" s="244"/>
      <c r="G882" s="244"/>
      <c r="H882" s="244"/>
      <c r="I882" s="244"/>
      <c r="J882" s="244"/>
      <c r="K882" s="244"/>
      <c r="L882" s="244"/>
      <c r="M882" s="244"/>
      <c r="N882" s="244"/>
      <c r="O882" s="244"/>
      <c r="P882" s="244"/>
      <c r="Q882" s="244"/>
      <c r="R882" s="244"/>
      <c r="S882" s="244"/>
      <c r="T882" s="244"/>
      <c r="U882" s="244"/>
      <c r="V882" s="244"/>
      <c r="W882" s="244"/>
      <c r="X882" s="244"/>
      <c r="Y882" s="244"/>
      <c r="Z882" s="244"/>
      <c r="AA882" s="244"/>
      <c r="AB882" s="244"/>
      <c r="AC882" s="244"/>
      <c r="AD882" s="244"/>
      <c r="AE882" s="244"/>
      <c r="AF882" s="244"/>
      <c r="AG882" s="244"/>
      <c r="AH882" s="244"/>
      <c r="AI882" s="244"/>
      <c r="AJ882" s="244"/>
      <c r="AK882" s="244"/>
      <c r="AL882" s="244"/>
      <c r="AM882" s="244"/>
      <c r="AN882" s="244"/>
      <c r="AO882" s="244"/>
      <c r="AP882" s="244"/>
      <c r="AQ882" s="244"/>
      <c r="AR882" s="244"/>
      <c r="AS882" s="255"/>
      <c r="AT882" s="244"/>
      <c r="AU882" s="244"/>
      <c r="AV882" s="244"/>
      <c r="AW882" s="244"/>
      <c r="AX882" s="244"/>
      <c r="AY882" s="244"/>
      <c r="AZ882" s="255"/>
      <c r="BA882" s="244"/>
      <c r="BB882" s="244"/>
      <c r="BC882" s="244"/>
      <c r="BD882" s="244"/>
      <c r="BE882" s="244"/>
      <c r="BF882" s="244"/>
      <c r="BG882" s="244"/>
      <c r="BH882" s="255"/>
      <c r="BI882" s="244"/>
      <c r="BJ882" s="244"/>
      <c r="BK882" s="244"/>
      <c r="BL882" s="244"/>
      <c r="BM882" s="244"/>
      <c r="BN882" s="244"/>
      <c r="BO882" s="244"/>
      <c r="BP882" s="244"/>
      <c r="BQ882" s="244"/>
      <c r="BR882" s="244"/>
      <c r="BS882" s="244"/>
      <c r="BT882" s="244"/>
      <c r="BU882" s="244"/>
      <c r="BV882" s="244"/>
      <c r="BW882" s="244"/>
      <c r="BX882" s="244"/>
      <c r="BY882" s="244"/>
      <c r="BZ882" s="244"/>
      <c r="CA882" s="244"/>
      <c r="CB882" s="244"/>
      <c r="CC882" s="244"/>
      <c r="CD882" s="255"/>
      <c r="CE882" s="244"/>
      <c r="CF882" s="244"/>
      <c r="CG882" s="244"/>
      <c r="CH882" s="244"/>
      <c r="CI882" s="244"/>
      <c r="CJ882" s="244"/>
      <c r="CK882" s="244"/>
      <c r="CL882" s="244"/>
      <c r="CM882" s="244"/>
      <c r="CN882" s="244"/>
      <c r="CO882" s="244"/>
      <c r="CP882" s="244"/>
      <c r="CQ882" s="244"/>
      <c r="CR882" s="244"/>
      <c r="CS882" s="244"/>
      <c r="CT882" s="244"/>
      <c r="CU882" s="244"/>
      <c r="CV882" s="244"/>
      <c r="CW882" s="255"/>
    </row>
    <row r="883" spans="1:101" ht="13.5" thickBot="1">
      <c r="A883" s="232" t="s">
        <v>255</v>
      </c>
      <c r="B883" s="234"/>
      <c r="C883" s="244"/>
      <c r="D883" s="244"/>
      <c r="E883" s="244"/>
      <c r="F883" s="244"/>
      <c r="G883" s="244"/>
      <c r="H883" s="244"/>
      <c r="I883" s="244"/>
      <c r="J883" s="244"/>
      <c r="K883" s="244"/>
      <c r="L883" s="244"/>
      <c r="M883" s="244"/>
      <c r="N883" s="244"/>
      <c r="O883" s="244"/>
      <c r="P883" s="244"/>
      <c r="Q883" s="244"/>
      <c r="R883" s="244"/>
      <c r="S883" s="244"/>
      <c r="T883" s="244"/>
      <c r="U883" s="244"/>
      <c r="V883" s="244"/>
      <c r="W883" s="244"/>
      <c r="X883" s="244"/>
      <c r="Y883" s="244"/>
      <c r="Z883" s="244"/>
      <c r="AA883" s="244"/>
      <c r="AB883" s="244"/>
      <c r="AC883" s="244"/>
      <c r="AD883" s="244"/>
      <c r="AE883" s="244"/>
      <c r="AF883" s="244"/>
      <c r="AG883" s="244"/>
      <c r="AH883" s="244"/>
      <c r="AI883" s="244"/>
      <c r="AJ883" s="244"/>
      <c r="AK883" s="244"/>
      <c r="AL883" s="244"/>
      <c r="AM883" s="244"/>
      <c r="AN883" s="244"/>
      <c r="AO883" s="244"/>
      <c r="AP883" s="244"/>
      <c r="AQ883" s="244"/>
      <c r="AR883" s="244"/>
      <c r="AS883" s="255"/>
      <c r="AT883" s="244"/>
      <c r="AU883" s="244"/>
      <c r="AV883" s="244"/>
      <c r="AW883" s="244"/>
      <c r="AX883" s="244"/>
      <c r="AY883" s="244"/>
      <c r="AZ883" s="255"/>
      <c r="BA883" s="244"/>
      <c r="BB883" s="244"/>
      <c r="BC883" s="244"/>
      <c r="BD883" s="244"/>
      <c r="BE883" s="244"/>
      <c r="BF883" s="244"/>
      <c r="BG883" s="244"/>
      <c r="BH883" s="255"/>
      <c r="BI883" s="244"/>
      <c r="BJ883" s="244"/>
      <c r="BK883" s="244"/>
      <c r="BL883" s="244"/>
      <c r="BM883" s="244"/>
      <c r="BN883" s="244"/>
      <c r="BO883" s="244"/>
      <c r="BP883" s="244"/>
      <c r="BQ883" s="244"/>
      <c r="BR883" s="244"/>
      <c r="BS883" s="244"/>
      <c r="BT883" s="244"/>
      <c r="BU883" s="244"/>
      <c r="BV883" s="244"/>
      <c r="BW883" s="244"/>
      <c r="BX883" s="244"/>
      <c r="BY883" s="244"/>
      <c r="BZ883" s="244"/>
      <c r="CA883" s="244"/>
      <c r="CB883" s="244"/>
      <c r="CC883" s="244"/>
      <c r="CD883" s="255"/>
      <c r="CE883" s="244"/>
      <c r="CF883" s="244"/>
      <c r="CG883" s="244"/>
      <c r="CH883" s="244"/>
      <c r="CI883" s="244"/>
      <c r="CJ883" s="244"/>
      <c r="CK883" s="244"/>
      <c r="CL883" s="244"/>
      <c r="CM883" s="244"/>
      <c r="CN883" s="244"/>
      <c r="CO883" s="244"/>
      <c r="CP883" s="244"/>
      <c r="CQ883" s="244"/>
      <c r="CR883" s="244"/>
      <c r="CS883" s="244"/>
      <c r="CT883" s="244"/>
      <c r="CU883" s="244"/>
      <c r="CV883" s="244"/>
      <c r="CW883" s="255"/>
    </row>
    <row r="884" spans="1:101" ht="13.5" thickBot="1">
      <c r="A884" s="268"/>
      <c r="B884" s="269"/>
      <c r="C884" s="270"/>
      <c r="D884" s="270"/>
      <c r="E884" s="270"/>
      <c r="F884" s="270"/>
      <c r="G884" s="270"/>
      <c r="H884" s="270"/>
      <c r="I884" s="270"/>
      <c r="J884" s="270"/>
      <c r="K884" s="270"/>
      <c r="L884" s="270"/>
      <c r="M884" s="270"/>
      <c r="N884" s="271" t="s">
        <v>608</v>
      </c>
      <c r="O884" s="272"/>
      <c r="P884" s="272"/>
      <c r="Q884" s="272"/>
      <c r="R884" s="272"/>
      <c r="S884" s="272"/>
      <c r="T884" s="272"/>
      <c r="U884" s="272"/>
      <c r="V884" s="272"/>
      <c r="W884" s="272"/>
      <c r="X884" s="272"/>
      <c r="Y884" s="259"/>
      <c r="Z884" s="270"/>
      <c r="AA884" s="271" t="s">
        <v>609</v>
      </c>
      <c r="AB884" s="272"/>
      <c r="AC884" s="272"/>
      <c r="AD884" s="272"/>
      <c r="AE884" s="272"/>
      <c r="AF884" s="272"/>
      <c r="AG884" s="272"/>
      <c r="AH884" s="272"/>
      <c r="AI884" s="272"/>
      <c r="AJ884" s="272"/>
      <c r="AK884" s="272"/>
      <c r="AL884" s="259"/>
      <c r="AM884" s="244"/>
      <c r="AN884" s="244"/>
      <c r="AO884" s="244"/>
      <c r="AP884" s="244"/>
      <c r="AQ884" s="244"/>
      <c r="AR884" s="244"/>
      <c r="AS884" s="255"/>
      <c r="AT884" s="244"/>
      <c r="AU884" s="244"/>
      <c r="AV884" s="244"/>
      <c r="AW884" s="244"/>
      <c r="AX884" s="244"/>
      <c r="AY884" s="244"/>
      <c r="AZ884" s="255"/>
      <c r="BA884" s="244"/>
      <c r="BB884" s="244"/>
      <c r="BC884" s="244"/>
      <c r="BD884" s="244"/>
      <c r="BE884" s="244"/>
      <c r="BF884" s="244"/>
      <c r="BG884" s="244"/>
      <c r="BH884" s="255"/>
      <c r="BI884" s="244"/>
      <c r="BJ884" s="244"/>
      <c r="BK884" s="244"/>
      <c r="BL884" s="244"/>
      <c r="BM884" s="244"/>
      <c r="BN884" s="244"/>
      <c r="BO884" s="244"/>
      <c r="BP884" s="244"/>
      <c r="BQ884" s="244"/>
      <c r="BR884" s="244"/>
      <c r="BS884" s="244"/>
      <c r="BT884" s="244"/>
      <c r="BU884" s="244"/>
      <c r="BV884" s="244"/>
      <c r="BW884" s="244"/>
      <c r="BX884" s="244"/>
      <c r="BY884" s="244"/>
      <c r="BZ884" s="244"/>
      <c r="CA884" s="244"/>
      <c r="CB884" s="244"/>
      <c r="CC884" s="244"/>
      <c r="CD884" s="255"/>
      <c r="CE884" s="244"/>
      <c r="CF884" s="244"/>
      <c r="CG884" s="244"/>
      <c r="CH884" s="244"/>
      <c r="CI884" s="244"/>
      <c r="CJ884" s="244"/>
      <c r="CK884" s="244"/>
      <c r="CL884" s="244"/>
      <c r="CM884" s="244"/>
      <c r="CN884" s="244"/>
      <c r="CO884" s="244"/>
      <c r="CP884" s="244"/>
      <c r="CQ884" s="244"/>
      <c r="CR884" s="244"/>
      <c r="CS884" s="244"/>
      <c r="CT884" s="244"/>
      <c r="CU884" s="244"/>
      <c r="CV884" s="244"/>
      <c r="CW884" s="255"/>
    </row>
    <row r="885" spans="1:101" ht="102">
      <c r="A885" s="251" t="s">
        <v>148</v>
      </c>
      <c r="B885" s="252" t="s">
        <v>149</v>
      </c>
      <c r="C885" s="253" t="s">
        <v>50</v>
      </c>
      <c r="D885" s="253" t="s">
        <v>232</v>
      </c>
      <c r="E885" s="253" t="s">
        <v>233</v>
      </c>
      <c r="F885" s="253" t="s">
        <v>234</v>
      </c>
      <c r="G885" s="253" t="s">
        <v>235</v>
      </c>
      <c r="H885" s="253" t="s">
        <v>236</v>
      </c>
      <c r="I885" s="253" t="s">
        <v>237</v>
      </c>
      <c r="J885" s="253" t="s">
        <v>238</v>
      </c>
      <c r="K885" s="253" t="s">
        <v>49</v>
      </c>
      <c r="L885" s="253" t="s">
        <v>211</v>
      </c>
      <c r="M885" s="253" t="s">
        <v>239</v>
      </c>
      <c r="N885" s="253" t="s">
        <v>240</v>
      </c>
      <c r="O885" s="253" t="s">
        <v>241</v>
      </c>
      <c r="P885" s="253" t="s">
        <v>242</v>
      </c>
      <c r="Q885" s="253" t="s">
        <v>243</v>
      </c>
      <c r="R885" s="253" t="s">
        <v>244</v>
      </c>
      <c r="S885" s="253" t="s">
        <v>245</v>
      </c>
      <c r="T885" s="253" t="s">
        <v>246</v>
      </c>
      <c r="U885" s="253" t="s">
        <v>247</v>
      </c>
      <c r="V885" s="253" t="s">
        <v>248</v>
      </c>
      <c r="W885" s="253" t="s">
        <v>249</v>
      </c>
      <c r="X885" s="253" t="s">
        <v>250</v>
      </c>
      <c r="Y885" s="253" t="s">
        <v>251</v>
      </c>
      <c r="Z885" s="253"/>
      <c r="AA885" s="253" t="s">
        <v>240</v>
      </c>
      <c r="AB885" s="253" t="s">
        <v>241</v>
      </c>
      <c r="AC885" s="253" t="s">
        <v>242</v>
      </c>
      <c r="AD885" s="253" t="s">
        <v>243</v>
      </c>
      <c r="AE885" s="253" t="s">
        <v>244</v>
      </c>
      <c r="AF885" s="253" t="s">
        <v>245</v>
      </c>
      <c r="AG885" s="253" t="s">
        <v>246</v>
      </c>
      <c r="AH885" s="253" t="s">
        <v>247</v>
      </c>
      <c r="AI885" s="253" t="s">
        <v>248</v>
      </c>
      <c r="AJ885" s="253" t="s">
        <v>249</v>
      </c>
      <c r="AK885" s="253" t="s">
        <v>250</v>
      </c>
      <c r="AL885" s="253" t="s">
        <v>251</v>
      </c>
      <c r="AM885" s="244"/>
      <c r="AN885" s="244"/>
      <c r="AO885" s="244"/>
      <c r="AP885" s="244"/>
      <c r="AQ885" s="244"/>
      <c r="AR885" s="244"/>
      <c r="AS885" s="255"/>
      <c r="AT885" s="244"/>
      <c r="AU885" s="244"/>
      <c r="AV885" s="244"/>
      <c r="AW885" s="244"/>
      <c r="AX885" s="244"/>
      <c r="AY885" s="244"/>
      <c r="AZ885" s="255"/>
      <c r="BA885" s="244"/>
      <c r="BB885" s="244"/>
      <c r="BC885" s="244"/>
      <c r="BD885" s="244"/>
      <c r="BE885" s="244"/>
      <c r="BF885" s="244"/>
      <c r="BG885" s="244"/>
      <c r="BH885" s="255"/>
      <c r="BI885" s="244"/>
      <c r="BJ885" s="244"/>
      <c r="BK885" s="244"/>
      <c r="BL885" s="244"/>
      <c r="BM885" s="244"/>
      <c r="BN885" s="244"/>
      <c r="BO885" s="244"/>
      <c r="BP885" s="244"/>
      <c r="BQ885" s="244"/>
      <c r="BR885" s="244"/>
      <c r="BS885" s="244"/>
      <c r="BT885" s="244"/>
      <c r="BU885" s="244"/>
      <c r="BV885" s="244"/>
      <c r="BW885" s="244"/>
      <c r="BX885" s="244"/>
      <c r="BY885" s="244"/>
      <c r="BZ885" s="244"/>
      <c r="CA885" s="244"/>
      <c r="CB885" s="244"/>
      <c r="CC885" s="244"/>
      <c r="CD885" s="255"/>
      <c r="CE885" s="244"/>
      <c r="CF885" s="244"/>
      <c r="CG885" s="244"/>
      <c r="CH885" s="244"/>
      <c r="CI885" s="244"/>
      <c r="CJ885" s="244"/>
      <c r="CK885" s="244"/>
      <c r="CL885" s="244"/>
      <c r="CM885" s="244"/>
      <c r="CN885" s="244"/>
      <c r="CO885" s="244"/>
      <c r="CP885" s="244"/>
      <c r="CQ885" s="244"/>
      <c r="CR885" s="244"/>
      <c r="CS885" s="244"/>
      <c r="CT885" s="244"/>
      <c r="CU885" s="244"/>
      <c r="CV885" s="244"/>
      <c r="CW885" s="255"/>
    </row>
    <row r="886" spans="1:101">
      <c r="A886" s="221" t="s">
        <v>583</v>
      </c>
      <c r="C886" s="264">
        <v>3636.657470703125</v>
      </c>
      <c r="D886" s="264">
        <v>3.2966773509979248</v>
      </c>
      <c r="E886" s="264">
        <v>0.65933549404144287</v>
      </c>
      <c r="F886" s="264">
        <v>3.9560127258300781</v>
      </c>
      <c r="G886" s="264">
        <v>6.4499416351318359</v>
      </c>
      <c r="H886" s="264">
        <v>9977.171875</v>
      </c>
      <c r="I886" s="264">
        <v>9.5292654037475586</v>
      </c>
      <c r="J886" s="264">
        <v>-62.669116973876953</v>
      </c>
      <c r="K886" s="264">
        <v>-163.48939514160156</v>
      </c>
      <c r="L886" s="228">
        <v>1546.8623265306599</v>
      </c>
      <c r="M886" s="264">
        <v>27.449200410533919</v>
      </c>
      <c r="N886" s="264">
        <v>278.52297971850339</v>
      </c>
      <c r="O886" s="264">
        <v>257.32400961637438</v>
      </c>
      <c r="P886" s="264">
        <v>276.65506259346034</v>
      </c>
      <c r="Q886" s="264">
        <v>247.02069501718813</v>
      </c>
      <c r="R886" s="264">
        <v>237.09209258873915</v>
      </c>
      <c r="S886" s="264">
        <v>217.37908471296657</v>
      </c>
      <c r="T886" s="264">
        <v>219.23975911006025</v>
      </c>
      <c r="U886" s="264">
        <v>219.72969735012583</v>
      </c>
      <c r="V886" s="264">
        <v>223.95546984027732</v>
      </c>
      <c r="W886" s="264">
        <v>231.18213769493869</v>
      </c>
      <c r="X886" s="264">
        <v>247.87810270004172</v>
      </c>
      <c r="Y886" s="264">
        <v>272.79675954609689</v>
      </c>
      <c r="Z886" s="264"/>
      <c r="AA886" s="264">
        <v>54.084375980869751</v>
      </c>
      <c r="AB886" s="264">
        <v>78.343845321363915</v>
      </c>
      <c r="AC886" s="264">
        <v>70.773098258023509</v>
      </c>
      <c r="AD886" s="264">
        <v>77.399963288359118</v>
      </c>
      <c r="AE886" s="264">
        <v>56.442231345978271</v>
      </c>
      <c r="AF886" s="264">
        <v>45.400497619029039</v>
      </c>
      <c r="AG886" s="264">
        <v>57.452740788167645</v>
      </c>
      <c r="AH886" s="264">
        <v>47.868217568397746</v>
      </c>
      <c r="AI886" s="264">
        <v>46.337136924084568</v>
      </c>
      <c r="AJ886" s="264">
        <v>43.152506838180678</v>
      </c>
      <c r="AK886" s="264">
        <v>53.637674915879792</v>
      </c>
      <c r="AL886" s="264">
        <v>76.989256670495493</v>
      </c>
      <c r="AM886" s="244"/>
      <c r="AN886" s="244"/>
      <c r="AO886" s="244"/>
      <c r="AP886" s="244"/>
      <c r="AQ886" s="244"/>
      <c r="AR886" s="244"/>
      <c r="AS886" s="255"/>
      <c r="AT886" s="244"/>
      <c r="AU886" s="244"/>
      <c r="AV886" s="244"/>
      <c r="AW886" s="244"/>
      <c r="AX886" s="244"/>
      <c r="AY886" s="244"/>
      <c r="AZ886" s="255"/>
      <c r="BA886" s="244"/>
      <c r="BB886" s="244"/>
      <c r="BC886" s="244"/>
      <c r="BD886" s="244"/>
      <c r="BE886" s="244"/>
      <c r="BF886" s="244"/>
      <c r="BG886" s="244"/>
      <c r="BH886" s="255"/>
      <c r="BI886" s="244"/>
      <c r="BJ886" s="244"/>
      <c r="BK886" s="244"/>
      <c r="BL886" s="244"/>
      <c r="BM886" s="244"/>
      <c r="BN886" s="244"/>
      <c r="BO886" s="244"/>
      <c r="BP886" s="244"/>
      <c r="BQ886" s="244"/>
      <c r="BR886" s="244"/>
      <c r="BS886" s="244"/>
      <c r="BT886" s="244"/>
      <c r="BU886" s="244"/>
      <c r="BV886" s="244"/>
      <c r="BW886" s="244"/>
      <c r="BX886" s="244"/>
      <c r="BY886" s="244"/>
      <c r="BZ886" s="244"/>
      <c r="CA886" s="244"/>
      <c r="CB886" s="244"/>
      <c r="CC886" s="244"/>
      <c r="CD886" s="255"/>
      <c r="CE886" s="244"/>
      <c r="CF886" s="244"/>
      <c r="CG886" s="244"/>
      <c r="CH886" s="244"/>
      <c r="CI886" s="244"/>
      <c r="CJ886" s="244"/>
      <c r="CK886" s="244"/>
      <c r="CL886" s="244"/>
      <c r="CM886" s="244"/>
      <c r="CN886" s="244"/>
      <c r="CO886" s="244"/>
      <c r="CP886" s="244"/>
      <c r="CQ886" s="244"/>
      <c r="CR886" s="244"/>
      <c r="CS886" s="244"/>
      <c r="CT886" s="244"/>
      <c r="CU886" s="244"/>
      <c r="CV886" s="244"/>
      <c r="CW886" s="255"/>
    </row>
    <row r="887" spans="1:101">
      <c r="A887" s="221" t="s">
        <v>585</v>
      </c>
      <c r="C887" s="264">
        <v>1261.5167236328125</v>
      </c>
      <c r="D887" s="264">
        <v>3.2966773509979248</v>
      </c>
      <c r="E887" s="264">
        <v>0.65933549404144287</v>
      </c>
      <c r="F887" s="264">
        <v>3.9560127258300781</v>
      </c>
      <c r="G887" s="264">
        <v>6.4499416351318359</v>
      </c>
      <c r="H887" s="264">
        <v>7247.69189453125</v>
      </c>
      <c r="I887" s="264">
        <v>27.470640182495117</v>
      </c>
      <c r="J887" s="264">
        <v>-61.944461822509766</v>
      </c>
      <c r="K887" s="264">
        <v>-404.16714477539062</v>
      </c>
      <c r="L887" s="228">
        <v>1123.6833294240341</v>
      </c>
      <c r="M887" s="264">
        <v>18.708370746151743</v>
      </c>
      <c r="N887" s="264">
        <v>95.306389966879436</v>
      </c>
      <c r="O887" s="264">
        <v>87.917715574671831</v>
      </c>
      <c r="P887" s="264">
        <v>94.589330817663239</v>
      </c>
      <c r="Q887" s="264">
        <v>84.979892020776987</v>
      </c>
      <c r="R887" s="264">
        <v>82.18660904245408</v>
      </c>
      <c r="S887" s="264">
        <v>75.593382091106818</v>
      </c>
      <c r="T887" s="264">
        <v>76.533370107539099</v>
      </c>
      <c r="U887" s="264">
        <v>76.562965157273965</v>
      </c>
      <c r="V887" s="264">
        <v>78.026678505441168</v>
      </c>
      <c r="W887" s="264">
        <v>80.189571266464696</v>
      </c>
      <c r="X887" s="264">
        <v>85.376956513299859</v>
      </c>
      <c r="Y887" s="264">
        <v>93.493086912284042</v>
      </c>
      <c r="Z887" s="264"/>
      <c r="AA887" s="264">
        <v>19.328465110900883</v>
      </c>
      <c r="AB887" s="264">
        <v>26.785408004324008</v>
      </c>
      <c r="AC887" s="264">
        <v>24.738779224952143</v>
      </c>
      <c r="AD887" s="264">
        <v>26.76221235198064</v>
      </c>
      <c r="AE887" s="264">
        <v>20.075119309851914</v>
      </c>
      <c r="AF887" s="264">
        <v>16.629048223359447</v>
      </c>
      <c r="AG887" s="264">
        <v>20.395113966545214</v>
      </c>
      <c r="AH887" s="264">
        <v>17.485567006570655</v>
      </c>
      <c r="AI887" s="264">
        <v>16.875172742918906</v>
      </c>
      <c r="AJ887" s="264">
        <v>15.992258608668585</v>
      </c>
      <c r="AK887" s="264">
        <v>19.111935641076272</v>
      </c>
      <c r="AL887" s="264">
        <v>26.581677329282368</v>
      </c>
      <c r="AM887" s="244"/>
      <c r="AN887" s="244"/>
      <c r="AO887" s="244"/>
      <c r="AP887" s="244"/>
      <c r="AQ887" s="244"/>
      <c r="AR887" s="244"/>
      <c r="AS887" s="255"/>
      <c r="AT887" s="244"/>
      <c r="AU887" s="244"/>
      <c r="AV887" s="244"/>
      <c r="AW887" s="244"/>
      <c r="AX887" s="244"/>
      <c r="AY887" s="244"/>
      <c r="AZ887" s="255"/>
      <c r="BA887" s="244"/>
      <c r="BB887" s="244"/>
      <c r="BC887" s="244"/>
      <c r="BD887" s="244"/>
      <c r="BE887" s="244"/>
      <c r="BF887" s="244"/>
      <c r="BG887" s="244"/>
      <c r="BH887" s="255"/>
      <c r="BI887" s="244"/>
      <c r="BJ887" s="244"/>
      <c r="BK887" s="244"/>
      <c r="BL887" s="244"/>
      <c r="BM887" s="244"/>
      <c r="BN887" s="244"/>
      <c r="BO887" s="244"/>
      <c r="BP887" s="244"/>
      <c r="BQ887" s="244"/>
      <c r="BR887" s="244"/>
      <c r="BS887" s="244"/>
      <c r="BT887" s="244"/>
      <c r="BU887" s="244"/>
      <c r="BV887" s="244"/>
      <c r="BW887" s="244"/>
      <c r="BX887" s="244"/>
      <c r="BY887" s="244"/>
      <c r="BZ887" s="244"/>
      <c r="CA887" s="244"/>
      <c r="CB887" s="244"/>
      <c r="CC887" s="244"/>
      <c r="CD887" s="255"/>
      <c r="CE887" s="244"/>
      <c r="CF887" s="244"/>
      <c r="CG887" s="244"/>
      <c r="CH887" s="244"/>
      <c r="CI887" s="244"/>
      <c r="CJ887" s="244"/>
      <c r="CK887" s="244"/>
      <c r="CL887" s="244"/>
      <c r="CM887" s="244"/>
      <c r="CN887" s="244"/>
      <c r="CO887" s="244"/>
      <c r="CP887" s="244"/>
      <c r="CQ887" s="244"/>
      <c r="CR887" s="244"/>
      <c r="CS887" s="244"/>
      <c r="CT887" s="244"/>
      <c r="CU887" s="244"/>
      <c r="CV887" s="244"/>
      <c r="CW887" s="255"/>
    </row>
    <row r="888" spans="1:101">
      <c r="A888" s="221" t="s">
        <v>580</v>
      </c>
      <c r="C888" s="264">
        <v>2363.277099609375</v>
      </c>
      <c r="D888" s="264">
        <v>3.2966773509979248</v>
      </c>
      <c r="E888" s="264">
        <v>0.65933549404144287</v>
      </c>
      <c r="F888" s="264">
        <v>3.9560127258300781</v>
      </c>
      <c r="G888" s="264">
        <v>6.4499416351318359</v>
      </c>
      <c r="H888" s="264">
        <v>6661.01611328125</v>
      </c>
      <c r="I888" s="264">
        <v>14.663821220397949</v>
      </c>
      <c r="J888" s="264">
        <v>-62.616493225097656</v>
      </c>
      <c r="K888" s="264">
        <v>-169.43746948242187</v>
      </c>
      <c r="L888" s="228">
        <v>1032.7250121155625</v>
      </c>
      <c r="M888" s="264">
        <v>17.83805836564758</v>
      </c>
      <c r="N888" s="264">
        <v>180.91970361170064</v>
      </c>
      <c r="O888" s="264">
        <v>167.14149556939404</v>
      </c>
      <c r="P888" s="264">
        <v>179.70172165801256</v>
      </c>
      <c r="Q888" s="264">
        <v>160.48382394919349</v>
      </c>
      <c r="R888" s="264">
        <v>154.07052617214572</v>
      </c>
      <c r="S888" s="264">
        <v>141.27465635016236</v>
      </c>
      <c r="T888" s="264">
        <v>142.50136841363835</v>
      </c>
      <c r="U888" s="264">
        <v>142.81138842805507</v>
      </c>
      <c r="V888" s="264">
        <v>145.55737234984784</v>
      </c>
      <c r="W888" s="264">
        <v>150.23311227313528</v>
      </c>
      <c r="X888" s="264">
        <v>161.04694791655092</v>
      </c>
      <c r="Y888" s="264">
        <v>177.20884168916049</v>
      </c>
      <c r="Z888" s="264"/>
      <c r="AA888" s="264">
        <v>35.180466422895492</v>
      </c>
      <c r="AB888" s="264">
        <v>50.888327985042096</v>
      </c>
      <c r="AC888" s="264">
        <v>46.003032176099104</v>
      </c>
      <c r="AD888" s="264">
        <v>50.293080049892652</v>
      </c>
      <c r="AE888" s="264">
        <v>36.708468391000238</v>
      </c>
      <c r="AF888" s="264">
        <v>29.555910482756776</v>
      </c>
      <c r="AG888" s="264">
        <v>37.363326377330836</v>
      </c>
      <c r="AH888" s="264">
        <v>31.159584485938684</v>
      </c>
      <c r="AI888" s="264">
        <v>30.159888527694172</v>
      </c>
      <c r="AJ888" s="264">
        <v>28.103580549729188</v>
      </c>
      <c r="AK888" s="264">
        <v>34.886508392374793</v>
      </c>
      <c r="AL888" s="264">
        <v>50.023914113055909</v>
      </c>
      <c r="AM888" s="244"/>
      <c r="AN888" s="244"/>
      <c r="AO888" s="244"/>
      <c r="AP888" s="244"/>
      <c r="AQ888" s="244"/>
      <c r="AR888" s="244"/>
      <c r="AS888" s="255"/>
      <c r="AT888" s="244"/>
      <c r="AU888" s="244"/>
      <c r="AV888" s="244"/>
      <c r="AW888" s="244"/>
      <c r="AX888" s="244"/>
      <c r="AY888" s="244"/>
      <c r="AZ888" s="255"/>
      <c r="BA888" s="244"/>
      <c r="BB888" s="244"/>
      <c r="BC888" s="244"/>
      <c r="BD888" s="244"/>
      <c r="BE888" s="244"/>
      <c r="BF888" s="244"/>
      <c r="BG888" s="244"/>
      <c r="BH888" s="255"/>
      <c r="BI888" s="244"/>
      <c r="BJ888" s="244"/>
      <c r="BK888" s="244"/>
      <c r="BL888" s="244"/>
      <c r="BM888" s="244"/>
      <c r="BN888" s="244"/>
      <c r="BO888" s="244"/>
      <c r="BP888" s="244"/>
      <c r="BQ888" s="244"/>
      <c r="BR888" s="244"/>
      <c r="BS888" s="244"/>
      <c r="BT888" s="244"/>
      <c r="BU888" s="244"/>
      <c r="BV888" s="244"/>
      <c r="BW888" s="244"/>
      <c r="BX888" s="244"/>
      <c r="BY888" s="244"/>
      <c r="BZ888" s="244"/>
      <c r="CA888" s="244"/>
      <c r="CB888" s="244"/>
      <c r="CC888" s="244"/>
      <c r="CD888" s="255"/>
      <c r="CE888" s="244"/>
      <c r="CF888" s="244"/>
      <c r="CG888" s="244"/>
      <c r="CH888" s="244"/>
      <c r="CI888" s="244"/>
      <c r="CJ888" s="244"/>
      <c r="CK888" s="244"/>
      <c r="CL888" s="244"/>
      <c r="CM888" s="244"/>
      <c r="CN888" s="244"/>
      <c r="CO888" s="244"/>
      <c r="CP888" s="244"/>
      <c r="CQ888" s="244"/>
      <c r="CR888" s="244"/>
      <c r="CS888" s="244"/>
      <c r="CT888" s="244"/>
      <c r="CU888" s="244"/>
      <c r="CV888" s="244"/>
      <c r="CW888" s="255"/>
    </row>
    <row r="889" spans="1:101">
      <c r="A889" s="221" t="s">
        <v>577</v>
      </c>
      <c r="C889" s="264">
        <v>2356.375244140625</v>
      </c>
      <c r="D889" s="264">
        <v>3.2966773509979248</v>
      </c>
      <c r="E889" s="264">
        <v>0.65933549404144287</v>
      </c>
      <c r="F889" s="264">
        <v>3.9560127258300781</v>
      </c>
      <c r="G889" s="264">
        <v>6.4499416351318359</v>
      </c>
      <c r="H889" s="264">
        <v>6488.0009765625</v>
      </c>
      <c r="I889" s="264">
        <v>14.706771850585938</v>
      </c>
      <c r="J889" s="264">
        <v>-62.633014678955078</v>
      </c>
      <c r="K889" s="264">
        <v>-164.205322265625</v>
      </c>
      <c r="L889" s="228">
        <v>1005.9007829275076</v>
      </c>
      <c r="M889" s="264">
        <v>17.78576261861841</v>
      </c>
      <c r="N889" s="264">
        <v>180.45894455020328</v>
      </c>
      <c r="O889" s="264">
        <v>166.72278050652824</v>
      </c>
      <c r="P889" s="264">
        <v>179.2480854160392</v>
      </c>
      <c r="Q889" s="264">
        <v>160.0517179669568</v>
      </c>
      <c r="R889" s="264">
        <v>153.62356439428592</v>
      </c>
      <c r="S889" s="264">
        <v>140.85242159524358</v>
      </c>
      <c r="T889" s="264">
        <v>142.06035180677682</v>
      </c>
      <c r="U889" s="264">
        <v>142.37670942945363</v>
      </c>
      <c r="V889" s="264">
        <v>145.11478532045848</v>
      </c>
      <c r="W889" s="264">
        <v>149.7946193912519</v>
      </c>
      <c r="X889" s="264">
        <v>160.60805563390335</v>
      </c>
      <c r="Y889" s="264">
        <v>176.74998956930409</v>
      </c>
      <c r="Z889" s="264"/>
      <c r="AA889" s="264">
        <v>35.048454458821141</v>
      </c>
      <c r="AB889" s="264">
        <v>50.759898594671846</v>
      </c>
      <c r="AC889" s="264">
        <v>45.858961778841788</v>
      </c>
      <c r="AD889" s="264">
        <v>50.150689927033412</v>
      </c>
      <c r="AE889" s="264">
        <v>36.575671215661963</v>
      </c>
      <c r="AF889" s="264">
        <v>29.424176798479365</v>
      </c>
      <c r="AG889" s="264">
        <v>37.230192682879455</v>
      </c>
      <c r="AH889" s="264">
        <v>31.023141855245207</v>
      </c>
      <c r="AI889" s="264">
        <v>30.030456543487006</v>
      </c>
      <c r="AJ889" s="264">
        <v>27.968708341563556</v>
      </c>
      <c r="AK889" s="264">
        <v>34.758532336490305</v>
      </c>
      <c r="AL889" s="264">
        <v>49.884274382417722</v>
      </c>
      <c r="AM889" s="244"/>
      <c r="AN889" s="244"/>
      <c r="AO889" s="244"/>
      <c r="AP889" s="244"/>
      <c r="AQ889" s="244"/>
      <c r="AR889" s="244"/>
      <c r="AS889" s="255"/>
      <c r="AT889" s="244"/>
      <c r="AU889" s="244"/>
      <c r="AV889" s="244"/>
      <c r="AW889" s="244"/>
      <c r="AX889" s="244"/>
      <c r="AY889" s="244"/>
      <c r="AZ889" s="255"/>
      <c r="BA889" s="244"/>
      <c r="BB889" s="244"/>
      <c r="BC889" s="244"/>
      <c r="BD889" s="244"/>
      <c r="BE889" s="244"/>
      <c r="BF889" s="244"/>
      <c r="BG889" s="244"/>
      <c r="BH889" s="255"/>
      <c r="BI889" s="244"/>
      <c r="BJ889" s="244"/>
      <c r="BK889" s="244"/>
      <c r="BL889" s="244"/>
      <c r="BM889" s="244"/>
      <c r="BN889" s="244"/>
      <c r="BO889" s="244"/>
      <c r="BP889" s="244"/>
      <c r="BQ889" s="244"/>
      <c r="BR889" s="244"/>
      <c r="BS889" s="244"/>
      <c r="BT889" s="244"/>
      <c r="BU889" s="244"/>
      <c r="BV889" s="244"/>
      <c r="BW889" s="244"/>
      <c r="BX889" s="244"/>
      <c r="BY889" s="244"/>
      <c r="BZ889" s="244"/>
      <c r="CA889" s="244"/>
      <c r="CB889" s="244"/>
      <c r="CC889" s="244"/>
      <c r="CD889" s="255"/>
      <c r="CE889" s="244"/>
      <c r="CF889" s="244"/>
      <c r="CG889" s="244"/>
      <c r="CH889" s="244"/>
      <c r="CI889" s="244"/>
      <c r="CJ889" s="244"/>
      <c r="CK889" s="244"/>
      <c r="CL889" s="244"/>
      <c r="CM889" s="244"/>
      <c r="CN889" s="244"/>
      <c r="CO889" s="244"/>
      <c r="CP889" s="244"/>
      <c r="CQ889" s="244"/>
      <c r="CR889" s="244"/>
      <c r="CS889" s="244"/>
      <c r="CT889" s="244"/>
      <c r="CU889" s="244"/>
      <c r="CV889" s="244"/>
      <c r="CW889" s="255"/>
    </row>
    <row r="890" spans="1:101">
      <c r="A890" s="221" t="s">
        <v>584</v>
      </c>
      <c r="C890" s="264">
        <v>160.84175109863281</v>
      </c>
      <c r="D890" s="264">
        <v>3.2966773509979248</v>
      </c>
      <c r="E890" s="264">
        <v>0.65933549404144287</v>
      </c>
      <c r="F890" s="264">
        <v>3.9560127258300781</v>
      </c>
      <c r="G890" s="264">
        <v>6.4499416351318359</v>
      </c>
      <c r="H890" s="264">
        <v>5982.81103515625</v>
      </c>
      <c r="I890" s="264">
        <v>215.45819091796875</v>
      </c>
      <c r="J890" s="264">
        <v>-54.351627349853516</v>
      </c>
      <c r="K890" s="264">
        <v>-2925.959228515625</v>
      </c>
      <c r="L890" s="228">
        <v>927.57599521576435</v>
      </c>
      <c r="M890" s="264">
        <v>14.657742365096592</v>
      </c>
      <c r="N890" s="264">
        <v>10.401141057590278</v>
      </c>
      <c r="O890" s="264">
        <v>9.4123597992487049</v>
      </c>
      <c r="P890" s="264">
        <v>10.217406336196264</v>
      </c>
      <c r="Q890" s="264">
        <v>9.8878125834157391</v>
      </c>
      <c r="R890" s="264">
        <v>10.401141057590278</v>
      </c>
      <c r="S890" s="264">
        <v>9.8878125834157391</v>
      </c>
      <c r="T890" s="264">
        <v>10.401141057590278</v>
      </c>
      <c r="U890" s="264">
        <v>10.217406336196264</v>
      </c>
      <c r="V890" s="264">
        <v>10.401141057590278</v>
      </c>
      <c r="W890" s="264">
        <v>10.217406336196264</v>
      </c>
      <c r="X890" s="264">
        <v>10.071547304809753</v>
      </c>
      <c r="Y890" s="264">
        <v>10.401141057590278</v>
      </c>
      <c r="Z890" s="264"/>
      <c r="AA890" s="264">
        <v>3.2220673906714081</v>
      </c>
      <c r="AB890" s="264">
        <v>2.8924736378908831</v>
      </c>
      <c r="AC890" s="264">
        <v>3.4058021120654218</v>
      </c>
      <c r="AD890" s="264">
        <v>3.2959375278052461</v>
      </c>
      <c r="AE890" s="264">
        <v>3.2220673906714081</v>
      </c>
      <c r="AF890" s="264">
        <v>3.2959375278052461</v>
      </c>
      <c r="AG890" s="264">
        <v>3.2220673906714081</v>
      </c>
      <c r="AH890" s="264">
        <v>3.4058021120654218</v>
      </c>
      <c r="AI890" s="264">
        <v>3.2220673906714081</v>
      </c>
      <c r="AJ890" s="264">
        <v>3.4058021120654218</v>
      </c>
      <c r="AK890" s="264">
        <v>3.1122028064112324</v>
      </c>
      <c r="AL890" s="264">
        <v>3.2220673906714081</v>
      </c>
      <c r="AM890" s="244"/>
      <c r="AN890" s="244"/>
      <c r="AO890" s="244"/>
      <c r="AP890" s="244"/>
      <c r="AQ890" s="244"/>
      <c r="AR890" s="244"/>
      <c r="AS890" s="255"/>
      <c r="AT890" s="244"/>
      <c r="AU890" s="244"/>
      <c r="AV890" s="244"/>
      <c r="AW890" s="244"/>
      <c r="AX890" s="244"/>
      <c r="AY890" s="244"/>
      <c r="AZ890" s="255"/>
      <c r="BA890" s="244"/>
      <c r="BB890" s="244"/>
      <c r="BC890" s="244"/>
      <c r="BD890" s="244"/>
      <c r="BE890" s="244"/>
      <c r="BF890" s="244"/>
      <c r="BG890" s="244"/>
      <c r="BH890" s="255"/>
      <c r="BI890" s="244"/>
      <c r="BJ890" s="244"/>
      <c r="BK890" s="244"/>
      <c r="BL890" s="244"/>
      <c r="BM890" s="244"/>
      <c r="BN890" s="244"/>
      <c r="BO890" s="244"/>
      <c r="BP890" s="244"/>
      <c r="BQ890" s="244"/>
      <c r="BR890" s="244"/>
      <c r="BS890" s="244"/>
      <c r="BT890" s="244"/>
      <c r="BU890" s="244"/>
      <c r="BV890" s="244"/>
      <c r="BW890" s="244"/>
      <c r="BX890" s="244"/>
      <c r="BY890" s="244"/>
      <c r="BZ890" s="244"/>
      <c r="CA890" s="244"/>
      <c r="CB890" s="244"/>
      <c r="CC890" s="244"/>
      <c r="CD890" s="255"/>
      <c r="CE890" s="244"/>
      <c r="CF890" s="244"/>
      <c r="CG890" s="244"/>
      <c r="CH890" s="244"/>
      <c r="CI890" s="244"/>
      <c r="CJ890" s="244"/>
      <c r="CK890" s="244"/>
      <c r="CL890" s="244"/>
      <c r="CM890" s="244"/>
      <c r="CN890" s="244"/>
      <c r="CO890" s="244"/>
      <c r="CP890" s="244"/>
      <c r="CQ890" s="244"/>
      <c r="CR890" s="244"/>
      <c r="CS890" s="244"/>
      <c r="CT890" s="244"/>
      <c r="CU890" s="244"/>
      <c r="CV890" s="244"/>
      <c r="CW890" s="255"/>
    </row>
    <row r="891" spans="1:101">
      <c r="A891" s="221" t="s">
        <v>582</v>
      </c>
      <c r="C891" s="264">
        <v>824.0733642578125</v>
      </c>
      <c r="D891" s="264">
        <v>3.2966773509979248</v>
      </c>
      <c r="E891" s="264">
        <v>0.65933549404144287</v>
      </c>
      <c r="F891" s="264">
        <v>3.9560127258300781</v>
      </c>
      <c r="G891" s="264">
        <v>6.4499416351318359</v>
      </c>
      <c r="H891" s="264">
        <v>4892.18359375</v>
      </c>
      <c r="I891" s="264">
        <v>42.052898406982422</v>
      </c>
      <c r="J891" s="264">
        <v>-61.799301147460938</v>
      </c>
      <c r="K891" s="264">
        <v>-419.31179809570312</v>
      </c>
      <c r="L891" s="228">
        <v>758.48496224016139</v>
      </c>
      <c r="M891" s="264">
        <v>12.173586690376055</v>
      </c>
      <c r="N891" s="264">
        <v>62.18667449011356</v>
      </c>
      <c r="O891" s="264">
        <v>57.358192260991927</v>
      </c>
      <c r="P891" s="264">
        <v>61.714503020857578</v>
      </c>
      <c r="Q891" s="264">
        <v>55.473707741156694</v>
      </c>
      <c r="R891" s="264">
        <v>53.684434967587833</v>
      </c>
      <c r="S891" s="264">
        <v>49.390804668130173</v>
      </c>
      <c r="T891" s="264">
        <v>50.020868344060503</v>
      </c>
      <c r="U891" s="264">
        <v>50.032564164704375</v>
      </c>
      <c r="V891" s="264">
        <v>50.988602923860171</v>
      </c>
      <c r="W891" s="264">
        <v>52.382776715646443</v>
      </c>
      <c r="X891" s="264">
        <v>55.7385075147413</v>
      </c>
      <c r="Y891" s="264">
        <v>61.011568214642509</v>
      </c>
      <c r="Z891" s="264"/>
      <c r="AA891" s="264">
        <v>12.656989793046691</v>
      </c>
      <c r="AB891" s="264">
        <v>17.476018282484937</v>
      </c>
      <c r="AC891" s="264">
        <v>16.170612798815917</v>
      </c>
      <c r="AD891" s="264">
        <v>17.477418734881148</v>
      </c>
      <c r="AE891" s="264">
        <v>13.140857082946527</v>
      </c>
      <c r="AF891" s="264">
        <v>10.910648371954787</v>
      </c>
      <c r="AG891" s="264">
        <v>13.348228778617884</v>
      </c>
      <c r="AH891" s="264">
        <v>11.470187696931786</v>
      </c>
      <c r="AI891" s="264">
        <v>11.067140126232939</v>
      </c>
      <c r="AJ891" s="264">
        <v>10.502453117132111</v>
      </c>
      <c r="AK891" s="264">
        <v>12.51219385941241</v>
      </c>
      <c r="AL891" s="264">
        <v>17.357414894930823</v>
      </c>
      <c r="AM891" s="244"/>
      <c r="AN891" s="244"/>
      <c r="AO891" s="244"/>
      <c r="AP891" s="244"/>
      <c r="AQ891" s="244"/>
      <c r="AR891" s="244"/>
      <c r="AS891" s="255"/>
      <c r="AT891" s="244"/>
      <c r="AU891" s="244"/>
      <c r="AV891" s="244"/>
      <c r="AW891" s="244"/>
      <c r="AX891" s="244"/>
      <c r="AY891" s="244"/>
      <c r="AZ891" s="255"/>
      <c r="BA891" s="244"/>
      <c r="BB891" s="244"/>
      <c r="BC891" s="244"/>
      <c r="BD891" s="244"/>
      <c r="BE891" s="244"/>
      <c r="BF891" s="244"/>
      <c r="BG891" s="244"/>
      <c r="BH891" s="255"/>
      <c r="BI891" s="244"/>
      <c r="BJ891" s="244"/>
      <c r="BK891" s="244"/>
      <c r="BL891" s="244"/>
      <c r="BM891" s="244"/>
      <c r="BN891" s="244"/>
      <c r="BO891" s="244"/>
      <c r="BP891" s="244"/>
      <c r="BQ891" s="244"/>
      <c r="BR891" s="244"/>
      <c r="BS891" s="244"/>
      <c r="BT891" s="244"/>
      <c r="BU891" s="244"/>
      <c r="BV891" s="244"/>
      <c r="BW891" s="244"/>
      <c r="BX891" s="244"/>
      <c r="BY891" s="244"/>
      <c r="BZ891" s="244"/>
      <c r="CA891" s="244"/>
      <c r="CB891" s="244"/>
      <c r="CC891" s="244"/>
      <c r="CD891" s="255"/>
      <c r="CE891" s="244"/>
      <c r="CF891" s="244"/>
      <c r="CG891" s="244"/>
      <c r="CH891" s="244"/>
      <c r="CI891" s="244"/>
      <c r="CJ891" s="244"/>
      <c r="CK891" s="244"/>
      <c r="CL891" s="244"/>
      <c r="CM891" s="244"/>
      <c r="CN891" s="244"/>
      <c r="CO891" s="244"/>
      <c r="CP891" s="244"/>
      <c r="CQ891" s="244"/>
      <c r="CR891" s="244"/>
      <c r="CS891" s="244"/>
      <c r="CT891" s="244"/>
      <c r="CU891" s="244"/>
      <c r="CV891" s="244"/>
      <c r="CW891" s="255"/>
    </row>
    <row r="892" spans="1:101">
      <c r="A892" s="221" t="s">
        <v>579</v>
      </c>
      <c r="C892" s="264">
        <v>817.96246337890625</v>
      </c>
      <c r="D892" s="264">
        <v>3.2966773509979248</v>
      </c>
      <c r="E892" s="264">
        <v>0.65933549404144287</v>
      </c>
      <c r="F892" s="264">
        <v>3.9560127258300781</v>
      </c>
      <c r="G892" s="264">
        <v>6.4499416351318359</v>
      </c>
      <c r="H892" s="264">
        <v>4720.078125</v>
      </c>
      <c r="I892" s="264">
        <v>42.367069244384766</v>
      </c>
      <c r="J892" s="264">
        <v>-61.841228485107422</v>
      </c>
      <c r="K892" s="264">
        <v>-405.9765625</v>
      </c>
      <c r="L892" s="228">
        <v>731.8016628497478</v>
      </c>
      <c r="M892" s="264">
        <v>12.124201808029301</v>
      </c>
      <c r="N892" s="264">
        <v>61.786930082924442</v>
      </c>
      <c r="O892" s="264">
        <v>56.995892757888512</v>
      </c>
      <c r="P892" s="264">
        <v>61.321498175313664</v>
      </c>
      <c r="Q892" s="264">
        <v>55.095564468257948</v>
      </c>
      <c r="R892" s="264">
        <v>53.289059700217265</v>
      </c>
      <c r="S892" s="264">
        <v>49.015787283882091</v>
      </c>
      <c r="T892" s="264">
        <v>49.627375714172715</v>
      </c>
      <c r="U892" s="264">
        <v>49.645562446228212</v>
      </c>
      <c r="V892" s="264">
        <v>50.594612993505237</v>
      </c>
      <c r="W892" s="264">
        <v>51.994567267464333</v>
      </c>
      <c r="X892" s="264">
        <v>55.35373124458318</v>
      </c>
      <c r="Y892" s="264">
        <v>60.612427672306367</v>
      </c>
      <c r="Z892" s="264"/>
      <c r="AA892" s="264">
        <v>12.536552216912721</v>
      </c>
      <c r="AB892" s="264">
        <v>17.364758845085838</v>
      </c>
      <c r="AC892" s="264">
        <v>16.041872716711421</v>
      </c>
      <c r="AD892" s="264">
        <v>17.351891958690011</v>
      </c>
      <c r="AE892" s="264">
        <v>13.020170856578982</v>
      </c>
      <c r="AF892" s="264">
        <v>10.78849613464789</v>
      </c>
      <c r="AG892" s="264">
        <v>13.227435987864521</v>
      </c>
      <c r="AH892" s="264">
        <v>11.343863074239163</v>
      </c>
      <c r="AI892" s="264">
        <v>10.947519543723576</v>
      </c>
      <c r="AJ892" s="264">
        <v>10.376625794906641</v>
      </c>
      <c r="AK892" s="264">
        <v>12.395715539892528</v>
      </c>
      <c r="AL892" s="264">
        <v>17.234561859384975</v>
      </c>
      <c r="AM892" s="244"/>
      <c r="AN892" s="244"/>
      <c r="AO892" s="244"/>
      <c r="AP892" s="244"/>
      <c r="AQ892" s="244"/>
      <c r="AR892" s="244"/>
      <c r="AS892" s="255"/>
      <c r="AT892" s="244"/>
      <c r="AU892" s="244"/>
      <c r="AV892" s="244"/>
      <c r="AW892" s="244"/>
      <c r="AX892" s="244"/>
      <c r="AY892" s="244"/>
      <c r="AZ892" s="255"/>
      <c r="BA892" s="244"/>
      <c r="BB892" s="244"/>
      <c r="BC892" s="244"/>
      <c r="BD892" s="244"/>
      <c r="BE892" s="244"/>
      <c r="BF892" s="244"/>
      <c r="BG892" s="244"/>
      <c r="BH892" s="255"/>
      <c r="BI892" s="244"/>
      <c r="BJ892" s="244"/>
      <c r="BK892" s="244"/>
      <c r="BL892" s="244"/>
      <c r="BM892" s="244"/>
      <c r="BN892" s="244"/>
      <c r="BO892" s="244"/>
      <c r="BP892" s="244"/>
      <c r="BQ892" s="244"/>
      <c r="BR892" s="244"/>
      <c r="BS892" s="244"/>
      <c r="BT892" s="244"/>
      <c r="BU892" s="244"/>
      <c r="BV892" s="244"/>
      <c r="BW892" s="244"/>
      <c r="BX892" s="244"/>
      <c r="BY892" s="244"/>
      <c r="BZ892" s="244"/>
      <c r="CA892" s="244"/>
      <c r="CB892" s="244"/>
      <c r="CC892" s="244"/>
      <c r="CD892" s="255"/>
      <c r="CE892" s="244"/>
      <c r="CF892" s="244"/>
      <c r="CG892" s="244"/>
      <c r="CH892" s="244"/>
      <c r="CI892" s="244"/>
      <c r="CJ892" s="244"/>
      <c r="CK892" s="244"/>
      <c r="CL892" s="244"/>
      <c r="CM892" s="244"/>
      <c r="CN892" s="244"/>
      <c r="CO892" s="244"/>
      <c r="CP892" s="244"/>
      <c r="CQ892" s="244"/>
      <c r="CR892" s="244"/>
      <c r="CS892" s="244"/>
      <c r="CT892" s="244"/>
      <c r="CU892" s="244"/>
      <c r="CV892" s="244"/>
      <c r="CW892" s="255"/>
    </row>
    <row r="893" spans="1:101">
      <c r="A893" s="221" t="s">
        <v>581</v>
      </c>
      <c r="C893" s="264">
        <v>110.78385925292969</v>
      </c>
      <c r="D893" s="264">
        <v>3.2966773509979248</v>
      </c>
      <c r="E893" s="264">
        <v>0.65933549404144287</v>
      </c>
      <c r="F893" s="264">
        <v>3.9560127258300781</v>
      </c>
      <c r="G893" s="264">
        <v>6.4499416351318359</v>
      </c>
      <c r="H893" s="264">
        <v>4072.48095703125</v>
      </c>
      <c r="I893" s="264">
        <v>312.81338500976563</v>
      </c>
      <c r="J893" s="264">
        <v>-53.720756530761719</v>
      </c>
      <c r="K893" s="264">
        <v>-2889.4970703125</v>
      </c>
      <c r="L893" s="228">
        <v>631.39811245811029</v>
      </c>
      <c r="M893" s="264">
        <v>9.5485876213478402</v>
      </c>
      <c r="N893" s="264">
        <v>7.1640512386463691</v>
      </c>
      <c r="O893" s="264">
        <v>6.4830029229519184</v>
      </c>
      <c r="P893" s="264">
        <v>7.0374992621760022</v>
      </c>
      <c r="Q893" s="264">
        <v>6.8104831569445174</v>
      </c>
      <c r="R893" s="264">
        <v>7.1640512386463691</v>
      </c>
      <c r="S893" s="264">
        <v>6.8104831569445174</v>
      </c>
      <c r="T893" s="264">
        <v>7.1640512386463691</v>
      </c>
      <c r="U893" s="264">
        <v>7.0374992621760022</v>
      </c>
      <c r="V893" s="264">
        <v>7.1640512386463691</v>
      </c>
      <c r="W893" s="264">
        <v>7.0374992621760022</v>
      </c>
      <c r="X893" s="264">
        <v>6.9370351334148843</v>
      </c>
      <c r="Y893" s="264">
        <v>7.1640512386463691</v>
      </c>
      <c r="Z893" s="264"/>
      <c r="AA893" s="264">
        <v>2.2192811109216342</v>
      </c>
      <c r="AB893" s="264">
        <v>1.9922650056901499</v>
      </c>
      <c r="AC893" s="264">
        <v>2.345833087392001</v>
      </c>
      <c r="AD893" s="264">
        <v>2.2701610523148394</v>
      </c>
      <c r="AE893" s="264">
        <v>2.2192811109216342</v>
      </c>
      <c r="AF893" s="264">
        <v>2.2701610523148394</v>
      </c>
      <c r="AG893" s="264">
        <v>2.2192811109216342</v>
      </c>
      <c r="AH893" s="264">
        <v>2.345833087392001</v>
      </c>
      <c r="AI893" s="264">
        <v>2.2192811109216342</v>
      </c>
      <c r="AJ893" s="264">
        <v>2.345833087392001</v>
      </c>
      <c r="AK893" s="264">
        <v>2.1436090758444726</v>
      </c>
      <c r="AL893" s="264">
        <v>2.2192811109216342</v>
      </c>
      <c r="AM893" s="244"/>
      <c r="AN893" s="244"/>
      <c r="AO893" s="244"/>
      <c r="AP893" s="244"/>
      <c r="AQ893" s="244"/>
      <c r="AR893" s="244"/>
      <c r="AS893" s="255"/>
      <c r="AT893" s="244"/>
      <c r="AU893" s="244"/>
      <c r="AV893" s="244"/>
      <c r="AW893" s="244"/>
      <c r="AX893" s="244"/>
      <c r="AY893" s="244"/>
      <c r="AZ893" s="255"/>
      <c r="BA893" s="244"/>
      <c r="BB893" s="244"/>
      <c r="BC893" s="244"/>
      <c r="BD893" s="244"/>
      <c r="BE893" s="244"/>
      <c r="BF893" s="244"/>
      <c r="BG893" s="244"/>
      <c r="BH893" s="255"/>
      <c r="BI893" s="244"/>
      <c r="BJ893" s="244"/>
      <c r="BK893" s="244"/>
      <c r="BL893" s="244"/>
      <c r="BM893" s="244"/>
      <c r="BN893" s="244"/>
      <c r="BO893" s="244"/>
      <c r="BP893" s="244"/>
      <c r="BQ893" s="244"/>
      <c r="BR893" s="244"/>
      <c r="BS893" s="244"/>
      <c r="BT893" s="244"/>
      <c r="BU893" s="244"/>
      <c r="BV893" s="244"/>
      <c r="BW893" s="244"/>
      <c r="BX893" s="244"/>
      <c r="BY893" s="244"/>
      <c r="BZ893" s="244"/>
      <c r="CA893" s="244"/>
      <c r="CB893" s="244"/>
      <c r="CC893" s="244"/>
      <c r="CD893" s="255"/>
      <c r="CE893" s="244"/>
      <c r="CF893" s="244"/>
      <c r="CG893" s="244"/>
      <c r="CH893" s="244"/>
      <c r="CI893" s="244"/>
      <c r="CJ893" s="244"/>
      <c r="CK893" s="244"/>
      <c r="CL893" s="244"/>
      <c r="CM893" s="244"/>
      <c r="CN893" s="244"/>
      <c r="CO893" s="244"/>
      <c r="CP893" s="244"/>
      <c r="CQ893" s="244"/>
      <c r="CR893" s="244"/>
      <c r="CS893" s="244"/>
      <c r="CT893" s="244"/>
      <c r="CU893" s="244"/>
      <c r="CV893" s="244"/>
      <c r="CW893" s="255"/>
    </row>
    <row r="894" spans="1:101">
      <c r="A894" s="221" t="s">
        <v>578</v>
      </c>
      <c r="C894" s="264">
        <v>105.03951263427734</v>
      </c>
      <c r="D894" s="264">
        <v>3.2966773509979248</v>
      </c>
      <c r="E894" s="264">
        <v>0.65933549404144287</v>
      </c>
      <c r="F894" s="264">
        <v>3.9560127258300781</v>
      </c>
      <c r="G894" s="264">
        <v>6.4499416351318359</v>
      </c>
      <c r="H894" s="264">
        <v>3900.79638671875</v>
      </c>
      <c r="I894" s="264">
        <v>329.92034912109375</v>
      </c>
      <c r="J894" s="264">
        <v>-53.609901428222656</v>
      </c>
      <c r="K894" s="264">
        <v>-2919.40234375</v>
      </c>
      <c r="L894" s="228">
        <v>604.78013402979047</v>
      </c>
      <c r="M894" s="264">
        <v>9.5005516762928615</v>
      </c>
      <c r="N894" s="264">
        <v>6.7925819151609987</v>
      </c>
      <c r="O894" s="264">
        <v>6.1468472158358907</v>
      </c>
      <c r="P894" s="264">
        <v>6.6725918930261328</v>
      </c>
      <c r="Q894" s="264">
        <v>6.4573469932510958</v>
      </c>
      <c r="R894" s="264">
        <v>6.7925819151609987</v>
      </c>
      <c r="S894" s="264">
        <v>6.4573469932510958</v>
      </c>
      <c r="T894" s="264">
        <v>6.7925819151609987</v>
      </c>
      <c r="U894" s="264">
        <v>6.6725918930261328</v>
      </c>
      <c r="V894" s="264">
        <v>6.7925819151609987</v>
      </c>
      <c r="W894" s="264">
        <v>6.6725918930261328</v>
      </c>
      <c r="X894" s="264">
        <v>6.5773370153859627</v>
      </c>
      <c r="Y894" s="264">
        <v>6.7925819151609987</v>
      </c>
      <c r="Z894" s="264"/>
      <c r="AA894" s="264">
        <v>2.1042072755405115</v>
      </c>
      <c r="AB894" s="264">
        <v>1.8889623757654745</v>
      </c>
      <c r="AC894" s="264">
        <v>2.2241972976753779</v>
      </c>
      <c r="AD894" s="264">
        <v>2.1524489977503656</v>
      </c>
      <c r="AE894" s="264">
        <v>2.1042072755405115</v>
      </c>
      <c r="AF894" s="264">
        <v>2.1524489977503656</v>
      </c>
      <c r="AG894" s="264">
        <v>2.1042072755405115</v>
      </c>
      <c r="AH894" s="264">
        <v>2.2241972976753779</v>
      </c>
      <c r="AI894" s="264">
        <v>2.1042072755405115</v>
      </c>
      <c r="AJ894" s="264">
        <v>2.2241972976753779</v>
      </c>
      <c r="AK894" s="264">
        <v>2.0324589756154992</v>
      </c>
      <c r="AL894" s="264">
        <v>2.1042072755405115</v>
      </c>
      <c r="AM894" s="244"/>
      <c r="AN894" s="244"/>
      <c r="AO894" s="244"/>
      <c r="AP894" s="244"/>
      <c r="AQ894" s="244"/>
      <c r="AR894" s="244"/>
      <c r="AS894" s="255"/>
      <c r="AT894" s="244"/>
      <c r="AU894" s="244"/>
      <c r="AV894" s="244"/>
      <c r="AW894" s="244"/>
      <c r="AX894" s="244"/>
      <c r="AY894" s="244"/>
      <c r="AZ894" s="255"/>
      <c r="BA894" s="244"/>
      <c r="BB894" s="244"/>
      <c r="BC894" s="244"/>
      <c r="BD894" s="244"/>
      <c r="BE894" s="244"/>
      <c r="BF894" s="244"/>
      <c r="BG894" s="244"/>
      <c r="BH894" s="255"/>
      <c r="BI894" s="244"/>
      <c r="BJ894" s="244"/>
      <c r="BK894" s="244"/>
      <c r="BL894" s="244"/>
      <c r="BM894" s="244"/>
      <c r="BN894" s="244"/>
      <c r="BO894" s="244"/>
      <c r="BP894" s="244"/>
      <c r="BQ894" s="244"/>
      <c r="BR894" s="244"/>
      <c r="BS894" s="244"/>
      <c r="BT894" s="244"/>
      <c r="BU894" s="244"/>
      <c r="BV894" s="244"/>
      <c r="BW894" s="244"/>
      <c r="BX894" s="244"/>
      <c r="BY894" s="244"/>
      <c r="BZ894" s="244"/>
      <c r="CA894" s="244"/>
      <c r="CB894" s="244"/>
      <c r="CC894" s="244"/>
      <c r="CD894" s="255"/>
      <c r="CE894" s="244"/>
      <c r="CF894" s="244"/>
      <c r="CG894" s="244"/>
      <c r="CH894" s="244"/>
      <c r="CI894" s="244"/>
      <c r="CJ894" s="244"/>
      <c r="CK894" s="244"/>
      <c r="CL894" s="244"/>
      <c r="CM894" s="244"/>
      <c r="CN894" s="244"/>
      <c r="CO894" s="244"/>
      <c r="CP894" s="244"/>
      <c r="CQ894" s="244"/>
      <c r="CR894" s="244"/>
      <c r="CS894" s="244"/>
      <c r="CT894" s="244"/>
      <c r="CU894" s="244"/>
      <c r="CV894" s="244"/>
      <c r="CW894" s="255"/>
    </row>
    <row r="895" spans="1:101">
      <c r="A895" s="221" t="s">
        <v>592</v>
      </c>
      <c r="C895" s="264">
        <v>4675.7021484375</v>
      </c>
      <c r="D895" s="264">
        <v>11.336667060852051</v>
      </c>
      <c r="E895" s="264">
        <v>2.2673335075378418</v>
      </c>
      <c r="F895" s="264">
        <v>13.604000091552734</v>
      </c>
      <c r="G895" s="264">
        <v>22.18016242980957</v>
      </c>
      <c r="H895" s="264">
        <v>12827.7919921875</v>
      </c>
      <c r="I895" s="264">
        <v>25.4873046875</v>
      </c>
      <c r="J895" s="264">
        <v>-62.565708160400391</v>
      </c>
      <c r="K895" s="264">
        <v>-163.25106811523437</v>
      </c>
      <c r="L895" s="228">
        <v>578.34526772292497</v>
      </c>
      <c r="M895" s="264">
        <v>35.291829099257853</v>
      </c>
      <c r="N895" s="264">
        <v>358.10097392379004</v>
      </c>
      <c r="O895" s="264">
        <v>330.84515522105272</v>
      </c>
      <c r="P895" s="264">
        <v>355.69936619159188</v>
      </c>
      <c r="Q895" s="264">
        <v>317.59803645067041</v>
      </c>
      <c r="R895" s="264">
        <v>304.83269047123599</v>
      </c>
      <c r="S895" s="264">
        <v>279.48739463095694</v>
      </c>
      <c r="T895" s="264">
        <v>281.87969028436316</v>
      </c>
      <c r="U895" s="264">
        <v>282.50961087873316</v>
      </c>
      <c r="V895" s="264">
        <v>287.94274693749935</v>
      </c>
      <c r="W895" s="264">
        <v>297.23417703634971</v>
      </c>
      <c r="X895" s="264">
        <v>318.70041775719642</v>
      </c>
      <c r="Y895" s="264">
        <v>350.7386908449817</v>
      </c>
      <c r="Z895" s="264"/>
      <c r="AA895" s="264">
        <v>69.537054832546801</v>
      </c>
      <c r="AB895" s="264">
        <v>100.72780112746787</v>
      </c>
      <c r="AC895" s="264">
        <v>90.993983474601634</v>
      </c>
      <c r="AD895" s="264">
        <v>99.514238513604568</v>
      </c>
      <c r="AE895" s="264">
        <v>72.568583159114908</v>
      </c>
      <c r="AF895" s="264">
        <v>58.372068367323038</v>
      </c>
      <c r="AG895" s="264">
        <v>73.867809584786954</v>
      </c>
      <c r="AH895" s="264">
        <v>61.54485115936852</v>
      </c>
      <c r="AI895" s="264">
        <v>59.576318902394434</v>
      </c>
      <c r="AJ895" s="264">
        <v>55.481794506232291</v>
      </c>
      <c r="AK895" s="264">
        <v>68.962724891845426</v>
      </c>
      <c r="AL895" s="264">
        <v>98.986187147779901</v>
      </c>
      <c r="AM895" s="244"/>
      <c r="AN895" s="244"/>
      <c r="AO895" s="244"/>
      <c r="AP895" s="244"/>
      <c r="AQ895" s="244"/>
      <c r="AR895" s="244"/>
      <c r="AS895" s="255"/>
      <c r="AT895" s="244"/>
      <c r="AU895" s="244"/>
      <c r="AV895" s="244"/>
      <c r="AW895" s="244"/>
      <c r="AX895" s="244"/>
      <c r="AY895" s="244"/>
      <c r="AZ895" s="255"/>
      <c r="BA895" s="244"/>
      <c r="BB895" s="244"/>
      <c r="BC895" s="244"/>
      <c r="BD895" s="244"/>
      <c r="BE895" s="244"/>
      <c r="BF895" s="244"/>
      <c r="BG895" s="244"/>
      <c r="BH895" s="255"/>
      <c r="BI895" s="244"/>
      <c r="BJ895" s="244"/>
      <c r="BK895" s="244"/>
      <c r="BL895" s="244"/>
      <c r="BM895" s="244"/>
      <c r="BN895" s="244"/>
      <c r="BO895" s="244"/>
      <c r="BP895" s="244"/>
      <c r="BQ895" s="244"/>
      <c r="BR895" s="244"/>
      <c r="BS895" s="244"/>
      <c r="BT895" s="244"/>
      <c r="BU895" s="244"/>
      <c r="BV895" s="244"/>
      <c r="BW895" s="244"/>
      <c r="BX895" s="244"/>
      <c r="BY895" s="244"/>
      <c r="BZ895" s="244"/>
      <c r="CA895" s="244"/>
      <c r="CB895" s="244"/>
      <c r="CC895" s="244"/>
      <c r="CD895" s="255"/>
      <c r="CE895" s="244"/>
      <c r="CF895" s="244"/>
      <c r="CG895" s="244"/>
      <c r="CH895" s="244"/>
      <c r="CI895" s="244"/>
      <c r="CJ895" s="244"/>
      <c r="CK895" s="244"/>
      <c r="CL895" s="244"/>
      <c r="CM895" s="244"/>
      <c r="CN895" s="244"/>
      <c r="CO895" s="244"/>
      <c r="CP895" s="244"/>
      <c r="CQ895" s="244"/>
      <c r="CR895" s="244"/>
      <c r="CS895" s="244"/>
      <c r="CT895" s="244"/>
      <c r="CU895" s="244"/>
      <c r="CV895" s="244"/>
      <c r="CW895" s="255"/>
    </row>
    <row r="896" spans="1:101">
      <c r="A896" s="221" t="s">
        <v>601</v>
      </c>
      <c r="C896" s="264">
        <v>3117.134765625</v>
      </c>
      <c r="D896" s="264">
        <v>8.1096944808959961</v>
      </c>
      <c r="E896" s="264">
        <v>1.621938943862915</v>
      </c>
      <c r="F896" s="264">
        <v>9.731633186340332</v>
      </c>
      <c r="G896" s="264">
        <v>15.866598129272461</v>
      </c>
      <c r="H896" s="264">
        <v>8551.861328125</v>
      </c>
      <c r="I896" s="264">
        <v>27.348546981811523</v>
      </c>
      <c r="J896" s="264">
        <v>-62.553646087646484</v>
      </c>
      <c r="K896" s="264">
        <v>-163.22328186035156</v>
      </c>
      <c r="L896" s="228">
        <v>538.98518075394202</v>
      </c>
      <c r="M896" s="264">
        <v>23.527886066171941</v>
      </c>
      <c r="N896" s="264">
        <v>238.73398261585996</v>
      </c>
      <c r="O896" s="264">
        <v>220.56343681403513</v>
      </c>
      <c r="P896" s="264">
        <v>237.13291079439455</v>
      </c>
      <c r="Q896" s="264">
        <v>211.73202430044688</v>
      </c>
      <c r="R896" s="264">
        <v>203.22179364749064</v>
      </c>
      <c r="S896" s="264">
        <v>186.32492975397128</v>
      </c>
      <c r="T896" s="264">
        <v>187.91979352290872</v>
      </c>
      <c r="U896" s="264">
        <v>188.33974058582206</v>
      </c>
      <c r="V896" s="264">
        <v>191.96183129166621</v>
      </c>
      <c r="W896" s="264">
        <v>198.15611802423308</v>
      </c>
      <c r="X896" s="264">
        <v>212.46694517146426</v>
      </c>
      <c r="Y896" s="264">
        <v>233.82579389665443</v>
      </c>
      <c r="Z896" s="264"/>
      <c r="AA896" s="264">
        <v>46.358036555031198</v>
      </c>
      <c r="AB896" s="264">
        <v>67.151867418311909</v>
      </c>
      <c r="AC896" s="264">
        <v>60.662655649734404</v>
      </c>
      <c r="AD896" s="264">
        <v>66.342825675736364</v>
      </c>
      <c r="AE896" s="264">
        <v>48.379055439409925</v>
      </c>
      <c r="AF896" s="264">
        <v>38.914712244882026</v>
      </c>
      <c r="AG896" s="264">
        <v>49.245206389857955</v>
      </c>
      <c r="AH896" s="264">
        <v>41.029900772912342</v>
      </c>
      <c r="AI896" s="264">
        <v>39.717545934929618</v>
      </c>
      <c r="AJ896" s="264">
        <v>36.987863004154853</v>
      </c>
      <c r="AK896" s="264">
        <v>45.975149927896943</v>
      </c>
      <c r="AL896" s="264">
        <v>65.990791431853253</v>
      </c>
      <c r="AM896" s="244"/>
      <c r="AN896" s="244"/>
      <c r="AO896" s="244"/>
      <c r="AP896" s="244"/>
      <c r="AQ896" s="244"/>
      <c r="AR896" s="244"/>
      <c r="AS896" s="255"/>
      <c r="AT896" s="244"/>
      <c r="AU896" s="244"/>
      <c r="AV896" s="244"/>
      <c r="AW896" s="244"/>
      <c r="AX896" s="244"/>
      <c r="AY896" s="244"/>
      <c r="AZ896" s="255"/>
      <c r="BA896" s="244"/>
      <c r="BB896" s="244"/>
      <c r="BC896" s="244"/>
      <c r="BD896" s="244"/>
      <c r="BE896" s="244"/>
      <c r="BF896" s="244"/>
      <c r="BG896" s="244"/>
      <c r="BH896" s="255"/>
      <c r="BI896" s="244"/>
      <c r="BJ896" s="244"/>
      <c r="BK896" s="244"/>
      <c r="BL896" s="244"/>
      <c r="BM896" s="244"/>
      <c r="BN896" s="244"/>
      <c r="BO896" s="244"/>
      <c r="BP896" s="244"/>
      <c r="BQ896" s="244"/>
      <c r="BR896" s="244"/>
      <c r="BS896" s="244"/>
      <c r="BT896" s="244"/>
      <c r="BU896" s="244"/>
      <c r="BV896" s="244"/>
      <c r="BW896" s="244"/>
      <c r="BX896" s="244"/>
      <c r="BY896" s="244"/>
      <c r="BZ896" s="244"/>
      <c r="CA896" s="244"/>
      <c r="CB896" s="244"/>
      <c r="CC896" s="244"/>
      <c r="CD896" s="255"/>
      <c r="CE896" s="244"/>
      <c r="CF896" s="244"/>
      <c r="CG896" s="244"/>
      <c r="CH896" s="244"/>
      <c r="CI896" s="244"/>
      <c r="CJ896" s="244"/>
      <c r="CK896" s="244"/>
      <c r="CL896" s="244"/>
      <c r="CM896" s="244"/>
      <c r="CN896" s="244"/>
      <c r="CO896" s="244"/>
      <c r="CP896" s="244"/>
      <c r="CQ896" s="244"/>
      <c r="CR896" s="244"/>
      <c r="CS896" s="244"/>
      <c r="CT896" s="244"/>
      <c r="CU896" s="244"/>
      <c r="CV896" s="244"/>
      <c r="CW896" s="255"/>
    </row>
    <row r="897" spans="1:101">
      <c r="A897" s="221" t="s">
        <v>594</v>
      </c>
      <c r="C897" s="264">
        <v>1621.9500732421875</v>
      </c>
      <c r="D897" s="264">
        <v>11.336667060852051</v>
      </c>
      <c r="E897" s="264">
        <v>2.2673335075378418</v>
      </c>
      <c r="F897" s="264">
        <v>13.604000091552734</v>
      </c>
      <c r="G897" s="264">
        <v>22.18016242980957</v>
      </c>
      <c r="H897" s="264">
        <v>9318.4599609375</v>
      </c>
      <c r="I897" s="264">
        <v>73.473930358886719</v>
      </c>
      <c r="J897" s="264">
        <v>-61.646350860595703</v>
      </c>
      <c r="K897" s="264">
        <v>-403.48007202148437</v>
      </c>
      <c r="L897" s="228">
        <v>420.12590073167632</v>
      </c>
      <c r="M897" s="264">
        <v>24.053619530766507</v>
      </c>
      <c r="N897" s="264">
        <v>122.5367871002735</v>
      </c>
      <c r="O897" s="264">
        <v>113.03706288172089</v>
      </c>
      <c r="P897" s="264">
        <v>121.61485390842412</v>
      </c>
      <c r="Q897" s="264">
        <v>109.25986116957037</v>
      </c>
      <c r="R897" s="264">
        <v>105.66849734029807</v>
      </c>
      <c r="S897" s="264">
        <v>97.19149125999445</v>
      </c>
      <c r="T897" s="264">
        <v>98.400047281121658</v>
      </c>
      <c r="U897" s="264">
        <v>98.4380980593522</v>
      </c>
      <c r="V897" s="264">
        <v>100.32001522128147</v>
      </c>
      <c r="W897" s="264">
        <v>103.10087734259743</v>
      </c>
      <c r="X897" s="264">
        <v>109.77037265995693</v>
      </c>
      <c r="Y897" s="264">
        <v>120.20539745865088</v>
      </c>
      <c r="Z897" s="264"/>
      <c r="AA897" s="264">
        <v>24.850883714015414</v>
      </c>
      <c r="AB897" s="264">
        <v>34.438381719845147</v>
      </c>
      <c r="AC897" s="264">
        <v>31.80700186065275</v>
      </c>
      <c r="AD897" s="264">
        <v>34.408558738260815</v>
      </c>
      <c r="AE897" s="264">
        <v>25.81086768409531</v>
      </c>
      <c r="AF897" s="264">
        <v>21.380204858604998</v>
      </c>
      <c r="AG897" s="264">
        <v>26.222289385558124</v>
      </c>
      <c r="AH897" s="264">
        <v>22.481443294162268</v>
      </c>
      <c r="AI897" s="264">
        <v>21.696650669467161</v>
      </c>
      <c r="AJ897" s="264">
        <v>20.561475354002461</v>
      </c>
      <c r="AK897" s="264">
        <v>24.572488681383774</v>
      </c>
      <c r="AL897" s="264">
        <v>34.176442280505889</v>
      </c>
      <c r="AM897" s="244"/>
      <c r="AN897" s="244"/>
      <c r="AO897" s="244"/>
      <c r="AP897" s="244"/>
      <c r="AQ897" s="244"/>
      <c r="AR897" s="244"/>
      <c r="AS897" s="255"/>
      <c r="AT897" s="244"/>
      <c r="AU897" s="244"/>
      <c r="AV897" s="244"/>
      <c r="AW897" s="244"/>
      <c r="AX897" s="244"/>
      <c r="AY897" s="244"/>
      <c r="AZ897" s="255"/>
      <c r="BA897" s="244"/>
      <c r="BB897" s="244"/>
      <c r="BC897" s="244"/>
      <c r="BD897" s="244"/>
      <c r="BE897" s="244"/>
      <c r="BF897" s="244"/>
      <c r="BG897" s="244"/>
      <c r="BH897" s="255"/>
      <c r="BI897" s="244"/>
      <c r="BJ897" s="244"/>
      <c r="BK897" s="244"/>
      <c r="BL897" s="244"/>
      <c r="BM897" s="244"/>
      <c r="BN897" s="244"/>
      <c r="BO897" s="244"/>
      <c r="BP897" s="244"/>
      <c r="BQ897" s="244"/>
      <c r="BR897" s="244"/>
      <c r="BS897" s="244"/>
      <c r="BT897" s="244"/>
      <c r="BU897" s="244"/>
      <c r="BV897" s="244"/>
      <c r="BW897" s="244"/>
      <c r="BX897" s="244"/>
      <c r="BY897" s="244"/>
      <c r="BZ897" s="244"/>
      <c r="CA897" s="244"/>
      <c r="CB897" s="244"/>
      <c r="CC897" s="244"/>
      <c r="CD897" s="255"/>
      <c r="CE897" s="244"/>
      <c r="CF897" s="244"/>
      <c r="CG897" s="244"/>
      <c r="CH897" s="244"/>
      <c r="CI897" s="244"/>
      <c r="CJ897" s="244"/>
      <c r="CK897" s="244"/>
      <c r="CL897" s="244"/>
      <c r="CM897" s="244"/>
      <c r="CN897" s="244"/>
      <c r="CO897" s="244"/>
      <c r="CP897" s="244"/>
      <c r="CQ897" s="244"/>
      <c r="CR897" s="244"/>
      <c r="CS897" s="244"/>
      <c r="CT897" s="244"/>
      <c r="CU897" s="244"/>
      <c r="CV897" s="244"/>
      <c r="CW897" s="255"/>
    </row>
    <row r="898" spans="1:101">
      <c r="A898" s="221" t="s">
        <v>603</v>
      </c>
      <c r="C898" s="264">
        <v>1081.300048828125</v>
      </c>
      <c r="D898" s="264">
        <v>8.1096944808959961</v>
      </c>
      <c r="E898" s="264">
        <v>1.621938943862915</v>
      </c>
      <c r="F898" s="264">
        <v>9.731633186340332</v>
      </c>
      <c r="G898" s="264">
        <v>15.866598129272461</v>
      </c>
      <c r="H898" s="264">
        <v>6212.30712890625</v>
      </c>
      <c r="I898" s="264">
        <v>78.839454650878906</v>
      </c>
      <c r="J898" s="264">
        <v>-61.611591339111328</v>
      </c>
      <c r="K898" s="264">
        <v>-403.39996337890625</v>
      </c>
      <c r="L898" s="228">
        <v>391.53366026771988</v>
      </c>
      <c r="M898" s="264">
        <v>16.035746353844349</v>
      </c>
      <c r="N898" s="264">
        <v>81.691191400182362</v>
      </c>
      <c r="O898" s="264">
        <v>75.35804192114729</v>
      </c>
      <c r="P898" s="264">
        <v>81.076569272282768</v>
      </c>
      <c r="Q898" s="264">
        <v>72.839907446380266</v>
      </c>
      <c r="R898" s="264">
        <v>70.445664893532069</v>
      </c>
      <c r="S898" s="264">
        <v>64.794327506662995</v>
      </c>
      <c r="T898" s="264">
        <v>65.600031520747805</v>
      </c>
      <c r="U898" s="264">
        <v>65.625398706234819</v>
      </c>
      <c r="V898" s="264">
        <v>66.880010147521006</v>
      </c>
      <c r="W898" s="264">
        <v>68.733918228398309</v>
      </c>
      <c r="X898" s="264">
        <v>73.180248439971322</v>
      </c>
      <c r="Y898" s="264">
        <v>80.136931639100609</v>
      </c>
      <c r="Z898" s="264"/>
      <c r="AA898" s="264">
        <v>16.567255809343614</v>
      </c>
      <c r="AB898" s="264">
        <v>22.958921146563434</v>
      </c>
      <c r="AC898" s="264">
        <v>21.204667907101836</v>
      </c>
      <c r="AD898" s="264">
        <v>22.939039158840547</v>
      </c>
      <c r="AE898" s="264">
        <v>17.20724512273021</v>
      </c>
      <c r="AF898" s="264">
        <v>14.253469905736669</v>
      </c>
      <c r="AG898" s="264">
        <v>17.481526257038752</v>
      </c>
      <c r="AH898" s="264">
        <v>14.98762886277485</v>
      </c>
      <c r="AI898" s="264">
        <v>14.464433779644779</v>
      </c>
      <c r="AJ898" s="264">
        <v>13.707650236001646</v>
      </c>
      <c r="AK898" s="264">
        <v>16.381659120922521</v>
      </c>
      <c r="AL898" s="264">
        <v>22.784294853670602</v>
      </c>
      <c r="AM898" s="244"/>
      <c r="AN898" s="244"/>
      <c r="AO898" s="244"/>
      <c r="AP898" s="244"/>
      <c r="AQ898" s="244"/>
      <c r="AR898" s="244"/>
      <c r="AS898" s="255"/>
      <c r="AT898" s="244"/>
      <c r="AU898" s="244"/>
      <c r="AV898" s="244"/>
      <c r="AW898" s="244"/>
      <c r="AX898" s="244"/>
      <c r="AY898" s="244"/>
      <c r="AZ898" s="255"/>
      <c r="BA898" s="244"/>
      <c r="BB898" s="244"/>
      <c r="BC898" s="244"/>
      <c r="BD898" s="244"/>
      <c r="BE898" s="244"/>
      <c r="BF898" s="244"/>
      <c r="BG898" s="244"/>
      <c r="BH898" s="255"/>
      <c r="BI898" s="244"/>
      <c r="BJ898" s="244"/>
      <c r="BK898" s="244"/>
      <c r="BL898" s="244"/>
      <c r="BM898" s="244"/>
      <c r="BN898" s="244"/>
      <c r="BO898" s="244"/>
      <c r="BP898" s="244"/>
      <c r="BQ898" s="244"/>
      <c r="BR898" s="244"/>
      <c r="BS898" s="244"/>
      <c r="BT898" s="244"/>
      <c r="BU898" s="244"/>
      <c r="BV898" s="244"/>
      <c r="BW898" s="244"/>
      <c r="BX898" s="244"/>
      <c r="BY898" s="244"/>
      <c r="BZ898" s="244"/>
      <c r="CA898" s="244"/>
      <c r="CB898" s="244"/>
      <c r="CC898" s="244"/>
      <c r="CD898" s="255"/>
      <c r="CE898" s="244"/>
      <c r="CF898" s="244"/>
      <c r="CG898" s="244"/>
      <c r="CH898" s="244"/>
      <c r="CI898" s="244"/>
      <c r="CJ898" s="244"/>
      <c r="CK898" s="244"/>
      <c r="CL898" s="244"/>
      <c r="CM898" s="244"/>
      <c r="CN898" s="244"/>
      <c r="CO898" s="244"/>
      <c r="CP898" s="244"/>
      <c r="CQ898" s="244"/>
      <c r="CR898" s="244"/>
      <c r="CS898" s="244"/>
      <c r="CT898" s="244"/>
      <c r="CU898" s="244"/>
      <c r="CV898" s="244"/>
      <c r="CW898" s="255"/>
    </row>
    <row r="899" spans="1:101">
      <c r="A899" s="221" t="s">
        <v>589</v>
      </c>
      <c r="C899" s="264">
        <v>2835.9326171875</v>
      </c>
      <c r="D899" s="264">
        <v>11.336667060852051</v>
      </c>
      <c r="E899" s="264">
        <v>2.2673335075378418</v>
      </c>
      <c r="F899" s="264">
        <v>13.604000091552734</v>
      </c>
      <c r="G899" s="264">
        <v>22.18016242980957</v>
      </c>
      <c r="H899" s="264">
        <v>7993.21875</v>
      </c>
      <c r="I899" s="264">
        <v>42.021820068359375</v>
      </c>
      <c r="J899" s="264">
        <v>-62.439201354980469</v>
      </c>
      <c r="K899" s="264">
        <v>-169.02886962890625</v>
      </c>
      <c r="L899" s="228">
        <v>360.37694841944091</v>
      </c>
      <c r="M899" s="264">
        <v>21.405670038777092</v>
      </c>
      <c r="N899" s="264">
        <v>217.10364433404084</v>
      </c>
      <c r="O899" s="264">
        <v>200.5697946832729</v>
      </c>
      <c r="P899" s="264">
        <v>215.64206598961516</v>
      </c>
      <c r="Q899" s="264">
        <v>192.58058873903224</v>
      </c>
      <c r="R899" s="264">
        <v>184.88463140657495</v>
      </c>
      <c r="S899" s="264">
        <v>169.52958762019489</v>
      </c>
      <c r="T899" s="264">
        <v>171.00164209636608</v>
      </c>
      <c r="U899" s="264">
        <v>171.37366611366613</v>
      </c>
      <c r="V899" s="264">
        <v>174.66884681981747</v>
      </c>
      <c r="W899" s="264">
        <v>180.27973472776239</v>
      </c>
      <c r="X899" s="264">
        <v>193.25633749986119</v>
      </c>
      <c r="Y899" s="264">
        <v>212.65061002699269</v>
      </c>
      <c r="Z899" s="264"/>
      <c r="AA899" s="264">
        <v>42.216559707474609</v>
      </c>
      <c r="AB899" s="264">
        <v>61.065993582050545</v>
      </c>
      <c r="AC899" s="264">
        <v>55.203638611318951</v>
      </c>
      <c r="AD899" s="264">
        <v>60.351696059871202</v>
      </c>
      <c r="AE899" s="264">
        <v>44.050162069200297</v>
      </c>
      <c r="AF899" s="264">
        <v>35.467092579308144</v>
      </c>
      <c r="AG899" s="264">
        <v>44.835991652797027</v>
      </c>
      <c r="AH899" s="264">
        <v>37.391501383126439</v>
      </c>
      <c r="AI899" s="264">
        <v>36.191866233233029</v>
      </c>
      <c r="AJ899" s="264">
        <v>33.724296659675034</v>
      </c>
      <c r="AK899" s="264">
        <v>41.863810070849766</v>
      </c>
      <c r="AL899" s="264">
        <v>60.028696935667114</v>
      </c>
      <c r="AM899" s="244"/>
      <c r="AN899" s="244"/>
      <c r="AO899" s="244"/>
      <c r="AP899" s="244"/>
      <c r="AQ899" s="244"/>
      <c r="AR899" s="244"/>
      <c r="AS899" s="255"/>
      <c r="AT899" s="244"/>
      <c r="AU899" s="244"/>
      <c r="AV899" s="244"/>
      <c r="AW899" s="244"/>
      <c r="AX899" s="244"/>
      <c r="AY899" s="244"/>
      <c r="AZ899" s="255"/>
      <c r="BA899" s="244"/>
      <c r="BB899" s="244"/>
      <c r="BC899" s="244"/>
      <c r="BD899" s="244"/>
      <c r="BE899" s="244"/>
      <c r="BF899" s="244"/>
      <c r="BG899" s="244"/>
      <c r="BH899" s="255"/>
      <c r="BI899" s="244"/>
      <c r="BJ899" s="244"/>
      <c r="BK899" s="244"/>
      <c r="BL899" s="244"/>
      <c r="BM899" s="244"/>
      <c r="BN899" s="244"/>
      <c r="BO899" s="244"/>
      <c r="BP899" s="244"/>
      <c r="BQ899" s="244"/>
      <c r="BR899" s="244"/>
      <c r="BS899" s="244"/>
      <c r="BT899" s="244"/>
      <c r="BU899" s="244"/>
      <c r="BV899" s="244"/>
      <c r="BW899" s="244"/>
      <c r="BX899" s="244"/>
      <c r="BY899" s="244"/>
      <c r="BZ899" s="244"/>
      <c r="CA899" s="244"/>
      <c r="CB899" s="244"/>
      <c r="CC899" s="244"/>
      <c r="CD899" s="255"/>
      <c r="CE899" s="244"/>
      <c r="CF899" s="244"/>
      <c r="CG899" s="244"/>
      <c r="CH899" s="244"/>
      <c r="CI899" s="244"/>
      <c r="CJ899" s="244"/>
      <c r="CK899" s="244"/>
      <c r="CL899" s="244"/>
      <c r="CM899" s="244"/>
      <c r="CN899" s="244"/>
      <c r="CO899" s="244"/>
      <c r="CP899" s="244"/>
      <c r="CQ899" s="244"/>
      <c r="CR899" s="244"/>
      <c r="CS899" s="244"/>
      <c r="CT899" s="244"/>
      <c r="CU899" s="244"/>
      <c r="CV899" s="244"/>
      <c r="CW899" s="255"/>
    </row>
    <row r="900" spans="1:101">
      <c r="A900" s="221" t="s">
        <v>593</v>
      </c>
      <c r="C900" s="264">
        <v>206.79653930664062</v>
      </c>
      <c r="D900" s="264">
        <v>11.336667060852051</v>
      </c>
      <c r="E900" s="264">
        <v>2.2673335075378418</v>
      </c>
      <c r="F900" s="264">
        <v>13.604000091552734</v>
      </c>
      <c r="G900" s="264">
        <v>22.18016242980957</v>
      </c>
      <c r="H900" s="264">
        <v>7692.18505859375</v>
      </c>
      <c r="I900" s="264">
        <v>576.27197265625</v>
      </c>
      <c r="J900" s="264">
        <v>-52.013530731201172</v>
      </c>
      <c r="K900" s="264">
        <v>-2920.5703125</v>
      </c>
      <c r="L900" s="228">
        <v>346.80473906894525</v>
      </c>
      <c r="M900" s="264">
        <v>18.845668755124166</v>
      </c>
      <c r="N900" s="264">
        <v>13.372895645473218</v>
      </c>
      <c r="O900" s="264">
        <v>12.101605456176909</v>
      </c>
      <c r="P900" s="264">
        <v>13.1366652893952</v>
      </c>
      <c r="Q900" s="264">
        <v>12.712901892963096</v>
      </c>
      <c r="R900" s="264">
        <v>13.372895645473218</v>
      </c>
      <c r="S900" s="264">
        <v>12.712901892963096</v>
      </c>
      <c r="T900" s="264">
        <v>13.372895645473218</v>
      </c>
      <c r="U900" s="264">
        <v>13.1366652893952</v>
      </c>
      <c r="V900" s="264">
        <v>13.372895645473218</v>
      </c>
      <c r="W900" s="264">
        <v>13.1366652893952</v>
      </c>
      <c r="X900" s="264">
        <v>12.949132249041114</v>
      </c>
      <c r="Y900" s="264">
        <v>13.372895645473218</v>
      </c>
      <c r="Z900" s="264"/>
      <c r="AA900" s="264">
        <v>4.1426580737203818</v>
      </c>
      <c r="AB900" s="264">
        <v>3.7188946772882789</v>
      </c>
      <c r="AC900" s="264">
        <v>4.3788884297983994</v>
      </c>
      <c r="AD900" s="264">
        <v>4.2376339643210326</v>
      </c>
      <c r="AE900" s="264">
        <v>4.1426580737203818</v>
      </c>
      <c r="AF900" s="264">
        <v>4.2376339643210326</v>
      </c>
      <c r="AG900" s="264">
        <v>4.1426580737203818</v>
      </c>
      <c r="AH900" s="264">
        <v>4.3788884297983994</v>
      </c>
      <c r="AI900" s="264">
        <v>4.1426580737203818</v>
      </c>
      <c r="AJ900" s="264">
        <v>4.3788884297983994</v>
      </c>
      <c r="AK900" s="264">
        <v>4.001403608243014</v>
      </c>
      <c r="AL900" s="264">
        <v>4.1426580737203818</v>
      </c>
      <c r="AM900" s="244"/>
      <c r="AN900" s="244"/>
      <c r="AO900" s="244"/>
      <c r="AP900" s="244"/>
      <c r="AQ900" s="244"/>
      <c r="AR900" s="244"/>
      <c r="AS900" s="255"/>
      <c r="AT900" s="244"/>
      <c r="AU900" s="244"/>
      <c r="AV900" s="244"/>
      <c r="AW900" s="244"/>
      <c r="AX900" s="244"/>
      <c r="AY900" s="244"/>
      <c r="AZ900" s="255"/>
      <c r="BA900" s="244"/>
      <c r="BB900" s="244"/>
      <c r="BC900" s="244"/>
      <c r="BD900" s="244"/>
      <c r="BE900" s="244"/>
      <c r="BF900" s="244"/>
      <c r="BG900" s="244"/>
      <c r="BH900" s="255"/>
      <c r="BI900" s="244"/>
      <c r="BJ900" s="244"/>
      <c r="BK900" s="244"/>
      <c r="BL900" s="244"/>
      <c r="BM900" s="244"/>
      <c r="BN900" s="244"/>
      <c r="BO900" s="244"/>
      <c r="BP900" s="244"/>
      <c r="BQ900" s="244"/>
      <c r="BR900" s="244"/>
      <c r="BS900" s="244"/>
      <c r="BT900" s="244"/>
      <c r="BU900" s="244"/>
      <c r="BV900" s="244"/>
      <c r="BW900" s="244"/>
      <c r="BX900" s="244"/>
      <c r="BY900" s="244"/>
      <c r="BZ900" s="244"/>
      <c r="CA900" s="244"/>
      <c r="CB900" s="244"/>
      <c r="CC900" s="244"/>
      <c r="CD900" s="255"/>
      <c r="CE900" s="244"/>
      <c r="CF900" s="244"/>
      <c r="CG900" s="244"/>
      <c r="CH900" s="244"/>
      <c r="CI900" s="244"/>
      <c r="CJ900" s="244"/>
      <c r="CK900" s="244"/>
      <c r="CL900" s="244"/>
      <c r="CM900" s="244"/>
      <c r="CN900" s="244"/>
      <c r="CO900" s="244"/>
      <c r="CP900" s="244"/>
      <c r="CQ900" s="244"/>
      <c r="CR900" s="244"/>
      <c r="CS900" s="244"/>
      <c r="CT900" s="244"/>
      <c r="CU900" s="244"/>
      <c r="CV900" s="244"/>
      <c r="CW900" s="255"/>
    </row>
    <row r="901" spans="1:101">
      <c r="A901" s="221" t="s">
        <v>598</v>
      </c>
      <c r="C901" s="264">
        <v>1890.62158203125</v>
      </c>
      <c r="D901" s="264">
        <v>8.1096944808959961</v>
      </c>
      <c r="E901" s="264">
        <v>1.621938943862915</v>
      </c>
      <c r="F901" s="264">
        <v>9.731633186340332</v>
      </c>
      <c r="G901" s="264">
        <v>15.866598129272461</v>
      </c>
      <c r="H901" s="264">
        <v>5328.8125</v>
      </c>
      <c r="I901" s="264">
        <v>45.090518951416016</v>
      </c>
      <c r="J901" s="264">
        <v>-62.419319152832031</v>
      </c>
      <c r="K901" s="264">
        <v>-168.98304748535156</v>
      </c>
      <c r="L901" s="228">
        <v>335.85098261760294</v>
      </c>
      <c r="M901" s="264">
        <v>14.270446692518053</v>
      </c>
      <c r="N901" s="264">
        <v>144.73576288936059</v>
      </c>
      <c r="O901" s="264">
        <v>133.71319645551529</v>
      </c>
      <c r="P901" s="264">
        <v>143.76137732641013</v>
      </c>
      <c r="Q901" s="264">
        <v>128.38705915935483</v>
      </c>
      <c r="R901" s="264">
        <v>123.25642093771665</v>
      </c>
      <c r="S901" s="264">
        <v>113.01972508012992</v>
      </c>
      <c r="T901" s="264">
        <v>114.00109473091072</v>
      </c>
      <c r="U901" s="264">
        <v>114.24911074244409</v>
      </c>
      <c r="V901" s="264">
        <v>116.44589787987834</v>
      </c>
      <c r="W901" s="264">
        <v>120.18648981850828</v>
      </c>
      <c r="X901" s="264">
        <v>128.83755833324079</v>
      </c>
      <c r="Y901" s="264">
        <v>141.76707335132846</v>
      </c>
      <c r="Z901" s="264"/>
      <c r="AA901" s="264">
        <v>28.144373138316411</v>
      </c>
      <c r="AB901" s="264">
        <v>40.710662388033697</v>
      </c>
      <c r="AC901" s="264">
        <v>36.802425740879301</v>
      </c>
      <c r="AD901" s="264">
        <v>40.234464039914137</v>
      </c>
      <c r="AE901" s="264">
        <v>29.366774712800204</v>
      </c>
      <c r="AF901" s="264">
        <v>23.644728386205429</v>
      </c>
      <c r="AG901" s="264">
        <v>29.890661101864687</v>
      </c>
      <c r="AH901" s="264">
        <v>24.927667588750957</v>
      </c>
      <c r="AI901" s="264">
        <v>24.12791082215535</v>
      </c>
      <c r="AJ901" s="264">
        <v>22.482864439783363</v>
      </c>
      <c r="AK901" s="264">
        <v>27.909206713899852</v>
      </c>
      <c r="AL901" s="264">
        <v>40.019131290444747</v>
      </c>
      <c r="AM901" s="244"/>
      <c r="AN901" s="244"/>
      <c r="AO901" s="244"/>
      <c r="AP901" s="244"/>
      <c r="AQ901" s="244"/>
      <c r="AR901" s="244"/>
      <c r="AS901" s="255"/>
      <c r="AT901" s="244"/>
      <c r="AU901" s="244"/>
      <c r="AV901" s="244"/>
      <c r="AW901" s="244"/>
      <c r="AX901" s="244"/>
      <c r="AY901" s="244"/>
      <c r="AZ901" s="255"/>
      <c r="BA901" s="244"/>
      <c r="BB901" s="244"/>
      <c r="BC901" s="244"/>
      <c r="BD901" s="244"/>
      <c r="BE901" s="244"/>
      <c r="BF901" s="244"/>
      <c r="BG901" s="244"/>
      <c r="BH901" s="255"/>
      <c r="BI901" s="244"/>
      <c r="BJ901" s="244"/>
      <c r="BK901" s="244"/>
      <c r="BL901" s="244"/>
      <c r="BM901" s="244"/>
      <c r="BN901" s="244"/>
      <c r="BO901" s="244"/>
      <c r="BP901" s="244"/>
      <c r="BQ901" s="244"/>
      <c r="BR901" s="244"/>
      <c r="BS901" s="244"/>
      <c r="BT901" s="244"/>
      <c r="BU901" s="244"/>
      <c r="BV901" s="244"/>
      <c r="BW901" s="244"/>
      <c r="BX901" s="244"/>
      <c r="BY901" s="244"/>
      <c r="BZ901" s="244"/>
      <c r="CA901" s="244"/>
      <c r="CB901" s="244"/>
      <c r="CC901" s="244"/>
      <c r="CD901" s="255"/>
      <c r="CE901" s="244"/>
      <c r="CF901" s="244"/>
      <c r="CG901" s="244"/>
      <c r="CH901" s="244"/>
      <c r="CI901" s="244"/>
      <c r="CJ901" s="244"/>
      <c r="CK901" s="244"/>
      <c r="CL901" s="244"/>
      <c r="CM901" s="244"/>
      <c r="CN901" s="244"/>
      <c r="CO901" s="244"/>
      <c r="CP901" s="244"/>
      <c r="CQ901" s="244"/>
      <c r="CR901" s="244"/>
      <c r="CS901" s="244"/>
      <c r="CT901" s="244"/>
      <c r="CU901" s="244"/>
      <c r="CV901" s="244"/>
      <c r="CW901" s="255"/>
    </row>
    <row r="902" spans="1:101">
      <c r="A902" s="221" t="s">
        <v>586</v>
      </c>
      <c r="C902" s="264">
        <v>2650.922119140625</v>
      </c>
      <c r="D902" s="264">
        <v>11.336667060852051</v>
      </c>
      <c r="E902" s="264">
        <v>2.2673335075378418</v>
      </c>
      <c r="F902" s="264">
        <v>13.604000091552734</v>
      </c>
      <c r="G902" s="264">
        <v>22.18016242980957</v>
      </c>
      <c r="H902" s="264">
        <v>7299.00146484375</v>
      </c>
      <c r="I902" s="264">
        <v>44.954563140869141</v>
      </c>
      <c r="J902" s="264">
        <v>-62.437000274658203</v>
      </c>
      <c r="K902" s="264">
        <v>-163.75358581542969</v>
      </c>
      <c r="L902" s="228">
        <v>329.07792471705551</v>
      </c>
      <c r="M902" s="264">
        <v>20.008982945945757</v>
      </c>
      <c r="N902" s="264">
        <v>203.01631261897876</v>
      </c>
      <c r="O902" s="264">
        <v>187.56312806984431</v>
      </c>
      <c r="P902" s="264">
        <v>201.65409609304419</v>
      </c>
      <c r="Q902" s="264">
        <v>180.05818271282646</v>
      </c>
      <c r="R902" s="264">
        <v>172.82650994357169</v>
      </c>
      <c r="S902" s="264">
        <v>158.4589742946491</v>
      </c>
      <c r="T902" s="264">
        <v>159.81789578262396</v>
      </c>
      <c r="U902" s="264">
        <v>160.17379810813537</v>
      </c>
      <c r="V902" s="264">
        <v>163.25413348551581</v>
      </c>
      <c r="W902" s="264">
        <v>168.51894681515842</v>
      </c>
      <c r="X902" s="264">
        <v>180.68406258814133</v>
      </c>
      <c r="Y902" s="264">
        <v>198.84373826546715</v>
      </c>
      <c r="Z902" s="264"/>
      <c r="AA902" s="264">
        <v>39.429511266173797</v>
      </c>
      <c r="AB902" s="264">
        <v>57.104885919005838</v>
      </c>
      <c r="AC902" s="264">
        <v>51.591332001197024</v>
      </c>
      <c r="AD902" s="264">
        <v>56.419526167912593</v>
      </c>
      <c r="AE902" s="264">
        <v>41.14763011761972</v>
      </c>
      <c r="AF902" s="264">
        <v>33.102198898289295</v>
      </c>
      <c r="AG902" s="264">
        <v>41.883966768239404</v>
      </c>
      <c r="AH902" s="264">
        <v>34.90103458715086</v>
      </c>
      <c r="AI902" s="264">
        <v>33.784263611422887</v>
      </c>
      <c r="AJ902" s="264">
        <v>31.464796884259005</v>
      </c>
      <c r="AK902" s="264">
        <v>39.1033488785516</v>
      </c>
      <c r="AL902" s="264">
        <v>56.119808680219954</v>
      </c>
      <c r="AM902" s="244"/>
      <c r="AN902" s="244"/>
      <c r="AO902" s="244"/>
      <c r="AP902" s="244"/>
      <c r="AQ902" s="244"/>
      <c r="AR902" s="244"/>
      <c r="AS902" s="255"/>
      <c r="AT902" s="244"/>
      <c r="AU902" s="244"/>
      <c r="AV902" s="244"/>
      <c r="AW902" s="244"/>
      <c r="AX902" s="244"/>
      <c r="AY902" s="244"/>
      <c r="AZ902" s="255"/>
      <c r="BA902" s="244"/>
      <c r="BB902" s="244"/>
      <c r="BC902" s="244"/>
      <c r="BD902" s="244"/>
      <c r="BE902" s="244"/>
      <c r="BF902" s="244"/>
      <c r="BG902" s="244"/>
      <c r="BH902" s="255"/>
      <c r="BI902" s="244"/>
      <c r="BJ902" s="244"/>
      <c r="BK902" s="244"/>
      <c r="BL902" s="244"/>
      <c r="BM902" s="244"/>
      <c r="BN902" s="244"/>
      <c r="BO902" s="244"/>
      <c r="BP902" s="244"/>
      <c r="BQ902" s="244"/>
      <c r="BR902" s="244"/>
      <c r="BS902" s="244"/>
      <c r="BT902" s="244"/>
      <c r="BU902" s="244"/>
      <c r="BV902" s="244"/>
      <c r="BW902" s="244"/>
      <c r="BX902" s="244"/>
      <c r="BY902" s="244"/>
      <c r="BZ902" s="244"/>
      <c r="CA902" s="244"/>
      <c r="CB902" s="244"/>
      <c r="CC902" s="244"/>
      <c r="CD902" s="255"/>
      <c r="CE902" s="244"/>
      <c r="CF902" s="244"/>
      <c r="CG902" s="244"/>
      <c r="CH902" s="244"/>
      <c r="CI902" s="244"/>
      <c r="CJ902" s="244"/>
      <c r="CK902" s="244"/>
      <c r="CL902" s="244"/>
      <c r="CM902" s="244"/>
      <c r="CN902" s="244"/>
      <c r="CO902" s="244"/>
      <c r="CP902" s="244"/>
      <c r="CQ902" s="244"/>
      <c r="CR902" s="244"/>
      <c r="CS902" s="244"/>
      <c r="CT902" s="244"/>
      <c r="CU902" s="244"/>
      <c r="CV902" s="244"/>
      <c r="CW902" s="255"/>
    </row>
    <row r="903" spans="1:101">
      <c r="A903" s="221" t="s">
        <v>602</v>
      </c>
      <c r="C903" s="264">
        <v>137.86436462402344</v>
      </c>
      <c r="D903" s="264">
        <v>8.1096944808959961</v>
      </c>
      <c r="E903" s="264">
        <v>1.621938943862915</v>
      </c>
      <c r="F903" s="264">
        <v>9.731633186340332</v>
      </c>
      <c r="G903" s="264">
        <v>15.866598129272461</v>
      </c>
      <c r="H903" s="264">
        <v>5128.12353515625</v>
      </c>
      <c r="I903" s="264">
        <v>618.35491943359375</v>
      </c>
      <c r="J903" s="264">
        <v>-51.740833282470703</v>
      </c>
      <c r="K903" s="264">
        <v>-2919.94189453125</v>
      </c>
      <c r="L903" s="228">
        <v>323.2024655933086</v>
      </c>
      <c r="M903" s="264">
        <v>12.563779170082823</v>
      </c>
      <c r="N903" s="264">
        <v>8.9152637636488095</v>
      </c>
      <c r="O903" s="264">
        <v>8.0677369707846047</v>
      </c>
      <c r="P903" s="264">
        <v>8.7577768595967971</v>
      </c>
      <c r="Q903" s="264">
        <v>8.4752679286420616</v>
      </c>
      <c r="R903" s="264">
        <v>8.9152637636488095</v>
      </c>
      <c r="S903" s="264">
        <v>8.4752679286420616</v>
      </c>
      <c r="T903" s="264">
        <v>8.9152637636488095</v>
      </c>
      <c r="U903" s="264">
        <v>8.7577768595967971</v>
      </c>
      <c r="V903" s="264">
        <v>8.9152637636488095</v>
      </c>
      <c r="W903" s="264">
        <v>8.7577768595967971</v>
      </c>
      <c r="X903" s="264">
        <v>8.632754832694074</v>
      </c>
      <c r="Y903" s="264">
        <v>8.9152637636488095</v>
      </c>
      <c r="Z903" s="264"/>
      <c r="AA903" s="264">
        <v>2.7617720491469209</v>
      </c>
      <c r="AB903" s="264">
        <v>2.4792631181921854</v>
      </c>
      <c r="AC903" s="264">
        <v>2.9192589531989324</v>
      </c>
      <c r="AD903" s="264">
        <v>2.8250893095473537</v>
      </c>
      <c r="AE903" s="264">
        <v>2.7617720491469209</v>
      </c>
      <c r="AF903" s="264">
        <v>2.8250893095473537</v>
      </c>
      <c r="AG903" s="264">
        <v>2.7617720491469209</v>
      </c>
      <c r="AH903" s="264">
        <v>2.9192589531989324</v>
      </c>
      <c r="AI903" s="264">
        <v>2.7617720491469209</v>
      </c>
      <c r="AJ903" s="264">
        <v>2.9192589531989324</v>
      </c>
      <c r="AK903" s="264">
        <v>2.6676024054953418</v>
      </c>
      <c r="AL903" s="264">
        <v>2.7617720491469209</v>
      </c>
      <c r="AM903" s="244"/>
      <c r="AN903" s="244"/>
      <c r="AO903" s="244"/>
      <c r="AP903" s="244"/>
      <c r="AQ903" s="244"/>
      <c r="AR903" s="244"/>
      <c r="AS903" s="255"/>
      <c r="AT903" s="244"/>
      <c r="AU903" s="244"/>
      <c r="AV903" s="244"/>
      <c r="AW903" s="244"/>
      <c r="AX903" s="244"/>
      <c r="AY903" s="244"/>
      <c r="AZ903" s="255"/>
      <c r="BA903" s="244"/>
      <c r="BB903" s="244"/>
      <c r="BC903" s="244"/>
      <c r="BD903" s="244"/>
      <c r="BE903" s="244"/>
      <c r="BF903" s="244"/>
      <c r="BG903" s="244"/>
      <c r="BH903" s="255"/>
      <c r="BI903" s="244"/>
      <c r="BJ903" s="244"/>
      <c r="BK903" s="244"/>
      <c r="BL903" s="244"/>
      <c r="BM903" s="244"/>
      <c r="BN903" s="244"/>
      <c r="BO903" s="244"/>
      <c r="BP903" s="244"/>
      <c r="BQ903" s="244"/>
      <c r="BR903" s="244"/>
      <c r="BS903" s="244"/>
      <c r="BT903" s="244"/>
      <c r="BU903" s="244"/>
      <c r="BV903" s="244"/>
      <c r="BW903" s="244"/>
      <c r="BX903" s="244"/>
      <c r="BY903" s="244"/>
      <c r="BZ903" s="244"/>
      <c r="CA903" s="244"/>
      <c r="CB903" s="244"/>
      <c r="CC903" s="244"/>
      <c r="CD903" s="255"/>
      <c r="CE903" s="244"/>
      <c r="CF903" s="244"/>
      <c r="CG903" s="244"/>
      <c r="CH903" s="244"/>
      <c r="CI903" s="244"/>
      <c r="CJ903" s="244"/>
      <c r="CK903" s="244"/>
      <c r="CL903" s="244"/>
      <c r="CM903" s="244"/>
      <c r="CN903" s="244"/>
      <c r="CO903" s="244"/>
      <c r="CP903" s="244"/>
      <c r="CQ903" s="244"/>
      <c r="CR903" s="244"/>
      <c r="CS903" s="244"/>
      <c r="CT903" s="244"/>
      <c r="CU903" s="244"/>
      <c r="CV903" s="244"/>
      <c r="CW903" s="255"/>
    </row>
    <row r="904" spans="1:101">
      <c r="A904" s="221" t="s">
        <v>595</v>
      </c>
      <c r="C904" s="264">
        <v>1767.2813720703125</v>
      </c>
      <c r="D904" s="264">
        <v>8.1096944808959961</v>
      </c>
      <c r="E904" s="264">
        <v>1.621938943862915</v>
      </c>
      <c r="F904" s="264">
        <v>9.731633186340332</v>
      </c>
      <c r="G904" s="264">
        <v>15.866598129272461</v>
      </c>
      <c r="H904" s="264">
        <v>4866.0009765625</v>
      </c>
      <c r="I904" s="264">
        <v>48.2374267578125</v>
      </c>
      <c r="J904" s="264">
        <v>-62.415740966796875</v>
      </c>
      <c r="K904" s="264">
        <v>-163.70455932617187</v>
      </c>
      <c r="L904" s="228">
        <v>306.6820568325121</v>
      </c>
      <c r="M904" s="264">
        <v>13.339321963963794</v>
      </c>
      <c r="N904" s="264">
        <v>135.34420841265251</v>
      </c>
      <c r="O904" s="264">
        <v>125.04208537989621</v>
      </c>
      <c r="P904" s="264">
        <v>134.43606406202946</v>
      </c>
      <c r="Q904" s="264">
        <v>120.03878847521763</v>
      </c>
      <c r="R904" s="264">
        <v>115.21767329571446</v>
      </c>
      <c r="S904" s="264">
        <v>105.6393161964327</v>
      </c>
      <c r="T904" s="264">
        <v>106.54526385508262</v>
      </c>
      <c r="U904" s="264">
        <v>106.78253207209023</v>
      </c>
      <c r="V904" s="264">
        <v>108.83608899034387</v>
      </c>
      <c r="W904" s="264">
        <v>112.34596454343895</v>
      </c>
      <c r="X904" s="264">
        <v>120.45604172542753</v>
      </c>
      <c r="Y904" s="264">
        <v>132.56249217697811</v>
      </c>
      <c r="Z904" s="264"/>
      <c r="AA904" s="264">
        <v>26.286340844115863</v>
      </c>
      <c r="AB904" s="264">
        <v>38.06992394600389</v>
      </c>
      <c r="AC904" s="264">
        <v>34.394221334131345</v>
      </c>
      <c r="AD904" s="264">
        <v>37.613017445275062</v>
      </c>
      <c r="AE904" s="264">
        <v>27.431753411746474</v>
      </c>
      <c r="AF904" s="264">
        <v>22.068132598859528</v>
      </c>
      <c r="AG904" s="264">
        <v>27.922644512159593</v>
      </c>
      <c r="AH904" s="264">
        <v>23.267356391433907</v>
      </c>
      <c r="AI904" s="264">
        <v>22.522842407615258</v>
      </c>
      <c r="AJ904" s="264">
        <v>20.976531256172667</v>
      </c>
      <c r="AK904" s="264">
        <v>26.068899252367729</v>
      </c>
      <c r="AL904" s="264">
        <v>37.413205786813293</v>
      </c>
      <c r="AM904" s="244"/>
      <c r="AN904" s="244"/>
      <c r="AO904" s="244"/>
      <c r="AP904" s="244"/>
      <c r="AQ904" s="244"/>
      <c r="AR904" s="244"/>
      <c r="AS904" s="255"/>
      <c r="AT904" s="244"/>
      <c r="AU904" s="244"/>
      <c r="AV904" s="244"/>
      <c r="AW904" s="244"/>
      <c r="AX904" s="244"/>
      <c r="AY904" s="244"/>
      <c r="AZ904" s="255"/>
      <c r="BA904" s="244"/>
      <c r="BB904" s="244"/>
      <c r="BC904" s="244"/>
      <c r="BD904" s="244"/>
      <c r="BE904" s="244"/>
      <c r="BF904" s="244"/>
      <c r="BG904" s="244"/>
      <c r="BH904" s="255"/>
      <c r="BI904" s="244"/>
      <c r="BJ904" s="244"/>
      <c r="BK904" s="244"/>
      <c r="BL904" s="244"/>
      <c r="BM904" s="244"/>
      <c r="BN904" s="244"/>
      <c r="BO904" s="244"/>
      <c r="BP904" s="244"/>
      <c r="BQ904" s="244"/>
      <c r="BR904" s="244"/>
      <c r="BS904" s="244"/>
      <c r="BT904" s="244"/>
      <c r="BU904" s="244"/>
      <c r="BV904" s="244"/>
      <c r="BW904" s="244"/>
      <c r="BX904" s="244"/>
      <c r="BY904" s="244"/>
      <c r="BZ904" s="244"/>
      <c r="CA904" s="244"/>
      <c r="CB904" s="244"/>
      <c r="CC904" s="244"/>
      <c r="CD904" s="255"/>
      <c r="CE904" s="244"/>
      <c r="CF904" s="244"/>
      <c r="CG904" s="244"/>
      <c r="CH904" s="244"/>
      <c r="CI904" s="244"/>
      <c r="CJ904" s="244"/>
      <c r="CK904" s="244"/>
      <c r="CL904" s="244"/>
      <c r="CM904" s="244"/>
      <c r="CN904" s="244"/>
      <c r="CO904" s="244"/>
      <c r="CP904" s="244"/>
      <c r="CQ904" s="244"/>
      <c r="CR904" s="244"/>
      <c r="CS904" s="244"/>
      <c r="CT904" s="244"/>
      <c r="CU904" s="244"/>
      <c r="CV904" s="244"/>
      <c r="CW904" s="255"/>
    </row>
    <row r="905" spans="1:101">
      <c r="A905" s="221" t="s">
        <v>591</v>
      </c>
      <c r="C905" s="264">
        <v>988.88800048828125</v>
      </c>
      <c r="D905" s="264">
        <v>11.336667060852051</v>
      </c>
      <c r="E905" s="264">
        <v>2.2673335075378418</v>
      </c>
      <c r="F905" s="264">
        <v>13.604000091552734</v>
      </c>
      <c r="G905" s="264">
        <v>22.18016242980957</v>
      </c>
      <c r="H905" s="264">
        <v>5870.62060546875</v>
      </c>
      <c r="I905" s="264">
        <v>120.51015472412109</v>
      </c>
      <c r="J905" s="264">
        <v>-61.290889739990234</v>
      </c>
      <c r="K905" s="264">
        <v>-418.14007568359375</v>
      </c>
      <c r="L905" s="228">
        <v>264.67888690206996</v>
      </c>
      <c r="M905" s="264">
        <v>14.608304028451315</v>
      </c>
      <c r="N905" s="264">
        <v>74.624009388136272</v>
      </c>
      <c r="O905" s="264">
        <v>68.829830713190319</v>
      </c>
      <c r="P905" s="264">
        <v>74.05740362502911</v>
      </c>
      <c r="Q905" s="264">
        <v>66.568449289388042</v>
      </c>
      <c r="R905" s="264">
        <v>64.42132196110542</v>
      </c>
      <c r="S905" s="264">
        <v>59.268965601756207</v>
      </c>
      <c r="T905" s="264">
        <v>60.025042012872611</v>
      </c>
      <c r="U905" s="264">
        <v>60.039076997645253</v>
      </c>
      <c r="V905" s="264">
        <v>61.186323508632213</v>
      </c>
      <c r="W905" s="264">
        <v>62.859332058775735</v>
      </c>
      <c r="X905" s="264">
        <v>66.886209017689566</v>
      </c>
      <c r="Y905" s="264">
        <v>73.213881857571025</v>
      </c>
      <c r="Z905" s="264"/>
      <c r="AA905" s="264">
        <v>15.18838775165603</v>
      </c>
      <c r="AB905" s="264">
        <v>20.971221938981927</v>
      </c>
      <c r="AC905" s="264">
        <v>19.404735358579103</v>
      </c>
      <c r="AD905" s="264">
        <v>20.972902481857378</v>
      </c>
      <c r="AE905" s="264">
        <v>15.769028499535832</v>
      </c>
      <c r="AF905" s="264">
        <v>13.092778046345744</v>
      </c>
      <c r="AG905" s="264">
        <v>16.017874534341459</v>
      </c>
      <c r="AH905" s="264">
        <v>13.764225236318143</v>
      </c>
      <c r="AI905" s="264">
        <v>13.280568151479528</v>
      </c>
      <c r="AJ905" s="264">
        <v>12.602943740558533</v>
      </c>
      <c r="AK905" s="264">
        <v>15.014632631294894</v>
      </c>
      <c r="AL905" s="264">
        <v>20.82889787391699</v>
      </c>
      <c r="AM905" s="244"/>
      <c r="AN905" s="244"/>
      <c r="AO905" s="244"/>
      <c r="AP905" s="244"/>
      <c r="AQ905" s="244"/>
      <c r="AR905" s="244"/>
      <c r="AS905" s="255"/>
      <c r="AT905" s="244"/>
      <c r="AU905" s="244"/>
      <c r="AV905" s="244"/>
      <c r="AW905" s="244"/>
      <c r="AX905" s="244"/>
      <c r="AY905" s="244"/>
      <c r="AZ905" s="255"/>
      <c r="BA905" s="244"/>
      <c r="BB905" s="244"/>
      <c r="BC905" s="244"/>
      <c r="BD905" s="244"/>
      <c r="BE905" s="244"/>
      <c r="BF905" s="244"/>
      <c r="BG905" s="244"/>
      <c r="BH905" s="255"/>
      <c r="BI905" s="244"/>
      <c r="BJ905" s="244"/>
      <c r="BK905" s="244"/>
      <c r="BL905" s="244"/>
      <c r="BM905" s="244"/>
      <c r="BN905" s="244"/>
      <c r="BO905" s="244"/>
      <c r="BP905" s="244"/>
      <c r="BQ905" s="244"/>
      <c r="BR905" s="244"/>
      <c r="BS905" s="244"/>
      <c r="BT905" s="244"/>
      <c r="BU905" s="244"/>
      <c r="BV905" s="244"/>
      <c r="BW905" s="244"/>
      <c r="BX905" s="244"/>
      <c r="BY905" s="244"/>
      <c r="BZ905" s="244"/>
      <c r="CA905" s="244"/>
      <c r="CB905" s="244"/>
      <c r="CC905" s="244"/>
      <c r="CD905" s="255"/>
      <c r="CE905" s="244"/>
      <c r="CF905" s="244"/>
      <c r="CG905" s="244"/>
      <c r="CH905" s="244"/>
      <c r="CI905" s="244"/>
      <c r="CJ905" s="244"/>
      <c r="CK905" s="244"/>
      <c r="CL905" s="244"/>
      <c r="CM905" s="244"/>
      <c r="CN905" s="244"/>
      <c r="CO905" s="244"/>
      <c r="CP905" s="244"/>
      <c r="CQ905" s="244"/>
      <c r="CR905" s="244"/>
      <c r="CS905" s="244"/>
      <c r="CT905" s="244"/>
      <c r="CU905" s="244"/>
      <c r="CV905" s="244"/>
      <c r="CW905" s="255"/>
    </row>
    <row r="906" spans="1:101">
      <c r="A906" s="221" t="s">
        <v>600</v>
      </c>
      <c r="C906" s="264">
        <v>659.2586669921875</v>
      </c>
      <c r="D906" s="264">
        <v>8.1096944808959961</v>
      </c>
      <c r="E906" s="264">
        <v>1.621938943862915</v>
      </c>
      <c r="F906" s="264">
        <v>9.731633186340332</v>
      </c>
      <c r="G906" s="264">
        <v>15.866598129272461</v>
      </c>
      <c r="H906" s="264">
        <v>3913.7470703125</v>
      </c>
      <c r="I906" s="264">
        <v>129.31056213378906</v>
      </c>
      <c r="J906" s="264">
        <v>-61.233860015869141</v>
      </c>
      <c r="K906" s="264">
        <v>-418.00863647460937</v>
      </c>
      <c r="L906" s="228">
        <v>246.66578541571346</v>
      </c>
      <c r="M906" s="264">
        <v>9.7388693523008776</v>
      </c>
      <c r="N906" s="264">
        <v>49.749339592090863</v>
      </c>
      <c r="O906" s="264">
        <v>45.886553808793551</v>
      </c>
      <c r="P906" s="264">
        <v>49.371602416686088</v>
      </c>
      <c r="Q906" s="264">
        <v>44.378966192925375</v>
      </c>
      <c r="R906" s="264">
        <v>42.947547974070289</v>
      </c>
      <c r="S906" s="264">
        <v>39.512643734504152</v>
      </c>
      <c r="T906" s="264">
        <v>40.016694675248417</v>
      </c>
      <c r="U906" s="264">
        <v>40.026051331763512</v>
      </c>
      <c r="V906" s="264">
        <v>40.790882339088157</v>
      </c>
      <c r="W906" s="264">
        <v>41.906221372517166</v>
      </c>
      <c r="X906" s="264">
        <v>44.590806011793063</v>
      </c>
      <c r="Y906" s="264">
        <v>48.809254571714028</v>
      </c>
      <c r="Z906" s="264"/>
      <c r="AA906" s="264">
        <v>10.125591834437355</v>
      </c>
      <c r="AB906" s="264">
        <v>13.980814625987954</v>
      </c>
      <c r="AC906" s="264">
        <v>12.936490239052738</v>
      </c>
      <c r="AD906" s="264">
        <v>13.981934987904921</v>
      </c>
      <c r="AE906" s="264">
        <v>10.512685666357225</v>
      </c>
      <c r="AF906" s="264">
        <v>8.7285186975638318</v>
      </c>
      <c r="AG906" s="264">
        <v>10.67858302289431</v>
      </c>
      <c r="AH906" s="264">
        <v>9.1761501575454307</v>
      </c>
      <c r="AI906" s="264">
        <v>8.8537121009863533</v>
      </c>
      <c r="AJ906" s="264">
        <v>8.4019624937056907</v>
      </c>
      <c r="AK906" s="264">
        <v>10.009755087529932</v>
      </c>
      <c r="AL906" s="264">
        <v>13.885931915944663</v>
      </c>
      <c r="AM906" s="244"/>
      <c r="AN906" s="244"/>
      <c r="AO906" s="244"/>
      <c r="AP906" s="244"/>
      <c r="AQ906" s="244"/>
      <c r="AR906" s="244"/>
      <c r="AS906" s="255"/>
      <c r="AT906" s="244"/>
      <c r="AU906" s="244"/>
      <c r="AV906" s="244"/>
      <c r="AW906" s="244"/>
      <c r="AX906" s="244"/>
      <c r="AY906" s="244"/>
      <c r="AZ906" s="255"/>
      <c r="BA906" s="244"/>
      <c r="BB906" s="244"/>
      <c r="BC906" s="244"/>
      <c r="BD906" s="244"/>
      <c r="BE906" s="244"/>
      <c r="BF906" s="244"/>
      <c r="BG906" s="244"/>
      <c r="BH906" s="255"/>
      <c r="BI906" s="244"/>
      <c r="BJ906" s="244"/>
      <c r="BK906" s="244"/>
      <c r="BL906" s="244"/>
      <c r="BM906" s="244"/>
      <c r="BN906" s="244"/>
      <c r="BO906" s="244"/>
      <c r="BP906" s="244"/>
      <c r="BQ906" s="244"/>
      <c r="BR906" s="244"/>
      <c r="BS906" s="244"/>
      <c r="BT906" s="244"/>
      <c r="BU906" s="244"/>
      <c r="BV906" s="244"/>
      <c r="BW906" s="244"/>
      <c r="BX906" s="244"/>
      <c r="BY906" s="244"/>
      <c r="BZ906" s="244"/>
      <c r="CA906" s="244"/>
      <c r="CB906" s="244"/>
      <c r="CC906" s="244"/>
      <c r="CD906" s="255"/>
      <c r="CE906" s="244"/>
      <c r="CF906" s="244"/>
      <c r="CG906" s="244"/>
      <c r="CH906" s="244"/>
      <c r="CI906" s="244"/>
      <c r="CJ906" s="244"/>
      <c r="CK906" s="244"/>
      <c r="CL906" s="244"/>
      <c r="CM906" s="244"/>
      <c r="CN906" s="244"/>
      <c r="CO906" s="244"/>
      <c r="CP906" s="244"/>
      <c r="CQ906" s="244"/>
      <c r="CR906" s="244"/>
      <c r="CS906" s="244"/>
      <c r="CT906" s="244"/>
      <c r="CU906" s="244"/>
      <c r="CV906" s="244"/>
      <c r="CW906" s="255"/>
    </row>
    <row r="907" spans="1:101">
      <c r="A907" s="221" t="s">
        <v>588</v>
      </c>
      <c r="C907" s="264">
        <v>920.207763671875</v>
      </c>
      <c r="D907" s="264">
        <v>11.336667060852051</v>
      </c>
      <c r="E907" s="264">
        <v>2.2673335075378418</v>
      </c>
      <c r="F907" s="264">
        <v>13.604000091552734</v>
      </c>
      <c r="G907" s="264">
        <v>22.18016242980957</v>
      </c>
      <c r="H907" s="264">
        <v>5310.087890625</v>
      </c>
      <c r="I907" s="264">
        <v>129.50450134277344</v>
      </c>
      <c r="J907" s="264">
        <v>-61.276569366455078</v>
      </c>
      <c r="K907" s="264">
        <v>-404.6751708984375</v>
      </c>
      <c r="L907" s="228">
        <v>239.40709149932064</v>
      </c>
      <c r="M907" s="264">
        <v>13.639727034032955</v>
      </c>
      <c r="N907" s="264">
        <v>69.510296343289937</v>
      </c>
      <c r="O907" s="264">
        <v>64.120379352624525</v>
      </c>
      <c r="P907" s="264">
        <v>68.986685447227813</v>
      </c>
      <c r="Q907" s="264">
        <v>61.982510026790145</v>
      </c>
      <c r="R907" s="264">
        <v>59.950192162744379</v>
      </c>
      <c r="S907" s="264">
        <v>55.142760694367311</v>
      </c>
      <c r="T907" s="264">
        <v>55.83079767844427</v>
      </c>
      <c r="U907" s="264">
        <v>55.851257752006696</v>
      </c>
      <c r="V907" s="264">
        <v>56.918939617693354</v>
      </c>
      <c r="W907" s="264">
        <v>58.493888175897339</v>
      </c>
      <c r="X907" s="264">
        <v>62.272947650156027</v>
      </c>
      <c r="Y907" s="264">
        <v>68.188981131344605</v>
      </c>
      <c r="Z907" s="264"/>
      <c r="AA907" s="264">
        <v>14.103621244026801</v>
      </c>
      <c r="AB907" s="264">
        <v>19.535353700721554</v>
      </c>
      <c r="AC907" s="264">
        <v>18.047106806300331</v>
      </c>
      <c r="AD907" s="264">
        <v>19.520878453526247</v>
      </c>
      <c r="AE907" s="264">
        <v>14.647692213651343</v>
      </c>
      <c r="AF907" s="264">
        <v>12.13705815147887</v>
      </c>
      <c r="AG907" s="264">
        <v>14.880865486347574</v>
      </c>
      <c r="AH907" s="264">
        <v>12.76184595851905</v>
      </c>
      <c r="AI907" s="264">
        <v>12.315959486689014</v>
      </c>
      <c r="AJ907" s="264">
        <v>11.673704019269964</v>
      </c>
      <c r="AK907" s="264">
        <v>13.945179982379086</v>
      </c>
      <c r="AL907" s="264">
        <v>19.388882091808082</v>
      </c>
      <c r="AM907" s="244"/>
      <c r="AN907" s="244"/>
      <c r="AO907" s="244"/>
      <c r="AP907" s="244"/>
      <c r="AQ907" s="244"/>
      <c r="AR907" s="244"/>
      <c r="AS907" s="255"/>
      <c r="AT907" s="244"/>
      <c r="AU907" s="244"/>
      <c r="AV907" s="244"/>
      <c r="AW907" s="244"/>
      <c r="AX907" s="244"/>
      <c r="AY907" s="244"/>
      <c r="AZ907" s="255"/>
      <c r="BA907" s="244"/>
      <c r="BB907" s="244"/>
      <c r="BC907" s="244"/>
      <c r="BD907" s="244"/>
      <c r="BE907" s="244"/>
      <c r="BF907" s="244"/>
      <c r="BG907" s="244"/>
      <c r="BH907" s="255"/>
      <c r="BI907" s="244"/>
      <c r="BJ907" s="244"/>
      <c r="BK907" s="244"/>
      <c r="BL907" s="244"/>
      <c r="BM907" s="244"/>
      <c r="BN907" s="244"/>
      <c r="BO907" s="244"/>
      <c r="BP907" s="244"/>
      <c r="BQ907" s="244"/>
      <c r="BR907" s="244"/>
      <c r="BS907" s="244"/>
      <c r="BT907" s="244"/>
      <c r="BU907" s="244"/>
      <c r="BV907" s="244"/>
      <c r="BW907" s="244"/>
      <c r="BX907" s="244"/>
      <c r="BY907" s="244"/>
      <c r="BZ907" s="244"/>
      <c r="CA907" s="244"/>
      <c r="CB907" s="244"/>
      <c r="CC907" s="244"/>
      <c r="CD907" s="255"/>
      <c r="CE907" s="244"/>
      <c r="CF907" s="244"/>
      <c r="CG907" s="244"/>
      <c r="CH907" s="244"/>
      <c r="CI907" s="244"/>
      <c r="CJ907" s="244"/>
      <c r="CK907" s="244"/>
      <c r="CL907" s="244"/>
      <c r="CM907" s="244"/>
      <c r="CN907" s="244"/>
      <c r="CO907" s="244"/>
      <c r="CP907" s="244"/>
      <c r="CQ907" s="244"/>
      <c r="CR907" s="244"/>
      <c r="CS907" s="244"/>
      <c r="CT907" s="244"/>
      <c r="CU907" s="244"/>
      <c r="CV907" s="244"/>
      <c r="CW907" s="255"/>
    </row>
    <row r="908" spans="1:101">
      <c r="A908" s="221" t="s">
        <v>597</v>
      </c>
      <c r="C908" s="264">
        <v>613.47186279296875</v>
      </c>
      <c r="D908" s="264">
        <v>8.1096944808959961</v>
      </c>
      <c r="E908" s="264">
        <v>1.621938943862915</v>
      </c>
      <c r="F908" s="264">
        <v>9.731633186340332</v>
      </c>
      <c r="G908" s="264">
        <v>15.866598129272461</v>
      </c>
      <c r="H908" s="264">
        <v>3540.05859375</v>
      </c>
      <c r="I908" s="264">
        <v>138.96173095703125</v>
      </c>
      <c r="J908" s="264">
        <v>-61.215297698974609</v>
      </c>
      <c r="K908" s="264">
        <v>-404.53390502929687</v>
      </c>
      <c r="L908" s="228">
        <v>223.1138943427791</v>
      </c>
      <c r="M908" s="264">
        <v>9.0931513560219273</v>
      </c>
      <c r="N908" s="264">
        <v>46.340197562193296</v>
      </c>
      <c r="O908" s="264">
        <v>42.746919568416352</v>
      </c>
      <c r="P908" s="264">
        <v>45.991123631485209</v>
      </c>
      <c r="Q908" s="264">
        <v>41.321673351193425</v>
      </c>
      <c r="R908" s="264">
        <v>39.966794775162917</v>
      </c>
      <c r="S908" s="264">
        <v>36.761840462911536</v>
      </c>
      <c r="T908" s="264">
        <v>37.220531785629504</v>
      </c>
      <c r="U908" s="264">
        <v>37.23417183467113</v>
      </c>
      <c r="V908" s="264">
        <v>37.945959745128896</v>
      </c>
      <c r="W908" s="264">
        <v>38.995925450598222</v>
      </c>
      <c r="X908" s="264">
        <v>41.515298433437351</v>
      </c>
      <c r="Y908" s="264">
        <v>45.459320754229736</v>
      </c>
      <c r="Z908" s="264"/>
      <c r="AA908" s="264">
        <v>9.4024141626845346</v>
      </c>
      <c r="AB908" s="264">
        <v>13.02356913381437</v>
      </c>
      <c r="AC908" s="264">
        <v>12.031404537533556</v>
      </c>
      <c r="AD908" s="264">
        <v>13.013918969017496</v>
      </c>
      <c r="AE908" s="264">
        <v>9.7651281424342287</v>
      </c>
      <c r="AF908" s="264">
        <v>8.091372100985911</v>
      </c>
      <c r="AG908" s="264">
        <v>9.9205769908983825</v>
      </c>
      <c r="AH908" s="264">
        <v>8.5078973056793661</v>
      </c>
      <c r="AI908" s="264">
        <v>8.2106396577926759</v>
      </c>
      <c r="AJ908" s="264">
        <v>7.7824693461799743</v>
      </c>
      <c r="AK908" s="264">
        <v>9.2967866549193889</v>
      </c>
      <c r="AL908" s="264">
        <v>12.925921394538721</v>
      </c>
      <c r="AM908" s="244"/>
      <c r="AN908" s="244"/>
      <c r="AO908" s="244"/>
      <c r="AP908" s="244"/>
      <c r="AQ908" s="244"/>
      <c r="AR908" s="244"/>
      <c r="AS908" s="255"/>
      <c r="AT908" s="244"/>
      <c r="AU908" s="244"/>
      <c r="AV908" s="244"/>
      <c r="AW908" s="244"/>
      <c r="AX908" s="244"/>
      <c r="AY908" s="244"/>
      <c r="AZ908" s="255"/>
      <c r="BA908" s="244"/>
      <c r="BB908" s="244"/>
      <c r="BC908" s="244"/>
      <c r="BD908" s="244"/>
      <c r="BE908" s="244"/>
      <c r="BF908" s="244"/>
      <c r="BG908" s="244"/>
      <c r="BH908" s="255"/>
      <c r="BI908" s="244"/>
      <c r="BJ908" s="244"/>
      <c r="BK908" s="244"/>
      <c r="BL908" s="244"/>
      <c r="BM908" s="244"/>
      <c r="BN908" s="244"/>
      <c r="BO908" s="244"/>
      <c r="BP908" s="244"/>
      <c r="BQ908" s="244"/>
      <c r="BR908" s="244"/>
      <c r="BS908" s="244"/>
      <c r="BT908" s="244"/>
      <c r="BU908" s="244"/>
      <c r="BV908" s="244"/>
      <c r="BW908" s="244"/>
      <c r="BX908" s="244"/>
      <c r="BY908" s="244"/>
      <c r="BZ908" s="244"/>
      <c r="CA908" s="244"/>
      <c r="CB908" s="244"/>
      <c r="CC908" s="244"/>
      <c r="CD908" s="255"/>
      <c r="CE908" s="244"/>
      <c r="CF908" s="244"/>
      <c r="CG908" s="244"/>
      <c r="CH908" s="244"/>
      <c r="CI908" s="244"/>
      <c r="CJ908" s="244"/>
      <c r="CK908" s="244"/>
      <c r="CL908" s="244"/>
      <c r="CM908" s="244"/>
      <c r="CN908" s="244"/>
      <c r="CO908" s="244"/>
      <c r="CP908" s="244"/>
      <c r="CQ908" s="244"/>
      <c r="CR908" s="244"/>
      <c r="CS908" s="244"/>
      <c r="CT908" s="244"/>
      <c r="CU908" s="244"/>
      <c r="CV908" s="244"/>
      <c r="CW908" s="255"/>
    </row>
    <row r="909" spans="1:101">
      <c r="A909" s="221" t="s">
        <v>590</v>
      </c>
      <c r="C909" s="264">
        <v>132.94062805175781</v>
      </c>
      <c r="D909" s="264">
        <v>11.336667060852051</v>
      </c>
      <c r="E909" s="264">
        <v>2.2673335075378418</v>
      </c>
      <c r="F909" s="264">
        <v>13.604000091552734</v>
      </c>
      <c r="G909" s="264">
        <v>22.18016242980957</v>
      </c>
      <c r="H909" s="264">
        <v>4886.97705078125</v>
      </c>
      <c r="I909" s="264">
        <v>896.42303466796875</v>
      </c>
      <c r="J909" s="264">
        <v>-49.938938140869141</v>
      </c>
      <c r="K909" s="264">
        <v>-2880.781005859375</v>
      </c>
      <c r="L909" s="228">
        <v>220.33100353786728</v>
      </c>
      <c r="M909" s="264">
        <v>11.458305145617324</v>
      </c>
      <c r="N909" s="264">
        <v>8.5968614863756372</v>
      </c>
      <c r="O909" s="264">
        <v>7.779603507542296</v>
      </c>
      <c r="P909" s="264">
        <v>8.4449991146111962</v>
      </c>
      <c r="Q909" s="264">
        <v>8.172579788333417</v>
      </c>
      <c r="R909" s="264">
        <v>8.5968614863756372</v>
      </c>
      <c r="S909" s="264">
        <v>8.172579788333417</v>
      </c>
      <c r="T909" s="264">
        <v>8.5968614863756372</v>
      </c>
      <c r="U909" s="264">
        <v>8.4449991146111962</v>
      </c>
      <c r="V909" s="264">
        <v>8.5968614863756372</v>
      </c>
      <c r="W909" s="264">
        <v>8.4449991146111962</v>
      </c>
      <c r="X909" s="264">
        <v>8.3244421600978562</v>
      </c>
      <c r="Y909" s="264">
        <v>8.5968614863756372</v>
      </c>
      <c r="Z909" s="264"/>
      <c r="AA909" s="264">
        <v>2.6631373331059591</v>
      </c>
      <c r="AB909" s="264">
        <v>2.3907180068281786</v>
      </c>
      <c r="AC909" s="264">
        <v>2.8149997048703992</v>
      </c>
      <c r="AD909" s="264">
        <v>2.7241932627778054</v>
      </c>
      <c r="AE909" s="264">
        <v>2.6631373331059591</v>
      </c>
      <c r="AF909" s="264">
        <v>2.7241932627778054</v>
      </c>
      <c r="AG909" s="264">
        <v>2.6631373331059591</v>
      </c>
      <c r="AH909" s="264">
        <v>2.8149997048703992</v>
      </c>
      <c r="AI909" s="264">
        <v>2.6631373331059591</v>
      </c>
      <c r="AJ909" s="264">
        <v>2.8149997048703992</v>
      </c>
      <c r="AK909" s="264">
        <v>2.5723308910133653</v>
      </c>
      <c r="AL909" s="264">
        <v>2.6631373331059591</v>
      </c>
      <c r="AM909" s="244"/>
      <c r="AN909" s="244"/>
      <c r="AO909" s="244"/>
      <c r="AP909" s="244"/>
      <c r="AQ909" s="244"/>
      <c r="AR909" s="244"/>
      <c r="AS909" s="255"/>
      <c r="AT909" s="244"/>
      <c r="AU909" s="244"/>
      <c r="AV909" s="244"/>
      <c r="AW909" s="244"/>
      <c r="AX909" s="244"/>
      <c r="AY909" s="244"/>
      <c r="AZ909" s="255"/>
      <c r="BA909" s="244"/>
      <c r="BB909" s="244"/>
      <c r="BC909" s="244"/>
      <c r="BD909" s="244"/>
      <c r="BE909" s="244"/>
      <c r="BF909" s="244"/>
      <c r="BG909" s="244"/>
      <c r="BH909" s="255"/>
      <c r="BI909" s="244"/>
      <c r="BJ909" s="244"/>
      <c r="BK909" s="244"/>
      <c r="BL909" s="244"/>
      <c r="BM909" s="244"/>
      <c r="BN909" s="244"/>
      <c r="BO909" s="244"/>
      <c r="BP909" s="244"/>
      <c r="BQ909" s="244"/>
      <c r="BR909" s="244"/>
      <c r="BS909" s="244"/>
      <c r="BT909" s="244"/>
      <c r="BU909" s="244"/>
      <c r="BV909" s="244"/>
      <c r="BW909" s="244"/>
      <c r="BX909" s="244"/>
      <c r="BY909" s="244"/>
      <c r="BZ909" s="244"/>
      <c r="CA909" s="244"/>
      <c r="CB909" s="244"/>
      <c r="CC909" s="244"/>
      <c r="CD909" s="255"/>
      <c r="CE909" s="244"/>
      <c r="CF909" s="244"/>
      <c r="CG909" s="244"/>
      <c r="CH909" s="244"/>
      <c r="CI909" s="244"/>
      <c r="CJ909" s="244"/>
      <c r="CK909" s="244"/>
      <c r="CL909" s="244"/>
      <c r="CM909" s="244"/>
      <c r="CN909" s="244"/>
      <c r="CO909" s="244"/>
      <c r="CP909" s="244"/>
      <c r="CQ909" s="244"/>
      <c r="CR909" s="244"/>
      <c r="CS909" s="244"/>
      <c r="CT909" s="244"/>
      <c r="CU909" s="244"/>
      <c r="CV909" s="244"/>
      <c r="CW909" s="255"/>
    </row>
    <row r="910" spans="1:101">
      <c r="A910" s="221" t="s">
        <v>599</v>
      </c>
      <c r="C910" s="264">
        <v>88.627090454101563</v>
      </c>
      <c r="D910" s="264">
        <v>8.1096944808959961</v>
      </c>
      <c r="E910" s="264">
        <v>1.621938943862915</v>
      </c>
      <c r="F910" s="264">
        <v>9.731633186340332</v>
      </c>
      <c r="G910" s="264">
        <v>15.866598129272461</v>
      </c>
      <c r="H910" s="264">
        <v>3257.98486328125</v>
      </c>
      <c r="I910" s="264">
        <v>961.88543701171875</v>
      </c>
      <c r="J910" s="264">
        <v>-49.514736175537109</v>
      </c>
      <c r="K910" s="264">
        <v>-2879.80322265625</v>
      </c>
      <c r="L910" s="228">
        <v>205.33605787838277</v>
      </c>
      <c r="M910" s="264">
        <v>7.6388700970782697</v>
      </c>
      <c r="N910" s="264">
        <v>5.7312409909170938</v>
      </c>
      <c r="O910" s="264">
        <v>5.1864023383615319</v>
      </c>
      <c r="P910" s="264">
        <v>5.6299994097407993</v>
      </c>
      <c r="Q910" s="264">
        <v>5.4483865255556125</v>
      </c>
      <c r="R910" s="264">
        <v>5.7312409909170938</v>
      </c>
      <c r="S910" s="264">
        <v>5.4483865255556125</v>
      </c>
      <c r="T910" s="264">
        <v>5.7312409909170938</v>
      </c>
      <c r="U910" s="264">
        <v>5.6299994097407993</v>
      </c>
      <c r="V910" s="264">
        <v>5.7312409909170938</v>
      </c>
      <c r="W910" s="264">
        <v>5.6299994097407993</v>
      </c>
      <c r="X910" s="264">
        <v>5.5496281067319062</v>
      </c>
      <c r="Y910" s="264">
        <v>5.7312409909170938</v>
      </c>
      <c r="Z910" s="264"/>
      <c r="AA910" s="264">
        <v>1.7754248887373065</v>
      </c>
      <c r="AB910" s="264">
        <v>1.5938120045521194</v>
      </c>
      <c r="AC910" s="264">
        <v>1.8766664699136</v>
      </c>
      <c r="AD910" s="264">
        <v>1.8161288418518708</v>
      </c>
      <c r="AE910" s="264">
        <v>1.7754248887373065</v>
      </c>
      <c r="AF910" s="264">
        <v>1.8161288418518708</v>
      </c>
      <c r="AG910" s="264">
        <v>1.7754248887373065</v>
      </c>
      <c r="AH910" s="264">
        <v>1.8766664699136</v>
      </c>
      <c r="AI910" s="264">
        <v>1.7754248887373065</v>
      </c>
      <c r="AJ910" s="264">
        <v>1.8766664699136</v>
      </c>
      <c r="AK910" s="264">
        <v>1.7148872606755776</v>
      </c>
      <c r="AL910" s="264">
        <v>1.7754248887373065</v>
      </c>
      <c r="AM910" s="244"/>
      <c r="AN910" s="244"/>
      <c r="AO910" s="244"/>
      <c r="AP910" s="244"/>
      <c r="AQ910" s="244"/>
      <c r="AR910" s="244"/>
      <c r="AS910" s="255"/>
      <c r="AT910" s="244"/>
      <c r="AU910" s="244"/>
      <c r="AV910" s="244"/>
      <c r="AW910" s="244"/>
      <c r="AX910" s="244"/>
      <c r="AY910" s="244"/>
      <c r="AZ910" s="255"/>
      <c r="BA910" s="244"/>
      <c r="BB910" s="244"/>
      <c r="BC910" s="244"/>
      <c r="BD910" s="244"/>
      <c r="BE910" s="244"/>
      <c r="BF910" s="244"/>
      <c r="BG910" s="244"/>
      <c r="BH910" s="255"/>
      <c r="BI910" s="244"/>
      <c r="BJ910" s="244"/>
      <c r="BK910" s="244"/>
      <c r="BL910" s="244"/>
      <c r="BM910" s="244"/>
      <c r="BN910" s="244"/>
      <c r="BO910" s="244"/>
      <c r="BP910" s="244"/>
      <c r="BQ910" s="244"/>
      <c r="BR910" s="244"/>
      <c r="BS910" s="244"/>
      <c r="BT910" s="244"/>
      <c r="BU910" s="244"/>
      <c r="BV910" s="244"/>
      <c r="BW910" s="244"/>
      <c r="BX910" s="244"/>
      <c r="BY910" s="244"/>
      <c r="BZ910" s="244"/>
      <c r="CA910" s="244"/>
      <c r="CB910" s="244"/>
      <c r="CC910" s="244"/>
      <c r="CD910" s="255"/>
      <c r="CE910" s="244"/>
      <c r="CF910" s="244"/>
      <c r="CG910" s="244"/>
      <c r="CH910" s="244"/>
      <c r="CI910" s="244"/>
      <c r="CJ910" s="244"/>
      <c r="CK910" s="244"/>
      <c r="CL910" s="244"/>
      <c r="CM910" s="244"/>
      <c r="CN910" s="244"/>
      <c r="CO910" s="244"/>
      <c r="CP910" s="244"/>
      <c r="CQ910" s="244"/>
      <c r="CR910" s="244"/>
      <c r="CS910" s="244"/>
      <c r="CT910" s="244"/>
      <c r="CU910" s="244"/>
      <c r="CV910" s="244"/>
      <c r="CW910" s="255"/>
    </row>
    <row r="911" spans="1:101">
      <c r="A911" s="221" t="s">
        <v>587</v>
      </c>
      <c r="C911" s="264">
        <v>118.16944885253906</v>
      </c>
      <c r="D911" s="264">
        <v>11.336667060852051</v>
      </c>
      <c r="E911" s="264">
        <v>2.2673335075378418</v>
      </c>
      <c r="F911" s="264">
        <v>13.604000091552734</v>
      </c>
      <c r="G911" s="264">
        <v>22.18016242980957</v>
      </c>
      <c r="H911" s="264">
        <v>4388.396484375</v>
      </c>
      <c r="I911" s="264">
        <v>1008.4759521484375</v>
      </c>
      <c r="J911" s="264">
        <v>-49.21282958984375</v>
      </c>
      <c r="K911" s="264">
        <v>-2909.2685546875</v>
      </c>
      <c r="L911" s="228">
        <v>197.85231880424902</v>
      </c>
      <c r="M911" s="264">
        <v>10.68812063582952</v>
      </c>
      <c r="N911" s="264">
        <v>7.6416546545561275</v>
      </c>
      <c r="O911" s="264">
        <v>6.9152031178153797</v>
      </c>
      <c r="P911" s="264">
        <v>7.5066658796544026</v>
      </c>
      <c r="Q911" s="264">
        <v>7.264515367407486</v>
      </c>
      <c r="R911" s="264">
        <v>7.6416546545561275</v>
      </c>
      <c r="S911" s="264">
        <v>7.264515367407486</v>
      </c>
      <c r="T911" s="264">
        <v>7.6416546545561275</v>
      </c>
      <c r="U911" s="264">
        <v>7.5066658796544026</v>
      </c>
      <c r="V911" s="264">
        <v>7.6416546545561275</v>
      </c>
      <c r="W911" s="264">
        <v>7.5066658796544026</v>
      </c>
      <c r="X911" s="264">
        <v>7.3995041423092109</v>
      </c>
      <c r="Y911" s="264">
        <v>7.6416546545561275</v>
      </c>
      <c r="Z911" s="264"/>
      <c r="AA911" s="264">
        <v>2.3672331849830766</v>
      </c>
      <c r="AB911" s="264">
        <v>2.12508267273616</v>
      </c>
      <c r="AC911" s="264">
        <v>2.502221959884801</v>
      </c>
      <c r="AD911" s="264">
        <v>2.4215051224691622</v>
      </c>
      <c r="AE911" s="264">
        <v>2.3672331849830766</v>
      </c>
      <c r="AF911" s="264">
        <v>2.4215051224691622</v>
      </c>
      <c r="AG911" s="264">
        <v>2.3672331849830766</v>
      </c>
      <c r="AH911" s="264">
        <v>2.502221959884801</v>
      </c>
      <c r="AI911" s="264">
        <v>2.3672331849830766</v>
      </c>
      <c r="AJ911" s="264">
        <v>2.502221959884801</v>
      </c>
      <c r="AK911" s="264">
        <v>2.2865163475674377</v>
      </c>
      <c r="AL911" s="264">
        <v>2.3672331849830766</v>
      </c>
      <c r="AM911" s="244"/>
      <c r="AN911" s="244"/>
      <c r="AO911" s="244"/>
      <c r="AP911" s="244"/>
      <c r="AQ911" s="244"/>
      <c r="AR911" s="244"/>
      <c r="AS911" s="255"/>
      <c r="AT911" s="244"/>
      <c r="AU911" s="244"/>
      <c r="AV911" s="244"/>
      <c r="AW911" s="244"/>
      <c r="AX911" s="244"/>
      <c r="AY911" s="244"/>
      <c r="AZ911" s="255"/>
      <c r="BA911" s="244"/>
      <c r="BB911" s="244"/>
      <c r="BC911" s="244"/>
      <c r="BD911" s="244"/>
      <c r="BE911" s="244"/>
      <c r="BF911" s="244"/>
      <c r="BG911" s="244"/>
      <c r="BH911" s="255"/>
      <c r="BI911" s="244"/>
      <c r="BJ911" s="244"/>
      <c r="BK911" s="244"/>
      <c r="BL911" s="244"/>
      <c r="BM911" s="244"/>
      <c r="BN911" s="244"/>
      <c r="BO911" s="244"/>
      <c r="BP911" s="244"/>
      <c r="BQ911" s="244"/>
      <c r="BR911" s="244"/>
      <c r="BS911" s="244"/>
      <c r="BT911" s="244"/>
      <c r="BU911" s="244"/>
      <c r="BV911" s="244"/>
      <c r="BW911" s="244"/>
      <c r="BX911" s="244"/>
      <c r="BY911" s="244"/>
      <c r="BZ911" s="244"/>
      <c r="CA911" s="244"/>
      <c r="CB911" s="244"/>
      <c r="CC911" s="244"/>
      <c r="CD911" s="255"/>
      <c r="CE911" s="244"/>
      <c r="CF911" s="244"/>
      <c r="CG911" s="244"/>
      <c r="CH911" s="244"/>
      <c r="CI911" s="244"/>
      <c r="CJ911" s="244"/>
      <c r="CK911" s="244"/>
      <c r="CL911" s="244"/>
      <c r="CM911" s="244"/>
      <c r="CN911" s="244"/>
      <c r="CO911" s="244"/>
      <c r="CP911" s="244"/>
      <c r="CQ911" s="244"/>
      <c r="CR911" s="244"/>
      <c r="CS911" s="244"/>
      <c r="CT911" s="244"/>
      <c r="CU911" s="244"/>
      <c r="CV911" s="244"/>
      <c r="CW911" s="255"/>
    </row>
    <row r="912" spans="1:101">
      <c r="A912" s="221" t="s">
        <v>596</v>
      </c>
      <c r="C912" s="264">
        <v>78.779632568359375</v>
      </c>
      <c r="D912" s="264">
        <v>8.1096944808959961</v>
      </c>
      <c r="E912" s="264">
        <v>1.621938943862915</v>
      </c>
      <c r="F912" s="264">
        <v>9.731633186340332</v>
      </c>
      <c r="G912" s="264">
        <v>15.866598129272461</v>
      </c>
      <c r="H912" s="264">
        <v>2925.597412109375</v>
      </c>
      <c r="I912" s="264">
        <v>1082.1212158203125</v>
      </c>
      <c r="J912" s="264">
        <v>-48.735610961914063</v>
      </c>
      <c r="K912" s="264">
        <v>-2908.16845703125</v>
      </c>
      <c r="L912" s="228">
        <v>184.38718313602433</v>
      </c>
      <c r="M912" s="264">
        <v>7.1254137572196008</v>
      </c>
      <c r="N912" s="264">
        <v>5.0944364363707511</v>
      </c>
      <c r="O912" s="264">
        <v>4.6101354118769189</v>
      </c>
      <c r="P912" s="264">
        <v>5.0044439197696011</v>
      </c>
      <c r="Q912" s="264">
        <v>4.8430102449383234</v>
      </c>
      <c r="R912" s="264">
        <v>5.0944364363707511</v>
      </c>
      <c r="S912" s="264">
        <v>4.8430102449383234</v>
      </c>
      <c r="T912" s="264">
        <v>5.0944364363707511</v>
      </c>
      <c r="U912" s="264">
        <v>5.0044439197696011</v>
      </c>
      <c r="V912" s="264">
        <v>5.0944364363707511</v>
      </c>
      <c r="W912" s="264">
        <v>5.0044439197696011</v>
      </c>
      <c r="X912" s="264">
        <v>4.9330027615394734</v>
      </c>
      <c r="Y912" s="264">
        <v>5.0944364363707511</v>
      </c>
      <c r="Z912" s="264"/>
      <c r="AA912" s="264">
        <v>1.5781554566553841</v>
      </c>
      <c r="AB912" s="264">
        <v>1.4167217818241067</v>
      </c>
      <c r="AC912" s="264">
        <v>1.6681479732565339</v>
      </c>
      <c r="AD912" s="264">
        <v>1.6143367483127744</v>
      </c>
      <c r="AE912" s="264">
        <v>1.5781554566553841</v>
      </c>
      <c r="AF912" s="264">
        <v>1.6143367483127744</v>
      </c>
      <c r="AG912" s="264">
        <v>1.5781554566553841</v>
      </c>
      <c r="AH912" s="264">
        <v>1.6681479732565339</v>
      </c>
      <c r="AI912" s="264">
        <v>1.5781554566553841</v>
      </c>
      <c r="AJ912" s="264">
        <v>1.6681479732565339</v>
      </c>
      <c r="AK912" s="264">
        <v>1.5243442317116247</v>
      </c>
      <c r="AL912" s="264">
        <v>1.5781554566553841</v>
      </c>
      <c r="AM912" s="244"/>
      <c r="AN912" s="244"/>
      <c r="AO912" s="244"/>
      <c r="AP912" s="244"/>
      <c r="AQ912" s="244"/>
      <c r="AR912" s="244"/>
      <c r="AS912" s="255"/>
      <c r="AT912" s="244"/>
      <c r="AU912" s="244"/>
      <c r="AV912" s="244"/>
      <c r="AW912" s="244"/>
      <c r="AX912" s="244"/>
      <c r="AY912" s="244"/>
      <c r="AZ912" s="255"/>
      <c r="BA912" s="244"/>
      <c r="BB912" s="244"/>
      <c r="BC912" s="244"/>
      <c r="BD912" s="244"/>
      <c r="BE912" s="244"/>
      <c r="BF912" s="244"/>
      <c r="BG912" s="244"/>
      <c r="BH912" s="255"/>
      <c r="BI912" s="244"/>
      <c r="BJ912" s="244"/>
      <c r="BK912" s="244"/>
      <c r="BL912" s="244"/>
      <c r="BM912" s="244"/>
      <c r="BN912" s="244"/>
      <c r="BO912" s="244"/>
      <c r="BP912" s="244"/>
      <c r="BQ912" s="244"/>
      <c r="BR912" s="244"/>
      <c r="BS912" s="244"/>
      <c r="BT912" s="244"/>
      <c r="BU912" s="244"/>
      <c r="BV912" s="244"/>
      <c r="BW912" s="244"/>
      <c r="BX912" s="244"/>
      <c r="BY912" s="244"/>
      <c r="BZ912" s="244"/>
      <c r="CA912" s="244"/>
      <c r="CB912" s="244"/>
      <c r="CC912" s="244"/>
      <c r="CD912" s="255"/>
      <c r="CE912" s="244"/>
      <c r="CF912" s="244"/>
      <c r="CG912" s="244"/>
      <c r="CH912" s="244"/>
      <c r="CI912" s="244"/>
      <c r="CJ912" s="244"/>
      <c r="CK912" s="244"/>
      <c r="CL912" s="244"/>
      <c r="CM912" s="244"/>
      <c r="CN912" s="244"/>
      <c r="CO912" s="244"/>
      <c r="CP912" s="244"/>
      <c r="CQ912" s="244"/>
      <c r="CR912" s="244"/>
      <c r="CS912" s="244"/>
      <c r="CT912" s="244"/>
      <c r="CU912" s="244"/>
      <c r="CV912" s="244"/>
      <c r="CW912" s="255"/>
    </row>
    <row r="913" spans="1:101">
      <c r="A913" s="221" t="s">
        <v>448</v>
      </c>
      <c r="C913" s="264">
        <v>224.29544067382812</v>
      </c>
      <c r="D913" s="264">
        <v>3.2966773509979248</v>
      </c>
      <c r="E913" s="264">
        <v>0.65933549404144287</v>
      </c>
      <c r="F913" s="264">
        <v>3.9560127258300781</v>
      </c>
      <c r="G913" s="264">
        <v>6.4499416351318359</v>
      </c>
      <c r="H913" s="264">
        <v>615.3546142578125</v>
      </c>
      <c r="I913" s="264">
        <v>154.50457763671875</v>
      </c>
      <c r="J913" s="264">
        <v>-61.729667663574219</v>
      </c>
      <c r="K913" s="264">
        <v>-161.32421875</v>
      </c>
      <c r="L913" s="228">
        <v>95.40468477534418</v>
      </c>
      <c r="M913" s="264">
        <v>1.6929640737229483</v>
      </c>
      <c r="N913" s="264">
        <v>17.178256244897291</v>
      </c>
      <c r="O913" s="264">
        <v>15.870783012669424</v>
      </c>
      <c r="P913" s="264">
        <v>17.063050099068136</v>
      </c>
      <c r="Q913" s="264">
        <v>15.235313082915347</v>
      </c>
      <c r="R913" s="264">
        <v>14.622953999144299</v>
      </c>
      <c r="S913" s="264">
        <v>13.407129362376622</v>
      </c>
      <c r="T913" s="264">
        <v>13.521888803819836</v>
      </c>
      <c r="U913" s="264">
        <v>13.552106363033538</v>
      </c>
      <c r="V913" s="264">
        <v>13.812736213905543</v>
      </c>
      <c r="W913" s="264">
        <v>14.258450073241683</v>
      </c>
      <c r="X913" s="264">
        <v>15.288194783726137</v>
      </c>
      <c r="Y913" s="264">
        <v>16.825084389793219</v>
      </c>
      <c r="Z913" s="264"/>
      <c r="AA913" s="264">
        <v>3.335722138201104</v>
      </c>
      <c r="AB913" s="264">
        <v>4.8319555230278173</v>
      </c>
      <c r="AC913" s="264">
        <v>4.3650201442996197</v>
      </c>
      <c r="AD913" s="264">
        <v>4.7737404075486625</v>
      </c>
      <c r="AE913" s="264">
        <v>3.4811458432439566</v>
      </c>
      <c r="AF913" s="264">
        <v>2.8001329819670824</v>
      </c>
      <c r="AG913" s="264">
        <v>3.5434702882623226</v>
      </c>
      <c r="AH913" s="264">
        <v>2.9523327238833308</v>
      </c>
      <c r="AI913" s="264">
        <v>2.8579013930602999</v>
      </c>
      <c r="AJ913" s="264">
        <v>2.6614853137976242</v>
      </c>
      <c r="AK913" s="264">
        <v>3.3081712863215875</v>
      </c>
      <c r="AL913" s="264">
        <v>4.7484095586173929</v>
      </c>
      <c r="AM913" s="244"/>
      <c r="AN913" s="244"/>
      <c r="AO913" s="244"/>
      <c r="AP913" s="244"/>
      <c r="AQ913" s="244"/>
      <c r="AR913" s="244"/>
      <c r="AS913" s="255"/>
      <c r="AT913" s="244"/>
      <c r="AU913" s="244"/>
      <c r="AV913" s="244"/>
      <c r="AW913" s="244"/>
      <c r="AX913" s="244"/>
      <c r="AY913" s="244"/>
      <c r="AZ913" s="255"/>
      <c r="BA913" s="244"/>
      <c r="BB913" s="244"/>
      <c r="BC913" s="244"/>
      <c r="BD913" s="244"/>
      <c r="BE913" s="244"/>
      <c r="BF913" s="244"/>
      <c r="BG913" s="244"/>
      <c r="BH913" s="255"/>
      <c r="BI913" s="244"/>
      <c r="BJ913" s="244"/>
      <c r="BK913" s="244"/>
      <c r="BL913" s="244"/>
      <c r="BM913" s="244"/>
      <c r="BN913" s="244"/>
      <c r="BO913" s="244"/>
      <c r="BP913" s="244"/>
      <c r="BQ913" s="244"/>
      <c r="BR913" s="244"/>
      <c r="BS913" s="244"/>
      <c r="BT913" s="244"/>
      <c r="BU913" s="244"/>
      <c r="BV913" s="244"/>
      <c r="BW913" s="244"/>
      <c r="BX913" s="244"/>
      <c r="BY913" s="244"/>
      <c r="BZ913" s="244"/>
      <c r="CA913" s="244"/>
      <c r="CB913" s="244"/>
      <c r="CC913" s="244"/>
      <c r="CD913" s="255"/>
      <c r="CE913" s="244"/>
      <c r="CF913" s="244"/>
      <c r="CG913" s="244"/>
      <c r="CH913" s="244"/>
      <c r="CI913" s="244"/>
      <c r="CJ913" s="244"/>
      <c r="CK913" s="244"/>
      <c r="CL913" s="244"/>
      <c r="CM913" s="244"/>
      <c r="CN913" s="244"/>
      <c r="CO913" s="244"/>
      <c r="CP913" s="244"/>
      <c r="CQ913" s="244"/>
      <c r="CR913" s="244"/>
      <c r="CS913" s="244"/>
      <c r="CT913" s="244"/>
      <c r="CU913" s="244"/>
      <c r="CV913" s="244"/>
      <c r="CW913" s="255"/>
    </row>
    <row r="914" spans="1:101">
      <c r="A914" s="221" t="s">
        <v>556</v>
      </c>
      <c r="C914" s="264">
        <v>193.62356567382812</v>
      </c>
      <c r="D914" s="264">
        <v>3.2966773509979248</v>
      </c>
      <c r="E914" s="264">
        <v>0.65933549404144287</v>
      </c>
      <c r="F914" s="264">
        <v>3.9560127258300781</v>
      </c>
      <c r="G914" s="264">
        <v>6.4499416351318359</v>
      </c>
      <c r="H914" s="264">
        <v>531.20635986328125</v>
      </c>
      <c r="I914" s="264">
        <v>178.9796142578125</v>
      </c>
      <c r="J914" s="264">
        <v>-61.571063995361328</v>
      </c>
      <c r="K914" s="264">
        <v>-160.95867919921875</v>
      </c>
      <c r="L914" s="228">
        <v>82.358321052970965</v>
      </c>
      <c r="M914" s="264">
        <v>1.4614552105564105</v>
      </c>
      <c r="N914" s="264">
        <v>14.82917002613654</v>
      </c>
      <c r="O914" s="264">
        <v>13.700490689368078</v>
      </c>
      <c r="P914" s="264">
        <v>14.729718050324738</v>
      </c>
      <c r="Q914" s="264">
        <v>13.151919780861608</v>
      </c>
      <c r="R914" s="264">
        <v>12.623299364398353</v>
      </c>
      <c r="S914" s="264">
        <v>11.573735892788761</v>
      </c>
      <c r="T914" s="264">
        <v>11.672802249990845</v>
      </c>
      <c r="U914" s="264">
        <v>11.698887628912114</v>
      </c>
      <c r="V914" s="264">
        <v>11.92387695945698</v>
      </c>
      <c r="W914" s="264">
        <v>12.308640494758441</v>
      </c>
      <c r="X914" s="264">
        <v>13.197570033216376</v>
      </c>
      <c r="Y914" s="264">
        <v>14.524293593213372</v>
      </c>
      <c r="Z914" s="264"/>
      <c r="AA914" s="264">
        <v>2.8795699657830811</v>
      </c>
      <c r="AB914" s="264">
        <v>4.171196947361488</v>
      </c>
      <c r="AC914" s="264">
        <v>3.7681138856313021</v>
      </c>
      <c r="AD914" s="264">
        <v>4.1209426122750621</v>
      </c>
      <c r="AE914" s="264">
        <v>3.005107320516148</v>
      </c>
      <c r="AF914" s="264">
        <v>2.4172213694691487</v>
      </c>
      <c r="AG914" s="264">
        <v>3.0589090439731765</v>
      </c>
      <c r="AH914" s="264">
        <v>2.5486081539386474</v>
      </c>
      <c r="AI914" s="264">
        <v>2.46709008594586</v>
      </c>
      <c r="AJ914" s="264">
        <v>2.2975334444725131</v>
      </c>
      <c r="AK914" s="264">
        <v>2.8557866282276398</v>
      </c>
      <c r="AL914" s="264">
        <v>4.099075697475735</v>
      </c>
      <c r="AM914" s="244"/>
      <c r="AN914" s="244"/>
      <c r="AO914" s="244"/>
      <c r="AP914" s="244"/>
      <c r="AQ914" s="244"/>
      <c r="AR914" s="244"/>
      <c r="AS914" s="255"/>
      <c r="AT914" s="244"/>
      <c r="AU914" s="244"/>
      <c r="AV914" s="244"/>
      <c r="AW914" s="244"/>
      <c r="AX914" s="244"/>
      <c r="AY914" s="244"/>
      <c r="AZ914" s="255"/>
      <c r="BA914" s="244"/>
      <c r="BB914" s="244"/>
      <c r="BC914" s="244"/>
      <c r="BD914" s="244"/>
      <c r="BE914" s="244"/>
      <c r="BF914" s="244"/>
      <c r="BG914" s="244"/>
      <c r="BH914" s="255"/>
      <c r="BI914" s="244"/>
      <c r="BJ914" s="244"/>
      <c r="BK914" s="244"/>
      <c r="BL914" s="244"/>
      <c r="BM914" s="244"/>
      <c r="BN914" s="244"/>
      <c r="BO914" s="244"/>
      <c r="BP914" s="244"/>
      <c r="BQ914" s="244"/>
      <c r="BR914" s="244"/>
      <c r="BS914" s="244"/>
      <c r="BT914" s="244"/>
      <c r="BU914" s="244"/>
      <c r="BV914" s="244"/>
      <c r="BW914" s="244"/>
      <c r="BX914" s="244"/>
      <c r="BY914" s="244"/>
      <c r="BZ914" s="244"/>
      <c r="CA914" s="244"/>
      <c r="CB914" s="244"/>
      <c r="CC914" s="244"/>
      <c r="CD914" s="255"/>
      <c r="CE914" s="244"/>
      <c r="CF914" s="244"/>
      <c r="CG914" s="244"/>
      <c r="CH914" s="244"/>
      <c r="CI914" s="244"/>
      <c r="CJ914" s="244"/>
      <c r="CK914" s="244"/>
      <c r="CL914" s="244"/>
      <c r="CM914" s="244"/>
      <c r="CN914" s="244"/>
      <c r="CO914" s="244"/>
      <c r="CP914" s="244"/>
      <c r="CQ914" s="244"/>
      <c r="CR914" s="244"/>
      <c r="CS914" s="244"/>
      <c r="CT914" s="244"/>
      <c r="CU914" s="244"/>
      <c r="CV914" s="244"/>
      <c r="CW914" s="255"/>
    </row>
    <row r="915" spans="1:101">
      <c r="A915" s="221" t="s">
        <v>450</v>
      </c>
      <c r="C915" s="264">
        <v>77.448341369628906</v>
      </c>
      <c r="D915" s="264">
        <v>3.2966773509979248</v>
      </c>
      <c r="E915" s="264">
        <v>0.65933549404144287</v>
      </c>
      <c r="F915" s="264">
        <v>3.9560127258300781</v>
      </c>
      <c r="G915" s="264">
        <v>6.4499416351318359</v>
      </c>
      <c r="H915" s="264">
        <v>446.59994506835937</v>
      </c>
      <c r="I915" s="264">
        <v>447.455322265625</v>
      </c>
      <c r="J915" s="264">
        <v>-59.218635559082031</v>
      </c>
      <c r="K915" s="264">
        <v>-399.59671020507812</v>
      </c>
      <c r="L915" s="228">
        <v>69.240927614890097</v>
      </c>
      <c r="M915" s="264">
        <v>1.1525474918429486</v>
      </c>
      <c r="N915" s="264">
        <v>5.8505806146592692</v>
      </c>
      <c r="O915" s="264">
        <v>5.3969522791830116</v>
      </c>
      <c r="P915" s="264">
        <v>5.8065282102260838</v>
      </c>
      <c r="Q915" s="264">
        <v>5.216866294363129</v>
      </c>
      <c r="R915" s="264">
        <v>5.0456604072470759</v>
      </c>
      <c r="S915" s="264">
        <v>4.6409884223934297</v>
      </c>
      <c r="T915" s="264">
        <v>4.6988248707198714</v>
      </c>
      <c r="U915" s="264">
        <v>4.7005809333751856</v>
      </c>
      <c r="V915" s="264">
        <v>4.7904418048968687</v>
      </c>
      <c r="W915" s="264">
        <v>4.9230792020907499</v>
      </c>
      <c r="X915" s="264">
        <v>5.2412864986155281</v>
      </c>
      <c r="Y915" s="264">
        <v>5.7393314803014857</v>
      </c>
      <c r="Z915" s="264"/>
      <c r="AA915" s="264">
        <v>1.1868791480428862</v>
      </c>
      <c r="AB915" s="264">
        <v>1.6442679084884744</v>
      </c>
      <c r="AC915" s="264">
        <v>1.5188704884609203</v>
      </c>
      <c r="AD915" s="264">
        <v>1.6429757861260934</v>
      </c>
      <c r="AE915" s="264">
        <v>1.2326876151313848</v>
      </c>
      <c r="AF915" s="264">
        <v>1.0212894470678957</v>
      </c>
      <c r="AG915" s="264">
        <v>1.2523198153121697</v>
      </c>
      <c r="AH915" s="264">
        <v>1.0738739510297894</v>
      </c>
      <c r="AI915" s="264">
        <v>1.0363656133235328</v>
      </c>
      <c r="AJ915" s="264">
        <v>0.98225701685279188</v>
      </c>
      <c r="AK915" s="264">
        <v>1.1735590444425628</v>
      </c>
      <c r="AL915" s="264">
        <v>1.6318756854740168</v>
      </c>
      <c r="AM915" s="244"/>
      <c r="AN915" s="244"/>
      <c r="AO915" s="244"/>
      <c r="AP915" s="244"/>
      <c r="AQ915" s="244"/>
      <c r="AR915" s="244"/>
      <c r="AS915" s="255"/>
      <c r="AT915" s="244"/>
      <c r="AU915" s="244"/>
      <c r="AV915" s="244"/>
      <c r="AW915" s="244"/>
      <c r="AX915" s="244"/>
      <c r="AY915" s="244"/>
      <c r="AZ915" s="255"/>
      <c r="BA915" s="244"/>
      <c r="BB915" s="244"/>
      <c r="BC915" s="244"/>
      <c r="BD915" s="244"/>
      <c r="BE915" s="244"/>
      <c r="BF915" s="244"/>
      <c r="BG915" s="244"/>
      <c r="BH915" s="255"/>
      <c r="BI915" s="244"/>
      <c r="BJ915" s="244"/>
      <c r="BK915" s="244"/>
      <c r="BL915" s="244"/>
      <c r="BM915" s="244"/>
      <c r="BN915" s="244"/>
      <c r="BO915" s="244"/>
      <c r="BP915" s="244"/>
      <c r="BQ915" s="244"/>
      <c r="BR915" s="244"/>
      <c r="BS915" s="244"/>
      <c r="BT915" s="244"/>
      <c r="BU915" s="244"/>
      <c r="BV915" s="244"/>
      <c r="BW915" s="244"/>
      <c r="BX915" s="244"/>
      <c r="BY915" s="244"/>
      <c r="BZ915" s="244"/>
      <c r="CA915" s="244"/>
      <c r="CB915" s="244"/>
      <c r="CC915" s="244"/>
      <c r="CD915" s="255"/>
      <c r="CE915" s="244"/>
      <c r="CF915" s="244"/>
      <c r="CG915" s="244"/>
      <c r="CH915" s="244"/>
      <c r="CI915" s="244"/>
      <c r="CJ915" s="244"/>
      <c r="CK915" s="244"/>
      <c r="CL915" s="244"/>
      <c r="CM915" s="244"/>
      <c r="CN915" s="244"/>
      <c r="CO915" s="244"/>
      <c r="CP915" s="244"/>
      <c r="CQ915" s="244"/>
      <c r="CR915" s="244"/>
      <c r="CS915" s="244"/>
      <c r="CT915" s="244"/>
      <c r="CU915" s="244"/>
      <c r="CV915" s="244"/>
      <c r="CW915" s="255"/>
    </row>
    <row r="916" spans="1:101">
      <c r="A916" s="221" t="s">
        <v>475</v>
      </c>
      <c r="C916" s="264">
        <v>161.59919738769531</v>
      </c>
      <c r="D916" s="264">
        <v>3.2966773509979248</v>
      </c>
      <c r="E916" s="264">
        <v>0.65933549404144287</v>
      </c>
      <c r="F916" s="264">
        <v>3.9560127258300781</v>
      </c>
      <c r="G916" s="264">
        <v>6.4499416351318359</v>
      </c>
      <c r="H916" s="264">
        <v>443.34744262695312</v>
      </c>
      <c r="I916" s="264">
        <v>214.44830322265625</v>
      </c>
      <c r="J916" s="264">
        <v>-61.341220855712891</v>
      </c>
      <c r="K916" s="264">
        <v>-160.42897033691406</v>
      </c>
      <c r="L916" s="228">
        <v>68.736661168142234</v>
      </c>
      <c r="M916" s="264">
        <v>1.2197377642717593</v>
      </c>
      <c r="N916" s="264">
        <v>12.376498823251097</v>
      </c>
      <c r="O916" s="264">
        <v>11.434497453065035</v>
      </c>
      <c r="P916" s="264">
        <v>12.293495711179732</v>
      </c>
      <c r="Q916" s="264">
        <v>10.976657453143682</v>
      </c>
      <c r="R916" s="264">
        <v>10.535468232791308</v>
      </c>
      <c r="S916" s="264">
        <v>9.6594973559041577</v>
      </c>
      <c r="T916" s="264">
        <v>9.7421786287720487</v>
      </c>
      <c r="U916" s="264">
        <v>9.7639496153447389</v>
      </c>
      <c r="V916" s="264">
        <v>9.9517268260601544</v>
      </c>
      <c r="W916" s="264">
        <v>10.272852380187281</v>
      </c>
      <c r="X916" s="264">
        <v>11.014757380081878</v>
      </c>
      <c r="Y916" s="264">
        <v>12.122047440829824</v>
      </c>
      <c r="Z916" s="264"/>
      <c r="AA916" s="264">
        <v>2.4033033696538291</v>
      </c>
      <c r="AB916" s="264">
        <v>3.4813016520532747</v>
      </c>
      <c r="AC916" s="264">
        <v>3.1448865303449538</v>
      </c>
      <c r="AD916" s="264">
        <v>3.4393591348413075</v>
      </c>
      <c r="AE916" s="264">
        <v>2.5080774682978815</v>
      </c>
      <c r="AF916" s="264">
        <v>2.0174249389577312</v>
      </c>
      <c r="AG916" s="264">
        <v>2.5529806534310469</v>
      </c>
      <c r="AH916" s="264">
        <v>2.1270810006598677</v>
      </c>
      <c r="AI916" s="264">
        <v>2.0590456169662263</v>
      </c>
      <c r="AJ916" s="264">
        <v>1.9175328033717616</v>
      </c>
      <c r="AK916" s="264">
        <v>2.3834536782180242</v>
      </c>
      <c r="AL916" s="264">
        <v>3.4211088993389152</v>
      </c>
      <c r="AM916" s="244"/>
      <c r="AN916" s="244"/>
      <c r="AO916" s="244"/>
      <c r="AP916" s="244"/>
      <c r="AQ916" s="244"/>
      <c r="AR916" s="244"/>
      <c r="AS916" s="255"/>
      <c r="AT916" s="244"/>
      <c r="AU916" s="244"/>
      <c r="AV916" s="244"/>
      <c r="AW916" s="244"/>
      <c r="AX916" s="244"/>
      <c r="AY916" s="244"/>
      <c r="AZ916" s="255"/>
      <c r="BA916" s="244"/>
      <c r="BB916" s="244"/>
      <c r="BC916" s="244"/>
      <c r="BD916" s="244"/>
      <c r="BE916" s="244"/>
      <c r="BF916" s="244"/>
      <c r="BG916" s="244"/>
      <c r="BH916" s="255"/>
      <c r="BI916" s="244"/>
      <c r="BJ916" s="244"/>
      <c r="BK916" s="244"/>
      <c r="BL916" s="244"/>
      <c r="BM916" s="244"/>
      <c r="BN916" s="244"/>
      <c r="BO916" s="244"/>
      <c r="BP916" s="244"/>
      <c r="BQ916" s="244"/>
      <c r="BR916" s="244"/>
      <c r="BS916" s="244"/>
      <c r="BT916" s="244"/>
      <c r="BU916" s="244"/>
      <c r="BV916" s="244"/>
      <c r="BW916" s="244"/>
      <c r="BX916" s="244"/>
      <c r="BY916" s="244"/>
      <c r="BZ916" s="244"/>
      <c r="CA916" s="244"/>
      <c r="CB916" s="244"/>
      <c r="CC916" s="244"/>
      <c r="CD916" s="255"/>
      <c r="CE916" s="244"/>
      <c r="CF916" s="244"/>
      <c r="CG916" s="244"/>
      <c r="CH916" s="244"/>
      <c r="CI916" s="244"/>
      <c r="CJ916" s="244"/>
      <c r="CK916" s="244"/>
      <c r="CL916" s="244"/>
      <c r="CM916" s="244"/>
      <c r="CN916" s="244"/>
      <c r="CO916" s="244"/>
      <c r="CP916" s="244"/>
      <c r="CQ916" s="244"/>
      <c r="CR916" s="244"/>
      <c r="CS916" s="244"/>
      <c r="CT916" s="244"/>
      <c r="CU916" s="244"/>
      <c r="CV916" s="244"/>
      <c r="CW916" s="255"/>
    </row>
    <row r="917" spans="1:101">
      <c r="A917" s="221" t="s">
        <v>445</v>
      </c>
      <c r="C917" s="264">
        <v>145.75808715820312</v>
      </c>
      <c r="D917" s="264">
        <v>3.2966773509979248</v>
      </c>
      <c r="E917" s="264">
        <v>0.65933549404144287</v>
      </c>
      <c r="F917" s="264">
        <v>3.9560127258300781</v>
      </c>
      <c r="G917" s="264">
        <v>6.4499416351318359</v>
      </c>
      <c r="H917" s="264">
        <v>410.8265380859375</v>
      </c>
      <c r="I917" s="264">
        <v>237.75471496582031</v>
      </c>
      <c r="J917" s="264">
        <v>-61.170848846435547</v>
      </c>
      <c r="K917" s="264">
        <v>-166.10565185546875</v>
      </c>
      <c r="L917" s="228">
        <v>63.69461622494542</v>
      </c>
      <c r="M917" s="264">
        <v>1.1001847597143559</v>
      </c>
      <c r="N917" s="264">
        <v>11.158451024521323</v>
      </c>
      <c r="O917" s="264">
        <v>10.308662656662197</v>
      </c>
      <c r="P917" s="264">
        <v>11.083330450544768</v>
      </c>
      <c r="Q917" s="264">
        <v>9.8980423581081105</v>
      </c>
      <c r="R917" s="264">
        <v>9.5024941247081163</v>
      </c>
      <c r="S917" s="264">
        <v>8.7132927062092307</v>
      </c>
      <c r="T917" s="264">
        <v>8.7889517207235635</v>
      </c>
      <c r="U917" s="264">
        <v>8.8080725963298754</v>
      </c>
      <c r="V917" s="264">
        <v>8.9774346198892943</v>
      </c>
      <c r="W917" s="264">
        <v>9.2658167800180795</v>
      </c>
      <c r="X917" s="264">
        <v>9.9327737394062918</v>
      </c>
      <c r="Y917" s="264">
        <v>10.92957893267722</v>
      </c>
      <c r="Z917" s="264"/>
      <c r="AA917" s="264">
        <v>2.1697996611923931</v>
      </c>
      <c r="AB917" s="264">
        <v>3.1386018449355149</v>
      </c>
      <c r="AC917" s="264">
        <v>2.837295061118386</v>
      </c>
      <c r="AD917" s="264">
        <v>3.1018891773862238</v>
      </c>
      <c r="AE917" s="264">
        <v>2.264041110775258</v>
      </c>
      <c r="AF917" s="264">
        <v>1.8228980759044797</v>
      </c>
      <c r="AG917" s="264">
        <v>2.3044303034536284</v>
      </c>
      <c r="AH917" s="264">
        <v>1.9218066937419793</v>
      </c>
      <c r="AI917" s="264">
        <v>1.8601491839915494</v>
      </c>
      <c r="AJ917" s="264">
        <v>1.7333237945762485</v>
      </c>
      <c r="AK917" s="264">
        <v>2.1516694287116351</v>
      </c>
      <c r="AL917" s="264">
        <v>3.0852880285687991</v>
      </c>
      <c r="AM917" s="244"/>
      <c r="AN917" s="244"/>
      <c r="AO917" s="244"/>
      <c r="AP917" s="244"/>
      <c r="AQ917" s="244"/>
      <c r="AR917" s="244"/>
      <c r="AS917" s="255"/>
      <c r="AT917" s="244"/>
      <c r="AU917" s="244"/>
      <c r="AV917" s="244"/>
      <c r="AW917" s="244"/>
      <c r="AX917" s="244"/>
      <c r="AY917" s="244"/>
      <c r="AZ917" s="255"/>
      <c r="BA917" s="244"/>
      <c r="BB917" s="244"/>
      <c r="BC917" s="244"/>
      <c r="BD917" s="244"/>
      <c r="BE917" s="244"/>
      <c r="BF917" s="244"/>
      <c r="BG917" s="244"/>
      <c r="BH917" s="255"/>
      <c r="BI917" s="244"/>
      <c r="BJ917" s="244"/>
      <c r="BK917" s="244"/>
      <c r="BL917" s="244"/>
      <c r="BM917" s="244"/>
      <c r="BN917" s="244"/>
      <c r="BO917" s="244"/>
      <c r="BP917" s="244"/>
      <c r="BQ917" s="244"/>
      <c r="BR917" s="244"/>
      <c r="BS917" s="244"/>
      <c r="BT917" s="244"/>
      <c r="BU917" s="244"/>
      <c r="BV917" s="244"/>
      <c r="BW917" s="244"/>
      <c r="BX917" s="244"/>
      <c r="BY917" s="244"/>
      <c r="BZ917" s="244"/>
      <c r="CA917" s="244"/>
      <c r="CB917" s="244"/>
      <c r="CC917" s="244"/>
      <c r="CD917" s="255"/>
      <c r="CE917" s="244"/>
      <c r="CF917" s="244"/>
      <c r="CG917" s="244"/>
      <c r="CH917" s="244"/>
      <c r="CI917" s="244"/>
      <c r="CJ917" s="244"/>
      <c r="CK917" s="244"/>
      <c r="CL917" s="244"/>
      <c r="CM917" s="244"/>
      <c r="CN917" s="244"/>
      <c r="CO917" s="244"/>
      <c r="CP917" s="244"/>
      <c r="CQ917" s="244"/>
      <c r="CR917" s="244"/>
      <c r="CS917" s="244"/>
      <c r="CT917" s="244"/>
      <c r="CU917" s="244"/>
      <c r="CV917" s="244"/>
      <c r="CW917" s="255"/>
    </row>
    <row r="918" spans="1:101">
      <c r="A918" s="221" t="s">
        <v>439</v>
      </c>
      <c r="C918" s="264">
        <v>145.33241271972656</v>
      </c>
      <c r="D918" s="264">
        <v>3.2966773509979248</v>
      </c>
      <c r="E918" s="264">
        <v>0.65933549404144287</v>
      </c>
      <c r="F918" s="264">
        <v>3.9560127258300781</v>
      </c>
      <c r="G918" s="264">
        <v>6.4499416351318359</v>
      </c>
      <c r="H918" s="264">
        <v>400.15567016601562</v>
      </c>
      <c r="I918" s="264">
        <v>238.45109558105469</v>
      </c>
      <c r="J918" s="264">
        <v>-61.183139801025391</v>
      </c>
      <c r="K918" s="264">
        <v>-160.86376953125</v>
      </c>
      <c r="L918" s="228">
        <v>62.040203096767527</v>
      </c>
      <c r="M918" s="264">
        <v>1.0969593535238356</v>
      </c>
      <c r="N918" s="264">
        <v>11.130033127967287</v>
      </c>
      <c r="O918" s="264">
        <v>10.282837876779478</v>
      </c>
      <c r="P918" s="264">
        <v>11.055351862873227</v>
      </c>
      <c r="Q918" s="264">
        <v>9.8713916763750653</v>
      </c>
      <c r="R918" s="264">
        <v>9.4749271930333485</v>
      </c>
      <c r="S918" s="264">
        <v>8.6872508448776138</v>
      </c>
      <c r="T918" s="264">
        <v>8.7617514649723809</v>
      </c>
      <c r="U918" s="264">
        <v>8.7812632205656218</v>
      </c>
      <c r="V918" s="264">
        <v>8.9501375063469766</v>
      </c>
      <c r="W918" s="264">
        <v>9.2387721781896381</v>
      </c>
      <c r="X918" s="264">
        <v>9.9057045040317107</v>
      </c>
      <c r="Y918" s="264">
        <v>10.901278649155277</v>
      </c>
      <c r="Z918" s="264"/>
      <c r="AA918" s="264">
        <v>2.1616576567209713</v>
      </c>
      <c r="AB918" s="264">
        <v>3.1306808002181752</v>
      </c>
      <c r="AC918" s="264">
        <v>2.828409337563754</v>
      </c>
      <c r="AD918" s="264">
        <v>3.0931070868754471</v>
      </c>
      <c r="AE918" s="264">
        <v>2.2558506774082683</v>
      </c>
      <c r="AF918" s="264">
        <v>1.8147732346906982</v>
      </c>
      <c r="AG918" s="264">
        <v>2.2962191148456812</v>
      </c>
      <c r="AH918" s="264">
        <v>1.9133914223157227</v>
      </c>
      <c r="AI918" s="264">
        <v>1.8521663030341371</v>
      </c>
      <c r="AJ918" s="264">
        <v>1.7250053809411281</v>
      </c>
      <c r="AK918" s="264">
        <v>2.1437763439707731</v>
      </c>
      <c r="AL918" s="264">
        <v>3.0766755719690018</v>
      </c>
      <c r="AM918" s="244"/>
      <c r="AN918" s="244"/>
      <c r="AO918" s="244"/>
      <c r="AP918" s="244"/>
      <c r="AQ918" s="244"/>
      <c r="AR918" s="244"/>
      <c r="AS918" s="255"/>
      <c r="AT918" s="244"/>
      <c r="AU918" s="244"/>
      <c r="AV918" s="244"/>
      <c r="AW918" s="244"/>
      <c r="AX918" s="244"/>
      <c r="AY918" s="244"/>
      <c r="AZ918" s="255"/>
      <c r="BA918" s="244"/>
      <c r="BB918" s="244"/>
      <c r="BC918" s="244"/>
      <c r="BD918" s="244"/>
      <c r="BE918" s="244"/>
      <c r="BF918" s="244"/>
      <c r="BG918" s="244"/>
      <c r="BH918" s="255"/>
      <c r="BI918" s="244"/>
      <c r="BJ918" s="244"/>
      <c r="BK918" s="244"/>
      <c r="BL918" s="244"/>
      <c r="BM918" s="244"/>
      <c r="BN918" s="244"/>
      <c r="BO918" s="244"/>
      <c r="BP918" s="244"/>
      <c r="BQ918" s="244"/>
      <c r="BR918" s="244"/>
      <c r="BS918" s="244"/>
      <c r="BT918" s="244"/>
      <c r="BU918" s="244"/>
      <c r="BV918" s="244"/>
      <c r="BW918" s="244"/>
      <c r="BX918" s="244"/>
      <c r="BY918" s="244"/>
      <c r="BZ918" s="244"/>
      <c r="CA918" s="244"/>
      <c r="CB918" s="244"/>
      <c r="CC918" s="244"/>
      <c r="CD918" s="255"/>
      <c r="CE918" s="244"/>
      <c r="CF918" s="244"/>
      <c r="CG918" s="244"/>
      <c r="CH918" s="244"/>
      <c r="CI918" s="244"/>
      <c r="CJ918" s="244"/>
      <c r="CK918" s="244"/>
      <c r="CL918" s="244"/>
      <c r="CM918" s="244"/>
      <c r="CN918" s="244"/>
      <c r="CO918" s="244"/>
      <c r="CP918" s="244"/>
      <c r="CQ918" s="244"/>
      <c r="CR918" s="244"/>
      <c r="CS918" s="244"/>
      <c r="CT918" s="244"/>
      <c r="CU918" s="244"/>
      <c r="CV918" s="244"/>
      <c r="CW918" s="255"/>
    </row>
    <row r="919" spans="1:101">
      <c r="A919" s="221" t="s">
        <v>558</v>
      </c>
      <c r="C919" s="264">
        <v>73.442031860351563</v>
      </c>
      <c r="D919" s="264">
        <v>3.2966773509979248</v>
      </c>
      <c r="E919" s="264">
        <v>0.65933549404144287</v>
      </c>
      <c r="F919" s="264">
        <v>3.9560127258300781</v>
      </c>
      <c r="G919" s="264">
        <v>6.4499416351318359</v>
      </c>
      <c r="H919" s="264">
        <v>393.0953369140625</v>
      </c>
      <c r="I919" s="264">
        <v>471.86428833007812</v>
      </c>
      <c r="J919" s="264">
        <v>-59.144371032714844</v>
      </c>
      <c r="K919" s="264">
        <v>-366.00344848632812</v>
      </c>
      <c r="L919" s="228">
        <v>60.94556823064697</v>
      </c>
      <c r="M919" s="264">
        <v>1.019171404209138</v>
      </c>
      <c r="N919" s="264">
        <v>5.5584561679867299</v>
      </c>
      <c r="O919" s="264">
        <v>5.1285743582144852</v>
      </c>
      <c r="P919" s="264">
        <v>5.5172373194246163</v>
      </c>
      <c r="Q919" s="264">
        <v>4.9526954641059993</v>
      </c>
      <c r="R919" s="264">
        <v>4.7851204365907902</v>
      </c>
      <c r="S919" s="264">
        <v>4.3994146156276042</v>
      </c>
      <c r="T919" s="264">
        <v>4.4518944710299388</v>
      </c>
      <c r="U919" s="264">
        <v>4.4546865990513353</v>
      </c>
      <c r="V919" s="264">
        <v>4.5399164241969565</v>
      </c>
      <c r="W919" s="264">
        <v>4.6684541995998057</v>
      </c>
      <c r="X919" s="264">
        <v>4.9750524655608945</v>
      </c>
      <c r="Y919" s="264">
        <v>5.4515723677124939</v>
      </c>
      <c r="Z919" s="264"/>
      <c r="AA919" s="264">
        <v>1.1209295228426024</v>
      </c>
      <c r="AB919" s="264">
        <v>1.5623528465756125</v>
      </c>
      <c r="AC919" s="264">
        <v>1.4387887956439123</v>
      </c>
      <c r="AD919" s="264">
        <v>1.5586850132889341</v>
      </c>
      <c r="AE919" s="264">
        <v>1.164940499426111</v>
      </c>
      <c r="AF919" s="264">
        <v>0.96139318822703035</v>
      </c>
      <c r="AG919" s="264">
        <v>1.1838023465333287</v>
      </c>
      <c r="AH919" s="264">
        <v>1.0112535945469707</v>
      </c>
      <c r="AI919" s="264">
        <v>0.97632202835393089</v>
      </c>
      <c r="AJ919" s="264">
        <v>0.92323164137995339</v>
      </c>
      <c r="AK919" s="264">
        <v>1.1087928107370981</v>
      </c>
      <c r="AL919" s="264">
        <v>1.5484647239395439</v>
      </c>
      <c r="AM919" s="244"/>
      <c r="AN919" s="244"/>
      <c r="AO919" s="244"/>
      <c r="AP919" s="244"/>
      <c r="AQ919" s="244"/>
      <c r="AR919" s="244"/>
      <c r="AS919" s="255"/>
      <c r="AT919" s="244"/>
      <c r="AU919" s="244"/>
      <c r="AV919" s="244"/>
      <c r="AW919" s="244"/>
      <c r="AX919" s="244"/>
      <c r="AY919" s="244"/>
      <c r="AZ919" s="255"/>
      <c r="BA919" s="244"/>
      <c r="BB919" s="244"/>
      <c r="BC919" s="244"/>
      <c r="BD919" s="244"/>
      <c r="BE919" s="244"/>
      <c r="BF919" s="244"/>
      <c r="BG919" s="244"/>
      <c r="BH919" s="255"/>
      <c r="BI919" s="244"/>
      <c r="BJ919" s="244"/>
      <c r="BK919" s="244"/>
      <c r="BL919" s="244"/>
      <c r="BM919" s="244"/>
      <c r="BN919" s="244"/>
      <c r="BO919" s="244"/>
      <c r="BP919" s="244"/>
      <c r="BQ919" s="244"/>
      <c r="BR919" s="244"/>
      <c r="BS919" s="244"/>
      <c r="BT919" s="244"/>
      <c r="BU919" s="244"/>
      <c r="BV919" s="244"/>
      <c r="BW919" s="244"/>
      <c r="BX919" s="244"/>
      <c r="BY919" s="244"/>
      <c r="BZ919" s="244"/>
      <c r="CA919" s="244"/>
      <c r="CB919" s="244"/>
      <c r="CC919" s="244"/>
      <c r="CD919" s="255"/>
      <c r="CE919" s="244"/>
      <c r="CF919" s="244"/>
      <c r="CG919" s="244"/>
      <c r="CH919" s="244"/>
      <c r="CI919" s="244"/>
      <c r="CJ919" s="244"/>
      <c r="CK919" s="244"/>
      <c r="CL919" s="244"/>
      <c r="CM919" s="244"/>
      <c r="CN919" s="244"/>
      <c r="CO919" s="244"/>
      <c r="CP919" s="244"/>
      <c r="CQ919" s="244"/>
      <c r="CR919" s="244"/>
      <c r="CS919" s="244"/>
      <c r="CT919" s="244"/>
      <c r="CU919" s="244"/>
      <c r="CV919" s="244"/>
      <c r="CW919" s="255"/>
    </row>
    <row r="920" spans="1:101">
      <c r="A920" s="221" t="s">
        <v>449</v>
      </c>
      <c r="C920" s="264">
        <v>9.9201183319091797</v>
      </c>
      <c r="D920" s="264">
        <v>3.2966773509979248</v>
      </c>
      <c r="E920" s="264">
        <v>0.65933549404144287</v>
      </c>
      <c r="F920" s="264">
        <v>3.9560127258300781</v>
      </c>
      <c r="G920" s="264">
        <v>6.4499416351318359</v>
      </c>
      <c r="H920" s="264">
        <v>368.99740600585937</v>
      </c>
      <c r="I920" s="264">
        <v>3493.372802734375</v>
      </c>
      <c r="J920" s="264">
        <v>-33.110561370849609</v>
      </c>
      <c r="K920" s="264">
        <v>-2877.004150390625</v>
      </c>
      <c r="L920" s="228">
        <v>57.209420152256222</v>
      </c>
      <c r="M920" s="264">
        <v>0.90403475710980075</v>
      </c>
      <c r="N920" s="264">
        <v>0.64150350002426615</v>
      </c>
      <c r="O920" s="264">
        <v>0.58051916816371241</v>
      </c>
      <c r="P920" s="264">
        <v>0.63017142922572345</v>
      </c>
      <c r="Q920" s="264">
        <v>0.60984331860553875</v>
      </c>
      <c r="R920" s="264">
        <v>0.64150350002426615</v>
      </c>
      <c r="S920" s="264">
        <v>0.60984331860553875</v>
      </c>
      <c r="T920" s="264">
        <v>0.64150350002426615</v>
      </c>
      <c r="U920" s="264">
        <v>0.63017142922572345</v>
      </c>
      <c r="V920" s="264">
        <v>0.64150350002426615</v>
      </c>
      <c r="W920" s="264">
        <v>0.63017142922572345</v>
      </c>
      <c r="X920" s="264">
        <v>0.62117538940408157</v>
      </c>
      <c r="Y920" s="264">
        <v>0.64150350002426615</v>
      </c>
      <c r="Z920" s="264"/>
      <c r="AA920" s="264">
        <v>0.19872507227669833</v>
      </c>
      <c r="AB920" s="264">
        <v>0.17839696165651373</v>
      </c>
      <c r="AC920" s="264">
        <v>0.21005714307524115</v>
      </c>
      <c r="AD920" s="264">
        <v>0.20328110620184625</v>
      </c>
      <c r="AE920" s="264">
        <v>0.19872507227669833</v>
      </c>
      <c r="AF920" s="264">
        <v>0.20328110620184625</v>
      </c>
      <c r="AG920" s="264">
        <v>0.19872507227669833</v>
      </c>
      <c r="AH920" s="264">
        <v>0.21005714307524115</v>
      </c>
      <c r="AI920" s="264">
        <v>0.19872507227669833</v>
      </c>
      <c r="AJ920" s="264">
        <v>0.21005714307524115</v>
      </c>
      <c r="AK920" s="264">
        <v>0.19194903540330344</v>
      </c>
      <c r="AL920" s="264">
        <v>0.19872507227669833</v>
      </c>
      <c r="AM920" s="244"/>
      <c r="AN920" s="244"/>
      <c r="AO920" s="244"/>
      <c r="AP920" s="244"/>
      <c r="AQ920" s="244"/>
      <c r="AR920" s="244"/>
      <c r="AS920" s="255"/>
      <c r="AT920" s="244"/>
      <c r="AU920" s="244"/>
      <c r="AV920" s="244"/>
      <c r="AW920" s="244"/>
      <c r="AX920" s="244"/>
      <c r="AY920" s="244"/>
      <c r="AZ920" s="255"/>
      <c r="BA920" s="244"/>
      <c r="BB920" s="244"/>
      <c r="BC920" s="244"/>
      <c r="BD920" s="244"/>
      <c r="BE920" s="244"/>
      <c r="BF920" s="244"/>
      <c r="BG920" s="244"/>
      <c r="BH920" s="255"/>
      <c r="BI920" s="244"/>
      <c r="BJ920" s="244"/>
      <c r="BK920" s="244"/>
      <c r="BL920" s="244"/>
      <c r="BM920" s="244"/>
      <c r="BN920" s="244"/>
      <c r="BO920" s="244"/>
      <c r="BP920" s="244"/>
      <c r="BQ920" s="244"/>
      <c r="BR920" s="244"/>
      <c r="BS920" s="244"/>
      <c r="BT920" s="244"/>
      <c r="BU920" s="244"/>
      <c r="BV920" s="244"/>
      <c r="BW920" s="244"/>
      <c r="BX920" s="244"/>
      <c r="BY920" s="244"/>
      <c r="BZ920" s="244"/>
      <c r="CA920" s="244"/>
      <c r="CB920" s="244"/>
      <c r="CC920" s="244"/>
      <c r="CD920" s="255"/>
      <c r="CE920" s="244"/>
      <c r="CF920" s="244"/>
      <c r="CG920" s="244"/>
      <c r="CH920" s="244"/>
      <c r="CI920" s="244"/>
      <c r="CJ920" s="244"/>
      <c r="CK920" s="244"/>
      <c r="CL920" s="244"/>
      <c r="CM920" s="244"/>
      <c r="CN920" s="244"/>
      <c r="CO920" s="244"/>
      <c r="CP920" s="244"/>
      <c r="CQ920" s="244"/>
      <c r="CR920" s="244"/>
      <c r="CS920" s="244"/>
      <c r="CT920" s="244"/>
      <c r="CU920" s="244"/>
      <c r="CV920" s="244"/>
      <c r="CW920" s="255"/>
    </row>
    <row r="921" spans="1:101">
      <c r="A921" s="221" t="s">
        <v>529</v>
      </c>
      <c r="C921" s="264">
        <v>131.51280212402344</v>
      </c>
      <c r="D921" s="264">
        <v>3.2966773509979248</v>
      </c>
      <c r="E921" s="264">
        <v>0.65933549404144287</v>
      </c>
      <c r="F921" s="264">
        <v>3.9560127258300781</v>
      </c>
      <c r="G921" s="264">
        <v>6.4499416351318359</v>
      </c>
      <c r="H921" s="264">
        <v>360.805419921875</v>
      </c>
      <c r="I921" s="264">
        <v>263.50796508789063</v>
      </c>
      <c r="J921" s="264">
        <v>-61.0233154296875</v>
      </c>
      <c r="K921" s="264">
        <v>-159.69627380371094</v>
      </c>
      <c r="L921" s="228">
        <v>55.939333195591452</v>
      </c>
      <c r="M921" s="264">
        <v>0.99264813715346256</v>
      </c>
      <c r="N921" s="264">
        <v>10.072253939532043</v>
      </c>
      <c r="O921" s="264">
        <v>9.3056334964325469</v>
      </c>
      <c r="P921" s="264">
        <v>10.004704268619973</v>
      </c>
      <c r="Q921" s="264">
        <v>8.9330337160956521</v>
      </c>
      <c r="R921" s="264">
        <v>8.5739846888840958</v>
      </c>
      <c r="S921" s="264">
        <v>7.8611012440873651</v>
      </c>
      <c r="T921" s="264">
        <v>7.9283889955154692</v>
      </c>
      <c r="U921" s="264">
        <v>7.9461066803313329</v>
      </c>
      <c r="V921" s="264">
        <v>8.0989237069713322</v>
      </c>
      <c r="W921" s="264">
        <v>8.3602624081527175</v>
      </c>
      <c r="X921" s="264">
        <v>8.9640402345528916</v>
      </c>
      <c r="Y921" s="264">
        <v>9.8651760756213491</v>
      </c>
      <c r="Z921" s="264"/>
      <c r="AA921" s="264">
        <v>1.9558586138602103</v>
      </c>
      <c r="AB921" s="264">
        <v>2.8331561922600446</v>
      </c>
      <c r="AC921" s="264">
        <v>2.5593745207764211</v>
      </c>
      <c r="AD921" s="264">
        <v>2.7990224933638368</v>
      </c>
      <c r="AE921" s="264">
        <v>2.0411259695881419</v>
      </c>
      <c r="AF921" s="264">
        <v>1.6418226656276182</v>
      </c>
      <c r="AG921" s="264">
        <v>2.0776691220429697</v>
      </c>
      <c r="AH921" s="264">
        <v>1.7310630651336545</v>
      </c>
      <c r="AI921" s="264">
        <v>1.6756944450398625</v>
      </c>
      <c r="AJ921" s="264">
        <v>1.5605283536777905</v>
      </c>
      <c r="AK921" s="264">
        <v>1.93970451926383</v>
      </c>
      <c r="AL921" s="264">
        <v>2.7841700695029772</v>
      </c>
      <c r="AM921" s="244"/>
      <c r="AN921" s="244"/>
      <c r="AO921" s="244"/>
      <c r="AP921" s="244"/>
      <c r="AQ921" s="244"/>
      <c r="AR921" s="244"/>
      <c r="AS921" s="255"/>
      <c r="AT921" s="244"/>
      <c r="AU921" s="244"/>
      <c r="AV921" s="244"/>
      <c r="AW921" s="244"/>
      <c r="AX921" s="244"/>
      <c r="AY921" s="244"/>
      <c r="AZ921" s="255"/>
      <c r="BA921" s="244"/>
      <c r="BB921" s="244"/>
      <c r="BC921" s="244"/>
      <c r="BD921" s="244"/>
      <c r="BE921" s="244"/>
      <c r="BF921" s="244"/>
      <c r="BG921" s="244"/>
      <c r="BH921" s="255"/>
      <c r="BI921" s="244"/>
      <c r="BJ921" s="244"/>
      <c r="BK921" s="244"/>
      <c r="BL921" s="244"/>
      <c r="BM921" s="244"/>
      <c r="BN921" s="244"/>
      <c r="BO921" s="244"/>
      <c r="BP921" s="244"/>
      <c r="BQ921" s="244"/>
      <c r="BR921" s="244"/>
      <c r="BS921" s="244"/>
      <c r="BT921" s="244"/>
      <c r="BU921" s="244"/>
      <c r="BV921" s="244"/>
      <c r="BW921" s="244"/>
      <c r="BX921" s="244"/>
      <c r="BY921" s="244"/>
      <c r="BZ921" s="244"/>
      <c r="CA921" s="244"/>
      <c r="CB921" s="244"/>
      <c r="CC921" s="244"/>
      <c r="CD921" s="255"/>
      <c r="CE921" s="244"/>
      <c r="CF921" s="244"/>
      <c r="CG921" s="244"/>
      <c r="CH921" s="244"/>
      <c r="CI921" s="244"/>
      <c r="CJ921" s="244"/>
      <c r="CK921" s="244"/>
      <c r="CL921" s="244"/>
      <c r="CM921" s="244"/>
      <c r="CN921" s="244"/>
      <c r="CO921" s="244"/>
      <c r="CP921" s="244"/>
      <c r="CQ921" s="244"/>
      <c r="CR921" s="244"/>
      <c r="CS921" s="244"/>
      <c r="CT921" s="244"/>
      <c r="CU921" s="244"/>
      <c r="CV921" s="244"/>
      <c r="CW921" s="255"/>
    </row>
    <row r="922" spans="1:101">
      <c r="A922" s="221" t="s">
        <v>553</v>
      </c>
      <c r="C922" s="264">
        <v>125.82601928710937</v>
      </c>
      <c r="D922" s="264">
        <v>3.2966773509979248</v>
      </c>
      <c r="E922" s="264">
        <v>0.65933549404144287</v>
      </c>
      <c r="F922" s="264">
        <v>3.9560127258300781</v>
      </c>
      <c r="G922" s="264">
        <v>6.4499416351318359</v>
      </c>
      <c r="H922" s="264">
        <v>354.64700317382812</v>
      </c>
      <c r="I922" s="264">
        <v>275.41738891601562</v>
      </c>
      <c r="J922" s="264">
        <v>-60.926780700683594</v>
      </c>
      <c r="K922" s="264">
        <v>-165.54316711425781</v>
      </c>
      <c r="L922" s="228">
        <v>54.984527990973874</v>
      </c>
      <c r="M922" s="264">
        <v>0.94973707630043036</v>
      </c>
      <c r="N922" s="264">
        <v>9.6325590392852796</v>
      </c>
      <c r="O922" s="264">
        <v>8.8989772360123602</v>
      </c>
      <c r="P922" s="264">
        <v>9.5677110274685848</v>
      </c>
      <c r="Q922" s="264">
        <v>8.5445082994315449</v>
      </c>
      <c r="R922" s="264">
        <v>8.2030503584738401</v>
      </c>
      <c r="S922" s="264">
        <v>7.5217703814526278</v>
      </c>
      <c r="T922" s="264">
        <v>7.5870832033274471</v>
      </c>
      <c r="U922" s="264">
        <v>7.6035893440772595</v>
      </c>
      <c r="V922" s="264">
        <v>7.7497915084604569</v>
      </c>
      <c r="W922" s="264">
        <v>7.9987380851145673</v>
      </c>
      <c r="X922" s="264">
        <v>8.5744902458625933</v>
      </c>
      <c r="Y922" s="264">
        <v>9.4349846687666243</v>
      </c>
      <c r="Z922" s="264"/>
      <c r="AA922" s="264">
        <v>1.8730846507213599</v>
      </c>
      <c r="AB922" s="264">
        <v>2.7094054099187104</v>
      </c>
      <c r="AC922" s="264">
        <v>2.449301621527511</v>
      </c>
      <c r="AD922" s="264">
        <v>2.6777131134806957</v>
      </c>
      <c r="AE922" s="264">
        <v>1.9544388032878643</v>
      </c>
      <c r="AF922" s="264">
        <v>1.5736210429352755</v>
      </c>
      <c r="AG922" s="264">
        <v>1.9893048686735091</v>
      </c>
      <c r="AH922" s="264">
        <v>1.659004139452894</v>
      </c>
      <c r="AI922" s="264">
        <v>1.6057781494314161</v>
      </c>
      <c r="AJ922" s="264">
        <v>1.4962958343198847</v>
      </c>
      <c r="AK922" s="264">
        <v>1.8574336849750315</v>
      </c>
      <c r="AL922" s="264">
        <v>2.6633821327959764</v>
      </c>
      <c r="AM922" s="244"/>
      <c r="AN922" s="244"/>
      <c r="AO922" s="244"/>
      <c r="AP922" s="244"/>
      <c r="AQ922" s="244"/>
      <c r="AR922" s="244"/>
      <c r="AS922" s="255"/>
      <c r="AT922" s="244"/>
      <c r="AU922" s="244"/>
      <c r="AV922" s="244"/>
      <c r="AW922" s="244"/>
      <c r="AX922" s="244"/>
      <c r="AY922" s="244"/>
      <c r="AZ922" s="255"/>
      <c r="BA922" s="244"/>
      <c r="BB922" s="244"/>
      <c r="BC922" s="244"/>
      <c r="BD922" s="244"/>
      <c r="BE922" s="244"/>
      <c r="BF922" s="244"/>
      <c r="BG922" s="244"/>
      <c r="BH922" s="255"/>
      <c r="BI922" s="244"/>
      <c r="BJ922" s="244"/>
      <c r="BK922" s="244"/>
      <c r="BL922" s="244"/>
      <c r="BM922" s="244"/>
      <c r="BN922" s="244"/>
      <c r="BO922" s="244"/>
      <c r="BP922" s="244"/>
      <c r="BQ922" s="244"/>
      <c r="BR922" s="244"/>
      <c r="BS922" s="244"/>
      <c r="BT922" s="244"/>
      <c r="BU922" s="244"/>
      <c r="BV922" s="244"/>
      <c r="BW922" s="244"/>
      <c r="BX922" s="244"/>
      <c r="BY922" s="244"/>
      <c r="BZ922" s="244"/>
      <c r="CA922" s="244"/>
      <c r="CB922" s="244"/>
      <c r="CC922" s="244"/>
      <c r="CD922" s="255"/>
      <c r="CE922" s="244"/>
      <c r="CF922" s="244"/>
      <c r="CG922" s="244"/>
      <c r="CH922" s="244"/>
      <c r="CI922" s="244"/>
      <c r="CJ922" s="244"/>
      <c r="CK922" s="244"/>
      <c r="CL922" s="244"/>
      <c r="CM922" s="244"/>
      <c r="CN922" s="244"/>
      <c r="CO922" s="244"/>
      <c r="CP922" s="244"/>
      <c r="CQ922" s="244"/>
      <c r="CR922" s="244"/>
      <c r="CS922" s="244"/>
      <c r="CT922" s="244"/>
      <c r="CU922" s="244"/>
      <c r="CV922" s="244"/>
      <c r="CW922" s="255"/>
    </row>
    <row r="923" spans="1:101">
      <c r="A923" s="221" t="s">
        <v>550</v>
      </c>
      <c r="C923" s="264">
        <v>125.45854187011719</v>
      </c>
      <c r="D923" s="264">
        <v>3.2966773509979248</v>
      </c>
      <c r="E923" s="264">
        <v>0.65933549404144287</v>
      </c>
      <c r="F923" s="264">
        <v>3.9560127258300781</v>
      </c>
      <c r="G923" s="264">
        <v>6.4499416351318359</v>
      </c>
      <c r="H923" s="264">
        <v>345.435302734375</v>
      </c>
      <c r="I923" s="264">
        <v>276.22409057617187</v>
      </c>
      <c r="J923" s="264">
        <v>-60.938373565673828</v>
      </c>
      <c r="K923" s="264">
        <v>-160.29963684082031</v>
      </c>
      <c r="L923" s="228">
        <v>53.55634842260006</v>
      </c>
      <c r="M923" s="264">
        <v>0.94695273683542935</v>
      </c>
      <c r="N923" s="264">
        <v>9.6080272233793309</v>
      </c>
      <c r="O923" s="264">
        <v>8.8766839341597805</v>
      </c>
      <c r="P923" s="264">
        <v>9.5435584459866458</v>
      </c>
      <c r="Q923" s="264">
        <v>8.5215020358680214</v>
      </c>
      <c r="R923" s="264">
        <v>8.1792531399973996</v>
      </c>
      <c r="S923" s="264">
        <v>7.4992896835297298</v>
      </c>
      <c r="T923" s="264">
        <v>7.563602518702746</v>
      </c>
      <c r="U923" s="264">
        <v>7.5804460875187925</v>
      </c>
      <c r="V923" s="264">
        <v>7.7262272111202019</v>
      </c>
      <c r="W923" s="264">
        <v>7.975391769104041</v>
      </c>
      <c r="X923" s="264">
        <v>8.5511226648855363</v>
      </c>
      <c r="Y923" s="264">
        <v>9.4105543825867048</v>
      </c>
      <c r="Z923" s="264"/>
      <c r="AA923" s="264">
        <v>1.8660560462495783</v>
      </c>
      <c r="AB923" s="264">
        <v>2.7025675494733012</v>
      </c>
      <c r="AC923" s="264">
        <v>2.441630999811407</v>
      </c>
      <c r="AD923" s="264">
        <v>2.6701319532329588</v>
      </c>
      <c r="AE923" s="264">
        <v>1.9473683924583058</v>
      </c>
      <c r="AF923" s="264">
        <v>1.5666072546859398</v>
      </c>
      <c r="AG923" s="264">
        <v>1.9822165408334746</v>
      </c>
      <c r="AH923" s="264">
        <v>1.6517396366409085</v>
      </c>
      <c r="AI923" s="264">
        <v>1.5988869087066155</v>
      </c>
      <c r="AJ923" s="264">
        <v>1.489114944223453</v>
      </c>
      <c r="AK923" s="264">
        <v>1.8506199610449476</v>
      </c>
      <c r="AL923" s="264">
        <v>2.6559474094200763</v>
      </c>
      <c r="AM923" s="244"/>
      <c r="AN923" s="244"/>
      <c r="AO923" s="244"/>
      <c r="AP923" s="244"/>
      <c r="AQ923" s="244"/>
      <c r="AR923" s="244"/>
      <c r="AS923" s="255"/>
      <c r="AT923" s="244"/>
      <c r="AU923" s="244"/>
      <c r="AV923" s="244"/>
      <c r="AW923" s="244"/>
      <c r="AX923" s="244"/>
      <c r="AY923" s="244"/>
      <c r="AZ923" s="255"/>
      <c r="BA923" s="244"/>
      <c r="BB923" s="244"/>
      <c r="BC923" s="244"/>
      <c r="BD923" s="244"/>
      <c r="BE923" s="244"/>
      <c r="BF923" s="244"/>
      <c r="BG923" s="244"/>
      <c r="BH923" s="255"/>
      <c r="BI923" s="244"/>
      <c r="BJ923" s="244"/>
      <c r="BK923" s="244"/>
      <c r="BL923" s="244"/>
      <c r="BM923" s="244"/>
      <c r="BN923" s="244"/>
      <c r="BO923" s="244"/>
      <c r="BP923" s="244"/>
      <c r="BQ923" s="244"/>
      <c r="BR923" s="244"/>
      <c r="BS923" s="244"/>
      <c r="BT923" s="244"/>
      <c r="BU923" s="244"/>
      <c r="BV923" s="244"/>
      <c r="BW923" s="244"/>
      <c r="BX923" s="244"/>
      <c r="BY923" s="244"/>
      <c r="BZ923" s="244"/>
      <c r="CA923" s="244"/>
      <c r="CB923" s="244"/>
      <c r="CC923" s="244"/>
      <c r="CD923" s="255"/>
      <c r="CE923" s="244"/>
      <c r="CF923" s="244"/>
      <c r="CG923" s="244"/>
      <c r="CH923" s="244"/>
      <c r="CI923" s="244"/>
      <c r="CJ923" s="244"/>
      <c r="CK923" s="244"/>
      <c r="CL923" s="244"/>
      <c r="CM923" s="244"/>
      <c r="CN923" s="244"/>
      <c r="CO923" s="244"/>
      <c r="CP923" s="244"/>
      <c r="CQ923" s="244"/>
      <c r="CR923" s="244"/>
      <c r="CS923" s="244"/>
      <c r="CT923" s="244"/>
      <c r="CU923" s="244"/>
      <c r="CV923" s="244"/>
      <c r="CW923" s="255"/>
    </row>
    <row r="924" spans="1:101">
      <c r="A924" s="221" t="s">
        <v>502</v>
      </c>
      <c r="C924" s="264">
        <v>121.06995391845703</v>
      </c>
      <c r="D924" s="264">
        <v>3.2966773509979248</v>
      </c>
      <c r="E924" s="264">
        <v>0.65933549404144287</v>
      </c>
      <c r="F924" s="264">
        <v>3.9560127258300781</v>
      </c>
      <c r="G924" s="264">
        <v>6.4499416351318359</v>
      </c>
      <c r="H924" s="264">
        <v>332.155517578125</v>
      </c>
      <c r="I924" s="264">
        <v>286.23675537109375</v>
      </c>
      <c r="J924" s="264">
        <v>-60.87603759765625</v>
      </c>
      <c r="K924" s="264">
        <v>-159.35684204101562</v>
      </c>
      <c r="L924" s="228">
        <v>51.497446264354522</v>
      </c>
      <c r="M924" s="264">
        <v>0.91382636702056141</v>
      </c>
      <c r="N924" s="264">
        <v>9.272461087435758</v>
      </c>
      <c r="O924" s="264">
        <v>8.5667145613704019</v>
      </c>
      <c r="P924" s="264">
        <v>9.2102752352162334</v>
      </c>
      <c r="Q924" s="264">
        <v>8.2237012710877799</v>
      </c>
      <c r="R924" s="264">
        <v>7.8931627289414248</v>
      </c>
      <c r="S924" s="264">
        <v>7.2368861853357389</v>
      </c>
      <c r="T924" s="264">
        <v>7.2988309159316724</v>
      </c>
      <c r="U924" s="264">
        <v>7.3151417182606089</v>
      </c>
      <c r="V924" s="264">
        <v>7.4558242250285875</v>
      </c>
      <c r="W924" s="264">
        <v>7.6964111832102615</v>
      </c>
      <c r="X924" s="264">
        <v>8.2522456999293929</v>
      </c>
      <c r="Y924" s="264">
        <v>9.0818263549609295</v>
      </c>
      <c r="Z924" s="264"/>
      <c r="AA924" s="264">
        <v>1.8005525871786572</v>
      </c>
      <c r="AB924" s="264">
        <v>2.6081878698720979</v>
      </c>
      <c r="AC924" s="264">
        <v>2.3561459822742004</v>
      </c>
      <c r="AD924" s="264">
        <v>2.5767645760705875</v>
      </c>
      <c r="AE924" s="264">
        <v>1.8790492417271145</v>
      </c>
      <c r="AF924" s="264">
        <v>1.5114528357700874</v>
      </c>
      <c r="AG924" s="264">
        <v>1.9126906651050248</v>
      </c>
      <c r="AH924" s="264">
        <v>1.5936070523748949</v>
      </c>
      <c r="AI924" s="264">
        <v>1.5426350079480096</v>
      </c>
      <c r="AJ924" s="264">
        <v>1.4366137432779791</v>
      </c>
      <c r="AK924" s="264">
        <v>1.7856812173296708</v>
      </c>
      <c r="AL924" s="264">
        <v>2.5630915170779618</v>
      </c>
      <c r="AM924" s="244"/>
      <c r="AN924" s="244"/>
      <c r="AO924" s="244"/>
      <c r="AP924" s="244"/>
      <c r="AQ924" s="244"/>
      <c r="AR924" s="244"/>
      <c r="AS924" s="255"/>
      <c r="AT924" s="244"/>
      <c r="AU924" s="244"/>
      <c r="AV924" s="244"/>
      <c r="AW924" s="244"/>
      <c r="AX924" s="244"/>
      <c r="AY924" s="244"/>
      <c r="AZ924" s="255"/>
      <c r="BA924" s="244"/>
      <c r="BB924" s="244"/>
      <c r="BC924" s="244"/>
      <c r="BD924" s="244"/>
      <c r="BE924" s="244"/>
      <c r="BF924" s="244"/>
      <c r="BG924" s="244"/>
      <c r="BH924" s="255"/>
      <c r="BI924" s="244"/>
      <c r="BJ924" s="244"/>
      <c r="BK924" s="244"/>
      <c r="BL924" s="244"/>
      <c r="BM924" s="244"/>
      <c r="BN924" s="244"/>
      <c r="BO924" s="244"/>
      <c r="BP924" s="244"/>
      <c r="BQ924" s="244"/>
      <c r="BR924" s="244"/>
      <c r="BS924" s="244"/>
      <c r="BT924" s="244"/>
      <c r="BU924" s="244"/>
      <c r="BV924" s="244"/>
      <c r="BW924" s="244"/>
      <c r="BX924" s="244"/>
      <c r="BY924" s="244"/>
      <c r="BZ924" s="244"/>
      <c r="CA924" s="244"/>
      <c r="CB924" s="244"/>
      <c r="CC924" s="244"/>
      <c r="CD924" s="255"/>
      <c r="CE924" s="244"/>
      <c r="CF924" s="244"/>
      <c r="CG924" s="244"/>
      <c r="CH924" s="244"/>
      <c r="CI924" s="244"/>
      <c r="CJ924" s="244"/>
      <c r="CK924" s="244"/>
      <c r="CL924" s="244"/>
      <c r="CM924" s="244"/>
      <c r="CN924" s="244"/>
      <c r="CO924" s="244"/>
      <c r="CP924" s="244"/>
      <c r="CQ924" s="244"/>
      <c r="CR924" s="244"/>
      <c r="CS924" s="244"/>
      <c r="CT924" s="244"/>
      <c r="CU924" s="244"/>
      <c r="CV924" s="244"/>
      <c r="CW924" s="255"/>
    </row>
    <row r="925" spans="1:101">
      <c r="A925" s="221" t="s">
        <v>557</v>
      </c>
      <c r="C925" s="264">
        <v>8.5635652542114258</v>
      </c>
      <c r="D925" s="264">
        <v>3.2966773509979248</v>
      </c>
      <c r="E925" s="264">
        <v>0.65933549404144287</v>
      </c>
      <c r="F925" s="264">
        <v>3.9560127258300781</v>
      </c>
      <c r="G925" s="264">
        <v>6.4499416351318359</v>
      </c>
      <c r="H925" s="264">
        <v>318.53790283203125</v>
      </c>
      <c r="I925" s="264">
        <v>4046.757568359375</v>
      </c>
      <c r="J925" s="264">
        <v>-29.524600982666016</v>
      </c>
      <c r="K925" s="264">
        <v>-2868.739501953125</v>
      </c>
      <c r="L925" s="228">
        <v>49.386167213965479</v>
      </c>
      <c r="M925" s="264">
        <v>0.78041012612677485</v>
      </c>
      <c r="N925" s="264">
        <v>0.55377940220488386</v>
      </c>
      <c r="O925" s="264">
        <v>0.50113453457699986</v>
      </c>
      <c r="P925" s="264">
        <v>0.5439969654881347</v>
      </c>
      <c r="Q925" s="264">
        <v>0.52644867627884007</v>
      </c>
      <c r="R925" s="264">
        <v>0.55377940220488386</v>
      </c>
      <c r="S925" s="264">
        <v>0.52644867627884007</v>
      </c>
      <c r="T925" s="264">
        <v>0.55377940220488386</v>
      </c>
      <c r="U925" s="264">
        <v>0.5439969654881347</v>
      </c>
      <c r="V925" s="264">
        <v>0.55377940220488386</v>
      </c>
      <c r="W925" s="264">
        <v>0.5439969654881347</v>
      </c>
      <c r="X925" s="264">
        <v>0.53623111299558912</v>
      </c>
      <c r="Y925" s="264">
        <v>0.55377940220488386</v>
      </c>
      <c r="Z925" s="264"/>
      <c r="AA925" s="264">
        <v>0.17154988511262911</v>
      </c>
      <c r="AB925" s="264">
        <v>0.15400159590333445</v>
      </c>
      <c r="AC925" s="264">
        <v>0.18133232182937825</v>
      </c>
      <c r="AD925" s="264">
        <v>0.17548289209294668</v>
      </c>
      <c r="AE925" s="264">
        <v>0.17154988511262911</v>
      </c>
      <c r="AF925" s="264">
        <v>0.17548289209294668</v>
      </c>
      <c r="AG925" s="264">
        <v>0.17154988511262911</v>
      </c>
      <c r="AH925" s="264">
        <v>0.18133232182937825</v>
      </c>
      <c r="AI925" s="264">
        <v>0.17154988511262911</v>
      </c>
      <c r="AJ925" s="264">
        <v>0.18133232182937825</v>
      </c>
      <c r="AK925" s="264">
        <v>0.16570045537619754</v>
      </c>
      <c r="AL925" s="264">
        <v>0.17154988511262911</v>
      </c>
      <c r="AM925" s="244"/>
      <c r="AN925" s="244"/>
      <c r="AO925" s="244"/>
      <c r="AP925" s="244"/>
      <c r="AQ925" s="244"/>
      <c r="AR925" s="244"/>
      <c r="AS925" s="255"/>
      <c r="AT925" s="244"/>
      <c r="AU925" s="244"/>
      <c r="AV925" s="244"/>
      <c r="AW925" s="244"/>
      <c r="AX925" s="244"/>
      <c r="AY925" s="244"/>
      <c r="AZ925" s="255"/>
      <c r="BA925" s="244"/>
      <c r="BB925" s="244"/>
      <c r="BC925" s="244"/>
      <c r="BD925" s="244"/>
      <c r="BE925" s="244"/>
      <c r="BF925" s="244"/>
      <c r="BG925" s="244"/>
      <c r="BH925" s="255"/>
      <c r="BI925" s="244"/>
      <c r="BJ925" s="244"/>
      <c r="BK925" s="244"/>
      <c r="BL925" s="244"/>
      <c r="BM925" s="244"/>
      <c r="BN925" s="244"/>
      <c r="BO925" s="244"/>
      <c r="BP925" s="244"/>
      <c r="BQ925" s="244"/>
      <c r="BR925" s="244"/>
      <c r="BS925" s="244"/>
      <c r="BT925" s="244"/>
      <c r="BU925" s="244"/>
      <c r="BV925" s="244"/>
      <c r="BW925" s="244"/>
      <c r="BX925" s="244"/>
      <c r="BY925" s="244"/>
      <c r="BZ925" s="244"/>
      <c r="CA925" s="244"/>
      <c r="CB925" s="244"/>
      <c r="CC925" s="244"/>
      <c r="CD925" s="255"/>
      <c r="CE925" s="244"/>
      <c r="CF925" s="244"/>
      <c r="CG925" s="244"/>
      <c r="CH925" s="244"/>
      <c r="CI925" s="244"/>
      <c r="CJ925" s="244"/>
      <c r="CK925" s="244"/>
      <c r="CL925" s="244"/>
      <c r="CM925" s="244"/>
      <c r="CN925" s="244"/>
      <c r="CO925" s="244"/>
      <c r="CP925" s="244"/>
      <c r="CQ925" s="244"/>
      <c r="CR925" s="244"/>
      <c r="CS925" s="244"/>
      <c r="CT925" s="244"/>
      <c r="CU925" s="244"/>
      <c r="CV925" s="244"/>
      <c r="CW925" s="255"/>
    </row>
    <row r="926" spans="1:101">
      <c r="A926" s="221" t="s">
        <v>477</v>
      </c>
      <c r="C926" s="264">
        <v>52.633304595947266</v>
      </c>
      <c r="D926" s="264">
        <v>3.2966773509979248</v>
      </c>
      <c r="E926" s="264">
        <v>0.65933549404144287</v>
      </c>
      <c r="F926" s="264">
        <v>3.9560127258300781</v>
      </c>
      <c r="G926" s="264">
        <v>6.4499416351318359</v>
      </c>
      <c r="H926" s="264">
        <v>318.12533569335937</v>
      </c>
      <c r="I926" s="264">
        <v>658.41717529296875</v>
      </c>
      <c r="J926" s="264">
        <v>-57.795299530029297</v>
      </c>
      <c r="K926" s="264">
        <v>-418.7415771484375</v>
      </c>
      <c r="L926" s="228">
        <v>49.322203656002785</v>
      </c>
      <c r="M926" s="264">
        <v>0.81872902170496753</v>
      </c>
      <c r="N926" s="264">
        <v>3.9709518563468151</v>
      </c>
      <c r="O926" s="264">
        <v>3.6625344283897201</v>
      </c>
      <c r="P926" s="264">
        <v>3.9407474061278664</v>
      </c>
      <c r="Q926" s="264">
        <v>3.5426058643238161</v>
      </c>
      <c r="R926" s="264">
        <v>3.4287683474564075</v>
      </c>
      <c r="S926" s="264">
        <v>3.1547022156867763</v>
      </c>
      <c r="T926" s="264">
        <v>3.1951445590727356</v>
      </c>
      <c r="U926" s="264">
        <v>3.1957960809044605</v>
      </c>
      <c r="V926" s="264">
        <v>3.2568565031740828</v>
      </c>
      <c r="W926" s="264">
        <v>3.3456679451505895</v>
      </c>
      <c r="X926" s="264">
        <v>3.5595863265210475</v>
      </c>
      <c r="Y926" s="264">
        <v>3.8960159242237502</v>
      </c>
      <c r="Z926" s="264"/>
      <c r="AA926" s="264">
        <v>0.80878378171093168</v>
      </c>
      <c r="AB926" s="264">
        <v>1.1159216010651349</v>
      </c>
      <c r="AC926" s="264">
        <v>1.0329400562484006</v>
      </c>
      <c r="AD926" s="264">
        <v>1.1162180133350987</v>
      </c>
      <c r="AE926" s="264">
        <v>0.83963975376160516</v>
      </c>
      <c r="AF926" s="264">
        <v>0.69745839264738552</v>
      </c>
      <c r="AG926" s="264">
        <v>0.85286374178332236</v>
      </c>
      <c r="AH926" s="264">
        <v>0.73319632775614252</v>
      </c>
      <c r="AI926" s="264">
        <v>0.70739987354443257</v>
      </c>
      <c r="AJ926" s="264">
        <v>0.67148438365479535</v>
      </c>
      <c r="AK926" s="264">
        <v>0.7994938226456092</v>
      </c>
      <c r="AL926" s="264">
        <v>1.1085275102031895</v>
      </c>
      <c r="AM926" s="244"/>
      <c r="AN926" s="244"/>
      <c r="AO926" s="244"/>
      <c r="AP926" s="244"/>
      <c r="AQ926" s="244"/>
      <c r="AR926" s="244"/>
      <c r="AS926" s="255"/>
      <c r="AT926" s="244"/>
      <c r="AU926" s="244"/>
      <c r="AV926" s="244"/>
      <c r="AW926" s="244"/>
      <c r="AX926" s="244"/>
      <c r="AY926" s="244"/>
      <c r="AZ926" s="255"/>
      <c r="BA926" s="244"/>
      <c r="BB926" s="244"/>
      <c r="BC926" s="244"/>
      <c r="BD926" s="244"/>
      <c r="BE926" s="244"/>
      <c r="BF926" s="244"/>
      <c r="BG926" s="244"/>
      <c r="BH926" s="255"/>
      <c r="BI926" s="244"/>
      <c r="BJ926" s="244"/>
      <c r="BK926" s="244"/>
      <c r="BL926" s="244"/>
      <c r="BM926" s="244"/>
      <c r="BN926" s="244"/>
      <c r="BO926" s="244"/>
      <c r="BP926" s="244"/>
      <c r="BQ926" s="244"/>
      <c r="BR926" s="244"/>
      <c r="BS926" s="244"/>
      <c r="BT926" s="244"/>
      <c r="BU926" s="244"/>
      <c r="BV926" s="244"/>
      <c r="BW926" s="244"/>
      <c r="BX926" s="244"/>
      <c r="BY926" s="244"/>
      <c r="BZ926" s="244"/>
      <c r="CA926" s="244"/>
      <c r="CB926" s="244"/>
      <c r="CC926" s="244"/>
      <c r="CD926" s="255"/>
      <c r="CE926" s="244"/>
      <c r="CF926" s="244"/>
      <c r="CG926" s="244"/>
      <c r="CH926" s="244"/>
      <c r="CI926" s="244"/>
      <c r="CJ926" s="244"/>
      <c r="CK926" s="244"/>
      <c r="CL926" s="244"/>
      <c r="CM926" s="244"/>
      <c r="CN926" s="244"/>
      <c r="CO926" s="244"/>
      <c r="CP926" s="244"/>
      <c r="CQ926" s="244"/>
      <c r="CR926" s="244"/>
      <c r="CS926" s="244"/>
      <c r="CT926" s="244"/>
      <c r="CU926" s="244"/>
      <c r="CV926" s="244"/>
      <c r="CW926" s="255"/>
    </row>
    <row r="927" spans="1:101">
      <c r="A927" s="221" t="s">
        <v>447</v>
      </c>
      <c r="C927" s="264">
        <v>50.594223022460938</v>
      </c>
      <c r="D927" s="264">
        <v>3.2966773509979248</v>
      </c>
      <c r="E927" s="264">
        <v>0.65933549404144287</v>
      </c>
      <c r="F927" s="264">
        <v>3.9560127258300781</v>
      </c>
      <c r="G927" s="264">
        <v>6.4499416351318359</v>
      </c>
      <c r="H927" s="264">
        <v>301.46551513671875</v>
      </c>
      <c r="I927" s="264">
        <v>684.953125</v>
      </c>
      <c r="J927" s="264">
        <v>-57.628765106201172</v>
      </c>
      <c r="K927" s="264">
        <v>-411.46884155273437</v>
      </c>
      <c r="L927" s="228">
        <v>46.739261211009918</v>
      </c>
      <c r="M927" s="264">
        <v>0.74996921514422599</v>
      </c>
      <c r="N927" s="264">
        <v>3.8175806245851556</v>
      </c>
      <c r="O927" s="264">
        <v>3.5211241964197111</v>
      </c>
      <c r="P927" s="264">
        <v>3.7885710455830752</v>
      </c>
      <c r="Q927" s="264">
        <v>3.4056142657022543</v>
      </c>
      <c r="R927" s="264">
        <v>3.2959542011439953</v>
      </c>
      <c r="S927" s="264">
        <v>3.0324181253541074</v>
      </c>
      <c r="T927" s="264">
        <v>3.0711883438888608</v>
      </c>
      <c r="U927" s="264">
        <v>3.0718648215053839</v>
      </c>
      <c r="V927" s="264">
        <v>3.1305604571260659</v>
      </c>
      <c r="W927" s="264">
        <v>3.2160542393671681</v>
      </c>
      <c r="X927" s="264">
        <v>3.4219012490106477</v>
      </c>
      <c r="Y927" s="264">
        <v>3.7454859156542626</v>
      </c>
      <c r="Z927" s="264"/>
      <c r="AA927" s="264">
        <v>0.77724761296329603</v>
      </c>
      <c r="AB927" s="264">
        <v>1.072829270079106</v>
      </c>
      <c r="AC927" s="264">
        <v>0.9928552621394493</v>
      </c>
      <c r="AD927" s="264">
        <v>1.0730053985093939</v>
      </c>
      <c r="AE927" s="264">
        <v>0.80693366958189849</v>
      </c>
      <c r="AF927" s="264">
        <v>0.67012320154264449</v>
      </c>
      <c r="AG927" s="264">
        <v>0.81965626527558533</v>
      </c>
      <c r="AH927" s="264">
        <v>0.70447642641588115</v>
      </c>
      <c r="AI927" s="264">
        <v>0.67970771264503038</v>
      </c>
      <c r="AJ927" s="264">
        <v>0.64510431317867611</v>
      </c>
      <c r="AK927" s="264">
        <v>0.76833957947743281</v>
      </c>
      <c r="AL927" s="264">
        <v>1.0656264486868641</v>
      </c>
      <c r="AM927" s="244"/>
      <c r="AN927" s="244"/>
      <c r="AO927" s="244"/>
      <c r="AP927" s="244"/>
      <c r="AQ927" s="244"/>
      <c r="AR927" s="244"/>
      <c r="AS927" s="255"/>
      <c r="AT927" s="244"/>
      <c r="AU927" s="244"/>
      <c r="AV927" s="244"/>
      <c r="AW927" s="244"/>
      <c r="AX927" s="244"/>
      <c r="AY927" s="244"/>
      <c r="AZ927" s="255"/>
      <c r="BA927" s="244"/>
      <c r="BB927" s="244"/>
      <c r="BC927" s="244"/>
      <c r="BD927" s="244"/>
      <c r="BE927" s="244"/>
      <c r="BF927" s="244"/>
      <c r="BG927" s="244"/>
      <c r="BH927" s="255"/>
      <c r="BI927" s="244"/>
      <c r="BJ927" s="244"/>
      <c r="BK927" s="244"/>
      <c r="BL927" s="244"/>
      <c r="BM927" s="244"/>
      <c r="BN927" s="244"/>
      <c r="BO927" s="244"/>
      <c r="BP927" s="244"/>
      <c r="BQ927" s="244"/>
      <c r="BR927" s="244"/>
      <c r="BS927" s="244"/>
      <c r="BT927" s="244"/>
      <c r="BU927" s="244"/>
      <c r="BV927" s="244"/>
      <c r="BW927" s="244"/>
      <c r="BX927" s="244"/>
      <c r="BY927" s="244"/>
      <c r="BZ927" s="244"/>
      <c r="CA927" s="244"/>
      <c r="CB927" s="244"/>
      <c r="CC927" s="244"/>
      <c r="CD927" s="255"/>
      <c r="CE927" s="244"/>
      <c r="CF927" s="244"/>
      <c r="CG927" s="244"/>
      <c r="CH927" s="244"/>
      <c r="CI927" s="244"/>
      <c r="CJ927" s="244"/>
      <c r="CK927" s="244"/>
      <c r="CL927" s="244"/>
      <c r="CM927" s="244"/>
      <c r="CN927" s="244"/>
      <c r="CO927" s="244"/>
      <c r="CP927" s="244"/>
      <c r="CQ927" s="244"/>
      <c r="CR927" s="244"/>
      <c r="CS927" s="244"/>
      <c r="CT927" s="244"/>
      <c r="CU927" s="244"/>
      <c r="CV927" s="244"/>
      <c r="CW927" s="255"/>
    </row>
    <row r="928" spans="1:101">
      <c r="A928" s="221" t="s">
        <v>472</v>
      </c>
      <c r="C928" s="264">
        <v>105.01502227783203</v>
      </c>
      <c r="D928" s="264">
        <v>3.2966773509979248</v>
      </c>
      <c r="E928" s="264">
        <v>0.65933549404144287</v>
      </c>
      <c r="F928" s="264">
        <v>3.9560127258300781</v>
      </c>
      <c r="G928" s="264">
        <v>6.4499416351318359</v>
      </c>
      <c r="H928" s="264">
        <v>295.99014282226562</v>
      </c>
      <c r="I928" s="264">
        <v>329.99728393554687</v>
      </c>
      <c r="J928" s="264">
        <v>-60.573104858398437</v>
      </c>
      <c r="K928" s="264">
        <v>-164.72801208496094</v>
      </c>
      <c r="L928" s="228">
        <v>45.890359542358595</v>
      </c>
      <c r="M928" s="264">
        <v>0.7926552724470044</v>
      </c>
      <c r="N928" s="264">
        <v>8.0393815300849099</v>
      </c>
      <c r="O928" s="264">
        <v>7.4271305201522182</v>
      </c>
      <c r="P928" s="264">
        <v>7.985259057921942</v>
      </c>
      <c r="Q928" s="264">
        <v>7.1312889883106338</v>
      </c>
      <c r="R928" s="264">
        <v>6.8463064979214678</v>
      </c>
      <c r="S928" s="264">
        <v>6.2777068514782535</v>
      </c>
      <c r="T928" s="264">
        <v>6.3322172564201491</v>
      </c>
      <c r="U928" s="264">
        <v>6.3459933633233945</v>
      </c>
      <c r="V928" s="264">
        <v>6.468014414552572</v>
      </c>
      <c r="W928" s="264">
        <v>6.6757864616449956</v>
      </c>
      <c r="X928" s="264">
        <v>7.1563120694452245</v>
      </c>
      <c r="Y928" s="264">
        <v>7.8744849809241071</v>
      </c>
      <c r="Z928" s="264"/>
      <c r="AA928" s="264">
        <v>1.56328573579261</v>
      </c>
      <c r="AB928" s="264">
        <v>2.2612831876947208</v>
      </c>
      <c r="AC928" s="264">
        <v>2.0441992763717671</v>
      </c>
      <c r="AD928" s="264">
        <v>2.2348326399648153</v>
      </c>
      <c r="AE928" s="264">
        <v>1.6311843148588219</v>
      </c>
      <c r="AF928" s="264">
        <v>1.3133519240662228</v>
      </c>
      <c r="AG928" s="264">
        <v>1.6602837058871984</v>
      </c>
      <c r="AH928" s="264">
        <v>1.3846130797285636</v>
      </c>
      <c r="AI928" s="264">
        <v>1.3401904045750561</v>
      </c>
      <c r="AJ928" s="264">
        <v>1.2488159215961396</v>
      </c>
      <c r="AK928" s="264">
        <v>1.5502233621870225</v>
      </c>
      <c r="AL928" s="264">
        <v>2.222871932435813</v>
      </c>
      <c r="AM928" s="244"/>
      <c r="AN928" s="244"/>
      <c r="AO928" s="244"/>
      <c r="AP928" s="244"/>
      <c r="AQ928" s="244"/>
      <c r="AR928" s="244"/>
      <c r="AS928" s="255"/>
      <c r="AT928" s="244"/>
      <c r="AU928" s="244"/>
      <c r="AV928" s="244"/>
      <c r="AW928" s="244"/>
      <c r="AX928" s="244"/>
      <c r="AY928" s="244"/>
      <c r="AZ928" s="255"/>
      <c r="BA928" s="244"/>
      <c r="BB928" s="244"/>
      <c r="BC928" s="244"/>
      <c r="BD928" s="244"/>
      <c r="BE928" s="244"/>
      <c r="BF928" s="244"/>
      <c r="BG928" s="244"/>
      <c r="BH928" s="255"/>
      <c r="BI928" s="244"/>
      <c r="BJ928" s="244"/>
      <c r="BK928" s="244"/>
      <c r="BL928" s="244"/>
      <c r="BM928" s="244"/>
      <c r="BN928" s="244"/>
      <c r="BO928" s="244"/>
      <c r="BP928" s="244"/>
      <c r="BQ928" s="244"/>
      <c r="BR928" s="244"/>
      <c r="BS928" s="244"/>
      <c r="BT928" s="244"/>
      <c r="BU928" s="244"/>
      <c r="BV928" s="244"/>
      <c r="BW928" s="244"/>
      <c r="BX928" s="244"/>
      <c r="BY928" s="244"/>
      <c r="BZ928" s="244"/>
      <c r="CA928" s="244"/>
      <c r="CB928" s="244"/>
      <c r="CC928" s="244"/>
      <c r="CD928" s="255"/>
      <c r="CE928" s="244"/>
      <c r="CF928" s="244"/>
      <c r="CG928" s="244"/>
      <c r="CH928" s="244"/>
      <c r="CI928" s="244"/>
      <c r="CJ928" s="244"/>
      <c r="CK928" s="244"/>
      <c r="CL928" s="244"/>
      <c r="CM928" s="244"/>
      <c r="CN928" s="244"/>
      <c r="CO928" s="244"/>
      <c r="CP928" s="244"/>
      <c r="CQ928" s="244"/>
      <c r="CR928" s="244"/>
      <c r="CS928" s="244"/>
      <c r="CT928" s="244"/>
      <c r="CU928" s="244"/>
      <c r="CV928" s="244"/>
      <c r="CW928" s="255"/>
    </row>
    <row r="929" spans="1:101">
      <c r="A929" s="221" t="s">
        <v>444</v>
      </c>
      <c r="C929" s="264">
        <v>50.217441558837891</v>
      </c>
      <c r="D929" s="264">
        <v>3.2966773509979248</v>
      </c>
      <c r="E929" s="264">
        <v>0.65933549404144287</v>
      </c>
      <c r="F929" s="264">
        <v>3.9560127258300781</v>
      </c>
      <c r="G929" s="264">
        <v>6.4499416351318359</v>
      </c>
      <c r="H929" s="264">
        <v>290.850830078125</v>
      </c>
      <c r="I929" s="264">
        <v>690.09234619140625</v>
      </c>
      <c r="J929" s="264">
        <v>-57.639617919921875</v>
      </c>
      <c r="K929" s="264">
        <v>-398.01248168945312</v>
      </c>
      <c r="L929" s="228">
        <v>45.093562970826675</v>
      </c>
      <c r="M929" s="264">
        <v>0.74692377808734745</v>
      </c>
      <c r="N929" s="264">
        <v>3.7929350622593256</v>
      </c>
      <c r="O929" s="264">
        <v>3.4987874039640774</v>
      </c>
      <c r="P929" s="264">
        <v>3.7643410965729824</v>
      </c>
      <c r="Q929" s="264">
        <v>3.3822999197690313</v>
      </c>
      <c r="R929" s="264">
        <v>3.2715766927551346</v>
      </c>
      <c r="S929" s="264">
        <v>3.0092955578473344</v>
      </c>
      <c r="T929" s="264">
        <v>3.0469263384159309</v>
      </c>
      <c r="U929" s="264">
        <v>3.0480031742460865</v>
      </c>
      <c r="V929" s="264">
        <v>3.106267941448928</v>
      </c>
      <c r="W929" s="264">
        <v>3.1921184958976512</v>
      </c>
      <c r="X929" s="264">
        <v>3.3981778276625896</v>
      </c>
      <c r="Y929" s="264">
        <v>3.7208774014335426</v>
      </c>
      <c r="Z929" s="264"/>
      <c r="AA929" s="264">
        <v>0.76982121460802888</v>
      </c>
      <c r="AB929" s="264">
        <v>1.0659697867526188</v>
      </c>
      <c r="AC929" s="264">
        <v>0.98491736125522089</v>
      </c>
      <c r="AD929" s="264">
        <v>1.0652659129360611</v>
      </c>
      <c r="AE929" s="264">
        <v>0.79949201612452736</v>
      </c>
      <c r="AF929" s="264">
        <v>0.66259074949786523</v>
      </c>
      <c r="AG929" s="264">
        <v>0.81220807391731253</v>
      </c>
      <c r="AH929" s="264">
        <v>0.69668671795209103</v>
      </c>
      <c r="AI929" s="264">
        <v>0.67233143819667607</v>
      </c>
      <c r="AJ929" s="264">
        <v>0.63734511491909385</v>
      </c>
      <c r="AK929" s="264">
        <v>0.76115736173937321</v>
      </c>
      <c r="AL929" s="264">
        <v>1.0580518579111586</v>
      </c>
      <c r="AM929" s="244"/>
      <c r="AN929" s="244"/>
      <c r="AO929" s="244"/>
      <c r="AP929" s="244"/>
      <c r="AQ929" s="244"/>
      <c r="AR929" s="244"/>
      <c r="AS929" s="255"/>
      <c r="AT929" s="244"/>
      <c r="AU929" s="244"/>
      <c r="AV929" s="244"/>
      <c r="AW929" s="244"/>
      <c r="AX929" s="244"/>
      <c r="AY929" s="244"/>
      <c r="AZ929" s="255"/>
      <c r="BA929" s="244"/>
      <c r="BB929" s="244"/>
      <c r="BC929" s="244"/>
      <c r="BD929" s="244"/>
      <c r="BE929" s="244"/>
      <c r="BF929" s="244"/>
      <c r="BG929" s="244"/>
      <c r="BH929" s="255"/>
      <c r="BI929" s="244"/>
      <c r="BJ929" s="244"/>
      <c r="BK929" s="244"/>
      <c r="BL929" s="244"/>
      <c r="BM929" s="244"/>
      <c r="BN929" s="244"/>
      <c r="BO929" s="244"/>
      <c r="BP929" s="244"/>
      <c r="BQ929" s="244"/>
      <c r="BR929" s="244"/>
      <c r="BS929" s="244"/>
      <c r="BT929" s="244"/>
      <c r="BU929" s="244"/>
      <c r="BV929" s="244"/>
      <c r="BW929" s="244"/>
      <c r="BX929" s="244"/>
      <c r="BY929" s="244"/>
      <c r="BZ929" s="244"/>
      <c r="CA929" s="244"/>
      <c r="CB929" s="244"/>
      <c r="CC929" s="244"/>
      <c r="CD929" s="255"/>
      <c r="CE929" s="244"/>
      <c r="CF929" s="244"/>
      <c r="CG929" s="244"/>
      <c r="CH929" s="244"/>
      <c r="CI929" s="244"/>
      <c r="CJ929" s="244"/>
      <c r="CK929" s="244"/>
      <c r="CL929" s="244"/>
      <c r="CM929" s="244"/>
      <c r="CN929" s="244"/>
      <c r="CO929" s="244"/>
      <c r="CP929" s="244"/>
      <c r="CQ929" s="244"/>
      <c r="CR929" s="244"/>
      <c r="CS929" s="244"/>
      <c r="CT929" s="244"/>
      <c r="CU929" s="244"/>
      <c r="CV929" s="244"/>
      <c r="CW929" s="255"/>
    </row>
    <row r="930" spans="1:101">
      <c r="A930" s="221" t="s">
        <v>469</v>
      </c>
      <c r="C930" s="264">
        <v>104.70832824707031</v>
      </c>
      <c r="D930" s="264">
        <v>3.2966773509979248</v>
      </c>
      <c r="E930" s="264">
        <v>0.65933549404144287</v>
      </c>
      <c r="F930" s="264">
        <v>3.9560127258300781</v>
      </c>
      <c r="G930" s="264">
        <v>6.4499416351318359</v>
      </c>
      <c r="H930" s="264">
        <v>288.30203247070312</v>
      </c>
      <c r="I930" s="264">
        <v>330.9638671875</v>
      </c>
      <c r="J930" s="264">
        <v>-60.583648681640625</v>
      </c>
      <c r="K930" s="264">
        <v>-159.48210144042969</v>
      </c>
      <c r="L930" s="228">
        <v>44.698395415475957</v>
      </c>
      <c r="M930" s="264">
        <v>0.79033144892543317</v>
      </c>
      <c r="N930" s="264">
        <v>8.018907154907005</v>
      </c>
      <c r="O930" s="264">
        <v>7.4085244199012656</v>
      </c>
      <c r="P930" s="264">
        <v>7.9651011936744691</v>
      </c>
      <c r="Q930" s="264">
        <v>7.1120878466810371</v>
      </c>
      <c r="R930" s="264">
        <v>6.8264452214001867</v>
      </c>
      <c r="S930" s="264">
        <v>6.2589443495379484</v>
      </c>
      <c r="T930" s="264">
        <v>6.3126201606208259</v>
      </c>
      <c r="U930" s="264">
        <v>6.3266778866610363</v>
      </c>
      <c r="V930" s="264">
        <v>6.4483475351663166</v>
      </c>
      <c r="W930" s="264">
        <v>6.6563015105572294</v>
      </c>
      <c r="X930" s="264">
        <v>7.1368093705109672</v>
      </c>
      <c r="Y930" s="264">
        <v>7.8540953429589075</v>
      </c>
      <c r="Z930" s="264"/>
      <c r="AA930" s="264">
        <v>1.5574196276543424</v>
      </c>
      <c r="AB930" s="264">
        <v>2.2555762754665274</v>
      </c>
      <c r="AC930" s="264">
        <v>2.037797337458422</v>
      </c>
      <c r="AD930" s="264">
        <v>2.2285053660364982</v>
      </c>
      <c r="AE930" s="264">
        <v>1.6252833149270878</v>
      </c>
      <c r="AF930" s="264">
        <v>1.3074981816206632</v>
      </c>
      <c r="AG930" s="264">
        <v>1.6543677523296929</v>
      </c>
      <c r="AH930" s="264">
        <v>1.3785500896660348</v>
      </c>
      <c r="AI930" s="264">
        <v>1.3344389409010349</v>
      </c>
      <c r="AJ930" s="264">
        <v>1.2428227151205433</v>
      </c>
      <c r="AK930" s="264">
        <v>1.5445365944141813</v>
      </c>
      <c r="AL930" s="264">
        <v>2.2166668754467294</v>
      </c>
      <c r="AM930" s="244"/>
      <c r="AN930" s="244"/>
      <c r="AO930" s="244"/>
      <c r="AP930" s="244"/>
      <c r="AQ930" s="244"/>
      <c r="AR930" s="244"/>
      <c r="AS930" s="255"/>
      <c r="AT930" s="244"/>
      <c r="AU930" s="244"/>
      <c r="AV930" s="244"/>
      <c r="AW930" s="244"/>
      <c r="AX930" s="244"/>
      <c r="AY930" s="244"/>
      <c r="AZ930" s="255"/>
      <c r="BA930" s="244"/>
      <c r="BB930" s="244"/>
      <c r="BC930" s="244"/>
      <c r="BD930" s="244"/>
      <c r="BE930" s="244"/>
      <c r="BF930" s="244"/>
      <c r="BG930" s="244"/>
      <c r="BH930" s="255"/>
      <c r="BI930" s="244"/>
      <c r="BJ930" s="244"/>
      <c r="BK930" s="244"/>
      <c r="BL930" s="244"/>
      <c r="BM930" s="244"/>
      <c r="BN930" s="244"/>
      <c r="BO930" s="244"/>
      <c r="BP930" s="244"/>
      <c r="BQ930" s="244"/>
      <c r="BR930" s="244"/>
      <c r="BS930" s="244"/>
      <c r="BT930" s="244"/>
      <c r="BU930" s="244"/>
      <c r="BV930" s="244"/>
      <c r="BW930" s="244"/>
      <c r="BX930" s="244"/>
      <c r="BY930" s="244"/>
      <c r="BZ930" s="244"/>
      <c r="CA930" s="244"/>
      <c r="CB930" s="244"/>
      <c r="CC930" s="244"/>
      <c r="CD930" s="255"/>
      <c r="CE930" s="244"/>
      <c r="CF930" s="244"/>
      <c r="CG930" s="244"/>
      <c r="CH930" s="244"/>
      <c r="CI930" s="244"/>
      <c r="CJ930" s="244"/>
      <c r="CK930" s="244"/>
      <c r="CL930" s="244"/>
      <c r="CM930" s="244"/>
      <c r="CN930" s="244"/>
      <c r="CO930" s="244"/>
      <c r="CP930" s="244"/>
      <c r="CQ930" s="244"/>
      <c r="CR930" s="244"/>
      <c r="CS930" s="244"/>
      <c r="CT930" s="244"/>
      <c r="CU930" s="244"/>
      <c r="CV930" s="244"/>
      <c r="CW930" s="255"/>
    </row>
    <row r="931" spans="1:101">
      <c r="A931" s="221" t="s">
        <v>531</v>
      </c>
      <c r="C931" s="264">
        <v>53.706813812255859</v>
      </c>
      <c r="D931" s="264">
        <v>3.2966773509979248</v>
      </c>
      <c r="E931" s="264">
        <v>0.65933549404144287</v>
      </c>
      <c r="F931" s="264">
        <v>3.9560127258300781</v>
      </c>
      <c r="G931" s="264">
        <v>6.4499416351318359</v>
      </c>
      <c r="H931" s="264">
        <v>271.391845703125</v>
      </c>
      <c r="I931" s="264">
        <v>645.25653076171875</v>
      </c>
      <c r="J931" s="264">
        <v>-58.081432342529297</v>
      </c>
      <c r="K931" s="264">
        <v>-339.39358520507812</v>
      </c>
      <c r="L931" s="228">
        <v>42.076637038854322</v>
      </c>
      <c r="M931" s="264">
        <v>0.70631188671182787</v>
      </c>
      <c r="N931" s="264">
        <v>4.0703578561478295</v>
      </c>
      <c r="O931" s="264">
        <v>3.7561416404391039</v>
      </c>
      <c r="P931" s="264">
        <v>4.0405085375183249</v>
      </c>
      <c r="Q931" s="264">
        <v>3.6248241147106195</v>
      </c>
      <c r="R931" s="264">
        <v>3.4995172716509613</v>
      </c>
      <c r="S931" s="264">
        <v>3.2164178428754622</v>
      </c>
      <c r="T931" s="264">
        <v>3.2535453124775144</v>
      </c>
      <c r="U931" s="264">
        <v>3.2561828563803532</v>
      </c>
      <c r="V931" s="264">
        <v>3.3185190375421985</v>
      </c>
      <c r="W931" s="264">
        <v>3.4139761886803006</v>
      </c>
      <c r="X931" s="264">
        <v>3.640750492254833</v>
      </c>
      <c r="Y931" s="264">
        <v>3.9914611899978549</v>
      </c>
      <c r="Z931" s="264"/>
      <c r="AA931" s="264">
        <v>0.81730797492677287</v>
      </c>
      <c r="AB931" s="264">
        <v>1.1441804100011705</v>
      </c>
      <c r="AC931" s="264">
        <v>1.051360429473855</v>
      </c>
      <c r="AD931" s="264">
        <v>1.1402069929310139</v>
      </c>
      <c r="AE931" s="264">
        <v>0.84979483745911466</v>
      </c>
      <c r="AF931" s="264">
        <v>0.69931385856351458</v>
      </c>
      <c r="AG931" s="264">
        <v>0.86371777854440412</v>
      </c>
      <c r="AH931" s="264">
        <v>0.73577376487396073</v>
      </c>
      <c r="AI931" s="264">
        <v>0.71056542660622035</v>
      </c>
      <c r="AJ931" s="264">
        <v>0.6708000398092766</v>
      </c>
      <c r="AK931" s="264">
        <v>0.80869395078690576</v>
      </c>
      <c r="AL931" s="264">
        <v>1.132894639526667</v>
      </c>
      <c r="AM931" s="244"/>
      <c r="AN931" s="244"/>
      <c r="AO931" s="244"/>
      <c r="AP931" s="244"/>
      <c r="AQ931" s="244"/>
      <c r="AR931" s="244"/>
      <c r="AS931" s="255"/>
      <c r="AT931" s="244"/>
      <c r="AU931" s="244"/>
      <c r="AV931" s="244"/>
      <c r="AW931" s="244"/>
      <c r="AX931" s="244"/>
      <c r="AY931" s="244"/>
      <c r="AZ931" s="255"/>
      <c r="BA931" s="244"/>
      <c r="BB931" s="244"/>
      <c r="BC931" s="244"/>
      <c r="BD931" s="244"/>
      <c r="BE931" s="244"/>
      <c r="BF931" s="244"/>
      <c r="BG931" s="244"/>
      <c r="BH931" s="255"/>
      <c r="BI931" s="244"/>
      <c r="BJ931" s="244"/>
      <c r="BK931" s="244"/>
      <c r="BL931" s="244"/>
      <c r="BM931" s="244"/>
      <c r="BN931" s="244"/>
      <c r="BO931" s="244"/>
      <c r="BP931" s="244"/>
      <c r="BQ931" s="244"/>
      <c r="BR931" s="244"/>
      <c r="BS931" s="244"/>
      <c r="BT931" s="244"/>
      <c r="BU931" s="244"/>
      <c r="BV931" s="244"/>
      <c r="BW931" s="244"/>
      <c r="BX931" s="244"/>
      <c r="BY931" s="244"/>
      <c r="BZ931" s="244"/>
      <c r="CA931" s="244"/>
      <c r="CB931" s="244"/>
      <c r="CC931" s="244"/>
      <c r="CD931" s="255"/>
      <c r="CE931" s="244"/>
      <c r="CF931" s="244"/>
      <c r="CG931" s="244"/>
      <c r="CH931" s="244"/>
      <c r="CI931" s="244"/>
      <c r="CJ931" s="244"/>
      <c r="CK931" s="244"/>
      <c r="CL931" s="244"/>
      <c r="CM931" s="244"/>
      <c r="CN931" s="244"/>
      <c r="CO931" s="244"/>
      <c r="CP931" s="244"/>
      <c r="CQ931" s="244"/>
      <c r="CR931" s="244"/>
      <c r="CS931" s="244"/>
      <c r="CT931" s="244"/>
      <c r="CU931" s="244"/>
      <c r="CV931" s="244"/>
      <c r="CW931" s="255"/>
    </row>
    <row r="932" spans="1:101">
      <c r="A932" s="221" t="s">
        <v>476</v>
      </c>
      <c r="C932" s="264">
        <v>7.1471939086914062</v>
      </c>
      <c r="D932" s="264">
        <v>3.2966773509979248</v>
      </c>
      <c r="E932" s="264">
        <v>0.65933549404144287</v>
      </c>
      <c r="F932" s="264">
        <v>3.9560127258300781</v>
      </c>
      <c r="G932" s="264">
        <v>6.4499416351318359</v>
      </c>
      <c r="H932" s="264">
        <v>265.85330200195312</v>
      </c>
      <c r="I932" s="264">
        <v>4848.71044921875</v>
      </c>
      <c r="J932" s="264">
        <v>-24.327907562255859</v>
      </c>
      <c r="K932" s="264">
        <v>-2856.762451171875</v>
      </c>
      <c r="L932" s="228">
        <v>41.217939452073281</v>
      </c>
      <c r="M932" s="264">
        <v>0.65133416035001612</v>
      </c>
      <c r="N932" s="264">
        <v>0.46218703458450294</v>
      </c>
      <c r="O932" s="264">
        <v>0.41824936706175309</v>
      </c>
      <c r="P932" s="264">
        <v>0.45402256440174943</v>
      </c>
      <c r="Q932" s="264">
        <v>0.43937667522749946</v>
      </c>
      <c r="R932" s="264">
        <v>0.46218703458450294</v>
      </c>
      <c r="S932" s="264">
        <v>0.43937667522749946</v>
      </c>
      <c r="T932" s="264">
        <v>0.46218703458450294</v>
      </c>
      <c r="U932" s="264">
        <v>0.45402256440174943</v>
      </c>
      <c r="V932" s="264">
        <v>0.46218703458450294</v>
      </c>
      <c r="W932" s="264">
        <v>0.45402256440174943</v>
      </c>
      <c r="X932" s="264">
        <v>0.44754114541025297</v>
      </c>
      <c r="Y932" s="264">
        <v>0.46218703458450294</v>
      </c>
      <c r="Z932" s="264"/>
      <c r="AA932" s="264">
        <v>0.14317638461782964</v>
      </c>
      <c r="AB932" s="264">
        <v>0.12853049544357964</v>
      </c>
      <c r="AC932" s="264">
        <v>0.15134085480058315</v>
      </c>
      <c r="AD932" s="264">
        <v>0.14645889174249982</v>
      </c>
      <c r="AE932" s="264">
        <v>0.14317638461782964</v>
      </c>
      <c r="AF932" s="264">
        <v>0.14645889174249982</v>
      </c>
      <c r="AG932" s="264">
        <v>0.14317638461782964</v>
      </c>
      <c r="AH932" s="264">
        <v>0.15134085480058315</v>
      </c>
      <c r="AI932" s="264">
        <v>0.14317638461782964</v>
      </c>
      <c r="AJ932" s="264">
        <v>0.15134085480058315</v>
      </c>
      <c r="AK932" s="264">
        <v>0.13829442155974631</v>
      </c>
      <c r="AL932" s="264">
        <v>0.14317638461782964</v>
      </c>
      <c r="AM932" s="244"/>
      <c r="AN932" s="244"/>
      <c r="AO932" s="244"/>
      <c r="AP932" s="244"/>
      <c r="AQ932" s="244"/>
      <c r="AR932" s="244"/>
      <c r="AS932" s="255"/>
      <c r="AT932" s="244"/>
      <c r="AU932" s="244"/>
      <c r="AV932" s="244"/>
      <c r="AW932" s="244"/>
      <c r="AX932" s="244"/>
      <c r="AY932" s="244"/>
      <c r="AZ932" s="255"/>
      <c r="BA932" s="244"/>
      <c r="BB932" s="244"/>
      <c r="BC932" s="244"/>
      <c r="BD932" s="244"/>
      <c r="BE932" s="244"/>
      <c r="BF932" s="244"/>
      <c r="BG932" s="244"/>
      <c r="BH932" s="255"/>
      <c r="BI932" s="244"/>
      <c r="BJ932" s="244"/>
      <c r="BK932" s="244"/>
      <c r="BL932" s="244"/>
      <c r="BM932" s="244"/>
      <c r="BN932" s="244"/>
      <c r="BO932" s="244"/>
      <c r="BP932" s="244"/>
      <c r="BQ932" s="244"/>
      <c r="BR932" s="244"/>
      <c r="BS932" s="244"/>
      <c r="BT932" s="244"/>
      <c r="BU932" s="244"/>
      <c r="BV932" s="244"/>
      <c r="BW932" s="244"/>
      <c r="BX932" s="244"/>
      <c r="BY932" s="244"/>
      <c r="BZ932" s="244"/>
      <c r="CA932" s="244"/>
      <c r="CB932" s="244"/>
      <c r="CC932" s="244"/>
      <c r="CD932" s="255"/>
      <c r="CE932" s="244"/>
      <c r="CF932" s="244"/>
      <c r="CG932" s="244"/>
      <c r="CH932" s="244"/>
      <c r="CI932" s="244"/>
      <c r="CJ932" s="244"/>
      <c r="CK932" s="244"/>
      <c r="CL932" s="244"/>
      <c r="CM932" s="244"/>
      <c r="CN932" s="244"/>
      <c r="CO932" s="244"/>
      <c r="CP932" s="244"/>
      <c r="CQ932" s="244"/>
      <c r="CR932" s="244"/>
      <c r="CS932" s="244"/>
      <c r="CT932" s="244"/>
      <c r="CU932" s="244"/>
      <c r="CV932" s="244"/>
      <c r="CW932" s="255"/>
    </row>
    <row r="933" spans="1:101">
      <c r="A933" s="221" t="s">
        <v>555</v>
      </c>
      <c r="C933" s="264">
        <v>47.942691802978516</v>
      </c>
      <c r="D933" s="264">
        <v>3.2966773509979248</v>
      </c>
      <c r="E933" s="264">
        <v>0.65933549404144287</v>
      </c>
      <c r="F933" s="264">
        <v>3.9560127258300781</v>
      </c>
      <c r="G933" s="264">
        <v>6.4499416351318359</v>
      </c>
      <c r="H933" s="264">
        <v>265.14453125</v>
      </c>
      <c r="I933" s="264">
        <v>722.8353271484375</v>
      </c>
      <c r="J933" s="264">
        <v>-57.471115112304688</v>
      </c>
      <c r="K933" s="264">
        <v>-376.54379272460937</v>
      </c>
      <c r="L933" s="228">
        <v>41.10805399863834</v>
      </c>
      <c r="M933" s="264">
        <v>0.66311621882116767</v>
      </c>
      <c r="N933" s="264">
        <v>3.6246973058592182</v>
      </c>
      <c r="O933" s="264">
        <v>3.3439694020907762</v>
      </c>
      <c r="P933" s="264">
        <v>3.597587119001231</v>
      </c>
      <c r="Q933" s="264">
        <v>3.2310225452456822</v>
      </c>
      <c r="R933" s="264">
        <v>3.1235391190319568</v>
      </c>
      <c r="S933" s="264">
        <v>2.8724703465399992</v>
      </c>
      <c r="T933" s="264">
        <v>2.9075929084478527</v>
      </c>
      <c r="U933" s="264">
        <v>2.9090039192141823</v>
      </c>
      <c r="V933" s="264">
        <v>2.9646353036964843</v>
      </c>
      <c r="W933" s="264">
        <v>3.0475354505322869</v>
      </c>
      <c r="X933" s="264">
        <v>3.2459093616932475</v>
      </c>
      <c r="Y933" s="264">
        <v>3.5554315402001659</v>
      </c>
      <c r="Z933" s="264"/>
      <c r="AA933" s="264">
        <v>0.73340233696842638</v>
      </c>
      <c r="AB933" s="264">
        <v>1.0187508517686632</v>
      </c>
      <c r="AC933" s="264">
        <v>0.93978862317925405</v>
      </c>
      <c r="AD933" s="264">
        <v>1.0172488152976138</v>
      </c>
      <c r="AE933" s="264">
        <v>0.76192353459274198</v>
      </c>
      <c r="AF933" s="264">
        <v>0.63017541896761542</v>
      </c>
      <c r="AG933" s="264">
        <v>0.77414690500316286</v>
      </c>
      <c r="AH933" s="264">
        <v>0.66272556054304466</v>
      </c>
      <c r="AI933" s="264">
        <v>0.6396898304885319</v>
      </c>
      <c r="AJ933" s="264">
        <v>0.60568316529441335</v>
      </c>
      <c r="AK933" s="264">
        <v>0.72529893621383912</v>
      </c>
      <c r="AL933" s="264">
        <v>1.0104653996046356</v>
      </c>
      <c r="AM933" s="244"/>
      <c r="AN933" s="244"/>
      <c r="AO933" s="244"/>
      <c r="AP933" s="244"/>
      <c r="AQ933" s="244"/>
      <c r="AR933" s="244"/>
      <c r="AS933" s="255"/>
      <c r="AT933" s="244"/>
      <c r="AU933" s="244"/>
      <c r="AV933" s="244"/>
      <c r="AW933" s="244"/>
      <c r="AX933" s="244"/>
      <c r="AY933" s="244"/>
      <c r="AZ933" s="255"/>
      <c r="BA933" s="244"/>
      <c r="BB933" s="244"/>
      <c r="BC933" s="244"/>
      <c r="BD933" s="244"/>
      <c r="BE933" s="244"/>
      <c r="BF933" s="244"/>
      <c r="BG933" s="244"/>
      <c r="BH933" s="255"/>
      <c r="BI933" s="244"/>
      <c r="BJ933" s="244"/>
      <c r="BK933" s="244"/>
      <c r="BL933" s="244"/>
      <c r="BM933" s="244"/>
      <c r="BN933" s="244"/>
      <c r="BO933" s="244"/>
      <c r="BP933" s="244"/>
      <c r="BQ933" s="244"/>
      <c r="BR933" s="244"/>
      <c r="BS933" s="244"/>
      <c r="BT933" s="244"/>
      <c r="BU933" s="244"/>
      <c r="BV933" s="244"/>
      <c r="BW933" s="244"/>
      <c r="BX933" s="244"/>
      <c r="BY933" s="244"/>
      <c r="BZ933" s="244"/>
      <c r="CA933" s="244"/>
      <c r="CB933" s="244"/>
      <c r="CC933" s="244"/>
      <c r="CD933" s="255"/>
      <c r="CE933" s="244"/>
      <c r="CF933" s="244"/>
      <c r="CG933" s="244"/>
      <c r="CH933" s="244"/>
      <c r="CI933" s="244"/>
      <c r="CJ933" s="244"/>
      <c r="CK933" s="244"/>
      <c r="CL933" s="244"/>
      <c r="CM933" s="244"/>
      <c r="CN933" s="244"/>
      <c r="CO933" s="244"/>
      <c r="CP933" s="244"/>
      <c r="CQ933" s="244"/>
      <c r="CR933" s="244"/>
      <c r="CS933" s="244"/>
      <c r="CT933" s="244"/>
      <c r="CU933" s="244"/>
      <c r="CV933" s="244"/>
      <c r="CW933" s="255"/>
    </row>
    <row r="934" spans="1:101">
      <c r="A934" s="221" t="s">
        <v>504</v>
      </c>
      <c r="C934" s="264">
        <v>62.055160522460938</v>
      </c>
      <c r="D934" s="264">
        <v>3.2966773509979248</v>
      </c>
      <c r="E934" s="264">
        <v>0.65933549404144287</v>
      </c>
      <c r="F934" s="264">
        <v>3.9560127258300781</v>
      </c>
      <c r="G934" s="264">
        <v>6.4499416351318359</v>
      </c>
      <c r="H934" s="264">
        <v>264.33648681640625</v>
      </c>
      <c r="I934" s="264">
        <v>558.449462890625</v>
      </c>
      <c r="J934" s="264">
        <v>-58.804771423339844</v>
      </c>
      <c r="K934" s="264">
        <v>-276.99569702148437</v>
      </c>
      <c r="L934" s="228">
        <v>40.982773916645264</v>
      </c>
      <c r="M934" s="264">
        <v>0.6966441742985926</v>
      </c>
      <c r="N934" s="264">
        <v>4.7201036759369082</v>
      </c>
      <c r="O934" s="264">
        <v>4.3574996683262395</v>
      </c>
      <c r="P934" s="264">
        <v>4.6865130335886089</v>
      </c>
      <c r="Q934" s="264">
        <v>4.1974957212194521</v>
      </c>
      <c r="R934" s="264">
        <v>4.0442474802746844</v>
      </c>
      <c r="S934" s="264">
        <v>3.7139563292009514</v>
      </c>
      <c r="T934" s="264">
        <v>3.7530248918999063</v>
      </c>
      <c r="U934" s="264">
        <v>3.7578976102803523</v>
      </c>
      <c r="V934" s="264">
        <v>3.8299516133573945</v>
      </c>
      <c r="W934" s="264">
        <v>3.9447196481056825</v>
      </c>
      <c r="X934" s="264">
        <v>4.2146020661125743</v>
      </c>
      <c r="Y934" s="264">
        <v>4.6266926570242424</v>
      </c>
      <c r="Z934" s="264"/>
      <c r="AA934" s="264">
        <v>0.93697724906769442</v>
      </c>
      <c r="AB934" s="264">
        <v>1.3271224676412658</v>
      </c>
      <c r="AC934" s="264">
        <v>1.2123375874252427</v>
      </c>
      <c r="AD934" s="264">
        <v>1.3185753417367343</v>
      </c>
      <c r="AE934" s="264">
        <v>0.97544060979643854</v>
      </c>
      <c r="AF934" s="264">
        <v>0.79657258898948924</v>
      </c>
      <c r="AG934" s="264">
        <v>0.99192490725161475</v>
      </c>
      <c r="AH934" s="264">
        <v>0.83869351177458307</v>
      </c>
      <c r="AI934" s="264">
        <v>0.81059763524467709</v>
      </c>
      <c r="AJ934" s="264">
        <v>0.76176679031709438</v>
      </c>
      <c r="AK934" s="264">
        <v>0.92782492119295279</v>
      </c>
      <c r="AL934" s="264">
        <v>1.3106213247183538</v>
      </c>
      <c r="AM934" s="244"/>
      <c r="AN934" s="244"/>
      <c r="AO934" s="244"/>
      <c r="AP934" s="244"/>
      <c r="AQ934" s="244"/>
      <c r="AR934" s="244"/>
      <c r="AS934" s="255"/>
      <c r="AT934" s="244"/>
      <c r="AU934" s="244"/>
      <c r="AV934" s="244"/>
      <c r="AW934" s="244"/>
      <c r="AX934" s="244"/>
      <c r="AY934" s="244"/>
      <c r="AZ934" s="255"/>
      <c r="BA934" s="244"/>
      <c r="BB934" s="244"/>
      <c r="BC934" s="244"/>
      <c r="BD934" s="244"/>
      <c r="BE934" s="244"/>
      <c r="BF934" s="244"/>
      <c r="BG934" s="244"/>
      <c r="BH934" s="255"/>
      <c r="BI934" s="244"/>
      <c r="BJ934" s="244"/>
      <c r="BK934" s="244"/>
      <c r="BL934" s="244"/>
      <c r="BM934" s="244"/>
      <c r="BN934" s="244"/>
      <c r="BO934" s="244"/>
      <c r="BP934" s="244"/>
      <c r="BQ934" s="244"/>
      <c r="BR934" s="244"/>
      <c r="BS934" s="244"/>
      <c r="BT934" s="244"/>
      <c r="BU934" s="244"/>
      <c r="BV934" s="244"/>
      <c r="BW934" s="244"/>
      <c r="BX934" s="244"/>
      <c r="BY934" s="244"/>
      <c r="BZ934" s="244"/>
      <c r="CA934" s="244"/>
      <c r="CB934" s="244"/>
      <c r="CC934" s="244"/>
      <c r="CD934" s="255"/>
      <c r="CE934" s="244"/>
      <c r="CF934" s="244"/>
      <c r="CG934" s="244"/>
      <c r="CH934" s="244"/>
      <c r="CI934" s="244"/>
      <c r="CJ934" s="244"/>
      <c r="CK934" s="244"/>
      <c r="CL934" s="244"/>
      <c r="CM934" s="244"/>
      <c r="CN934" s="244"/>
      <c r="CO934" s="244"/>
      <c r="CP934" s="244"/>
      <c r="CQ934" s="244"/>
      <c r="CR934" s="244"/>
      <c r="CS934" s="244"/>
      <c r="CT934" s="244"/>
      <c r="CU934" s="244"/>
      <c r="CV934" s="244"/>
      <c r="CW934" s="255"/>
    </row>
    <row r="935" spans="1:101">
      <c r="A935" s="221" t="s">
        <v>552</v>
      </c>
      <c r="C935" s="264">
        <v>47.615245819091797</v>
      </c>
      <c r="D935" s="264">
        <v>3.2966773509979248</v>
      </c>
      <c r="E935" s="264">
        <v>0.65933549404144287</v>
      </c>
      <c r="F935" s="264">
        <v>3.9560127258300781</v>
      </c>
      <c r="G935" s="264">
        <v>6.4499416351318359</v>
      </c>
      <c r="H935" s="264">
        <v>255.97883605957031</v>
      </c>
      <c r="I935" s="264">
        <v>727.80621337890625</v>
      </c>
      <c r="J935" s="264">
        <v>-57.479640960693359</v>
      </c>
      <c r="K935" s="264">
        <v>-364.0697021484375</v>
      </c>
      <c r="L935" s="228">
        <v>39.687001103444459</v>
      </c>
      <c r="M935" s="264">
        <v>0.66047916838488963</v>
      </c>
      <c r="N935" s="264">
        <v>3.6032528162811586</v>
      </c>
      <c r="O935" s="264">
        <v>3.3245307135262947</v>
      </c>
      <c r="P935" s="264">
        <v>3.5765024710938658</v>
      </c>
      <c r="Q935" s="264">
        <v>3.210746781349036</v>
      </c>
      <c r="R935" s="264">
        <v>3.1023521651518351</v>
      </c>
      <c r="S935" s="264">
        <v>2.8523788358256184</v>
      </c>
      <c r="T935" s="264">
        <v>2.8865169252343215</v>
      </c>
      <c r="U935" s="264">
        <v>2.8882731211682104</v>
      </c>
      <c r="V935" s="264">
        <v>2.9435300074766833</v>
      </c>
      <c r="W935" s="264">
        <v>3.0267334637568042</v>
      </c>
      <c r="X935" s="264">
        <v>3.2252800374843935</v>
      </c>
      <c r="Y935" s="264">
        <v>3.534022644986861</v>
      </c>
      <c r="Z935" s="264"/>
      <c r="AA935" s="264">
        <v>0.72695939364678441</v>
      </c>
      <c r="AB935" s="264">
        <v>1.0127817866718061</v>
      </c>
      <c r="AC935" s="264">
        <v>0.93289371159578571</v>
      </c>
      <c r="AD935" s="264">
        <v>1.0105209361957759</v>
      </c>
      <c r="AE935" s="264">
        <v>0.75546593476796531</v>
      </c>
      <c r="AF935" s="264">
        <v>0.62364644955117676</v>
      </c>
      <c r="AG935" s="264">
        <v>0.76768302381989995</v>
      </c>
      <c r="AH935" s="264">
        <v>0.65597302641859867</v>
      </c>
      <c r="AI935" s="264">
        <v>0.63329504424861827</v>
      </c>
      <c r="AJ935" s="264">
        <v>0.59895994417623677</v>
      </c>
      <c r="AK935" s="264">
        <v>0.71906699488323189</v>
      </c>
      <c r="AL935" s="264">
        <v>1.003880078823971</v>
      </c>
      <c r="AM935" s="244"/>
      <c r="AN935" s="244"/>
      <c r="AO935" s="244"/>
      <c r="AP935" s="244"/>
      <c r="AQ935" s="244"/>
      <c r="AR935" s="244"/>
      <c r="AS935" s="255"/>
      <c r="AT935" s="244"/>
      <c r="AU935" s="244"/>
      <c r="AV935" s="244"/>
      <c r="AW935" s="244"/>
      <c r="AX935" s="244"/>
      <c r="AY935" s="244"/>
      <c r="AZ935" s="255"/>
      <c r="BA935" s="244"/>
      <c r="BB935" s="244"/>
      <c r="BC935" s="244"/>
      <c r="BD935" s="244"/>
      <c r="BE935" s="244"/>
      <c r="BF935" s="244"/>
      <c r="BG935" s="244"/>
      <c r="BH935" s="255"/>
      <c r="BI935" s="244"/>
      <c r="BJ935" s="244"/>
      <c r="BK935" s="244"/>
      <c r="BL935" s="244"/>
      <c r="BM935" s="244"/>
      <c r="BN935" s="244"/>
      <c r="BO935" s="244"/>
      <c r="BP935" s="244"/>
      <c r="BQ935" s="244"/>
      <c r="BR935" s="244"/>
      <c r="BS935" s="244"/>
      <c r="BT935" s="244"/>
      <c r="BU935" s="244"/>
      <c r="BV935" s="244"/>
      <c r="BW935" s="244"/>
      <c r="BX935" s="244"/>
      <c r="BY935" s="244"/>
      <c r="BZ935" s="244"/>
      <c r="CA935" s="244"/>
      <c r="CB935" s="244"/>
      <c r="CC935" s="244"/>
      <c r="CD935" s="255"/>
      <c r="CE935" s="244"/>
      <c r="CF935" s="244"/>
      <c r="CG935" s="244"/>
      <c r="CH935" s="244"/>
      <c r="CI935" s="244"/>
      <c r="CJ935" s="244"/>
      <c r="CK935" s="244"/>
      <c r="CL935" s="244"/>
      <c r="CM935" s="244"/>
      <c r="CN935" s="244"/>
      <c r="CO935" s="244"/>
      <c r="CP935" s="244"/>
      <c r="CQ935" s="244"/>
      <c r="CR935" s="244"/>
      <c r="CS935" s="244"/>
      <c r="CT935" s="244"/>
      <c r="CU935" s="244"/>
      <c r="CV935" s="244"/>
      <c r="CW935" s="255"/>
    </row>
    <row r="936" spans="1:101">
      <c r="A936" s="221" t="s">
        <v>446</v>
      </c>
      <c r="C936" s="264">
        <v>6.8327341079711914</v>
      </c>
      <c r="D936" s="264">
        <v>3.2966773509979248</v>
      </c>
      <c r="E936" s="264">
        <v>0.65933549404144287</v>
      </c>
      <c r="F936" s="264">
        <v>3.9560127258300781</v>
      </c>
      <c r="G936" s="264">
        <v>6.4499416351318359</v>
      </c>
      <c r="H936" s="264">
        <v>251.17538452148437</v>
      </c>
      <c r="I936" s="264">
        <v>5071.8603515625</v>
      </c>
      <c r="J936" s="264">
        <v>-22.881889343261719</v>
      </c>
      <c r="K936" s="264">
        <v>-2818.421630859375</v>
      </c>
      <c r="L936" s="228">
        <v>38.942273424657593</v>
      </c>
      <c r="M936" s="264">
        <v>0.58892119099883666</v>
      </c>
      <c r="N936" s="264">
        <v>0.44185190052691825</v>
      </c>
      <c r="O936" s="264">
        <v>0.39984738623521027</v>
      </c>
      <c r="P936" s="264">
        <v>0.43404664768098317</v>
      </c>
      <c r="Q936" s="264">
        <v>0.42004514291708051</v>
      </c>
      <c r="R936" s="264">
        <v>0.44185190052691825</v>
      </c>
      <c r="S936" s="264">
        <v>0.42004514291708051</v>
      </c>
      <c r="T936" s="264">
        <v>0.44185190052691825</v>
      </c>
      <c r="U936" s="264">
        <v>0.43404664768098317</v>
      </c>
      <c r="V936" s="264">
        <v>0.44185190052691825</v>
      </c>
      <c r="W936" s="264">
        <v>0.43404664768098317</v>
      </c>
      <c r="X936" s="264">
        <v>0.42785039576301553</v>
      </c>
      <c r="Y936" s="264">
        <v>0.44185190052691825</v>
      </c>
      <c r="Z936" s="264"/>
      <c r="AA936" s="264">
        <v>0.13687696304772598</v>
      </c>
      <c r="AB936" s="264">
        <v>0.12287545828382329</v>
      </c>
      <c r="AC936" s="264">
        <v>0.14468221589366106</v>
      </c>
      <c r="AD936" s="264">
        <v>0.14001504763902684</v>
      </c>
      <c r="AE936" s="264">
        <v>0.13687696304772598</v>
      </c>
      <c r="AF936" s="264">
        <v>0.14001504763902684</v>
      </c>
      <c r="AG936" s="264">
        <v>0.13687696304772598</v>
      </c>
      <c r="AH936" s="264">
        <v>0.14468221589366106</v>
      </c>
      <c r="AI936" s="264">
        <v>0.13687696304772598</v>
      </c>
      <c r="AJ936" s="264">
        <v>0.14468221589366106</v>
      </c>
      <c r="AK936" s="264">
        <v>0.13220979479309172</v>
      </c>
      <c r="AL936" s="264">
        <v>0.13687696304772598</v>
      </c>
      <c r="AM936" s="244"/>
      <c r="AN936" s="244"/>
      <c r="AO936" s="244"/>
      <c r="AP936" s="244"/>
      <c r="AQ936" s="244"/>
      <c r="AR936" s="244"/>
      <c r="AS936" s="255"/>
      <c r="AT936" s="244"/>
      <c r="AU936" s="244"/>
      <c r="AV936" s="244"/>
      <c r="AW936" s="244"/>
      <c r="AX936" s="244"/>
      <c r="AY936" s="244"/>
      <c r="AZ936" s="255"/>
      <c r="BA936" s="244"/>
      <c r="BB936" s="244"/>
      <c r="BC936" s="244"/>
      <c r="BD936" s="244"/>
      <c r="BE936" s="244"/>
      <c r="BF936" s="244"/>
      <c r="BG936" s="244"/>
      <c r="BH936" s="255"/>
      <c r="BI936" s="244"/>
      <c r="BJ936" s="244"/>
      <c r="BK936" s="244"/>
      <c r="BL936" s="244"/>
      <c r="BM936" s="244"/>
      <c r="BN936" s="244"/>
      <c r="BO936" s="244"/>
      <c r="BP936" s="244"/>
      <c r="BQ936" s="244"/>
      <c r="BR936" s="244"/>
      <c r="BS936" s="244"/>
      <c r="BT936" s="244"/>
      <c r="BU936" s="244"/>
      <c r="BV936" s="244"/>
      <c r="BW936" s="244"/>
      <c r="BX936" s="244"/>
      <c r="BY936" s="244"/>
      <c r="BZ936" s="244"/>
      <c r="CA936" s="244"/>
      <c r="CB936" s="244"/>
      <c r="CC936" s="244"/>
      <c r="CD936" s="255"/>
      <c r="CE936" s="244"/>
      <c r="CF936" s="244"/>
      <c r="CG936" s="244"/>
      <c r="CH936" s="244"/>
      <c r="CI936" s="244"/>
      <c r="CJ936" s="244"/>
      <c r="CK936" s="244"/>
      <c r="CL936" s="244"/>
      <c r="CM936" s="244"/>
      <c r="CN936" s="244"/>
      <c r="CO936" s="244"/>
      <c r="CP936" s="244"/>
      <c r="CQ936" s="244"/>
      <c r="CR936" s="244"/>
      <c r="CS936" s="244"/>
      <c r="CT936" s="244"/>
      <c r="CU936" s="244"/>
      <c r="CV936" s="244"/>
      <c r="CW936" s="255"/>
    </row>
    <row r="937" spans="1:101">
      <c r="A937" s="221" t="s">
        <v>526</v>
      </c>
      <c r="C937" s="264">
        <v>85.463417053222656</v>
      </c>
      <c r="D937" s="264">
        <v>3.2966773509979248</v>
      </c>
      <c r="E937" s="264">
        <v>0.65933549404144287</v>
      </c>
      <c r="F937" s="264">
        <v>3.9560127258300781</v>
      </c>
      <c r="G937" s="264">
        <v>6.4499416351318359</v>
      </c>
      <c r="H937" s="264">
        <v>240.88298034667969</v>
      </c>
      <c r="I937" s="264">
        <v>405.49130249023437</v>
      </c>
      <c r="J937" s="264">
        <v>-60.083900451660156</v>
      </c>
      <c r="K937" s="264">
        <v>-163.60054016113281</v>
      </c>
      <c r="L937" s="228">
        <v>37.346536248426723</v>
      </c>
      <c r="M937" s="264">
        <v>0.64507946105051739</v>
      </c>
      <c r="N937" s="264">
        <v>6.5426170554531868</v>
      </c>
      <c r="O937" s="264">
        <v>6.0443543613872457</v>
      </c>
      <c r="P937" s="264">
        <v>6.4985710541368409</v>
      </c>
      <c r="Q937" s="264">
        <v>5.8035923270572614</v>
      </c>
      <c r="R937" s="264">
        <v>5.5716676080787879</v>
      </c>
      <c r="S937" s="264">
        <v>5.1089293077975304</v>
      </c>
      <c r="T937" s="264">
        <v>5.1532910169337214</v>
      </c>
      <c r="U937" s="264">
        <v>5.1645023012403097</v>
      </c>
      <c r="V937" s="264">
        <v>5.2638055881795882</v>
      </c>
      <c r="W937" s="264">
        <v>5.4328948314088432</v>
      </c>
      <c r="X937" s="264">
        <v>5.8239566345352074</v>
      </c>
      <c r="Y937" s="264">
        <v>6.4084207903689183</v>
      </c>
      <c r="Z937" s="264"/>
      <c r="AA937" s="264">
        <v>1.2722346711955825</v>
      </c>
      <c r="AB937" s="264">
        <v>1.8402796154973342</v>
      </c>
      <c r="AC937" s="264">
        <v>1.6636121821417929</v>
      </c>
      <c r="AD937" s="264">
        <v>1.8187536058091325</v>
      </c>
      <c r="AE937" s="264">
        <v>1.3274919568185157</v>
      </c>
      <c r="AF937" s="264">
        <v>1.0688333009264672</v>
      </c>
      <c r="AG937" s="264">
        <v>1.3511736506569152</v>
      </c>
      <c r="AH937" s="264">
        <v>1.1268271218047272</v>
      </c>
      <c r="AI937" s="264">
        <v>1.090675018434516</v>
      </c>
      <c r="AJ937" s="264">
        <v>1.0163125505588608</v>
      </c>
      <c r="AK937" s="264">
        <v>1.2616042379941226</v>
      </c>
      <c r="AL937" s="264">
        <v>1.8090197315326479</v>
      </c>
      <c r="AM937" s="244"/>
      <c r="AN937" s="244"/>
      <c r="AO937" s="244"/>
      <c r="AP937" s="244"/>
      <c r="AQ937" s="244"/>
      <c r="AR937" s="244"/>
      <c r="AS937" s="255"/>
      <c r="AT937" s="244"/>
      <c r="AU937" s="244"/>
      <c r="AV937" s="244"/>
      <c r="AW937" s="244"/>
      <c r="AX937" s="244"/>
      <c r="AY937" s="244"/>
      <c r="AZ937" s="255"/>
      <c r="BA937" s="244"/>
      <c r="BB937" s="244"/>
      <c r="BC937" s="244"/>
      <c r="BD937" s="244"/>
      <c r="BE937" s="244"/>
      <c r="BF937" s="244"/>
      <c r="BG937" s="244"/>
      <c r="BH937" s="255"/>
      <c r="BI937" s="244"/>
      <c r="BJ937" s="244"/>
      <c r="BK937" s="244"/>
      <c r="BL937" s="244"/>
      <c r="BM937" s="244"/>
      <c r="BN937" s="244"/>
      <c r="BO937" s="244"/>
      <c r="BP937" s="244"/>
      <c r="BQ937" s="244"/>
      <c r="BR937" s="244"/>
      <c r="BS937" s="244"/>
      <c r="BT937" s="244"/>
      <c r="BU937" s="244"/>
      <c r="BV937" s="244"/>
      <c r="BW937" s="244"/>
      <c r="BX937" s="244"/>
      <c r="BY937" s="244"/>
      <c r="BZ937" s="244"/>
      <c r="CA937" s="244"/>
      <c r="CB937" s="244"/>
      <c r="CC937" s="244"/>
      <c r="CD937" s="255"/>
      <c r="CE937" s="244"/>
      <c r="CF937" s="244"/>
      <c r="CG937" s="244"/>
      <c r="CH937" s="244"/>
      <c r="CI937" s="244"/>
      <c r="CJ937" s="244"/>
      <c r="CK937" s="244"/>
      <c r="CL937" s="244"/>
      <c r="CM937" s="244"/>
      <c r="CN937" s="244"/>
      <c r="CO937" s="244"/>
      <c r="CP937" s="244"/>
      <c r="CQ937" s="244"/>
      <c r="CR937" s="244"/>
      <c r="CS937" s="244"/>
      <c r="CT937" s="244"/>
      <c r="CU937" s="244"/>
      <c r="CV937" s="244"/>
      <c r="CW937" s="255"/>
    </row>
    <row r="938" spans="1:101">
      <c r="A938" s="221" t="s">
        <v>443</v>
      </c>
      <c r="C938" s="264">
        <v>6.4784445762634277</v>
      </c>
      <c r="D938" s="264">
        <v>3.2966773509979248</v>
      </c>
      <c r="E938" s="264">
        <v>0.65933549404144287</v>
      </c>
      <c r="F938" s="264">
        <v>3.9560127258300781</v>
      </c>
      <c r="G938" s="264">
        <v>6.4499416351318359</v>
      </c>
      <c r="H938" s="264">
        <v>240.58657836914062</v>
      </c>
      <c r="I938" s="264">
        <v>5349.22705078125</v>
      </c>
      <c r="J938" s="264">
        <v>-21.084529876708984</v>
      </c>
      <c r="K938" s="264">
        <v>-2844.4404296875</v>
      </c>
      <c r="L938" s="228">
        <v>37.300581930506048</v>
      </c>
      <c r="M938" s="264">
        <v>0.58595851347056582</v>
      </c>
      <c r="N938" s="264">
        <v>0.41894106124033731</v>
      </c>
      <c r="O938" s="264">
        <v>0.37911455880079198</v>
      </c>
      <c r="P938" s="264">
        <v>0.41154052520863593</v>
      </c>
      <c r="Q938" s="264">
        <v>0.39826502439545408</v>
      </c>
      <c r="R938" s="264">
        <v>0.41894106124033731</v>
      </c>
      <c r="S938" s="264">
        <v>0.39826502439545408</v>
      </c>
      <c r="T938" s="264">
        <v>0.41894106124033731</v>
      </c>
      <c r="U938" s="264">
        <v>0.41154052520863593</v>
      </c>
      <c r="V938" s="264">
        <v>0.41894106124033731</v>
      </c>
      <c r="W938" s="264">
        <v>0.41154052520863593</v>
      </c>
      <c r="X938" s="264">
        <v>0.40566556042715551</v>
      </c>
      <c r="Y938" s="264">
        <v>0.41894106124033731</v>
      </c>
      <c r="Z938" s="264"/>
      <c r="AA938" s="264">
        <v>0.1297796390378439</v>
      </c>
      <c r="AB938" s="264">
        <v>0.11650413822466207</v>
      </c>
      <c r="AC938" s="264">
        <v>0.13718017506954533</v>
      </c>
      <c r="AD938" s="264">
        <v>0.13275500813181804</v>
      </c>
      <c r="AE938" s="264">
        <v>0.1297796390378439</v>
      </c>
      <c r="AF938" s="264">
        <v>0.13275500813181804</v>
      </c>
      <c r="AG938" s="264">
        <v>0.1297796390378439</v>
      </c>
      <c r="AH938" s="264">
        <v>0.13718017506954533</v>
      </c>
      <c r="AI938" s="264">
        <v>0.1297796390378439</v>
      </c>
      <c r="AJ938" s="264">
        <v>0.13718017506954533</v>
      </c>
      <c r="AK938" s="264">
        <v>0.1253544721001166</v>
      </c>
      <c r="AL938" s="264">
        <v>0.1297796390378439</v>
      </c>
      <c r="AM938" s="244"/>
      <c r="AN938" s="244"/>
      <c r="AO938" s="244"/>
      <c r="AP938" s="244"/>
      <c r="AQ938" s="244"/>
      <c r="AR938" s="244"/>
      <c r="AS938" s="255"/>
      <c r="AT938" s="244"/>
      <c r="AU938" s="244"/>
      <c r="AV938" s="244"/>
      <c r="AW938" s="244"/>
      <c r="AX938" s="244"/>
      <c r="AY938" s="244"/>
      <c r="AZ938" s="255"/>
      <c r="BA938" s="244"/>
      <c r="BB938" s="244"/>
      <c r="BC938" s="244"/>
      <c r="BD938" s="244"/>
      <c r="BE938" s="244"/>
      <c r="BF938" s="244"/>
      <c r="BG938" s="244"/>
      <c r="BH938" s="255"/>
      <c r="BI938" s="244"/>
      <c r="BJ938" s="244"/>
      <c r="BK938" s="244"/>
      <c r="BL938" s="244"/>
      <c r="BM938" s="244"/>
      <c r="BN938" s="244"/>
      <c r="BO938" s="244"/>
      <c r="BP938" s="244"/>
      <c r="BQ938" s="244"/>
      <c r="BR938" s="244"/>
      <c r="BS938" s="244"/>
      <c r="BT938" s="244"/>
      <c r="BU938" s="244"/>
      <c r="BV938" s="244"/>
      <c r="BW938" s="244"/>
      <c r="BX938" s="244"/>
      <c r="BY938" s="244"/>
      <c r="BZ938" s="244"/>
      <c r="CA938" s="244"/>
      <c r="CB938" s="244"/>
      <c r="CC938" s="244"/>
      <c r="CD938" s="255"/>
      <c r="CE938" s="244"/>
      <c r="CF938" s="244"/>
      <c r="CG938" s="244"/>
      <c r="CH938" s="244"/>
      <c r="CI938" s="244"/>
      <c r="CJ938" s="244"/>
      <c r="CK938" s="244"/>
      <c r="CL938" s="244"/>
      <c r="CM938" s="244"/>
      <c r="CN938" s="244"/>
      <c r="CO938" s="244"/>
      <c r="CP938" s="244"/>
      <c r="CQ938" s="244"/>
      <c r="CR938" s="244"/>
      <c r="CS938" s="244"/>
      <c r="CT938" s="244"/>
      <c r="CU938" s="244"/>
      <c r="CV938" s="244"/>
      <c r="CW938" s="255"/>
    </row>
    <row r="939" spans="1:101">
      <c r="A939" s="221" t="s">
        <v>523</v>
      </c>
      <c r="C939" s="264">
        <v>85.213829040527344</v>
      </c>
      <c r="D939" s="264">
        <v>3.2966773509979248</v>
      </c>
      <c r="E939" s="264">
        <v>0.65933549404144287</v>
      </c>
      <c r="F939" s="264">
        <v>3.9560127258300781</v>
      </c>
      <c r="G939" s="264">
        <v>6.4499416351318359</v>
      </c>
      <c r="H939" s="264">
        <v>234.62625122070312</v>
      </c>
      <c r="I939" s="264">
        <v>406.67898559570312</v>
      </c>
      <c r="J939" s="264">
        <v>-60.093021392822266</v>
      </c>
      <c r="K939" s="264">
        <v>-158.35133361816406</v>
      </c>
      <c r="L939" s="228">
        <v>36.376492520769084</v>
      </c>
      <c r="M939" s="264">
        <v>0.64318828480154899</v>
      </c>
      <c r="N939" s="264">
        <v>6.5259545801449299</v>
      </c>
      <c r="O939" s="264">
        <v>6.029212327341245</v>
      </c>
      <c r="P939" s="264">
        <v>6.4821661620523603</v>
      </c>
      <c r="Q939" s="264">
        <v>5.787966035875554</v>
      </c>
      <c r="R939" s="264">
        <v>5.5555040852972262</v>
      </c>
      <c r="S939" s="264">
        <v>5.0936599907812612</v>
      </c>
      <c r="T939" s="264">
        <v>5.1373424899563451</v>
      </c>
      <c r="U939" s="264">
        <v>5.148782961814458</v>
      </c>
      <c r="V939" s="264">
        <v>5.2478002698577093</v>
      </c>
      <c r="W939" s="264">
        <v>5.4170375701463431</v>
      </c>
      <c r="X939" s="264">
        <v>5.8080849297035444</v>
      </c>
      <c r="Y939" s="264">
        <v>6.3918272759789865</v>
      </c>
      <c r="Z939" s="264"/>
      <c r="AA939" s="264">
        <v>1.2674607095405803</v>
      </c>
      <c r="AB939" s="264">
        <v>1.835635210807941</v>
      </c>
      <c r="AC939" s="264">
        <v>1.6584021501802955</v>
      </c>
      <c r="AD939" s="264">
        <v>1.8136043377761362</v>
      </c>
      <c r="AE939" s="264">
        <v>1.3226895994912624</v>
      </c>
      <c r="AF939" s="264">
        <v>1.0640694027311615</v>
      </c>
      <c r="AG939" s="264">
        <v>1.3463591237558403</v>
      </c>
      <c r="AH939" s="264">
        <v>1.121892933516524</v>
      </c>
      <c r="AI939" s="264">
        <v>1.0859943568454808</v>
      </c>
      <c r="AJ939" s="264">
        <v>1.0114351536151593</v>
      </c>
      <c r="AK939" s="264">
        <v>1.2569762272843739</v>
      </c>
      <c r="AL939" s="264">
        <v>1.8039699262043514</v>
      </c>
      <c r="AM939" s="244"/>
      <c r="AN939" s="244"/>
      <c r="AO939" s="244"/>
      <c r="AP939" s="244"/>
      <c r="AQ939" s="244"/>
      <c r="AR939" s="244"/>
      <c r="AS939" s="255"/>
      <c r="AT939" s="244"/>
      <c r="AU939" s="244"/>
      <c r="AV939" s="244"/>
      <c r="AW939" s="244"/>
      <c r="AX939" s="244"/>
      <c r="AY939" s="244"/>
      <c r="AZ939" s="255"/>
      <c r="BA939" s="244"/>
      <c r="BB939" s="244"/>
      <c r="BC939" s="244"/>
      <c r="BD939" s="244"/>
      <c r="BE939" s="244"/>
      <c r="BF939" s="244"/>
      <c r="BG939" s="244"/>
      <c r="BH939" s="255"/>
      <c r="BI939" s="244"/>
      <c r="BJ939" s="244"/>
      <c r="BK939" s="244"/>
      <c r="BL939" s="244"/>
      <c r="BM939" s="244"/>
      <c r="BN939" s="244"/>
      <c r="BO939" s="244"/>
      <c r="BP939" s="244"/>
      <c r="BQ939" s="244"/>
      <c r="BR939" s="244"/>
      <c r="BS939" s="244"/>
      <c r="BT939" s="244"/>
      <c r="BU939" s="244"/>
      <c r="BV939" s="244"/>
      <c r="BW939" s="244"/>
      <c r="BX939" s="244"/>
      <c r="BY939" s="244"/>
      <c r="BZ939" s="244"/>
      <c r="CA939" s="244"/>
      <c r="CB939" s="244"/>
      <c r="CC939" s="244"/>
      <c r="CD939" s="255"/>
      <c r="CE939" s="244"/>
      <c r="CF939" s="244"/>
      <c r="CG939" s="244"/>
      <c r="CH939" s="244"/>
      <c r="CI939" s="244"/>
      <c r="CJ939" s="244"/>
      <c r="CK939" s="244"/>
      <c r="CL939" s="244"/>
      <c r="CM939" s="244"/>
      <c r="CN939" s="244"/>
      <c r="CO939" s="244"/>
      <c r="CP939" s="244"/>
      <c r="CQ939" s="244"/>
      <c r="CR939" s="244"/>
      <c r="CS939" s="244"/>
      <c r="CT939" s="244"/>
      <c r="CU939" s="244"/>
      <c r="CV939" s="244"/>
      <c r="CW939" s="255"/>
    </row>
    <row r="940" spans="1:101">
      <c r="A940" s="221" t="s">
        <v>457</v>
      </c>
      <c r="C940" s="264">
        <v>288.37982177734375</v>
      </c>
      <c r="D940" s="264">
        <v>11.336667060852051</v>
      </c>
      <c r="E940" s="264">
        <v>2.2673335075378418</v>
      </c>
      <c r="F940" s="264">
        <v>13.604000091552734</v>
      </c>
      <c r="G940" s="264">
        <v>22.18016242980957</v>
      </c>
      <c r="H940" s="264">
        <v>791.17022705078125</v>
      </c>
      <c r="I940" s="264">
        <v>413.24334716796875</v>
      </c>
      <c r="J940" s="264">
        <v>-60.053031921386719</v>
      </c>
      <c r="K940" s="264">
        <v>-157.46002197265625</v>
      </c>
      <c r="L940" s="228">
        <v>35.670174056440359</v>
      </c>
      <c r="M940" s="264">
        <v>2.1766680947866481</v>
      </c>
      <c r="N940" s="264">
        <v>22.086329457725093</v>
      </c>
      <c r="O940" s="264">
        <v>20.405292444860688</v>
      </c>
      <c r="P940" s="264">
        <v>21.93820727023046</v>
      </c>
      <c r="Q940" s="264">
        <v>19.588259678034021</v>
      </c>
      <c r="R940" s="264">
        <v>18.800940856042669</v>
      </c>
      <c r="S940" s="264">
        <v>17.237737751627087</v>
      </c>
      <c r="T940" s="264">
        <v>17.385285604911218</v>
      </c>
      <c r="U940" s="264">
        <v>17.424136752471693</v>
      </c>
      <c r="V940" s="264">
        <v>17.759232275021411</v>
      </c>
      <c r="W940" s="264">
        <v>18.332292951310734</v>
      </c>
      <c r="X940" s="264">
        <v>19.656250436219317</v>
      </c>
      <c r="Y940" s="264">
        <v>21.632251358305567</v>
      </c>
      <c r="Z940" s="264"/>
      <c r="AA940" s="264">
        <v>4.2887856062585623</v>
      </c>
      <c r="AB940" s="264">
        <v>6.2125142438929082</v>
      </c>
      <c r="AC940" s="264">
        <v>5.6121687569566552</v>
      </c>
      <c r="AD940" s="264">
        <v>6.1376662382768519</v>
      </c>
      <c r="AE940" s="264">
        <v>4.4757589413136589</v>
      </c>
      <c r="AF940" s="264">
        <v>3.6001709768148205</v>
      </c>
      <c r="AG940" s="264">
        <v>4.5558903706229854</v>
      </c>
      <c r="AH940" s="264">
        <v>3.7958563592785683</v>
      </c>
      <c r="AI940" s="264">
        <v>3.6744446482203861</v>
      </c>
      <c r="AJ940" s="264">
        <v>3.4219096891683742</v>
      </c>
      <c r="AK940" s="264">
        <v>4.2533630824134692</v>
      </c>
      <c r="AL940" s="264">
        <v>6.1050980039366474</v>
      </c>
      <c r="AM940" s="244"/>
      <c r="AN940" s="244"/>
      <c r="AO940" s="244"/>
      <c r="AP940" s="244"/>
      <c r="AQ940" s="244"/>
      <c r="AR940" s="244"/>
      <c r="AS940" s="255"/>
      <c r="AT940" s="244"/>
      <c r="AU940" s="244"/>
      <c r="AV940" s="244"/>
      <c r="AW940" s="244"/>
      <c r="AX940" s="244"/>
      <c r="AY940" s="244"/>
      <c r="AZ940" s="255"/>
      <c r="BA940" s="244"/>
      <c r="BB940" s="244"/>
      <c r="BC940" s="244"/>
      <c r="BD940" s="244"/>
      <c r="BE940" s="244"/>
      <c r="BF940" s="244"/>
      <c r="BG940" s="244"/>
      <c r="BH940" s="255"/>
      <c r="BI940" s="244"/>
      <c r="BJ940" s="244"/>
      <c r="BK940" s="244"/>
      <c r="BL940" s="244"/>
      <c r="BM940" s="244"/>
      <c r="BN940" s="244"/>
      <c r="BO940" s="244"/>
      <c r="BP940" s="244"/>
      <c r="BQ940" s="244"/>
      <c r="BR940" s="244"/>
      <c r="BS940" s="244"/>
      <c r="BT940" s="244"/>
      <c r="BU940" s="244"/>
      <c r="BV940" s="244"/>
      <c r="BW940" s="244"/>
      <c r="BX940" s="244"/>
      <c r="BY940" s="244"/>
      <c r="BZ940" s="244"/>
      <c r="CA940" s="244"/>
      <c r="CB940" s="244"/>
      <c r="CC940" s="244"/>
      <c r="CD940" s="255"/>
      <c r="CE940" s="244"/>
      <c r="CF940" s="244"/>
      <c r="CG940" s="244"/>
      <c r="CH940" s="244"/>
      <c r="CI940" s="244"/>
      <c r="CJ940" s="244"/>
      <c r="CK940" s="244"/>
      <c r="CL940" s="244"/>
      <c r="CM940" s="244"/>
      <c r="CN940" s="244"/>
      <c r="CO940" s="244"/>
      <c r="CP940" s="244"/>
      <c r="CQ940" s="244"/>
      <c r="CR940" s="244"/>
      <c r="CS940" s="244"/>
      <c r="CT940" s="244"/>
      <c r="CU940" s="244"/>
      <c r="CV940" s="244"/>
      <c r="CW940" s="255"/>
    </row>
    <row r="941" spans="1:101">
      <c r="A941" s="221" t="s">
        <v>499</v>
      </c>
      <c r="C941" s="264">
        <v>78.677146911621094</v>
      </c>
      <c r="D941" s="264">
        <v>3.2966773509979248</v>
      </c>
      <c r="E941" s="264">
        <v>0.65933549404144287</v>
      </c>
      <c r="F941" s="264">
        <v>3.9560127258300781</v>
      </c>
      <c r="G941" s="264">
        <v>6.4499416351318359</v>
      </c>
      <c r="H941" s="264">
        <v>221.75552368164062</v>
      </c>
      <c r="I941" s="264">
        <v>440.46682739257812</v>
      </c>
      <c r="J941" s="264">
        <v>-59.857265472412109</v>
      </c>
      <c r="K941" s="264">
        <v>-163.07820129394531</v>
      </c>
      <c r="L941" s="228">
        <v>34.3810133846262</v>
      </c>
      <c r="M941" s="264">
        <v>0.59385657240219203</v>
      </c>
      <c r="N941" s="264">
        <v>6.0230969573332409</v>
      </c>
      <c r="O941" s="264">
        <v>5.5643990859547126</v>
      </c>
      <c r="P941" s="264">
        <v>5.9825484529255046</v>
      </c>
      <c r="Q941" s="264">
        <v>5.3427548930998645</v>
      </c>
      <c r="R941" s="264">
        <v>5.1292462837207911</v>
      </c>
      <c r="S941" s="264">
        <v>4.7032519721413646</v>
      </c>
      <c r="T941" s="264">
        <v>4.7440911154162402</v>
      </c>
      <c r="U941" s="264">
        <v>4.7544121615392942</v>
      </c>
      <c r="V941" s="264">
        <v>4.8458302164778191</v>
      </c>
      <c r="W941" s="264">
        <v>5.0014928355459869</v>
      </c>
      <c r="X941" s="264">
        <v>5.3615021615658325</v>
      </c>
      <c r="Y941" s="264">
        <v>5.8995566203298928</v>
      </c>
      <c r="Z941" s="264"/>
      <c r="AA941" s="264">
        <v>1.1712121788795709</v>
      </c>
      <c r="AB941" s="264">
        <v>1.6941512026148404</v>
      </c>
      <c r="AC941" s="264">
        <v>1.5315121437665566</v>
      </c>
      <c r="AD941" s="264">
        <v>1.6743344775402051</v>
      </c>
      <c r="AE941" s="264">
        <v>1.2220817294103605</v>
      </c>
      <c r="AF941" s="264">
        <v>0.98396200605091522</v>
      </c>
      <c r="AG941" s="264">
        <v>1.2438829653521275</v>
      </c>
      <c r="AH941" s="264">
        <v>1.03735079575317</v>
      </c>
      <c r="AI941" s="264">
        <v>1.0040693699926901</v>
      </c>
      <c r="AJ941" s="264">
        <v>0.93561169469159067</v>
      </c>
      <c r="AK941" s="264">
        <v>1.1614258610608501</v>
      </c>
      <c r="AL941" s="264">
        <v>1.6653735268929575</v>
      </c>
      <c r="AM941" s="244"/>
      <c r="AN941" s="244"/>
      <c r="AO941" s="244"/>
      <c r="AP941" s="244"/>
      <c r="AQ941" s="244"/>
      <c r="AR941" s="244"/>
      <c r="AS941" s="255"/>
      <c r="AT941" s="244"/>
      <c r="AU941" s="244"/>
      <c r="AV941" s="244"/>
      <c r="AW941" s="244"/>
      <c r="AX941" s="244"/>
      <c r="AY941" s="244"/>
      <c r="AZ941" s="255"/>
      <c r="BA941" s="244"/>
      <c r="BB941" s="244"/>
      <c r="BC941" s="244"/>
      <c r="BD941" s="244"/>
      <c r="BE941" s="244"/>
      <c r="BF941" s="244"/>
      <c r="BG941" s="244"/>
      <c r="BH941" s="255"/>
      <c r="BI941" s="244"/>
      <c r="BJ941" s="244"/>
      <c r="BK941" s="244"/>
      <c r="BL941" s="244"/>
      <c r="BM941" s="244"/>
      <c r="BN941" s="244"/>
      <c r="BO941" s="244"/>
      <c r="BP941" s="244"/>
      <c r="BQ941" s="244"/>
      <c r="BR941" s="244"/>
      <c r="BS941" s="244"/>
      <c r="BT941" s="244"/>
      <c r="BU941" s="244"/>
      <c r="BV941" s="244"/>
      <c r="BW941" s="244"/>
      <c r="BX941" s="244"/>
      <c r="BY941" s="244"/>
      <c r="BZ941" s="244"/>
      <c r="CA941" s="244"/>
      <c r="CB941" s="244"/>
      <c r="CC941" s="244"/>
      <c r="CD941" s="255"/>
      <c r="CE941" s="244"/>
      <c r="CF941" s="244"/>
      <c r="CG941" s="244"/>
      <c r="CH941" s="244"/>
      <c r="CI941" s="244"/>
      <c r="CJ941" s="244"/>
      <c r="CK941" s="244"/>
      <c r="CL941" s="244"/>
      <c r="CM941" s="244"/>
      <c r="CN941" s="244"/>
      <c r="CO941" s="244"/>
      <c r="CP941" s="244"/>
      <c r="CQ941" s="244"/>
      <c r="CR941" s="244"/>
      <c r="CS941" s="244"/>
      <c r="CT941" s="244"/>
      <c r="CU941" s="244"/>
      <c r="CV941" s="244"/>
      <c r="CW941" s="255"/>
    </row>
    <row r="942" spans="1:101">
      <c r="A942" s="221" t="s">
        <v>554</v>
      </c>
      <c r="C942" s="264">
        <v>5.898374080657959</v>
      </c>
      <c r="D942" s="264">
        <v>3.2966773509979248</v>
      </c>
      <c r="E942" s="264">
        <v>0.65933549404144287</v>
      </c>
      <c r="F942" s="264">
        <v>3.9560127258300781</v>
      </c>
      <c r="G942" s="264">
        <v>6.4499416351318359</v>
      </c>
      <c r="H942" s="264">
        <v>216.82777404785156</v>
      </c>
      <c r="I942" s="264">
        <v>5875.29248046875</v>
      </c>
      <c r="J942" s="264">
        <v>-17.67559814453125</v>
      </c>
      <c r="K942" s="264">
        <v>-2806.4228515625</v>
      </c>
      <c r="L942" s="228">
        <v>33.617014247450527</v>
      </c>
      <c r="M942" s="264">
        <v>0.50838760051159204</v>
      </c>
      <c r="N942" s="264">
        <v>0.38142969029418028</v>
      </c>
      <c r="O942" s="264">
        <v>0.34516919473415814</v>
      </c>
      <c r="P942" s="264">
        <v>0.37469178745356224</v>
      </c>
      <c r="Q942" s="264">
        <v>0.36260495560022155</v>
      </c>
      <c r="R942" s="264">
        <v>0.38142969029418028</v>
      </c>
      <c r="S942" s="264">
        <v>0.36260495560022155</v>
      </c>
      <c r="T942" s="264">
        <v>0.38142969029418028</v>
      </c>
      <c r="U942" s="264">
        <v>0.37469178745356224</v>
      </c>
      <c r="V942" s="264">
        <v>0.38142969029418028</v>
      </c>
      <c r="W942" s="264">
        <v>0.37469178745356224</v>
      </c>
      <c r="X942" s="264">
        <v>0.36934285844083953</v>
      </c>
      <c r="Y942" s="264">
        <v>0.38142969029418028</v>
      </c>
      <c r="Z942" s="264"/>
      <c r="AA942" s="264">
        <v>0.11815935964390273</v>
      </c>
      <c r="AB942" s="264">
        <v>0.106072527790562</v>
      </c>
      <c r="AC942" s="264">
        <v>0.12489726248452074</v>
      </c>
      <c r="AD942" s="264">
        <v>0.12086831853340715</v>
      </c>
      <c r="AE942" s="264">
        <v>0.11815935964390273</v>
      </c>
      <c r="AF942" s="264">
        <v>0.12086831853340715</v>
      </c>
      <c r="AG942" s="264">
        <v>0.11815935964390273</v>
      </c>
      <c r="AH942" s="264">
        <v>0.12489726248452074</v>
      </c>
      <c r="AI942" s="264">
        <v>0.11815935964390273</v>
      </c>
      <c r="AJ942" s="264">
        <v>0.12489726248452074</v>
      </c>
      <c r="AK942" s="264">
        <v>0.11413041569278914</v>
      </c>
      <c r="AL942" s="264">
        <v>0.11815935964390273</v>
      </c>
      <c r="AM942" s="244"/>
      <c r="AN942" s="244"/>
      <c r="AO942" s="244"/>
      <c r="AP942" s="244"/>
      <c r="AQ942" s="244"/>
      <c r="AR942" s="244"/>
      <c r="AS942" s="255"/>
      <c r="AT942" s="244"/>
      <c r="AU942" s="244"/>
      <c r="AV942" s="244"/>
      <c r="AW942" s="244"/>
      <c r="AX942" s="244"/>
      <c r="AY942" s="244"/>
      <c r="AZ942" s="255"/>
      <c r="BA942" s="244"/>
      <c r="BB942" s="244"/>
      <c r="BC942" s="244"/>
      <c r="BD942" s="244"/>
      <c r="BE942" s="244"/>
      <c r="BF942" s="244"/>
      <c r="BG942" s="244"/>
      <c r="BH942" s="255"/>
      <c r="BI942" s="244"/>
      <c r="BJ942" s="244"/>
      <c r="BK942" s="244"/>
      <c r="BL942" s="244"/>
      <c r="BM942" s="244"/>
      <c r="BN942" s="244"/>
      <c r="BO942" s="244"/>
      <c r="BP942" s="244"/>
      <c r="BQ942" s="244"/>
      <c r="BR942" s="244"/>
      <c r="BS942" s="244"/>
      <c r="BT942" s="244"/>
      <c r="BU942" s="244"/>
      <c r="BV942" s="244"/>
      <c r="BW942" s="244"/>
      <c r="BX942" s="244"/>
      <c r="BY942" s="244"/>
      <c r="BZ942" s="244"/>
      <c r="CA942" s="244"/>
      <c r="CB942" s="244"/>
      <c r="CC942" s="244"/>
      <c r="CD942" s="255"/>
      <c r="CE942" s="244"/>
      <c r="CF942" s="244"/>
      <c r="CG942" s="244"/>
      <c r="CH942" s="244"/>
      <c r="CI942" s="244"/>
      <c r="CJ942" s="244"/>
      <c r="CK942" s="244"/>
      <c r="CL942" s="244"/>
      <c r="CM942" s="244"/>
      <c r="CN942" s="244"/>
      <c r="CO942" s="244"/>
      <c r="CP942" s="244"/>
      <c r="CQ942" s="244"/>
      <c r="CR942" s="244"/>
      <c r="CS942" s="244"/>
      <c r="CT942" s="244"/>
      <c r="CU942" s="244"/>
      <c r="CV942" s="244"/>
      <c r="CW942" s="255"/>
    </row>
    <row r="943" spans="1:101">
      <c r="A943" s="221" t="s">
        <v>530</v>
      </c>
      <c r="C943" s="264">
        <v>5.8165359497070313</v>
      </c>
      <c r="D943" s="264">
        <v>3.2966773509979248</v>
      </c>
      <c r="E943" s="264">
        <v>0.65933549404144287</v>
      </c>
      <c r="F943" s="264">
        <v>3.9560127258300781</v>
      </c>
      <c r="G943" s="264">
        <v>6.4499416351318359</v>
      </c>
      <c r="H943" s="264">
        <v>216.35699462890625</v>
      </c>
      <c r="I943" s="264">
        <v>5957.95703125</v>
      </c>
      <c r="J943" s="264">
        <v>-17.139930725097656</v>
      </c>
      <c r="K943" s="264">
        <v>-2840.196533203125</v>
      </c>
      <c r="L943" s="228">
        <v>33.544023077575218</v>
      </c>
      <c r="M943" s="264">
        <v>0.53006938038183271</v>
      </c>
      <c r="N943" s="264">
        <v>0.37613748818436304</v>
      </c>
      <c r="O943" s="264">
        <v>0.34038009418142678</v>
      </c>
      <c r="P943" s="264">
        <v>0.36949307136367537</v>
      </c>
      <c r="Q943" s="264">
        <v>0.35757394002936327</v>
      </c>
      <c r="R943" s="264">
        <v>0.37613748818436304</v>
      </c>
      <c r="S943" s="264">
        <v>0.35757394002936327</v>
      </c>
      <c r="T943" s="264">
        <v>0.37613748818436304</v>
      </c>
      <c r="U943" s="264">
        <v>0.36949307136367537</v>
      </c>
      <c r="V943" s="264">
        <v>0.37613748818436304</v>
      </c>
      <c r="W943" s="264">
        <v>0.36949307136367537</v>
      </c>
      <c r="X943" s="264">
        <v>0.36421835685005088</v>
      </c>
      <c r="Y943" s="264">
        <v>0.37613748818436304</v>
      </c>
      <c r="Z943" s="264"/>
      <c r="AA943" s="264">
        <v>0.11651994030053744</v>
      </c>
      <c r="AB943" s="264">
        <v>0.10460080896622533</v>
      </c>
      <c r="AC943" s="264">
        <v>0.12316435712122512</v>
      </c>
      <c r="AD943" s="264">
        <v>0.11919131334312108</v>
      </c>
      <c r="AE943" s="264">
        <v>0.11651994030053744</v>
      </c>
      <c r="AF943" s="264">
        <v>0.11919131334312108</v>
      </c>
      <c r="AG943" s="264">
        <v>0.11651994030053744</v>
      </c>
      <c r="AH943" s="264">
        <v>0.12316435712122512</v>
      </c>
      <c r="AI943" s="264">
        <v>0.11651994030053744</v>
      </c>
      <c r="AJ943" s="264">
        <v>0.12316435712122512</v>
      </c>
      <c r="AK943" s="264">
        <v>0.11254689652243338</v>
      </c>
      <c r="AL943" s="264">
        <v>0.11651994030053744</v>
      </c>
      <c r="AM943" s="244"/>
      <c r="AN943" s="244"/>
      <c r="AO943" s="244"/>
      <c r="AP943" s="244"/>
      <c r="AQ943" s="244"/>
      <c r="AR943" s="244"/>
      <c r="AS943" s="255"/>
      <c r="AT943" s="244"/>
      <c r="AU943" s="244"/>
      <c r="AV943" s="244"/>
      <c r="AW943" s="244"/>
      <c r="AX943" s="244"/>
      <c r="AY943" s="244"/>
      <c r="AZ943" s="255"/>
      <c r="BA943" s="244"/>
      <c r="BB943" s="244"/>
      <c r="BC943" s="244"/>
      <c r="BD943" s="244"/>
      <c r="BE943" s="244"/>
      <c r="BF943" s="244"/>
      <c r="BG943" s="244"/>
      <c r="BH943" s="255"/>
      <c r="BI943" s="244"/>
      <c r="BJ943" s="244"/>
      <c r="BK943" s="244"/>
      <c r="BL943" s="244"/>
      <c r="BM943" s="244"/>
      <c r="BN943" s="244"/>
      <c r="BO943" s="244"/>
      <c r="BP943" s="244"/>
      <c r="BQ943" s="244"/>
      <c r="BR943" s="244"/>
      <c r="BS943" s="244"/>
      <c r="BT943" s="244"/>
      <c r="BU943" s="244"/>
      <c r="BV943" s="244"/>
      <c r="BW943" s="244"/>
      <c r="BX943" s="244"/>
      <c r="BY943" s="244"/>
      <c r="BZ943" s="244"/>
      <c r="CA943" s="244"/>
      <c r="CB943" s="244"/>
      <c r="CC943" s="244"/>
      <c r="CD943" s="255"/>
      <c r="CE943" s="244"/>
      <c r="CF943" s="244"/>
      <c r="CG943" s="244"/>
      <c r="CH943" s="244"/>
      <c r="CI943" s="244"/>
      <c r="CJ943" s="244"/>
      <c r="CK943" s="244"/>
      <c r="CL943" s="244"/>
      <c r="CM943" s="244"/>
      <c r="CN943" s="244"/>
      <c r="CO943" s="244"/>
      <c r="CP943" s="244"/>
      <c r="CQ943" s="244"/>
      <c r="CR943" s="244"/>
      <c r="CS943" s="244"/>
      <c r="CT943" s="244"/>
      <c r="CU943" s="244"/>
      <c r="CV943" s="244"/>
      <c r="CW943" s="255"/>
    </row>
    <row r="944" spans="1:101">
      <c r="A944" s="221" t="s">
        <v>496</v>
      </c>
      <c r="C944" s="264">
        <v>78.447372436523438</v>
      </c>
      <c r="D944" s="264">
        <v>3.2966773509979248</v>
      </c>
      <c r="E944" s="264">
        <v>0.65933549404144287</v>
      </c>
      <c r="F944" s="264">
        <v>3.9560127258300781</v>
      </c>
      <c r="G944" s="264">
        <v>6.4499416351318359</v>
      </c>
      <c r="H944" s="264">
        <v>215.99562072753906</v>
      </c>
      <c r="I944" s="264">
        <v>441.7569580078125</v>
      </c>
      <c r="J944" s="264">
        <v>-59.865707397460938</v>
      </c>
      <c r="K944" s="264">
        <v>-157.82745361328125</v>
      </c>
      <c r="L944" s="228">
        <v>33.487996929584433</v>
      </c>
      <c r="M944" s="264">
        <v>0.59211556604121995</v>
      </c>
      <c r="N944" s="264">
        <v>6.0077575750218211</v>
      </c>
      <c r="O944" s="264">
        <v>5.5504594134326446</v>
      </c>
      <c r="P944" s="264">
        <v>5.9674462003006052</v>
      </c>
      <c r="Q944" s="264">
        <v>5.328369416145728</v>
      </c>
      <c r="R944" s="264">
        <v>5.1143662343368401</v>
      </c>
      <c r="S944" s="264">
        <v>4.6891951236231399</v>
      </c>
      <c r="T944" s="264">
        <v>4.7294089899766458</v>
      </c>
      <c r="U944" s="264">
        <v>4.7399410248879086</v>
      </c>
      <c r="V944" s="264">
        <v>4.831095809241603</v>
      </c>
      <c r="W944" s="264">
        <v>4.9868947288170897</v>
      </c>
      <c r="X944" s="264">
        <v>5.3468907581673095</v>
      </c>
      <c r="Y944" s="264">
        <v>5.8842807230572296</v>
      </c>
      <c r="Z944" s="264"/>
      <c r="AA944" s="264">
        <v>1.1668172962699115</v>
      </c>
      <c r="AB944" s="264">
        <v>1.68987558942883</v>
      </c>
      <c r="AC944" s="264">
        <v>1.5267158172524207</v>
      </c>
      <c r="AD944" s="264">
        <v>1.6695940899614783</v>
      </c>
      <c r="AE944" s="264">
        <v>1.2176607059023898</v>
      </c>
      <c r="AF944" s="264">
        <v>0.9795763878064121</v>
      </c>
      <c r="AG944" s="264">
        <v>1.2394507386020235</v>
      </c>
      <c r="AH944" s="264">
        <v>1.0328084093940575</v>
      </c>
      <c r="AI944" s="264">
        <v>0.99976037890605318</v>
      </c>
      <c r="AJ944" s="264">
        <v>0.93112159012910045</v>
      </c>
      <c r="AK944" s="264">
        <v>1.1571653400815334</v>
      </c>
      <c r="AL944" s="264">
        <v>1.6607247041282747</v>
      </c>
      <c r="AM944" s="244"/>
      <c r="AN944" s="244"/>
      <c r="AO944" s="244"/>
      <c r="AP944" s="244"/>
      <c r="AQ944" s="244"/>
      <c r="AR944" s="244"/>
      <c r="AS944" s="255"/>
      <c r="AT944" s="244"/>
      <c r="AU944" s="244"/>
      <c r="AV944" s="244"/>
      <c r="AW944" s="244"/>
      <c r="AX944" s="244"/>
      <c r="AY944" s="244"/>
      <c r="AZ944" s="255"/>
      <c r="BA944" s="244"/>
      <c r="BB944" s="244"/>
      <c r="BC944" s="244"/>
      <c r="BD944" s="244"/>
      <c r="BE944" s="244"/>
      <c r="BF944" s="244"/>
      <c r="BG944" s="244"/>
      <c r="BH944" s="255"/>
      <c r="BI944" s="244"/>
      <c r="BJ944" s="244"/>
      <c r="BK944" s="244"/>
      <c r="BL944" s="244"/>
      <c r="BM944" s="244"/>
      <c r="BN944" s="244"/>
      <c r="BO944" s="244"/>
      <c r="BP944" s="244"/>
      <c r="BQ944" s="244"/>
      <c r="BR944" s="244"/>
      <c r="BS944" s="244"/>
      <c r="BT944" s="244"/>
      <c r="BU944" s="244"/>
      <c r="BV944" s="244"/>
      <c r="BW944" s="244"/>
      <c r="BX944" s="244"/>
      <c r="BY944" s="244"/>
      <c r="BZ944" s="244"/>
      <c r="CA944" s="244"/>
      <c r="CB944" s="244"/>
      <c r="CC944" s="244"/>
      <c r="CD944" s="255"/>
      <c r="CE944" s="244"/>
      <c r="CF944" s="244"/>
      <c r="CG944" s="244"/>
      <c r="CH944" s="244"/>
      <c r="CI944" s="244"/>
      <c r="CJ944" s="244"/>
      <c r="CK944" s="244"/>
      <c r="CL944" s="244"/>
      <c r="CM944" s="244"/>
      <c r="CN944" s="244"/>
      <c r="CO944" s="244"/>
      <c r="CP944" s="244"/>
      <c r="CQ944" s="244"/>
      <c r="CR944" s="244"/>
      <c r="CS944" s="244"/>
      <c r="CT944" s="244"/>
      <c r="CU944" s="244"/>
      <c r="CV944" s="244"/>
      <c r="CW944" s="255"/>
    </row>
    <row r="945" spans="1:101">
      <c r="A945" s="221" t="s">
        <v>474</v>
      </c>
      <c r="C945" s="264">
        <v>34.399967193603516</v>
      </c>
      <c r="D945" s="264">
        <v>3.2966773509979248</v>
      </c>
      <c r="E945" s="264">
        <v>0.65933549404144287</v>
      </c>
      <c r="F945" s="264">
        <v>3.9560127258300781</v>
      </c>
      <c r="G945" s="264">
        <v>6.4499416351318359</v>
      </c>
      <c r="H945" s="264">
        <v>214.84027099609375</v>
      </c>
      <c r="I945" s="264">
        <v>1007.4042358398437</v>
      </c>
      <c r="J945" s="264">
        <v>-55.48040771484375</v>
      </c>
      <c r="K945" s="264">
        <v>-429.6796875</v>
      </c>
      <c r="L945" s="228">
        <v>33.308869985307183</v>
      </c>
      <c r="M945" s="264">
        <v>0.53278261149561246</v>
      </c>
      <c r="N945" s="264">
        <v>2.5921889251070178</v>
      </c>
      <c r="O945" s="264">
        <v>2.3905303225847203</v>
      </c>
      <c r="P945" s="264">
        <v>2.5722824868949172</v>
      </c>
      <c r="Q945" s="264">
        <v>2.3136714080286804</v>
      </c>
      <c r="R945" s="264">
        <v>2.2408283281348842</v>
      </c>
      <c r="S945" s="264">
        <v>2.0622914687315448</v>
      </c>
      <c r="T945" s="264">
        <v>2.0894290465127456</v>
      </c>
      <c r="U945" s="264">
        <v>2.0895187398356452</v>
      </c>
      <c r="V945" s="264">
        <v>2.1294213095827446</v>
      </c>
      <c r="W945" s="264">
        <v>2.1866428072913568</v>
      </c>
      <c r="X945" s="264">
        <v>2.3250080755829243</v>
      </c>
      <c r="Y945" s="264">
        <v>2.5436268913791613</v>
      </c>
      <c r="Z945" s="264"/>
      <c r="AA945" s="264">
        <v>0.52996151047645235</v>
      </c>
      <c r="AB945" s="264">
        <v>0.72840486669591709</v>
      </c>
      <c r="AC945" s="264">
        <v>0.67555791833712053</v>
      </c>
      <c r="AD945" s="264">
        <v>0.72932714612670435</v>
      </c>
      <c r="AE945" s="264">
        <v>0.54995764201145159</v>
      </c>
      <c r="AF945" s="264">
        <v>0.45795107529456902</v>
      </c>
      <c r="AG945" s="264">
        <v>0.5585274126693085</v>
      </c>
      <c r="AH945" s="264">
        <v>0.4813097834256973</v>
      </c>
      <c r="AI945" s="264">
        <v>0.46425993543288258</v>
      </c>
      <c r="AJ945" s="264">
        <v>0.44131752035569838</v>
      </c>
      <c r="AK945" s="264">
        <v>0.52374234366103778</v>
      </c>
      <c r="AL945" s="264">
        <v>0.72420964538787547</v>
      </c>
      <c r="AM945" s="244"/>
      <c r="AN945" s="244"/>
      <c r="AO945" s="244"/>
      <c r="AP945" s="244"/>
      <c r="AQ945" s="244"/>
      <c r="AR945" s="244"/>
      <c r="AS945" s="255"/>
      <c r="AT945" s="244"/>
      <c r="AU945" s="244"/>
      <c r="AV945" s="244"/>
      <c r="AW945" s="244"/>
      <c r="AX945" s="244"/>
      <c r="AY945" s="244"/>
      <c r="AZ945" s="255"/>
      <c r="BA945" s="244"/>
      <c r="BB945" s="244"/>
      <c r="BC945" s="244"/>
      <c r="BD945" s="244"/>
      <c r="BE945" s="244"/>
      <c r="BF945" s="244"/>
      <c r="BG945" s="244"/>
      <c r="BH945" s="255"/>
      <c r="BI945" s="244"/>
      <c r="BJ945" s="244"/>
      <c r="BK945" s="244"/>
      <c r="BL945" s="244"/>
      <c r="BM945" s="244"/>
      <c r="BN945" s="244"/>
      <c r="BO945" s="244"/>
      <c r="BP945" s="244"/>
      <c r="BQ945" s="244"/>
      <c r="BR945" s="244"/>
      <c r="BS945" s="244"/>
      <c r="BT945" s="244"/>
      <c r="BU945" s="244"/>
      <c r="BV945" s="244"/>
      <c r="BW945" s="244"/>
      <c r="BX945" s="244"/>
      <c r="BY945" s="244"/>
      <c r="BZ945" s="244"/>
      <c r="CA945" s="244"/>
      <c r="CB945" s="244"/>
      <c r="CC945" s="244"/>
      <c r="CD945" s="255"/>
      <c r="CE945" s="244"/>
      <c r="CF945" s="244"/>
      <c r="CG945" s="244"/>
      <c r="CH945" s="244"/>
      <c r="CI945" s="244"/>
      <c r="CJ945" s="244"/>
      <c r="CK945" s="244"/>
      <c r="CL945" s="244"/>
      <c r="CM945" s="244"/>
      <c r="CN945" s="244"/>
      <c r="CO945" s="244"/>
      <c r="CP945" s="244"/>
      <c r="CQ945" s="244"/>
      <c r="CR945" s="244"/>
      <c r="CS945" s="244"/>
      <c r="CT945" s="244"/>
      <c r="CU945" s="244"/>
      <c r="CV945" s="244"/>
      <c r="CW945" s="255"/>
    </row>
    <row r="946" spans="1:101">
      <c r="A946" s="221" t="s">
        <v>466</v>
      </c>
      <c r="C946" s="264">
        <v>192.25323486328125</v>
      </c>
      <c r="D946" s="264">
        <v>8.1096944808959961</v>
      </c>
      <c r="E946" s="264">
        <v>1.621938943862915</v>
      </c>
      <c r="F946" s="264">
        <v>9.731633186340332</v>
      </c>
      <c r="G946" s="264">
        <v>15.866598129272461</v>
      </c>
      <c r="H946" s="264">
        <v>527.44683837890625</v>
      </c>
      <c r="I946" s="264">
        <v>443.42092895507812</v>
      </c>
      <c r="J946" s="264">
        <v>-59.857471466064453</v>
      </c>
      <c r="K946" s="264">
        <v>-157.00932312011719</v>
      </c>
      <c r="L946" s="228">
        <v>33.242591372473029</v>
      </c>
      <c r="M946" s="264">
        <v>1.4511120631910981</v>
      </c>
      <c r="N946" s="264">
        <v>14.724219638483381</v>
      </c>
      <c r="O946" s="264">
        <v>13.603528296573781</v>
      </c>
      <c r="P946" s="264">
        <v>14.625471513486964</v>
      </c>
      <c r="Q946" s="264">
        <v>13.058839785356003</v>
      </c>
      <c r="R946" s="264">
        <v>12.533960570695104</v>
      </c>
      <c r="S946" s="264">
        <v>11.491825167751381</v>
      </c>
      <c r="T946" s="264">
        <v>11.590190403274137</v>
      </c>
      <c r="U946" s="264">
        <v>11.616091168314453</v>
      </c>
      <c r="V946" s="264">
        <v>11.8394881833476</v>
      </c>
      <c r="W946" s="264">
        <v>12.221528634207147</v>
      </c>
      <c r="X946" s="264">
        <v>13.104166957479535</v>
      </c>
      <c r="Y946" s="264">
        <v>14.421500905537034</v>
      </c>
      <c r="Z946" s="264"/>
      <c r="AA946" s="264">
        <v>2.8591904041723728</v>
      </c>
      <c r="AB946" s="264">
        <v>4.1416761625952692</v>
      </c>
      <c r="AC946" s="264">
        <v>3.7414458379711002</v>
      </c>
      <c r="AD946" s="264">
        <v>4.0917774921845647</v>
      </c>
      <c r="AE946" s="264">
        <v>2.9838392942091034</v>
      </c>
      <c r="AF946" s="264">
        <v>2.4001139845432116</v>
      </c>
      <c r="AG946" s="264">
        <v>3.0372602470819881</v>
      </c>
      <c r="AH946" s="264">
        <v>2.5305709061857105</v>
      </c>
      <c r="AI946" s="264">
        <v>2.4496297654802555</v>
      </c>
      <c r="AJ946" s="264">
        <v>2.2812731261122479</v>
      </c>
      <c r="AK946" s="264">
        <v>2.835575388275644</v>
      </c>
      <c r="AL946" s="264">
        <v>4.0700653359577617</v>
      </c>
      <c r="AM946" s="244"/>
      <c r="AN946" s="244"/>
      <c r="AO946" s="244"/>
      <c r="AP946" s="244"/>
      <c r="AQ946" s="244"/>
      <c r="AR946" s="244"/>
      <c r="AS946" s="255"/>
      <c r="AT946" s="244"/>
      <c r="AU946" s="244"/>
      <c r="AV946" s="244"/>
      <c r="AW946" s="244"/>
      <c r="AX946" s="244"/>
      <c r="AY946" s="244"/>
      <c r="AZ946" s="255"/>
      <c r="BA946" s="244"/>
      <c r="BB946" s="244"/>
      <c r="BC946" s="244"/>
      <c r="BD946" s="244"/>
      <c r="BE946" s="244"/>
      <c r="BF946" s="244"/>
      <c r="BG946" s="244"/>
      <c r="BH946" s="255"/>
      <c r="BI946" s="244"/>
      <c r="BJ946" s="244"/>
      <c r="BK946" s="244"/>
      <c r="BL946" s="244"/>
      <c r="BM946" s="244"/>
      <c r="BN946" s="244"/>
      <c r="BO946" s="244"/>
      <c r="BP946" s="244"/>
      <c r="BQ946" s="244"/>
      <c r="BR946" s="244"/>
      <c r="BS946" s="244"/>
      <c r="BT946" s="244"/>
      <c r="BU946" s="244"/>
      <c r="BV946" s="244"/>
      <c r="BW946" s="244"/>
      <c r="BX946" s="244"/>
      <c r="BY946" s="244"/>
      <c r="BZ946" s="244"/>
      <c r="CA946" s="244"/>
      <c r="CB946" s="244"/>
      <c r="CC946" s="244"/>
      <c r="CD946" s="255"/>
      <c r="CE946" s="244"/>
      <c r="CF946" s="244"/>
      <c r="CG946" s="244"/>
      <c r="CH946" s="244"/>
      <c r="CI946" s="244"/>
      <c r="CJ946" s="244"/>
      <c r="CK946" s="244"/>
      <c r="CL946" s="244"/>
      <c r="CM946" s="244"/>
      <c r="CN946" s="244"/>
      <c r="CO946" s="244"/>
      <c r="CP946" s="244"/>
      <c r="CQ946" s="244"/>
      <c r="CR946" s="244"/>
      <c r="CS946" s="244"/>
      <c r="CT946" s="244"/>
      <c r="CU946" s="244"/>
      <c r="CV946" s="244"/>
      <c r="CW946" s="255"/>
    </row>
    <row r="947" spans="1:101">
      <c r="A947" s="221" t="s">
        <v>551</v>
      </c>
      <c r="C947" s="264">
        <v>5.5925321578979492</v>
      </c>
      <c r="D947" s="264">
        <v>3.2966773509979248</v>
      </c>
      <c r="E947" s="264">
        <v>0.65933549404144287</v>
      </c>
      <c r="F947" s="264">
        <v>3.9560127258300781</v>
      </c>
      <c r="G947" s="264">
        <v>6.4499416351318359</v>
      </c>
      <c r="H947" s="264">
        <v>207.68690490722656</v>
      </c>
      <c r="I947" s="264">
        <v>6196.59765625</v>
      </c>
      <c r="J947" s="264">
        <v>-15.593524932861328</v>
      </c>
      <c r="K947" s="264">
        <v>-2831.784912109375</v>
      </c>
      <c r="L947" s="228">
        <v>32.199811798706875</v>
      </c>
      <c r="M947" s="264">
        <v>0.50583006218098103</v>
      </c>
      <c r="N947" s="264">
        <v>0.36165185450114873</v>
      </c>
      <c r="O947" s="264">
        <v>0.32727153278497961</v>
      </c>
      <c r="P947" s="264">
        <v>0.35526332440041464</v>
      </c>
      <c r="Q947" s="264">
        <v>0.3438032171616916</v>
      </c>
      <c r="R947" s="264">
        <v>0.36165185450114873</v>
      </c>
      <c r="S947" s="264">
        <v>0.3438032171616916</v>
      </c>
      <c r="T947" s="264">
        <v>0.36165185450114873</v>
      </c>
      <c r="U947" s="264">
        <v>0.35526332440041464</v>
      </c>
      <c r="V947" s="264">
        <v>0.36165185450114873</v>
      </c>
      <c r="W947" s="264">
        <v>0.35526332440041464</v>
      </c>
      <c r="X947" s="264">
        <v>0.35019174726242569</v>
      </c>
      <c r="Y947" s="264">
        <v>0.36165185450114873</v>
      </c>
      <c r="Z947" s="264"/>
      <c r="AA947" s="264">
        <v>0.11203257803273742</v>
      </c>
      <c r="AB947" s="264">
        <v>0.10057247079401437</v>
      </c>
      <c r="AC947" s="264">
        <v>0.11842110813347155</v>
      </c>
      <c r="AD947" s="264">
        <v>0.11460107238723052</v>
      </c>
      <c r="AE947" s="264">
        <v>0.11203257803273742</v>
      </c>
      <c r="AF947" s="264">
        <v>0.11460107238723052</v>
      </c>
      <c r="AG947" s="264">
        <v>0.11203257803273742</v>
      </c>
      <c r="AH947" s="264">
        <v>0.11842110813347155</v>
      </c>
      <c r="AI947" s="264">
        <v>0.11203257803273742</v>
      </c>
      <c r="AJ947" s="264">
        <v>0.11842110813347155</v>
      </c>
      <c r="AK947" s="264">
        <v>0.10821254228649639</v>
      </c>
      <c r="AL947" s="264">
        <v>0.11203257803273742</v>
      </c>
      <c r="AM947" s="244"/>
      <c r="AN947" s="244"/>
      <c r="AO947" s="244"/>
      <c r="AP947" s="244"/>
      <c r="AQ947" s="244"/>
      <c r="AR947" s="244"/>
      <c r="AS947" s="255"/>
      <c r="AT947" s="244"/>
      <c r="AU947" s="244"/>
      <c r="AV947" s="244"/>
      <c r="AW947" s="244"/>
      <c r="AX947" s="244"/>
      <c r="AY947" s="244"/>
      <c r="AZ947" s="255"/>
      <c r="BA947" s="244"/>
      <c r="BB947" s="244"/>
      <c r="BC947" s="244"/>
      <c r="BD947" s="244"/>
      <c r="BE947" s="244"/>
      <c r="BF947" s="244"/>
      <c r="BG947" s="244"/>
      <c r="BH947" s="255"/>
      <c r="BI947" s="244"/>
      <c r="BJ947" s="244"/>
      <c r="BK947" s="244"/>
      <c r="BL947" s="244"/>
      <c r="BM947" s="244"/>
      <c r="BN947" s="244"/>
      <c r="BO947" s="244"/>
      <c r="BP947" s="244"/>
      <c r="BQ947" s="244"/>
      <c r="BR947" s="244"/>
      <c r="BS947" s="244"/>
      <c r="BT947" s="244"/>
      <c r="BU947" s="244"/>
      <c r="BV947" s="244"/>
      <c r="BW947" s="244"/>
      <c r="BX947" s="244"/>
      <c r="BY947" s="244"/>
      <c r="BZ947" s="244"/>
      <c r="CA947" s="244"/>
      <c r="CB947" s="244"/>
      <c r="CC947" s="244"/>
      <c r="CD947" s="255"/>
      <c r="CE947" s="244"/>
      <c r="CF947" s="244"/>
      <c r="CG947" s="244"/>
      <c r="CH947" s="244"/>
      <c r="CI947" s="244"/>
      <c r="CJ947" s="244"/>
      <c r="CK947" s="244"/>
      <c r="CL947" s="244"/>
      <c r="CM947" s="244"/>
      <c r="CN947" s="244"/>
      <c r="CO947" s="244"/>
      <c r="CP947" s="244"/>
      <c r="CQ947" s="244"/>
      <c r="CR947" s="244"/>
      <c r="CS947" s="244"/>
      <c r="CT947" s="244"/>
      <c r="CU947" s="244"/>
      <c r="CV947" s="244"/>
      <c r="CW947" s="255"/>
    </row>
    <row r="948" spans="1:101">
      <c r="A948" s="221" t="s">
        <v>471</v>
      </c>
      <c r="C948" s="264">
        <v>34.129562377929688</v>
      </c>
      <c r="D948" s="264">
        <v>3.2966773509979248</v>
      </c>
      <c r="E948" s="264">
        <v>0.65933549404144287</v>
      </c>
      <c r="F948" s="264">
        <v>3.9560127258300781</v>
      </c>
      <c r="G948" s="264">
        <v>6.4499416351318359</v>
      </c>
      <c r="H948" s="264">
        <v>207.19386291503906</v>
      </c>
      <c r="I948" s="264">
        <v>1015.3858032226562</v>
      </c>
      <c r="J948" s="264">
        <v>-55.475048065185547</v>
      </c>
      <c r="K948" s="264">
        <v>-415.54733276367188</v>
      </c>
      <c r="L948" s="228">
        <v>32.123371607131929</v>
      </c>
      <c r="M948" s="264">
        <v>0.53059233161130259</v>
      </c>
      <c r="N948" s="264">
        <v>2.5745137590135778</v>
      </c>
      <c r="O948" s="264">
        <v>2.3745124357586</v>
      </c>
      <c r="P948" s="264">
        <v>2.5549062487602727</v>
      </c>
      <c r="Q948" s="264">
        <v>2.2969459488054444</v>
      </c>
      <c r="R948" s="264">
        <v>2.2233337195958196</v>
      </c>
      <c r="S948" s="264">
        <v>2.0456951888968042</v>
      </c>
      <c r="T948" s="264">
        <v>2.0720122391962978</v>
      </c>
      <c r="U948" s="264">
        <v>2.0723905848448165</v>
      </c>
      <c r="V948" s="264">
        <v>2.1119839509999454</v>
      </c>
      <c r="W948" s="264">
        <v>2.1694647420822459</v>
      </c>
      <c r="X948" s="264">
        <v>2.307988092243682</v>
      </c>
      <c r="Y948" s="264">
        <v>2.5259766803948631</v>
      </c>
      <c r="Z948" s="264"/>
      <c r="AA948" s="264">
        <v>0.52462640808159422</v>
      </c>
      <c r="AB948" s="264">
        <v>0.72348567159702026</v>
      </c>
      <c r="AC948" s="264">
        <v>0.66985929828921909</v>
      </c>
      <c r="AD948" s="264">
        <v>0.723773522950375</v>
      </c>
      <c r="AE948" s="264">
        <v>0.54461226398341778</v>
      </c>
      <c r="AF948" s="264">
        <v>0.45253690713991146</v>
      </c>
      <c r="AG948" s="264">
        <v>0.55317763079848492</v>
      </c>
      <c r="AH948" s="264">
        <v>0.47571098381436094</v>
      </c>
      <c r="AI948" s="264">
        <v>0.45895859583274512</v>
      </c>
      <c r="AJ948" s="264">
        <v>0.43573927201071372</v>
      </c>
      <c r="AK948" s="264">
        <v>0.51858306503727924</v>
      </c>
      <c r="AL948" s="264">
        <v>0.71877472255645225</v>
      </c>
      <c r="AM948" s="244"/>
      <c r="AN948" s="244"/>
      <c r="AO948" s="244"/>
      <c r="AP948" s="244"/>
      <c r="AQ948" s="244"/>
      <c r="AR948" s="244"/>
      <c r="AS948" s="255"/>
      <c r="AT948" s="244"/>
      <c r="AU948" s="244"/>
      <c r="AV948" s="244"/>
      <c r="AW948" s="244"/>
      <c r="AX948" s="244"/>
      <c r="AY948" s="244"/>
      <c r="AZ948" s="255"/>
      <c r="BA948" s="244"/>
      <c r="BB948" s="244"/>
      <c r="BC948" s="244"/>
      <c r="BD948" s="244"/>
      <c r="BE948" s="244"/>
      <c r="BF948" s="244"/>
      <c r="BG948" s="244"/>
      <c r="BH948" s="255"/>
      <c r="BI948" s="244"/>
      <c r="BJ948" s="244"/>
      <c r="BK948" s="244"/>
      <c r="BL948" s="244"/>
      <c r="BM948" s="244"/>
      <c r="BN948" s="244"/>
      <c r="BO948" s="244"/>
      <c r="BP948" s="244"/>
      <c r="BQ948" s="244"/>
      <c r="BR948" s="244"/>
      <c r="BS948" s="244"/>
      <c r="BT948" s="244"/>
      <c r="BU948" s="244"/>
      <c r="BV948" s="244"/>
      <c r="BW948" s="244"/>
      <c r="BX948" s="244"/>
      <c r="BY948" s="244"/>
      <c r="BZ948" s="244"/>
      <c r="CA948" s="244"/>
      <c r="CB948" s="244"/>
      <c r="CC948" s="244"/>
      <c r="CD948" s="255"/>
      <c r="CE948" s="244"/>
      <c r="CF948" s="244"/>
      <c r="CG948" s="244"/>
      <c r="CH948" s="244"/>
      <c r="CI948" s="244"/>
      <c r="CJ948" s="244"/>
      <c r="CK948" s="244"/>
      <c r="CL948" s="244"/>
      <c r="CM948" s="244"/>
      <c r="CN948" s="244"/>
      <c r="CO948" s="244"/>
      <c r="CP948" s="244"/>
      <c r="CQ948" s="244"/>
      <c r="CR948" s="244"/>
      <c r="CS948" s="244"/>
      <c r="CT948" s="244"/>
      <c r="CU948" s="244"/>
      <c r="CV948" s="244"/>
      <c r="CW948" s="255"/>
    </row>
    <row r="949" spans="1:101">
      <c r="A949" s="221" t="s">
        <v>503</v>
      </c>
      <c r="C949" s="264">
        <v>5.3546710014343262</v>
      </c>
      <c r="D949" s="264">
        <v>3.2966773509979248</v>
      </c>
      <c r="E949" s="264">
        <v>0.65933549404144287</v>
      </c>
      <c r="F949" s="264">
        <v>3.9560127258300781</v>
      </c>
      <c r="G949" s="264">
        <v>6.4499416351318359</v>
      </c>
      <c r="H949" s="264">
        <v>199.17706298828125</v>
      </c>
      <c r="I949" s="264">
        <v>6471.8583984375</v>
      </c>
      <c r="J949" s="264">
        <v>-13.809817314147949</v>
      </c>
      <c r="K949" s="264">
        <v>-2832.521484375</v>
      </c>
      <c r="L949" s="228">
        <v>30.880444367652842</v>
      </c>
      <c r="M949" s="264">
        <v>0.48797893031082046</v>
      </c>
      <c r="N949" s="264">
        <v>0.34627008449683427</v>
      </c>
      <c r="O949" s="264">
        <v>0.31335202598968948</v>
      </c>
      <c r="P949" s="264">
        <v>0.34015327124049644</v>
      </c>
      <c r="Q949" s="264">
        <v>0.32918058507144821</v>
      </c>
      <c r="R949" s="264">
        <v>0.34627008449683427</v>
      </c>
      <c r="S949" s="264">
        <v>0.32918058507144821</v>
      </c>
      <c r="T949" s="264">
        <v>0.34627008449683427</v>
      </c>
      <c r="U949" s="264">
        <v>0.34015327124049644</v>
      </c>
      <c r="V949" s="264">
        <v>0.34627008449683427</v>
      </c>
      <c r="W949" s="264">
        <v>0.34015327124049644</v>
      </c>
      <c r="X949" s="264">
        <v>0.33529739832778599</v>
      </c>
      <c r="Y949" s="264">
        <v>0.34627008449683427</v>
      </c>
      <c r="Z949" s="264"/>
      <c r="AA949" s="264">
        <v>0.10726761049049437</v>
      </c>
      <c r="AB949" s="264">
        <v>9.6294924321446096E-2</v>
      </c>
      <c r="AC949" s="264">
        <v>0.11338442374683216</v>
      </c>
      <c r="AD949" s="264">
        <v>0.10972686169048274</v>
      </c>
      <c r="AE949" s="264">
        <v>0.10726761049049437</v>
      </c>
      <c r="AF949" s="264">
        <v>0.10972686169048274</v>
      </c>
      <c r="AG949" s="264">
        <v>0.10726761049049437</v>
      </c>
      <c r="AH949" s="264">
        <v>0.11338442374683216</v>
      </c>
      <c r="AI949" s="264">
        <v>0.10726761049049437</v>
      </c>
      <c r="AJ949" s="264">
        <v>0.11338442374683216</v>
      </c>
      <c r="AK949" s="264">
        <v>0.10361004843414492</v>
      </c>
      <c r="AL949" s="264">
        <v>0.10726761049049437</v>
      </c>
      <c r="AM949" s="244"/>
      <c r="AN949" s="244"/>
      <c r="AO949" s="244"/>
      <c r="AP949" s="244"/>
      <c r="AQ949" s="244"/>
      <c r="AR949" s="244"/>
      <c r="AS949" s="255"/>
      <c r="AT949" s="244"/>
      <c r="AU949" s="244"/>
      <c r="AV949" s="244"/>
      <c r="AW949" s="244"/>
      <c r="AX949" s="244"/>
      <c r="AY949" s="244"/>
      <c r="AZ949" s="255"/>
      <c r="BA949" s="244"/>
      <c r="BB949" s="244"/>
      <c r="BC949" s="244"/>
      <c r="BD949" s="244"/>
      <c r="BE949" s="244"/>
      <c r="BF949" s="244"/>
      <c r="BG949" s="244"/>
      <c r="BH949" s="255"/>
      <c r="BI949" s="244"/>
      <c r="BJ949" s="244"/>
      <c r="BK949" s="244"/>
      <c r="BL949" s="244"/>
      <c r="BM949" s="244"/>
      <c r="BN949" s="244"/>
      <c r="BO949" s="244"/>
      <c r="BP949" s="244"/>
      <c r="BQ949" s="244"/>
      <c r="BR949" s="244"/>
      <c r="BS949" s="244"/>
      <c r="BT949" s="244"/>
      <c r="BU949" s="244"/>
      <c r="BV949" s="244"/>
      <c r="BW949" s="244"/>
      <c r="BX949" s="244"/>
      <c r="BY949" s="244"/>
      <c r="BZ949" s="244"/>
      <c r="CA949" s="244"/>
      <c r="CB949" s="244"/>
      <c r="CC949" s="244"/>
      <c r="CD949" s="255"/>
      <c r="CE949" s="244"/>
      <c r="CF949" s="244"/>
      <c r="CG949" s="244"/>
      <c r="CH949" s="244"/>
      <c r="CI949" s="244"/>
      <c r="CJ949" s="244"/>
      <c r="CK949" s="244"/>
      <c r="CL949" s="244"/>
      <c r="CM949" s="244"/>
      <c r="CN949" s="244"/>
      <c r="CO949" s="244"/>
      <c r="CP949" s="244"/>
      <c r="CQ949" s="244"/>
      <c r="CR949" s="244"/>
      <c r="CS949" s="244"/>
      <c r="CT949" s="244"/>
      <c r="CU949" s="244"/>
      <c r="CV949" s="244"/>
      <c r="CW949" s="255"/>
    </row>
    <row r="950" spans="1:101">
      <c r="A950" s="221" t="s">
        <v>565</v>
      </c>
      <c r="C950" s="264">
        <v>248.944580078125</v>
      </c>
      <c r="D950" s="264">
        <v>11.336667060852051</v>
      </c>
      <c r="E950" s="264">
        <v>2.2673335075378418</v>
      </c>
      <c r="F950" s="264">
        <v>13.604000091552734</v>
      </c>
      <c r="G950" s="264">
        <v>22.18016242980957</v>
      </c>
      <c r="H950" s="264">
        <v>682.97955322265625</v>
      </c>
      <c r="I950" s="264">
        <v>478.70510864257813</v>
      </c>
      <c r="J950" s="264">
        <v>-59.628822326660156</v>
      </c>
      <c r="K950" s="264">
        <v>-156.48234558105469</v>
      </c>
      <c r="L950" s="228">
        <v>30.792362332628663</v>
      </c>
      <c r="M950" s="264">
        <v>1.8790138421439555</v>
      </c>
      <c r="N950" s="264">
        <v>19.066075747889833</v>
      </c>
      <c r="O950" s="264">
        <v>17.614916600616098</v>
      </c>
      <c r="P950" s="264">
        <v>18.938208921846091</v>
      </c>
      <c r="Q950" s="264">
        <v>16.909611146822066</v>
      </c>
      <c r="R950" s="264">
        <v>16.229956325655024</v>
      </c>
      <c r="S950" s="264">
        <v>14.880517576442692</v>
      </c>
      <c r="T950" s="264">
        <v>15.007888607131083</v>
      </c>
      <c r="U950" s="264">
        <v>15.04142695145843</v>
      </c>
      <c r="V950" s="264">
        <v>15.330698947873255</v>
      </c>
      <c r="W950" s="264">
        <v>15.825394921832281</v>
      </c>
      <c r="X950" s="264">
        <v>16.968304328421056</v>
      </c>
      <c r="Y950" s="264">
        <v>18.674091762702904</v>
      </c>
      <c r="Z950" s="264"/>
      <c r="AA950" s="264">
        <v>3.7023042417211038</v>
      </c>
      <c r="AB950" s="264">
        <v>5.3629675037504851</v>
      </c>
      <c r="AC950" s="264">
        <v>4.8447178529545312</v>
      </c>
      <c r="AD950" s="264">
        <v>5.2983547872107941</v>
      </c>
      <c r="AE950" s="264">
        <v>3.8637094120921902</v>
      </c>
      <c r="AF950" s="264">
        <v>3.1078560464603338</v>
      </c>
      <c r="AG950" s="264">
        <v>3.9328830565369408</v>
      </c>
      <c r="AH950" s="264">
        <v>3.2767819122068325</v>
      </c>
      <c r="AI950" s="264">
        <v>3.1719729676446766</v>
      </c>
      <c r="AJ950" s="264">
        <v>2.9539715714646597</v>
      </c>
      <c r="AK950" s="264">
        <v>3.6717256648641081</v>
      </c>
      <c r="AL950" s="264">
        <v>5.2702401824688012</v>
      </c>
      <c r="AM950" s="244"/>
      <c r="AN950" s="244"/>
      <c r="AO950" s="244"/>
      <c r="AP950" s="244"/>
      <c r="AQ950" s="244"/>
      <c r="AR950" s="244"/>
      <c r="AS950" s="255"/>
      <c r="AT950" s="244"/>
      <c r="AU950" s="244"/>
      <c r="AV950" s="244"/>
      <c r="AW950" s="244"/>
      <c r="AX950" s="244"/>
      <c r="AY950" s="244"/>
      <c r="AZ950" s="255"/>
      <c r="BA950" s="244"/>
      <c r="BB950" s="244"/>
      <c r="BC950" s="244"/>
      <c r="BD950" s="244"/>
      <c r="BE950" s="244"/>
      <c r="BF950" s="244"/>
      <c r="BG950" s="244"/>
      <c r="BH950" s="255"/>
      <c r="BI950" s="244"/>
      <c r="BJ950" s="244"/>
      <c r="BK950" s="244"/>
      <c r="BL950" s="244"/>
      <c r="BM950" s="244"/>
      <c r="BN950" s="244"/>
      <c r="BO950" s="244"/>
      <c r="BP950" s="244"/>
      <c r="BQ950" s="244"/>
      <c r="BR950" s="244"/>
      <c r="BS950" s="244"/>
      <c r="BT950" s="244"/>
      <c r="BU950" s="244"/>
      <c r="BV950" s="244"/>
      <c r="BW950" s="244"/>
      <c r="BX950" s="244"/>
      <c r="BY950" s="244"/>
      <c r="BZ950" s="244"/>
      <c r="CA950" s="244"/>
      <c r="CB950" s="244"/>
      <c r="CC950" s="244"/>
      <c r="CD950" s="255"/>
      <c r="CE950" s="244"/>
      <c r="CF950" s="244"/>
      <c r="CG950" s="244"/>
      <c r="CH950" s="244"/>
      <c r="CI950" s="244"/>
      <c r="CJ950" s="244"/>
      <c r="CK950" s="244"/>
      <c r="CL950" s="244"/>
      <c r="CM950" s="244"/>
      <c r="CN950" s="244"/>
      <c r="CO950" s="244"/>
      <c r="CP950" s="244"/>
      <c r="CQ950" s="244"/>
      <c r="CR950" s="244"/>
      <c r="CS950" s="244"/>
      <c r="CT950" s="244"/>
      <c r="CU950" s="244"/>
      <c r="CV950" s="244"/>
      <c r="CW950" s="255"/>
    </row>
    <row r="951" spans="1:101">
      <c r="A951" s="221" t="s">
        <v>574</v>
      </c>
      <c r="C951" s="264">
        <v>165.96304321289062</v>
      </c>
      <c r="D951" s="264">
        <v>8.1096944808959961</v>
      </c>
      <c r="E951" s="264">
        <v>1.621938943862915</v>
      </c>
      <c r="F951" s="264">
        <v>9.731633186340332</v>
      </c>
      <c r="G951" s="264">
        <v>15.866598129272461</v>
      </c>
      <c r="H951" s="264">
        <v>455.31973266601562</v>
      </c>
      <c r="I951" s="264">
        <v>513.6632080078125</v>
      </c>
      <c r="J951" s="264">
        <v>-59.402305603027344</v>
      </c>
      <c r="K951" s="264">
        <v>-155.96028137207031</v>
      </c>
      <c r="L951" s="228">
        <v>28.696745213254342</v>
      </c>
      <c r="M951" s="264">
        <v>1.2526758947626362</v>
      </c>
      <c r="N951" s="264">
        <v>12.71071716525989</v>
      </c>
      <c r="O951" s="264">
        <v>11.743277733744065</v>
      </c>
      <c r="P951" s="264">
        <v>12.625472614564062</v>
      </c>
      <c r="Q951" s="264">
        <v>11.273074097881377</v>
      </c>
      <c r="R951" s="264">
        <v>10.819970883770017</v>
      </c>
      <c r="S951" s="264">
        <v>9.9203450509617941</v>
      </c>
      <c r="T951" s="264">
        <v>10.005259071420722</v>
      </c>
      <c r="U951" s="264">
        <v>10.027617967638955</v>
      </c>
      <c r="V951" s="264">
        <v>10.220465965248838</v>
      </c>
      <c r="W951" s="264">
        <v>10.550263281221522</v>
      </c>
      <c r="X951" s="264">
        <v>11.312202885614036</v>
      </c>
      <c r="Y951" s="264">
        <v>12.449394508468604</v>
      </c>
      <c r="Z951" s="264"/>
      <c r="AA951" s="264">
        <v>2.4682028278140695</v>
      </c>
      <c r="AB951" s="264">
        <v>3.5753116691669899</v>
      </c>
      <c r="AC951" s="264">
        <v>3.2298119019696871</v>
      </c>
      <c r="AD951" s="264">
        <v>3.5322365248071961</v>
      </c>
      <c r="AE951" s="264">
        <v>2.5758062747281265</v>
      </c>
      <c r="AF951" s="264">
        <v>2.0719040309735561</v>
      </c>
      <c r="AG951" s="264">
        <v>2.6219220376912942</v>
      </c>
      <c r="AH951" s="264">
        <v>2.1845212748045553</v>
      </c>
      <c r="AI951" s="264">
        <v>2.1146486450964508</v>
      </c>
      <c r="AJ951" s="264">
        <v>1.9693143809764395</v>
      </c>
      <c r="AK951" s="264">
        <v>2.4478171099094057</v>
      </c>
      <c r="AL951" s="264">
        <v>3.5134934549792014</v>
      </c>
      <c r="AM951" s="244"/>
      <c r="AN951" s="244"/>
      <c r="AO951" s="244"/>
      <c r="AP951" s="244"/>
      <c r="AQ951" s="244"/>
      <c r="AR951" s="244"/>
      <c r="AS951" s="255"/>
      <c r="AT951" s="244"/>
      <c r="AU951" s="244"/>
      <c r="AV951" s="244"/>
      <c r="AW951" s="244"/>
      <c r="AX951" s="244"/>
      <c r="AY951" s="244"/>
      <c r="AZ951" s="255"/>
      <c r="BA951" s="244"/>
      <c r="BB951" s="244"/>
      <c r="BC951" s="244"/>
      <c r="BD951" s="244"/>
      <c r="BE951" s="244"/>
      <c r="BF951" s="244"/>
      <c r="BG951" s="244"/>
      <c r="BH951" s="255"/>
      <c r="BI951" s="244"/>
      <c r="BJ951" s="244"/>
      <c r="BK951" s="244"/>
      <c r="BL951" s="244"/>
      <c r="BM951" s="244"/>
      <c r="BN951" s="244"/>
      <c r="BO951" s="244"/>
      <c r="BP951" s="244"/>
      <c r="BQ951" s="244"/>
      <c r="BR951" s="244"/>
      <c r="BS951" s="244"/>
      <c r="BT951" s="244"/>
      <c r="BU951" s="244"/>
      <c r="BV951" s="244"/>
      <c r="BW951" s="244"/>
      <c r="BX951" s="244"/>
      <c r="BY951" s="244"/>
      <c r="BZ951" s="244"/>
      <c r="CA951" s="244"/>
      <c r="CB951" s="244"/>
      <c r="CC951" s="244"/>
      <c r="CD951" s="255"/>
      <c r="CE951" s="244"/>
      <c r="CF951" s="244"/>
      <c r="CG951" s="244"/>
      <c r="CH951" s="244"/>
      <c r="CI951" s="244"/>
      <c r="CJ951" s="244"/>
      <c r="CK951" s="244"/>
      <c r="CL951" s="244"/>
      <c r="CM951" s="244"/>
      <c r="CN951" s="244"/>
      <c r="CO951" s="244"/>
      <c r="CP951" s="244"/>
      <c r="CQ951" s="244"/>
      <c r="CR951" s="244"/>
      <c r="CS951" s="244"/>
      <c r="CT951" s="244"/>
      <c r="CU951" s="244"/>
      <c r="CV951" s="244"/>
      <c r="CW951" s="255"/>
    </row>
    <row r="952" spans="1:101">
      <c r="A952" s="221" t="s">
        <v>528</v>
      </c>
      <c r="C952" s="264">
        <v>35.041454315185547</v>
      </c>
      <c r="D952" s="264">
        <v>3.2966773509979248</v>
      </c>
      <c r="E952" s="264">
        <v>0.65933549404144287</v>
      </c>
      <c r="F952" s="264">
        <v>3.9560127258300781</v>
      </c>
      <c r="G952" s="264">
        <v>6.4499416351318359</v>
      </c>
      <c r="H952" s="264">
        <v>182.93873596191406</v>
      </c>
      <c r="I952" s="264">
        <v>988.962158203125</v>
      </c>
      <c r="J952" s="264">
        <v>-55.810157775878906</v>
      </c>
      <c r="K952" s="264">
        <v>-347.700927734375</v>
      </c>
      <c r="L952" s="228">
        <v>28.362851305799904</v>
      </c>
      <c r="M952" s="264">
        <v>0.45952000702759466</v>
      </c>
      <c r="N952" s="264">
        <v>2.6531040838425932</v>
      </c>
      <c r="O952" s="264">
        <v>2.4480207594960448</v>
      </c>
      <c r="P952" s="264">
        <v>2.6334896966695314</v>
      </c>
      <c r="Q952" s="264">
        <v>2.3636210556830699</v>
      </c>
      <c r="R952" s="264">
        <v>2.2831723443929475</v>
      </c>
      <c r="S952" s="264">
        <v>2.0989544453451123</v>
      </c>
      <c r="T952" s="264">
        <v>2.1237708631666776</v>
      </c>
      <c r="U952" s="264">
        <v>2.1252095018159536</v>
      </c>
      <c r="V952" s="264">
        <v>2.1658769148113528</v>
      </c>
      <c r="W952" s="264">
        <v>2.2274670558101644</v>
      </c>
      <c r="X952" s="264">
        <v>2.3742127175037018</v>
      </c>
      <c r="Y952" s="264">
        <v>2.6019753068454876</v>
      </c>
      <c r="Z952" s="264"/>
      <c r="AA952" s="264">
        <v>0.5343999240684475</v>
      </c>
      <c r="AB952" s="264">
        <v>0.74574330187827309</v>
      </c>
      <c r="AC952" s="264">
        <v>0.68634761641048814</v>
      </c>
      <c r="AD952" s="264">
        <v>0.74376258350469715</v>
      </c>
      <c r="AE952" s="264">
        <v>0.55545294989078497</v>
      </c>
      <c r="AF952" s="264">
        <v>0.45804294734440187</v>
      </c>
      <c r="AG952" s="264">
        <v>0.56447567524321529</v>
      </c>
      <c r="AH952" s="264">
        <v>0.48183250842206615</v>
      </c>
      <c r="AI952" s="264">
        <v>0.4652256963664812</v>
      </c>
      <c r="AJ952" s="264">
        <v>0.43972645677739103</v>
      </c>
      <c r="AK952" s="264">
        <v>0.52865581369564396</v>
      </c>
      <c r="AL952" s="264">
        <v>0.73891503205686937</v>
      </c>
      <c r="AM952" s="244"/>
      <c r="AN952" s="244"/>
      <c r="AO952" s="244"/>
      <c r="AP952" s="244"/>
      <c r="AQ952" s="244"/>
      <c r="AR952" s="244"/>
      <c r="AS952" s="255"/>
      <c r="AT952" s="244"/>
      <c r="AU952" s="244"/>
      <c r="AV952" s="244"/>
      <c r="AW952" s="244"/>
      <c r="AX952" s="244"/>
      <c r="AY952" s="244"/>
      <c r="AZ952" s="255"/>
      <c r="BA952" s="244"/>
      <c r="BB952" s="244"/>
      <c r="BC952" s="244"/>
      <c r="BD952" s="244"/>
      <c r="BE952" s="244"/>
      <c r="BF952" s="244"/>
      <c r="BG952" s="244"/>
      <c r="BH952" s="255"/>
      <c r="BI952" s="244"/>
      <c r="BJ952" s="244"/>
      <c r="BK952" s="244"/>
      <c r="BL952" s="244"/>
      <c r="BM952" s="244"/>
      <c r="BN952" s="244"/>
      <c r="BO952" s="244"/>
      <c r="BP952" s="244"/>
      <c r="BQ952" s="244"/>
      <c r="BR952" s="244"/>
      <c r="BS952" s="244"/>
      <c r="BT952" s="244"/>
      <c r="BU952" s="244"/>
      <c r="BV952" s="244"/>
      <c r="BW952" s="244"/>
      <c r="BX952" s="244"/>
      <c r="BY952" s="244"/>
      <c r="BZ952" s="244"/>
      <c r="CA952" s="244"/>
      <c r="CB952" s="244"/>
      <c r="CC952" s="244"/>
      <c r="CD952" s="255"/>
      <c r="CE952" s="244"/>
      <c r="CF952" s="244"/>
      <c r="CG952" s="244"/>
      <c r="CH952" s="244"/>
      <c r="CI952" s="244"/>
      <c r="CJ952" s="244"/>
      <c r="CK952" s="244"/>
      <c r="CL952" s="244"/>
      <c r="CM952" s="244"/>
      <c r="CN952" s="244"/>
      <c r="CO952" s="244"/>
      <c r="CP952" s="244"/>
      <c r="CQ952" s="244"/>
      <c r="CR952" s="244"/>
      <c r="CS952" s="244"/>
      <c r="CT952" s="244"/>
      <c r="CU952" s="244"/>
      <c r="CV952" s="244"/>
      <c r="CW952" s="255"/>
    </row>
    <row r="953" spans="1:101">
      <c r="A953" s="221" t="s">
        <v>473</v>
      </c>
      <c r="C953" s="264">
        <v>4.9228119850158691</v>
      </c>
      <c r="D953" s="264">
        <v>3.2966773509979248</v>
      </c>
      <c r="E953" s="264">
        <v>0.65933549404144287</v>
      </c>
      <c r="F953" s="264">
        <v>3.9560127258300781</v>
      </c>
      <c r="G953" s="264">
        <v>6.4499416351318359</v>
      </c>
      <c r="H953" s="264">
        <v>180.96551513671875</v>
      </c>
      <c r="I953" s="264">
        <v>7039.609375</v>
      </c>
      <c r="J953" s="264">
        <v>-10.130765914916992</v>
      </c>
      <c r="K953" s="264">
        <v>-2789.033935546875</v>
      </c>
      <c r="L953" s="228">
        <v>28.056923725841209</v>
      </c>
      <c r="M953" s="264">
        <v>0.42430281184970742</v>
      </c>
      <c r="N953" s="264">
        <v>0.3183431105556524</v>
      </c>
      <c r="O953" s="264">
        <v>0.28807992119049308</v>
      </c>
      <c r="P953" s="264">
        <v>0.31271962343998039</v>
      </c>
      <c r="Q953" s="264">
        <v>0.30263189365159388</v>
      </c>
      <c r="R953" s="264">
        <v>0.3183431105556524</v>
      </c>
      <c r="S953" s="264">
        <v>0.30263189365159388</v>
      </c>
      <c r="T953" s="264">
        <v>0.3183431105556524</v>
      </c>
      <c r="U953" s="264">
        <v>0.31271962343998039</v>
      </c>
      <c r="V953" s="264">
        <v>0.3183431105556524</v>
      </c>
      <c r="W953" s="264">
        <v>0.31271962343998039</v>
      </c>
      <c r="X953" s="264">
        <v>0.30825538076726594</v>
      </c>
      <c r="Y953" s="264">
        <v>0.3183431105556524</v>
      </c>
      <c r="Z953" s="264"/>
      <c r="AA953" s="264">
        <v>9.8616387364321406E-2</v>
      </c>
      <c r="AB953" s="264">
        <v>8.8528657575934921E-2</v>
      </c>
      <c r="AC953" s="264">
        <v>0.10423987447999344</v>
      </c>
      <c r="AD953" s="264">
        <v>0.10087729788386463</v>
      </c>
      <c r="AE953" s="264">
        <v>9.8616387364321406E-2</v>
      </c>
      <c r="AF953" s="264">
        <v>0.10087729788386463</v>
      </c>
      <c r="AG953" s="264">
        <v>9.8616387364321406E-2</v>
      </c>
      <c r="AH953" s="264">
        <v>0.10423987447999344</v>
      </c>
      <c r="AI953" s="264">
        <v>9.8616387364321406E-2</v>
      </c>
      <c r="AJ953" s="264">
        <v>0.10423987447999344</v>
      </c>
      <c r="AK953" s="264">
        <v>9.5253810768192573E-2</v>
      </c>
      <c r="AL953" s="264">
        <v>9.8616387364321406E-2</v>
      </c>
      <c r="AM953" s="244"/>
      <c r="AN953" s="244"/>
      <c r="AO953" s="244"/>
      <c r="AP953" s="244"/>
      <c r="AQ953" s="244"/>
      <c r="AR953" s="244"/>
      <c r="AS953" s="255"/>
      <c r="AT953" s="244"/>
      <c r="AU953" s="244"/>
      <c r="AV953" s="244"/>
      <c r="AW953" s="244"/>
      <c r="AX953" s="244"/>
      <c r="AY953" s="244"/>
      <c r="AZ953" s="255"/>
      <c r="BA953" s="244"/>
      <c r="BB953" s="244"/>
      <c r="BC953" s="244"/>
      <c r="BD953" s="244"/>
      <c r="BE953" s="244"/>
      <c r="BF953" s="244"/>
      <c r="BG953" s="244"/>
      <c r="BH953" s="255"/>
      <c r="BI953" s="244"/>
      <c r="BJ953" s="244"/>
      <c r="BK953" s="244"/>
      <c r="BL953" s="244"/>
      <c r="BM953" s="244"/>
      <c r="BN953" s="244"/>
      <c r="BO953" s="244"/>
      <c r="BP953" s="244"/>
      <c r="BQ953" s="244"/>
      <c r="BR953" s="244"/>
      <c r="BS953" s="244"/>
      <c r="BT953" s="244"/>
      <c r="BU953" s="244"/>
      <c r="BV953" s="244"/>
      <c r="BW953" s="244"/>
      <c r="BX953" s="244"/>
      <c r="BY953" s="244"/>
      <c r="BZ953" s="244"/>
      <c r="CA953" s="244"/>
      <c r="CB953" s="244"/>
      <c r="CC953" s="244"/>
      <c r="CD953" s="255"/>
      <c r="CE953" s="244"/>
      <c r="CF953" s="244"/>
      <c r="CG953" s="244"/>
      <c r="CH953" s="244"/>
      <c r="CI953" s="244"/>
      <c r="CJ953" s="244"/>
      <c r="CK953" s="244"/>
      <c r="CL953" s="244"/>
      <c r="CM953" s="244"/>
      <c r="CN953" s="244"/>
      <c r="CO953" s="244"/>
      <c r="CP953" s="244"/>
      <c r="CQ953" s="244"/>
      <c r="CR953" s="244"/>
      <c r="CS953" s="244"/>
      <c r="CT953" s="244"/>
      <c r="CU953" s="244"/>
      <c r="CV953" s="244"/>
      <c r="CW953" s="255"/>
    </row>
    <row r="954" spans="1:101">
      <c r="A954" s="221" t="s">
        <v>501</v>
      </c>
      <c r="C954" s="264">
        <v>40.432769775390625</v>
      </c>
      <c r="D954" s="264">
        <v>3.2966773509979248</v>
      </c>
      <c r="E954" s="264">
        <v>0.65933549404144287</v>
      </c>
      <c r="F954" s="264">
        <v>3.9560127258300781</v>
      </c>
      <c r="G954" s="264">
        <v>6.4499416351318359</v>
      </c>
      <c r="H954" s="264">
        <v>177.80558776855469</v>
      </c>
      <c r="I954" s="264">
        <v>857.09368896484375</v>
      </c>
      <c r="J954" s="264">
        <v>-56.833534240722656</v>
      </c>
      <c r="K954" s="264">
        <v>-283.60244750976562</v>
      </c>
      <c r="L954" s="228">
        <v>27.567008860805185</v>
      </c>
      <c r="M954" s="264">
        <v>0.45311222360656389</v>
      </c>
      <c r="N954" s="264">
        <v>3.0729537096933246</v>
      </c>
      <c r="O954" s="264">
        <v>2.8366284449208208</v>
      </c>
      <c r="P954" s="264">
        <v>3.0509362558360902</v>
      </c>
      <c r="Q954" s="264">
        <v>2.7335829755891856</v>
      </c>
      <c r="R954" s="264">
        <v>2.634966879623224</v>
      </c>
      <c r="S954" s="264">
        <v>2.4202265443195206</v>
      </c>
      <c r="T954" s="264">
        <v>2.4462408471539936</v>
      </c>
      <c r="U954" s="264">
        <v>2.4491494730568473</v>
      </c>
      <c r="V954" s="264">
        <v>2.496093006674168</v>
      </c>
      <c r="W954" s="264">
        <v>2.5702190033201271</v>
      </c>
      <c r="X954" s="264">
        <v>2.7449178238349532</v>
      </c>
      <c r="Y954" s="264">
        <v>3.0124189445616842</v>
      </c>
      <c r="Z954" s="264"/>
      <c r="AA954" s="264">
        <v>0.61157445225441109</v>
      </c>
      <c r="AB954" s="264">
        <v>0.86396013795235127</v>
      </c>
      <c r="AC954" s="264">
        <v>0.79027012174647737</v>
      </c>
      <c r="AD954" s="264">
        <v>0.85896825331811777</v>
      </c>
      <c r="AE954" s="264">
        <v>0.63650053201449797</v>
      </c>
      <c r="AF954" s="264">
        <v>0.52068574228836562</v>
      </c>
      <c r="AG954" s="264">
        <v>0.64718313762596369</v>
      </c>
      <c r="AH954" s="264">
        <v>0.54813106121991773</v>
      </c>
      <c r="AI954" s="264">
        <v>0.5296744758998394</v>
      </c>
      <c r="AJ954" s="264">
        <v>0.49827890169974376</v>
      </c>
      <c r="AK954" s="264">
        <v>0.60549434454579054</v>
      </c>
      <c r="AL954" s="264">
        <v>0.85371351278097041</v>
      </c>
      <c r="AM954" s="244"/>
      <c r="AN954" s="244"/>
      <c r="AO954" s="244"/>
      <c r="AP954" s="244"/>
      <c r="AQ954" s="244"/>
      <c r="AR954" s="244"/>
      <c r="AS954" s="255"/>
      <c r="AT954" s="244"/>
      <c r="AU954" s="244"/>
      <c r="AV954" s="244"/>
      <c r="AW954" s="244"/>
      <c r="AX954" s="244"/>
      <c r="AY954" s="244"/>
      <c r="AZ954" s="255"/>
      <c r="BA954" s="244"/>
      <c r="BB954" s="244"/>
      <c r="BC954" s="244"/>
      <c r="BD954" s="244"/>
      <c r="BE954" s="244"/>
      <c r="BF954" s="244"/>
      <c r="BG954" s="244"/>
      <c r="BH954" s="255"/>
      <c r="BI954" s="244"/>
      <c r="BJ954" s="244"/>
      <c r="BK954" s="244"/>
      <c r="BL954" s="244"/>
      <c r="BM954" s="244"/>
      <c r="BN954" s="244"/>
      <c r="BO954" s="244"/>
      <c r="BP954" s="244"/>
      <c r="BQ954" s="244"/>
      <c r="BR954" s="244"/>
      <c r="BS954" s="244"/>
      <c r="BT954" s="244"/>
      <c r="BU954" s="244"/>
      <c r="BV954" s="244"/>
      <c r="BW954" s="244"/>
      <c r="BX954" s="244"/>
      <c r="BY954" s="244"/>
      <c r="BZ954" s="244"/>
      <c r="CA954" s="244"/>
      <c r="CB954" s="244"/>
      <c r="CC954" s="244"/>
      <c r="CD954" s="255"/>
      <c r="CE954" s="244"/>
      <c r="CF954" s="244"/>
      <c r="CG954" s="244"/>
      <c r="CH954" s="244"/>
      <c r="CI954" s="244"/>
      <c r="CJ954" s="244"/>
      <c r="CK954" s="244"/>
      <c r="CL954" s="244"/>
      <c r="CM954" s="244"/>
      <c r="CN954" s="244"/>
      <c r="CO954" s="244"/>
      <c r="CP954" s="244"/>
      <c r="CQ954" s="244"/>
      <c r="CR954" s="244"/>
      <c r="CS954" s="244"/>
      <c r="CT954" s="244"/>
      <c r="CU954" s="244"/>
      <c r="CV954" s="244"/>
      <c r="CW954" s="255"/>
    </row>
    <row r="955" spans="1:101">
      <c r="A955" s="221" t="s">
        <v>525</v>
      </c>
      <c r="C955" s="264">
        <v>34.817771911621094</v>
      </c>
      <c r="D955" s="264">
        <v>3.2966773509979248</v>
      </c>
      <c r="E955" s="264">
        <v>0.65933549404144287</v>
      </c>
      <c r="F955" s="264">
        <v>3.9560127258300781</v>
      </c>
      <c r="G955" s="264">
        <v>6.4499416351318359</v>
      </c>
      <c r="H955" s="264">
        <v>176.71177673339844</v>
      </c>
      <c r="I955" s="264">
        <v>995.31561279296875</v>
      </c>
      <c r="J955" s="264">
        <v>-55.807220458984375</v>
      </c>
      <c r="K955" s="264">
        <v>-335.94140625</v>
      </c>
      <c r="L955" s="228">
        <v>27.397423958153574</v>
      </c>
      <c r="M955" s="264">
        <v>0.45772418626668609</v>
      </c>
      <c r="N955" s="264">
        <v>2.6384403555649296</v>
      </c>
      <c r="O955" s="264">
        <v>2.4347268131567223</v>
      </c>
      <c r="P955" s="264">
        <v>2.619070996671983</v>
      </c>
      <c r="Q955" s="264">
        <v>2.3497625005686187</v>
      </c>
      <c r="R955" s="264">
        <v>2.268698717027954</v>
      </c>
      <c r="S955" s="264">
        <v>2.0852318973876933</v>
      </c>
      <c r="T955" s="264">
        <v>2.1093791492030785</v>
      </c>
      <c r="U955" s="264">
        <v>2.1110519973813426</v>
      </c>
      <c r="V955" s="264">
        <v>2.1514635633454984</v>
      </c>
      <c r="W955" s="264">
        <v>2.2132570031557908</v>
      </c>
      <c r="X955" s="264">
        <v>2.3601137707167603</v>
      </c>
      <c r="Y955" s="264">
        <v>2.5873378526777047</v>
      </c>
      <c r="Z955" s="264"/>
      <c r="AA955" s="264">
        <v>0.5300051217119619</v>
      </c>
      <c r="AB955" s="264">
        <v>0.74166135866482519</v>
      </c>
      <c r="AC955" s="264">
        <v>0.68163978219537047</v>
      </c>
      <c r="AD955" s="264">
        <v>0.7391657329927187</v>
      </c>
      <c r="AE955" s="264">
        <v>0.55104732878317175</v>
      </c>
      <c r="AF955" s="264">
        <v>0.45359292274058349</v>
      </c>
      <c r="AG955" s="264">
        <v>0.56006541752797601</v>
      </c>
      <c r="AH955" s="264">
        <v>0.47722977064647365</v>
      </c>
      <c r="AI955" s="264">
        <v>0.46086644133512911</v>
      </c>
      <c r="AJ955" s="264">
        <v>0.43514535650405373</v>
      </c>
      <c r="AK955" s="264">
        <v>0.52440445129568014</v>
      </c>
      <c r="AL955" s="264">
        <v>0.73441513326085861</v>
      </c>
      <c r="AM955" s="244"/>
      <c r="AN955" s="244"/>
      <c r="AO955" s="244"/>
      <c r="AP955" s="244"/>
      <c r="AQ955" s="244"/>
      <c r="AR955" s="244"/>
      <c r="AS955" s="255"/>
      <c r="AT955" s="244"/>
      <c r="AU955" s="244"/>
      <c r="AV955" s="244"/>
      <c r="AW955" s="244"/>
      <c r="AX955" s="244"/>
      <c r="AY955" s="244"/>
      <c r="AZ955" s="255"/>
      <c r="BA955" s="244"/>
      <c r="BB955" s="244"/>
      <c r="BC955" s="244"/>
      <c r="BD955" s="244"/>
      <c r="BE955" s="244"/>
      <c r="BF955" s="244"/>
      <c r="BG955" s="244"/>
      <c r="BH955" s="255"/>
      <c r="BI955" s="244"/>
      <c r="BJ955" s="244"/>
      <c r="BK955" s="244"/>
      <c r="BL955" s="244"/>
      <c r="BM955" s="244"/>
      <c r="BN955" s="244"/>
      <c r="BO955" s="244"/>
      <c r="BP955" s="244"/>
      <c r="BQ955" s="244"/>
      <c r="BR955" s="244"/>
      <c r="BS955" s="244"/>
      <c r="BT955" s="244"/>
      <c r="BU955" s="244"/>
      <c r="BV955" s="244"/>
      <c r="BW955" s="244"/>
      <c r="BX955" s="244"/>
      <c r="BY955" s="244"/>
      <c r="BZ955" s="244"/>
      <c r="CA955" s="244"/>
      <c r="CB955" s="244"/>
      <c r="CC955" s="244"/>
      <c r="CD955" s="255"/>
      <c r="CE955" s="244"/>
      <c r="CF955" s="244"/>
      <c r="CG955" s="244"/>
      <c r="CH955" s="244"/>
      <c r="CI955" s="244"/>
      <c r="CJ955" s="244"/>
      <c r="CK955" s="244"/>
      <c r="CL955" s="244"/>
      <c r="CM955" s="244"/>
      <c r="CN955" s="244"/>
      <c r="CO955" s="244"/>
      <c r="CP955" s="244"/>
      <c r="CQ955" s="244"/>
      <c r="CR955" s="244"/>
      <c r="CS955" s="244"/>
      <c r="CT955" s="244"/>
      <c r="CU955" s="244"/>
      <c r="CV955" s="244"/>
      <c r="CW955" s="255"/>
    </row>
    <row r="956" spans="1:101">
      <c r="A956" s="221" t="s">
        <v>470</v>
      </c>
      <c r="C956" s="264">
        <v>4.6675553321838379</v>
      </c>
      <c r="D956" s="264">
        <v>3.2966773509979248</v>
      </c>
      <c r="E956" s="264">
        <v>0.65933549404144287</v>
      </c>
      <c r="F956" s="264">
        <v>3.9560127258300781</v>
      </c>
      <c r="G956" s="264">
        <v>6.4499416351318359</v>
      </c>
      <c r="H956" s="264">
        <v>173.33653259277344</v>
      </c>
      <c r="I956" s="264">
        <v>7424.58740234375</v>
      </c>
      <c r="J956" s="264">
        <v>-7.6360816955566406</v>
      </c>
      <c r="K956" s="264">
        <v>-2813.4453125</v>
      </c>
      <c r="L956" s="228">
        <v>26.874123912360158</v>
      </c>
      <c r="M956" s="264">
        <v>0.42216827767932502</v>
      </c>
      <c r="N956" s="264">
        <v>0.30183643074906302</v>
      </c>
      <c r="O956" s="264">
        <v>0.27314244379543046</v>
      </c>
      <c r="P956" s="264">
        <v>0.29650453185420361</v>
      </c>
      <c r="Q956" s="264">
        <v>0.28693986953632605</v>
      </c>
      <c r="R956" s="264">
        <v>0.30183643074906302</v>
      </c>
      <c r="S956" s="264">
        <v>0.28693986953632605</v>
      </c>
      <c r="T956" s="264">
        <v>0.30183643074906302</v>
      </c>
      <c r="U956" s="264">
        <v>0.29650453185420361</v>
      </c>
      <c r="V956" s="264">
        <v>0.30183643074906302</v>
      </c>
      <c r="W956" s="264">
        <v>0.29650453185420361</v>
      </c>
      <c r="X956" s="264">
        <v>0.29227176843118552</v>
      </c>
      <c r="Y956" s="264">
        <v>0.30183643074906302</v>
      </c>
      <c r="Z956" s="264"/>
      <c r="AA956" s="264">
        <v>9.3502945056541775E-2</v>
      </c>
      <c r="AB956" s="264">
        <v>8.393828273866423E-2</v>
      </c>
      <c r="AC956" s="264">
        <v>9.8834843951401213E-2</v>
      </c>
      <c r="AD956" s="264">
        <v>9.5646623178775342E-2</v>
      </c>
      <c r="AE956" s="264">
        <v>9.3502945056541775E-2</v>
      </c>
      <c r="AF956" s="264">
        <v>9.5646623178775342E-2</v>
      </c>
      <c r="AG956" s="264">
        <v>9.3502945056541775E-2</v>
      </c>
      <c r="AH956" s="264">
        <v>9.8834843951401213E-2</v>
      </c>
      <c r="AI956" s="264">
        <v>9.3502945056541775E-2</v>
      </c>
      <c r="AJ956" s="264">
        <v>9.8834843951401213E-2</v>
      </c>
      <c r="AK956" s="264">
        <v>9.0314724283915918E-2</v>
      </c>
      <c r="AL956" s="264">
        <v>9.3502945056541775E-2</v>
      </c>
      <c r="AM956" s="244"/>
      <c r="AN956" s="244"/>
      <c r="AO956" s="244"/>
      <c r="AP956" s="244"/>
      <c r="AQ956" s="244"/>
      <c r="AR956" s="244"/>
      <c r="AS956" s="255"/>
      <c r="AT956" s="244"/>
      <c r="AU956" s="244"/>
      <c r="AV956" s="244"/>
      <c r="AW956" s="244"/>
      <c r="AX956" s="244"/>
      <c r="AY956" s="244"/>
      <c r="AZ956" s="255"/>
      <c r="BA956" s="244"/>
      <c r="BB956" s="244"/>
      <c r="BC956" s="244"/>
      <c r="BD956" s="244"/>
      <c r="BE956" s="244"/>
      <c r="BF956" s="244"/>
      <c r="BG956" s="244"/>
      <c r="BH956" s="255"/>
      <c r="BI956" s="244"/>
      <c r="BJ956" s="244"/>
      <c r="BK956" s="244"/>
      <c r="BL956" s="244"/>
      <c r="BM956" s="244"/>
      <c r="BN956" s="244"/>
      <c r="BO956" s="244"/>
      <c r="BP956" s="244"/>
      <c r="BQ956" s="244"/>
      <c r="BR956" s="244"/>
      <c r="BS956" s="244"/>
      <c r="BT956" s="244"/>
      <c r="BU956" s="244"/>
      <c r="BV956" s="244"/>
      <c r="BW956" s="244"/>
      <c r="BX956" s="244"/>
      <c r="BY956" s="244"/>
      <c r="BZ956" s="244"/>
      <c r="CA956" s="244"/>
      <c r="CB956" s="244"/>
      <c r="CC956" s="244"/>
      <c r="CD956" s="255"/>
      <c r="CE956" s="244"/>
      <c r="CF956" s="244"/>
      <c r="CG956" s="244"/>
      <c r="CH956" s="244"/>
      <c r="CI956" s="244"/>
      <c r="CJ956" s="244"/>
      <c r="CK956" s="244"/>
      <c r="CL956" s="244"/>
      <c r="CM956" s="244"/>
      <c r="CN956" s="244"/>
      <c r="CO956" s="244"/>
      <c r="CP956" s="244"/>
      <c r="CQ956" s="244"/>
      <c r="CR956" s="244"/>
      <c r="CS956" s="244"/>
      <c r="CT956" s="244"/>
      <c r="CU956" s="244"/>
      <c r="CV956" s="244"/>
      <c r="CW956" s="255"/>
    </row>
    <row r="957" spans="1:101">
      <c r="A957" s="221" t="s">
        <v>498</v>
      </c>
      <c r="C957" s="264">
        <v>40.222648620605469</v>
      </c>
      <c r="D957" s="264">
        <v>3.2966773509979248</v>
      </c>
      <c r="E957" s="264">
        <v>0.65933549404144287</v>
      </c>
      <c r="F957" s="264">
        <v>3.9560127258300781</v>
      </c>
      <c r="G957" s="264">
        <v>6.4499416351318359</v>
      </c>
      <c r="H957" s="264">
        <v>172.06828308105469</v>
      </c>
      <c r="I957" s="264">
        <v>861.57110595703125</v>
      </c>
      <c r="J957" s="264">
        <v>-56.835777282714844</v>
      </c>
      <c r="K957" s="264">
        <v>-273.92913818359375</v>
      </c>
      <c r="L957" s="228">
        <v>26.677494492249856</v>
      </c>
      <c r="M957" s="264">
        <v>0.45144354310008483</v>
      </c>
      <c r="N957" s="264">
        <v>3.0591303501073925</v>
      </c>
      <c r="O957" s="264">
        <v>2.8240905220544796</v>
      </c>
      <c r="P957" s="264">
        <v>3.0373405031808653</v>
      </c>
      <c r="Q957" s="264">
        <v>2.7205383026535701</v>
      </c>
      <c r="R957" s="264">
        <v>2.6213685931717521</v>
      </c>
      <c r="S957" s="264">
        <v>2.4073428993175021</v>
      </c>
      <c r="T957" s="264">
        <v>2.4327395434352566</v>
      </c>
      <c r="U957" s="264">
        <v>2.435862967228644</v>
      </c>
      <c r="V957" s="264">
        <v>2.4825660848750855</v>
      </c>
      <c r="W957" s="264">
        <v>2.5568702821539429</v>
      </c>
      <c r="X957" s="264">
        <v>2.7316510335572763</v>
      </c>
      <c r="Y957" s="264">
        <v>2.9986266926447427</v>
      </c>
      <c r="Z957" s="264"/>
      <c r="AA957" s="264">
        <v>0.60746715687031494</v>
      </c>
      <c r="AB957" s="264">
        <v>0.86011114422677948</v>
      </c>
      <c r="AC957" s="264">
        <v>0.7858547054648759</v>
      </c>
      <c r="AD957" s="264">
        <v>0.85464686699517889</v>
      </c>
      <c r="AE957" s="264">
        <v>0.63238042759022939</v>
      </c>
      <c r="AF957" s="264">
        <v>0.51653819293919645</v>
      </c>
      <c r="AG957" s="264">
        <v>0.64305754361304979</v>
      </c>
      <c r="AH957" s="264">
        <v>0.54384007561427783</v>
      </c>
      <c r="AI957" s="264">
        <v>0.52560926736202451</v>
      </c>
      <c r="AJ957" s="264">
        <v>0.49401353417444893</v>
      </c>
      <c r="AK957" s="264">
        <v>0.60151950624087447</v>
      </c>
      <c r="AL957" s="264">
        <v>0.84948178672091279</v>
      </c>
      <c r="AM957" s="244"/>
      <c r="AN957" s="244"/>
      <c r="AO957" s="244"/>
      <c r="AP957" s="244"/>
      <c r="AQ957" s="244"/>
      <c r="AR957" s="244"/>
      <c r="AS957" s="255"/>
      <c r="AT957" s="244"/>
      <c r="AU957" s="244"/>
      <c r="AV957" s="244"/>
      <c r="AW957" s="244"/>
      <c r="AX957" s="244"/>
      <c r="AY957" s="244"/>
      <c r="AZ957" s="255"/>
      <c r="BA957" s="244"/>
      <c r="BB957" s="244"/>
      <c r="BC957" s="244"/>
      <c r="BD957" s="244"/>
      <c r="BE957" s="244"/>
      <c r="BF957" s="244"/>
      <c r="BG957" s="244"/>
      <c r="BH957" s="255"/>
      <c r="BI957" s="244"/>
      <c r="BJ957" s="244"/>
      <c r="BK957" s="244"/>
      <c r="BL957" s="244"/>
      <c r="BM957" s="244"/>
      <c r="BN957" s="244"/>
      <c r="BO957" s="244"/>
      <c r="BP957" s="244"/>
      <c r="BQ957" s="244"/>
      <c r="BR957" s="244"/>
      <c r="BS957" s="244"/>
      <c r="BT957" s="244"/>
      <c r="BU957" s="244"/>
      <c r="BV957" s="244"/>
      <c r="BW957" s="244"/>
      <c r="BX957" s="244"/>
      <c r="BY957" s="244"/>
      <c r="BZ957" s="244"/>
      <c r="CA957" s="244"/>
      <c r="CB957" s="244"/>
      <c r="CC957" s="244"/>
      <c r="CD957" s="255"/>
      <c r="CE957" s="244"/>
      <c r="CF957" s="244"/>
      <c r="CG957" s="244"/>
      <c r="CH957" s="244"/>
      <c r="CI957" s="244"/>
      <c r="CJ957" s="244"/>
      <c r="CK957" s="244"/>
      <c r="CL957" s="244"/>
      <c r="CM957" s="244"/>
      <c r="CN957" s="244"/>
      <c r="CO957" s="244"/>
      <c r="CP957" s="244"/>
      <c r="CQ957" s="244"/>
      <c r="CR957" s="244"/>
      <c r="CS957" s="244"/>
      <c r="CT957" s="244"/>
      <c r="CU957" s="244"/>
      <c r="CV957" s="244"/>
      <c r="CW957" s="255"/>
    </row>
    <row r="958" spans="1:101">
      <c r="A958" s="221" t="s">
        <v>459</v>
      </c>
      <c r="C958" s="264">
        <v>99.576446533203125</v>
      </c>
      <c r="D958" s="264">
        <v>11.336667060852051</v>
      </c>
      <c r="E958" s="264">
        <v>2.2673335075378418</v>
      </c>
      <c r="F958" s="264">
        <v>13.604000091552734</v>
      </c>
      <c r="G958" s="264">
        <v>22.18016242980957</v>
      </c>
      <c r="H958" s="264">
        <v>574.19989013671875</v>
      </c>
      <c r="I958" s="264">
        <v>1196.7794189453125</v>
      </c>
      <c r="J958" s="264">
        <v>-54.36297607421875</v>
      </c>
      <c r="K958" s="264">
        <v>-388.40567016601562</v>
      </c>
      <c r="L958" s="228">
        <v>25.887993982522325</v>
      </c>
      <c r="M958" s="264">
        <v>1.4818467752266398</v>
      </c>
      <c r="N958" s="264">
        <v>7.5221750759904893</v>
      </c>
      <c r="O958" s="264">
        <v>6.938938644663871</v>
      </c>
      <c r="P958" s="264">
        <v>7.4655362702906789</v>
      </c>
      <c r="Q958" s="264">
        <v>6.7073995213240227</v>
      </c>
      <c r="R958" s="264">
        <v>6.4872776664605265</v>
      </c>
      <c r="S958" s="264">
        <v>5.9669851145058379</v>
      </c>
      <c r="T958" s="264">
        <v>6.0413462623541196</v>
      </c>
      <c r="U958" s="264">
        <v>6.0436040571966663</v>
      </c>
      <c r="V958" s="264">
        <v>6.1591394634388301</v>
      </c>
      <c r="W958" s="264">
        <v>6.3296732598309653</v>
      </c>
      <c r="X958" s="264">
        <v>6.7387969267913936</v>
      </c>
      <c r="Y958" s="264">
        <v>7.3791404746733384</v>
      </c>
      <c r="Z958" s="264"/>
      <c r="AA958" s="264">
        <v>1.5259874760551393</v>
      </c>
      <c r="AB958" s="264">
        <v>2.1140587394851811</v>
      </c>
      <c r="AC958" s="264">
        <v>1.9528334851640405</v>
      </c>
      <c r="AD958" s="264">
        <v>2.1123974393049769</v>
      </c>
      <c r="AE958" s="264">
        <v>1.5848840765974948</v>
      </c>
      <c r="AF958" s="264">
        <v>1.3130864319444373</v>
      </c>
      <c r="AG958" s="264">
        <v>1.6101254768299325</v>
      </c>
      <c r="AH958" s="264">
        <v>1.3806950798954434</v>
      </c>
      <c r="AI958" s="264">
        <v>1.3324700742731137</v>
      </c>
      <c r="AJ958" s="264">
        <v>1.2629018788107325</v>
      </c>
      <c r="AK958" s="264">
        <v>1.5088616285690093</v>
      </c>
      <c r="AL958" s="264">
        <v>2.0981258813237362</v>
      </c>
      <c r="AM958" s="244"/>
      <c r="AN958" s="244"/>
      <c r="AO958" s="244"/>
      <c r="AP958" s="244"/>
      <c r="AQ958" s="244"/>
      <c r="AR958" s="244"/>
      <c r="AS958" s="255"/>
      <c r="AT958" s="244"/>
      <c r="AU958" s="244"/>
      <c r="AV958" s="244"/>
      <c r="AW958" s="244"/>
      <c r="AX958" s="244"/>
      <c r="AY958" s="244"/>
      <c r="AZ958" s="255"/>
      <c r="BA958" s="244"/>
      <c r="BB958" s="244"/>
      <c r="BC958" s="244"/>
      <c r="BD958" s="244"/>
      <c r="BE958" s="244"/>
      <c r="BF958" s="244"/>
      <c r="BG958" s="244"/>
      <c r="BH958" s="255"/>
      <c r="BI958" s="244"/>
      <c r="BJ958" s="244"/>
      <c r="BK958" s="244"/>
      <c r="BL958" s="244"/>
      <c r="BM958" s="244"/>
      <c r="BN958" s="244"/>
      <c r="BO958" s="244"/>
      <c r="BP958" s="244"/>
      <c r="BQ958" s="244"/>
      <c r="BR958" s="244"/>
      <c r="BS958" s="244"/>
      <c r="BT958" s="244"/>
      <c r="BU958" s="244"/>
      <c r="BV958" s="244"/>
      <c r="BW958" s="244"/>
      <c r="BX958" s="244"/>
      <c r="BY958" s="244"/>
      <c r="BZ958" s="244"/>
      <c r="CA958" s="244"/>
      <c r="CB958" s="244"/>
      <c r="CC958" s="244"/>
      <c r="CD958" s="255"/>
      <c r="CE958" s="244"/>
      <c r="CF958" s="244"/>
      <c r="CG958" s="244"/>
      <c r="CH958" s="244"/>
      <c r="CI958" s="244"/>
      <c r="CJ958" s="244"/>
      <c r="CK958" s="244"/>
      <c r="CL958" s="244"/>
      <c r="CM958" s="244"/>
      <c r="CN958" s="244"/>
      <c r="CO958" s="244"/>
      <c r="CP958" s="244"/>
      <c r="CQ958" s="244"/>
      <c r="CR958" s="244"/>
      <c r="CS958" s="244"/>
      <c r="CT958" s="244"/>
      <c r="CU958" s="244"/>
      <c r="CV958" s="244"/>
      <c r="CW958" s="255"/>
    </row>
    <row r="959" spans="1:101">
      <c r="A959" s="221" t="s">
        <v>484</v>
      </c>
      <c r="C959" s="264">
        <v>207.7703857421875</v>
      </c>
      <c r="D959" s="264">
        <v>11.336667060852051</v>
      </c>
      <c r="E959" s="264">
        <v>2.2673335075378418</v>
      </c>
      <c r="F959" s="264">
        <v>13.604000091552734</v>
      </c>
      <c r="G959" s="264">
        <v>22.18016242980957</v>
      </c>
      <c r="H959" s="264">
        <v>570.01812744140625</v>
      </c>
      <c r="I959" s="264">
        <v>573.57086181640625</v>
      </c>
      <c r="J959" s="264">
        <v>-59.014091491699219</v>
      </c>
      <c r="K959" s="264">
        <v>-155.0655517578125</v>
      </c>
      <c r="L959" s="228">
        <v>25.699458459471842</v>
      </c>
      <c r="M959" s="264">
        <v>1.5682342683494026</v>
      </c>
      <c r="N959" s="264">
        <v>15.912641344179987</v>
      </c>
      <c r="O959" s="264">
        <v>14.701496725369337</v>
      </c>
      <c r="P959" s="264">
        <v>15.805923057231089</v>
      </c>
      <c r="Q959" s="264">
        <v>14.112845296899023</v>
      </c>
      <c r="R959" s="264">
        <v>13.545602013588828</v>
      </c>
      <c r="S959" s="264">
        <v>12.419353743305349</v>
      </c>
      <c r="T959" s="264">
        <v>12.525658236992639</v>
      </c>
      <c r="U959" s="264">
        <v>12.553649505443239</v>
      </c>
      <c r="V959" s="264">
        <v>12.795077347791631</v>
      </c>
      <c r="W959" s="264">
        <v>13.207953060240795</v>
      </c>
      <c r="X959" s="264">
        <v>14.161830917248134</v>
      </c>
      <c r="Y959" s="264">
        <v>15.585489566781206</v>
      </c>
      <c r="Z959" s="264"/>
      <c r="AA959" s="264">
        <v>3.0899614752692099</v>
      </c>
      <c r="AB959" s="264">
        <v>4.4759592669256394</v>
      </c>
      <c r="AC959" s="264">
        <v>4.0434255390149421</v>
      </c>
      <c r="AD959" s="264">
        <v>4.4220331733673959</v>
      </c>
      <c r="AE959" s="264">
        <v>3.2246710306687056</v>
      </c>
      <c r="AF959" s="264">
        <v>2.5938320643742268</v>
      </c>
      <c r="AG959" s="264">
        <v>3.2824036972684896</v>
      </c>
      <c r="AH959" s="264">
        <v>2.7348184294198306</v>
      </c>
      <c r="AI959" s="264">
        <v>2.6473443646708636</v>
      </c>
      <c r="AJ959" s="264">
        <v>2.4653993186208369</v>
      </c>
      <c r="AK959" s="264">
        <v>3.0644404434231749</v>
      </c>
      <c r="AL959" s="264">
        <v>4.3985685848643206</v>
      </c>
      <c r="AM959" s="244"/>
      <c r="AN959" s="244"/>
      <c r="AO959" s="244"/>
      <c r="AP959" s="244"/>
      <c r="AQ959" s="244"/>
      <c r="AR959" s="244"/>
      <c r="AS959" s="255"/>
      <c r="AT959" s="244"/>
      <c r="AU959" s="244"/>
      <c r="AV959" s="244"/>
      <c r="AW959" s="244"/>
      <c r="AX959" s="244"/>
      <c r="AY959" s="244"/>
      <c r="AZ959" s="255"/>
      <c r="BA959" s="244"/>
      <c r="BB959" s="244"/>
      <c r="BC959" s="244"/>
      <c r="BD959" s="244"/>
      <c r="BE959" s="244"/>
      <c r="BF959" s="244"/>
      <c r="BG959" s="244"/>
      <c r="BH959" s="255"/>
      <c r="BI959" s="244"/>
      <c r="BJ959" s="244"/>
      <c r="BK959" s="244"/>
      <c r="BL959" s="244"/>
      <c r="BM959" s="244"/>
      <c r="BN959" s="244"/>
      <c r="BO959" s="244"/>
      <c r="BP959" s="244"/>
      <c r="BQ959" s="244"/>
      <c r="BR959" s="244"/>
      <c r="BS959" s="244"/>
      <c r="BT959" s="244"/>
      <c r="BU959" s="244"/>
      <c r="BV959" s="244"/>
      <c r="BW959" s="244"/>
      <c r="BX959" s="244"/>
      <c r="BY959" s="244"/>
      <c r="BZ959" s="244"/>
      <c r="CA959" s="244"/>
      <c r="CB959" s="244"/>
      <c r="CC959" s="244"/>
      <c r="CD959" s="255"/>
      <c r="CE959" s="244"/>
      <c r="CF959" s="244"/>
      <c r="CG959" s="244"/>
      <c r="CH959" s="244"/>
      <c r="CI959" s="244"/>
      <c r="CJ959" s="244"/>
      <c r="CK959" s="244"/>
      <c r="CL959" s="244"/>
      <c r="CM959" s="244"/>
      <c r="CN959" s="244"/>
      <c r="CO959" s="244"/>
      <c r="CP959" s="244"/>
      <c r="CQ959" s="244"/>
      <c r="CR959" s="244"/>
      <c r="CS959" s="244"/>
      <c r="CT959" s="244"/>
      <c r="CU959" s="244"/>
      <c r="CV959" s="244"/>
      <c r="CW959" s="255"/>
    </row>
    <row r="960" spans="1:101">
      <c r="A960" s="221" t="s">
        <v>468</v>
      </c>
      <c r="C960" s="264">
        <v>66.384292602539063</v>
      </c>
      <c r="D960" s="264">
        <v>8.1096944808959961</v>
      </c>
      <c r="E960" s="264">
        <v>1.621938943862915</v>
      </c>
      <c r="F960" s="264">
        <v>9.731633186340332</v>
      </c>
      <c r="G960" s="264">
        <v>15.866598129272461</v>
      </c>
      <c r="H960" s="264">
        <v>382.79995727539062</v>
      </c>
      <c r="I960" s="264">
        <v>1284.1759033203125</v>
      </c>
      <c r="J960" s="264">
        <v>-53.796646118164063</v>
      </c>
      <c r="K960" s="264">
        <v>-387.1004638671875</v>
      </c>
      <c r="L960" s="228">
        <v>24.126151910423992</v>
      </c>
      <c r="M960" s="264">
        <v>0.9878978501510951</v>
      </c>
      <c r="N960" s="264">
        <v>5.0147833839936604</v>
      </c>
      <c r="O960" s="264">
        <v>4.6259590964425819</v>
      </c>
      <c r="P960" s="264">
        <v>4.9770241801937862</v>
      </c>
      <c r="Q960" s="264">
        <v>4.471599680882683</v>
      </c>
      <c r="R960" s="264">
        <v>4.3248517776403519</v>
      </c>
      <c r="S960" s="264">
        <v>3.9779900763372265</v>
      </c>
      <c r="T960" s="264">
        <v>4.0275641749027473</v>
      </c>
      <c r="U960" s="264">
        <v>4.0290693714644448</v>
      </c>
      <c r="V960" s="264">
        <v>4.1060929756258879</v>
      </c>
      <c r="W960" s="264">
        <v>4.2197821732206435</v>
      </c>
      <c r="X960" s="264">
        <v>4.4925312845275966</v>
      </c>
      <c r="Y960" s="264">
        <v>4.9194269831155601</v>
      </c>
      <c r="Z960" s="264"/>
      <c r="AA960" s="264">
        <v>1.0173249840367597</v>
      </c>
      <c r="AB960" s="264">
        <v>1.4093724929901212</v>
      </c>
      <c r="AC960" s="264">
        <v>1.3018889901093607</v>
      </c>
      <c r="AD960" s="264">
        <v>1.4082649595366519</v>
      </c>
      <c r="AE960" s="264">
        <v>1.0565893843983298</v>
      </c>
      <c r="AF960" s="264">
        <v>0.87539095462962502</v>
      </c>
      <c r="AG960" s="264">
        <v>1.0734169845532886</v>
      </c>
      <c r="AH960" s="264">
        <v>0.92046338659696247</v>
      </c>
      <c r="AI960" s="264">
        <v>0.88831338284874262</v>
      </c>
      <c r="AJ960" s="264">
        <v>0.84193458587382175</v>
      </c>
      <c r="AK960" s="264">
        <v>1.0059077523793398</v>
      </c>
      <c r="AL960" s="264">
        <v>1.3987505875491577</v>
      </c>
      <c r="AM960" s="244"/>
      <c r="AN960" s="244"/>
      <c r="AO960" s="244"/>
      <c r="AP960" s="244"/>
      <c r="AQ960" s="244"/>
      <c r="AR960" s="244"/>
      <c r="AS960" s="255"/>
      <c r="AT960" s="244"/>
      <c r="AU960" s="244"/>
      <c r="AV960" s="244"/>
      <c r="AW960" s="244"/>
      <c r="AX960" s="244"/>
      <c r="AY960" s="244"/>
      <c r="AZ960" s="255"/>
      <c r="BA960" s="244"/>
      <c r="BB960" s="244"/>
      <c r="BC960" s="244"/>
      <c r="BD960" s="244"/>
      <c r="BE960" s="244"/>
      <c r="BF960" s="244"/>
      <c r="BG960" s="244"/>
      <c r="BH960" s="255"/>
      <c r="BI960" s="244"/>
      <c r="BJ960" s="244"/>
      <c r="BK960" s="244"/>
      <c r="BL960" s="244"/>
      <c r="BM960" s="244"/>
      <c r="BN960" s="244"/>
      <c r="BO960" s="244"/>
      <c r="BP960" s="244"/>
      <c r="BQ960" s="244"/>
      <c r="BR960" s="244"/>
      <c r="BS960" s="244"/>
      <c r="BT960" s="244"/>
      <c r="BU960" s="244"/>
      <c r="BV960" s="244"/>
      <c r="BW960" s="244"/>
      <c r="BX960" s="244"/>
      <c r="BY960" s="244"/>
      <c r="BZ960" s="244"/>
      <c r="CA960" s="244"/>
      <c r="CB960" s="244"/>
      <c r="CC960" s="244"/>
      <c r="CD960" s="255"/>
      <c r="CE960" s="244"/>
      <c r="CF960" s="244"/>
      <c r="CG960" s="244"/>
      <c r="CH960" s="244"/>
      <c r="CI960" s="244"/>
      <c r="CJ960" s="244"/>
      <c r="CK960" s="244"/>
      <c r="CL960" s="244"/>
      <c r="CM960" s="244"/>
      <c r="CN960" s="244"/>
      <c r="CO960" s="244"/>
      <c r="CP960" s="244"/>
      <c r="CQ960" s="244"/>
      <c r="CR960" s="244"/>
      <c r="CS960" s="244"/>
      <c r="CT960" s="244"/>
      <c r="CU960" s="244"/>
      <c r="CV960" s="244"/>
      <c r="CW960" s="255"/>
    </row>
    <row r="961" spans="1:101">
      <c r="A961" s="221" t="s">
        <v>493</v>
      </c>
      <c r="C961" s="264">
        <v>138.51358032226562</v>
      </c>
      <c r="D961" s="264">
        <v>8.1096944808959961</v>
      </c>
      <c r="E961" s="264">
        <v>1.621938943862915</v>
      </c>
      <c r="F961" s="264">
        <v>9.731633186340332</v>
      </c>
      <c r="G961" s="264">
        <v>15.866598129272461</v>
      </c>
      <c r="H961" s="264">
        <v>380.0120849609375</v>
      </c>
      <c r="I961" s="264">
        <v>615.4566650390625</v>
      </c>
      <c r="J961" s="264">
        <v>-58.74267578125</v>
      </c>
      <c r="K961" s="264">
        <v>-154.44001770019531</v>
      </c>
      <c r="L961" s="228">
        <v>23.950445486782236</v>
      </c>
      <c r="M961" s="264">
        <v>1.0454895122329386</v>
      </c>
      <c r="N961" s="264">
        <v>10.608427562786659</v>
      </c>
      <c r="O961" s="264">
        <v>9.8009978169128917</v>
      </c>
      <c r="P961" s="264">
        <v>10.537282038154061</v>
      </c>
      <c r="Q961" s="264">
        <v>9.4085635312660152</v>
      </c>
      <c r="R961" s="264">
        <v>9.0304013423925547</v>
      </c>
      <c r="S961" s="264">
        <v>8.2795691622035665</v>
      </c>
      <c r="T961" s="264">
        <v>8.3504388246617616</v>
      </c>
      <c r="U961" s="264">
        <v>8.3690996702954958</v>
      </c>
      <c r="V961" s="264">
        <v>8.5300515651944231</v>
      </c>
      <c r="W961" s="264">
        <v>8.805302040160532</v>
      </c>
      <c r="X961" s="264">
        <v>9.4412206114987569</v>
      </c>
      <c r="Y961" s="264">
        <v>10.390326377854141</v>
      </c>
      <c r="Z961" s="264"/>
      <c r="AA961" s="264">
        <v>2.05997431684614</v>
      </c>
      <c r="AB961" s="264">
        <v>2.9839728446170937</v>
      </c>
      <c r="AC961" s="264">
        <v>2.6956170260099621</v>
      </c>
      <c r="AD961" s="264">
        <v>2.9480221155782647</v>
      </c>
      <c r="AE961" s="264">
        <v>2.1497806871124712</v>
      </c>
      <c r="AF961" s="264">
        <v>1.7292213762494844</v>
      </c>
      <c r="AG961" s="264">
        <v>2.1882691315123273</v>
      </c>
      <c r="AH961" s="264">
        <v>1.8232122862798874</v>
      </c>
      <c r="AI961" s="264">
        <v>1.764896243113909</v>
      </c>
      <c r="AJ961" s="264">
        <v>1.643599545747225</v>
      </c>
      <c r="AK961" s="264">
        <v>2.0429602956154502</v>
      </c>
      <c r="AL961" s="264">
        <v>2.9323790565762144</v>
      </c>
      <c r="AM961" s="244"/>
      <c r="AN961" s="244"/>
      <c r="AO961" s="244"/>
      <c r="AP961" s="244"/>
      <c r="AQ961" s="244"/>
      <c r="AR961" s="244"/>
      <c r="AS961" s="255"/>
      <c r="AT961" s="244"/>
      <c r="AU961" s="244"/>
      <c r="AV961" s="244"/>
      <c r="AW961" s="244"/>
      <c r="AX961" s="244"/>
      <c r="AY961" s="244"/>
      <c r="AZ961" s="255"/>
      <c r="BA961" s="244"/>
      <c r="BB961" s="244"/>
      <c r="BC961" s="244"/>
      <c r="BD961" s="244"/>
      <c r="BE961" s="244"/>
      <c r="BF961" s="244"/>
      <c r="BG961" s="244"/>
      <c r="BH961" s="255"/>
      <c r="BI961" s="244"/>
      <c r="BJ961" s="244"/>
      <c r="BK961" s="244"/>
      <c r="BL961" s="244"/>
      <c r="BM961" s="244"/>
      <c r="BN961" s="244"/>
      <c r="BO961" s="244"/>
      <c r="BP961" s="244"/>
      <c r="BQ961" s="244"/>
      <c r="BR961" s="244"/>
      <c r="BS961" s="244"/>
      <c r="BT961" s="244"/>
      <c r="BU961" s="244"/>
      <c r="BV961" s="244"/>
      <c r="BW961" s="244"/>
      <c r="BX961" s="244"/>
      <c r="BY961" s="244"/>
      <c r="BZ961" s="244"/>
      <c r="CA961" s="244"/>
      <c r="CB961" s="244"/>
      <c r="CC961" s="244"/>
      <c r="CD961" s="255"/>
      <c r="CE961" s="244"/>
      <c r="CF961" s="244"/>
      <c r="CG961" s="244"/>
      <c r="CH961" s="244"/>
      <c r="CI961" s="244"/>
      <c r="CJ961" s="244"/>
      <c r="CK961" s="244"/>
      <c r="CL961" s="244"/>
      <c r="CM961" s="244"/>
      <c r="CN961" s="244"/>
      <c r="CO961" s="244"/>
      <c r="CP961" s="244"/>
      <c r="CQ961" s="244"/>
      <c r="CR961" s="244"/>
      <c r="CS961" s="244"/>
      <c r="CT961" s="244"/>
      <c r="CU961" s="244"/>
      <c r="CV961" s="244"/>
      <c r="CW961" s="255"/>
    </row>
    <row r="962" spans="1:101">
      <c r="A962" s="221" t="s">
        <v>527</v>
      </c>
      <c r="C962" s="264">
        <v>4.0062875747680664</v>
      </c>
      <c r="D962" s="264">
        <v>3.2966773509979248</v>
      </c>
      <c r="E962" s="264">
        <v>0.65933549404144287</v>
      </c>
      <c r="F962" s="264">
        <v>3.9560127258300781</v>
      </c>
      <c r="G962" s="264">
        <v>6.4499416351318359</v>
      </c>
      <c r="H962" s="264">
        <v>147.27352905273437</v>
      </c>
      <c r="I962" s="264">
        <v>8650.0712890625</v>
      </c>
      <c r="J962" s="264">
        <v>0.30511307716369629</v>
      </c>
      <c r="K962" s="264">
        <v>-2764.98193359375</v>
      </c>
      <c r="L962" s="228">
        <v>22.8333131592114</v>
      </c>
      <c r="M962" s="264">
        <v>0.34530651432528103</v>
      </c>
      <c r="N962" s="264">
        <v>0.25907429033106633</v>
      </c>
      <c r="O962" s="264">
        <v>0.23444547303312557</v>
      </c>
      <c r="P962" s="264">
        <v>0.25449777874538859</v>
      </c>
      <c r="Q962" s="264">
        <v>0.24628817297940836</v>
      </c>
      <c r="R962" s="264">
        <v>0.25907429033106633</v>
      </c>
      <c r="S962" s="264">
        <v>0.24628817297940836</v>
      </c>
      <c r="T962" s="264">
        <v>0.25907429033106633</v>
      </c>
      <c r="U962" s="264">
        <v>0.25449777874538859</v>
      </c>
      <c r="V962" s="264">
        <v>0.25907429033106633</v>
      </c>
      <c r="W962" s="264">
        <v>0.25449777874538859</v>
      </c>
      <c r="X962" s="264">
        <v>0.25086468456508609</v>
      </c>
      <c r="Y962" s="264">
        <v>0.25907429033106633</v>
      </c>
      <c r="Z962" s="264"/>
      <c r="AA962" s="264">
        <v>8.0256081329451806E-2</v>
      </c>
      <c r="AB962" s="264">
        <v>7.2046475563471518E-2</v>
      </c>
      <c r="AC962" s="264">
        <v>8.483259291512954E-2</v>
      </c>
      <c r="AD962" s="264">
        <v>8.2096057659802782E-2</v>
      </c>
      <c r="AE962" s="264">
        <v>8.0256081329451806E-2</v>
      </c>
      <c r="AF962" s="264">
        <v>8.2096057659802782E-2</v>
      </c>
      <c r="AG962" s="264">
        <v>8.0256081329451806E-2</v>
      </c>
      <c r="AH962" s="264">
        <v>8.483259291512954E-2</v>
      </c>
      <c r="AI962" s="264">
        <v>8.0256081329451806E-2</v>
      </c>
      <c r="AJ962" s="264">
        <v>8.483259291512954E-2</v>
      </c>
      <c r="AK962" s="264">
        <v>7.7519546074125034E-2</v>
      </c>
      <c r="AL962" s="264">
        <v>8.0256081329451806E-2</v>
      </c>
      <c r="AM962" s="244"/>
      <c r="AN962" s="244"/>
      <c r="AO962" s="244"/>
      <c r="AP962" s="244"/>
      <c r="AQ962" s="244"/>
      <c r="AR962" s="244"/>
      <c r="AS962" s="255"/>
      <c r="AT962" s="244"/>
      <c r="AU962" s="244"/>
      <c r="AV962" s="244"/>
      <c r="AW962" s="244"/>
      <c r="AX962" s="244"/>
      <c r="AY962" s="244"/>
      <c r="AZ962" s="255"/>
      <c r="BA962" s="244"/>
      <c r="BB962" s="244"/>
      <c r="BC962" s="244"/>
      <c r="BD962" s="244"/>
      <c r="BE962" s="244"/>
      <c r="BF962" s="244"/>
      <c r="BG962" s="244"/>
      <c r="BH962" s="255"/>
      <c r="BI962" s="244"/>
      <c r="BJ962" s="244"/>
      <c r="BK962" s="244"/>
      <c r="BL962" s="244"/>
      <c r="BM962" s="244"/>
      <c r="BN962" s="244"/>
      <c r="BO962" s="244"/>
      <c r="BP962" s="244"/>
      <c r="BQ962" s="244"/>
      <c r="BR962" s="244"/>
      <c r="BS962" s="244"/>
      <c r="BT962" s="244"/>
      <c r="BU962" s="244"/>
      <c r="BV962" s="244"/>
      <c r="BW962" s="244"/>
      <c r="BX962" s="244"/>
      <c r="BY962" s="244"/>
      <c r="BZ962" s="244"/>
      <c r="CA962" s="244"/>
      <c r="CB962" s="244"/>
      <c r="CC962" s="244"/>
      <c r="CD962" s="255"/>
      <c r="CE962" s="244"/>
      <c r="CF962" s="244"/>
      <c r="CG962" s="244"/>
      <c r="CH962" s="244"/>
      <c r="CI962" s="244"/>
      <c r="CJ962" s="244"/>
      <c r="CK962" s="244"/>
      <c r="CL962" s="244"/>
      <c r="CM962" s="244"/>
      <c r="CN962" s="244"/>
      <c r="CO962" s="244"/>
      <c r="CP962" s="244"/>
      <c r="CQ962" s="244"/>
      <c r="CR962" s="244"/>
      <c r="CS962" s="244"/>
      <c r="CT962" s="244"/>
      <c r="CU962" s="244"/>
      <c r="CV962" s="244"/>
      <c r="CW962" s="255"/>
    </row>
    <row r="963" spans="1:101">
      <c r="A963" s="221" t="s">
        <v>567</v>
      </c>
      <c r="C963" s="264">
        <v>94.425468444824219</v>
      </c>
      <c r="D963" s="264">
        <v>11.336667060852051</v>
      </c>
      <c r="E963" s="264">
        <v>2.2673335075378418</v>
      </c>
      <c r="F963" s="264">
        <v>13.604000091552734</v>
      </c>
      <c r="G963" s="264">
        <v>22.18016242980957</v>
      </c>
      <c r="H963" s="264">
        <v>505.4083251953125</v>
      </c>
      <c r="I963" s="264">
        <v>1262.064697265625</v>
      </c>
      <c r="J963" s="264">
        <v>-54.023834228515625</v>
      </c>
      <c r="K963" s="264">
        <v>-354.20196533203125</v>
      </c>
      <c r="L963" s="228">
        <v>22.786502738929013</v>
      </c>
      <c r="M963" s="264">
        <v>1.3103632339831806</v>
      </c>
      <c r="N963" s="264">
        <v>7.1465865016972261</v>
      </c>
      <c r="O963" s="264">
        <v>6.5938813177043389</v>
      </c>
      <c r="P963" s="264">
        <v>7.0935908392602229</v>
      </c>
      <c r="Q963" s="264">
        <v>6.3677513109934294</v>
      </c>
      <c r="R963" s="264">
        <v>6.152297704188161</v>
      </c>
      <c r="S963" s="264">
        <v>5.6563902200926357</v>
      </c>
      <c r="T963" s="264">
        <v>5.7238643198956369</v>
      </c>
      <c r="U963" s="264">
        <v>5.7274541987802898</v>
      </c>
      <c r="V963" s="264">
        <v>5.8370354025389446</v>
      </c>
      <c r="W963" s="264">
        <v>6.0022982566283236</v>
      </c>
      <c r="X963" s="264">
        <v>6.3964960271497233</v>
      </c>
      <c r="Y963" s="264">
        <v>7.0091644727732074</v>
      </c>
      <c r="Z963" s="264"/>
      <c r="AA963" s="264">
        <v>1.4411951007976318</v>
      </c>
      <c r="AB963" s="264">
        <v>2.0087393741686452</v>
      </c>
      <c r="AC963" s="264">
        <v>1.8498713086850307</v>
      </c>
      <c r="AD963" s="264">
        <v>2.0040235885143445</v>
      </c>
      <c r="AE963" s="264">
        <v>1.4977806421192859</v>
      </c>
      <c r="AF963" s="264">
        <v>1.2360769562918967</v>
      </c>
      <c r="AG963" s="264">
        <v>1.5220315883999946</v>
      </c>
      <c r="AH963" s="264">
        <v>1.3001831929889627</v>
      </c>
      <c r="AI963" s="264">
        <v>1.2552711793121971</v>
      </c>
      <c r="AJ963" s="264">
        <v>1.1870121103456546</v>
      </c>
      <c r="AK963" s="264">
        <v>1.4255907566619834</v>
      </c>
      <c r="AL963" s="264">
        <v>1.9908832164936998</v>
      </c>
      <c r="AM963" s="244"/>
      <c r="AN963" s="244"/>
      <c r="AO963" s="244"/>
      <c r="AP963" s="244"/>
      <c r="AQ963" s="244"/>
      <c r="AR963" s="244"/>
      <c r="AS963" s="255"/>
      <c r="AT963" s="244"/>
      <c r="AU963" s="244"/>
      <c r="AV963" s="244"/>
      <c r="AW963" s="244"/>
      <c r="AX963" s="244"/>
      <c r="AY963" s="244"/>
      <c r="AZ963" s="255"/>
      <c r="BA963" s="244"/>
      <c r="BB963" s="244"/>
      <c r="BC963" s="244"/>
      <c r="BD963" s="244"/>
      <c r="BE963" s="244"/>
      <c r="BF963" s="244"/>
      <c r="BG963" s="244"/>
      <c r="BH963" s="255"/>
      <c r="BI963" s="244"/>
      <c r="BJ963" s="244"/>
      <c r="BK963" s="244"/>
      <c r="BL963" s="244"/>
      <c r="BM963" s="244"/>
      <c r="BN963" s="244"/>
      <c r="BO963" s="244"/>
      <c r="BP963" s="244"/>
      <c r="BQ963" s="244"/>
      <c r="BR963" s="244"/>
      <c r="BS963" s="244"/>
      <c r="BT963" s="244"/>
      <c r="BU963" s="244"/>
      <c r="BV963" s="244"/>
      <c r="BW963" s="244"/>
      <c r="BX963" s="244"/>
      <c r="BY963" s="244"/>
      <c r="BZ963" s="244"/>
      <c r="CA963" s="244"/>
      <c r="CB963" s="244"/>
      <c r="CC963" s="244"/>
      <c r="CD963" s="255"/>
      <c r="CE963" s="244"/>
      <c r="CF963" s="244"/>
      <c r="CG963" s="244"/>
      <c r="CH963" s="244"/>
      <c r="CI963" s="244"/>
      <c r="CJ963" s="244"/>
      <c r="CK963" s="244"/>
      <c r="CL963" s="244"/>
      <c r="CM963" s="244"/>
      <c r="CN963" s="244"/>
      <c r="CO963" s="244"/>
      <c r="CP963" s="244"/>
      <c r="CQ963" s="244"/>
      <c r="CR963" s="244"/>
      <c r="CS963" s="244"/>
      <c r="CT963" s="244"/>
      <c r="CU963" s="244"/>
      <c r="CV963" s="244"/>
      <c r="CW963" s="255"/>
    </row>
    <row r="964" spans="1:101">
      <c r="A964" s="221" t="s">
        <v>454</v>
      </c>
      <c r="C964" s="264">
        <v>174.90971374511719</v>
      </c>
      <c r="D964" s="264">
        <v>11.336667060852051</v>
      </c>
      <c r="E964" s="264">
        <v>2.2673335075378418</v>
      </c>
      <c r="F964" s="264">
        <v>13.604000091552734</v>
      </c>
      <c r="G964" s="264">
        <v>22.18016242980957</v>
      </c>
      <c r="H964" s="264">
        <v>492.99188232421875</v>
      </c>
      <c r="I964" s="264">
        <v>681.32891845703125</v>
      </c>
      <c r="J964" s="264">
        <v>-58.296455383300781</v>
      </c>
      <c r="K964" s="264">
        <v>-159.48097229003906</v>
      </c>
      <c r="L964" s="228">
        <v>22.226703264475834</v>
      </c>
      <c r="M964" s="264">
        <v>1.3202217116572279</v>
      </c>
      <c r="N964" s="264">
        <v>13.390141229425584</v>
      </c>
      <c r="O964" s="264">
        <v>12.370395187994633</v>
      </c>
      <c r="P964" s="264">
        <v>13.299996540653719</v>
      </c>
      <c r="Q964" s="264">
        <v>11.877650829729731</v>
      </c>
      <c r="R964" s="264">
        <v>11.402992949649736</v>
      </c>
      <c r="S964" s="264">
        <v>10.455951247451075</v>
      </c>
      <c r="T964" s="264">
        <v>10.546742064868273</v>
      </c>
      <c r="U964" s="264">
        <v>10.569687115595848</v>
      </c>
      <c r="V964" s="264">
        <v>10.772921543867151</v>
      </c>
      <c r="W964" s="264">
        <v>11.118980136021692</v>
      </c>
      <c r="X964" s="264">
        <v>11.919328487287549</v>
      </c>
      <c r="Y964" s="264">
        <v>13.115494719212659</v>
      </c>
      <c r="Z964" s="264"/>
      <c r="AA964" s="264">
        <v>2.6037595934308713</v>
      </c>
      <c r="AB964" s="264">
        <v>3.7663222139226171</v>
      </c>
      <c r="AC964" s="264">
        <v>3.4047540733420623</v>
      </c>
      <c r="AD964" s="264">
        <v>3.7222670128634681</v>
      </c>
      <c r="AE964" s="264">
        <v>2.7168493329303089</v>
      </c>
      <c r="AF964" s="264">
        <v>2.187477691085375</v>
      </c>
      <c r="AG964" s="264">
        <v>2.7653163641443541</v>
      </c>
      <c r="AH964" s="264">
        <v>2.3061680324903748</v>
      </c>
      <c r="AI964" s="264">
        <v>2.2321790207898591</v>
      </c>
      <c r="AJ964" s="264">
        <v>2.0799885534914981</v>
      </c>
      <c r="AK964" s="264">
        <v>2.5820033144539618</v>
      </c>
      <c r="AL964" s="264">
        <v>3.7023456342825587</v>
      </c>
      <c r="AM964" s="244"/>
      <c r="AN964" s="244"/>
      <c r="AO964" s="244"/>
      <c r="AP964" s="244"/>
      <c r="AQ964" s="244"/>
      <c r="AR964" s="244"/>
      <c r="AS964" s="255"/>
      <c r="AT964" s="244"/>
      <c r="AU964" s="244"/>
      <c r="AV964" s="244"/>
      <c r="AW964" s="244"/>
      <c r="AX964" s="244"/>
      <c r="AY964" s="244"/>
      <c r="AZ964" s="255"/>
      <c r="BA964" s="244"/>
      <c r="BB964" s="244"/>
      <c r="BC964" s="244"/>
      <c r="BD964" s="244"/>
      <c r="BE964" s="244"/>
      <c r="BF964" s="244"/>
      <c r="BG964" s="244"/>
      <c r="BH964" s="255"/>
      <c r="BI964" s="244"/>
      <c r="BJ964" s="244"/>
      <c r="BK964" s="244"/>
      <c r="BL964" s="244"/>
      <c r="BM964" s="244"/>
      <c r="BN964" s="244"/>
      <c r="BO964" s="244"/>
      <c r="BP964" s="244"/>
      <c r="BQ964" s="244"/>
      <c r="BR964" s="244"/>
      <c r="BS964" s="244"/>
      <c r="BT964" s="244"/>
      <c r="BU964" s="244"/>
      <c r="BV964" s="244"/>
      <c r="BW964" s="244"/>
      <c r="BX964" s="244"/>
      <c r="BY964" s="244"/>
      <c r="BZ964" s="244"/>
      <c r="CA964" s="244"/>
      <c r="CB964" s="244"/>
      <c r="CC964" s="244"/>
      <c r="CD964" s="255"/>
      <c r="CE964" s="244"/>
      <c r="CF964" s="244"/>
      <c r="CG964" s="244"/>
      <c r="CH964" s="244"/>
      <c r="CI964" s="244"/>
      <c r="CJ964" s="244"/>
      <c r="CK964" s="244"/>
      <c r="CL964" s="244"/>
      <c r="CM964" s="244"/>
      <c r="CN964" s="244"/>
      <c r="CO964" s="244"/>
      <c r="CP964" s="244"/>
      <c r="CQ964" s="244"/>
      <c r="CR964" s="244"/>
      <c r="CS964" s="244"/>
      <c r="CT964" s="244"/>
      <c r="CU964" s="244"/>
      <c r="CV964" s="244"/>
      <c r="CW964" s="255"/>
    </row>
    <row r="965" spans="1:101">
      <c r="A965" s="221" t="s">
        <v>524</v>
      </c>
      <c r="C965" s="264">
        <v>3.7985541820526123</v>
      </c>
      <c r="D965" s="264">
        <v>3.2966773509979248</v>
      </c>
      <c r="E965" s="264">
        <v>0.65933549404144287</v>
      </c>
      <c r="F965" s="264">
        <v>3.9560127258300781</v>
      </c>
      <c r="G965" s="264">
        <v>6.4499416351318359</v>
      </c>
      <c r="H965" s="264">
        <v>141.06491088867187</v>
      </c>
      <c r="I965" s="264">
        <v>9123.1220703125</v>
      </c>
      <c r="J965" s="264">
        <v>3.3705034255981445</v>
      </c>
      <c r="K965" s="264">
        <v>-2788.078369140625</v>
      </c>
      <c r="L965" s="228">
        <v>21.870727045197604</v>
      </c>
      <c r="M965" s="264">
        <v>0.34356938571453505</v>
      </c>
      <c r="N965" s="264">
        <v>0.24564080861019633</v>
      </c>
      <c r="O965" s="264">
        <v>0.22228904109807468</v>
      </c>
      <c r="P965" s="264">
        <v>0.24130159762525741</v>
      </c>
      <c r="Q965" s="264">
        <v>0.23351767512121685</v>
      </c>
      <c r="R965" s="264">
        <v>0.24564080861019633</v>
      </c>
      <c r="S965" s="264">
        <v>0.23351767512121685</v>
      </c>
      <c r="T965" s="264">
        <v>0.24564080861019633</v>
      </c>
      <c r="U965" s="264">
        <v>0.24130159762525741</v>
      </c>
      <c r="V965" s="264">
        <v>0.24564080861019633</v>
      </c>
      <c r="W965" s="264">
        <v>0.24130159762525741</v>
      </c>
      <c r="X965" s="264">
        <v>0.23785688610615574</v>
      </c>
      <c r="Y965" s="264">
        <v>0.24564080861019633</v>
      </c>
      <c r="Z965" s="264"/>
      <c r="AA965" s="264">
        <v>7.6094654890146912E-2</v>
      </c>
      <c r="AB965" s="264">
        <v>6.831073238610634E-2</v>
      </c>
      <c r="AC965" s="264">
        <v>8.0433865875085803E-2</v>
      </c>
      <c r="AD965" s="264">
        <v>7.7839225040405607E-2</v>
      </c>
      <c r="AE965" s="264">
        <v>7.6094654890146912E-2</v>
      </c>
      <c r="AF965" s="264">
        <v>7.7839225040405607E-2</v>
      </c>
      <c r="AG965" s="264">
        <v>7.6094654890146912E-2</v>
      </c>
      <c r="AH965" s="264">
        <v>8.0433865875085803E-2</v>
      </c>
      <c r="AI965" s="264">
        <v>7.6094654890146912E-2</v>
      </c>
      <c r="AJ965" s="264">
        <v>8.0433865875085803E-2</v>
      </c>
      <c r="AK965" s="264">
        <v>7.3500014055466717E-2</v>
      </c>
      <c r="AL965" s="264">
        <v>7.6094654890146912E-2</v>
      </c>
      <c r="AM965" s="244"/>
      <c r="AN965" s="244"/>
      <c r="AO965" s="244"/>
      <c r="AP965" s="244"/>
      <c r="AQ965" s="244"/>
      <c r="AR965" s="244"/>
      <c r="AS965" s="255"/>
      <c r="AT965" s="244"/>
      <c r="AU965" s="244"/>
      <c r="AV965" s="244"/>
      <c r="AW965" s="244"/>
      <c r="AX965" s="244"/>
      <c r="AY965" s="244"/>
      <c r="AZ965" s="255"/>
      <c r="BA965" s="244"/>
      <c r="BB965" s="244"/>
      <c r="BC965" s="244"/>
      <c r="BD965" s="244"/>
      <c r="BE965" s="244"/>
      <c r="BF965" s="244"/>
      <c r="BG965" s="244"/>
      <c r="BH965" s="255"/>
      <c r="BI965" s="244"/>
      <c r="BJ965" s="244"/>
      <c r="BK965" s="244"/>
      <c r="BL965" s="244"/>
      <c r="BM965" s="244"/>
      <c r="BN965" s="244"/>
      <c r="BO965" s="244"/>
      <c r="BP965" s="244"/>
      <c r="BQ965" s="244"/>
      <c r="BR965" s="244"/>
      <c r="BS965" s="244"/>
      <c r="BT965" s="244"/>
      <c r="BU965" s="244"/>
      <c r="BV965" s="244"/>
      <c r="BW965" s="244"/>
      <c r="BX965" s="244"/>
      <c r="BY965" s="244"/>
      <c r="BZ965" s="244"/>
      <c r="CA965" s="244"/>
      <c r="CB965" s="244"/>
      <c r="CC965" s="244"/>
      <c r="CD965" s="255"/>
      <c r="CE965" s="244"/>
      <c r="CF965" s="244"/>
      <c r="CG965" s="244"/>
      <c r="CH965" s="244"/>
      <c r="CI965" s="244"/>
      <c r="CJ965" s="244"/>
      <c r="CK965" s="244"/>
      <c r="CL965" s="244"/>
      <c r="CM965" s="244"/>
      <c r="CN965" s="244"/>
      <c r="CO965" s="244"/>
      <c r="CP965" s="244"/>
      <c r="CQ965" s="244"/>
      <c r="CR965" s="244"/>
      <c r="CS965" s="244"/>
      <c r="CT965" s="244"/>
      <c r="CU965" s="244"/>
      <c r="CV965" s="244"/>
      <c r="CW965" s="255"/>
    </row>
    <row r="966" spans="1:101">
      <c r="A966" s="221" t="s">
        <v>458</v>
      </c>
      <c r="C966" s="264">
        <v>12.754437446594238</v>
      </c>
      <c r="D966" s="264">
        <v>11.336667060852051</v>
      </c>
      <c r="E966" s="264">
        <v>2.2673335075378418</v>
      </c>
      <c r="F966" s="264">
        <v>13.604000091552734</v>
      </c>
      <c r="G966" s="264">
        <v>22.18016242980957</v>
      </c>
      <c r="H966" s="264">
        <v>474.42523193359375</v>
      </c>
      <c r="I966" s="264">
        <v>9343.4970703125</v>
      </c>
      <c r="J966" s="264">
        <v>4.7985386848449707</v>
      </c>
      <c r="K966" s="264">
        <v>-2789.6337890625</v>
      </c>
      <c r="L966" s="228">
        <v>21.389619554334431</v>
      </c>
      <c r="M966" s="264">
        <v>1.1623304019983181</v>
      </c>
      <c r="N966" s="264">
        <v>0.82479021431691446</v>
      </c>
      <c r="O966" s="264">
        <v>0.74638178763905949</v>
      </c>
      <c r="P966" s="264">
        <v>0.81022040900450221</v>
      </c>
      <c r="Q966" s="264">
        <v>0.78408426677855059</v>
      </c>
      <c r="R966" s="264">
        <v>0.82479021431691446</v>
      </c>
      <c r="S966" s="264">
        <v>0.78408426677855059</v>
      </c>
      <c r="T966" s="264">
        <v>0.82479021431691446</v>
      </c>
      <c r="U966" s="264">
        <v>0.81022040900450221</v>
      </c>
      <c r="V966" s="264">
        <v>0.82479021431691446</v>
      </c>
      <c r="W966" s="264">
        <v>0.81022040900450221</v>
      </c>
      <c r="X966" s="264">
        <v>0.79865407209096273</v>
      </c>
      <c r="Y966" s="264">
        <v>0.82479021431691446</v>
      </c>
      <c r="Z966" s="264"/>
      <c r="AA966" s="264">
        <v>0.25550366435575522</v>
      </c>
      <c r="AB966" s="264">
        <v>0.22936752212980355</v>
      </c>
      <c r="AC966" s="264">
        <v>0.27007346966816742</v>
      </c>
      <c r="AD966" s="264">
        <v>0.26136142225951686</v>
      </c>
      <c r="AE966" s="264">
        <v>0.25550366435575522</v>
      </c>
      <c r="AF966" s="264">
        <v>0.26136142225951686</v>
      </c>
      <c r="AG966" s="264">
        <v>0.25550366435575522</v>
      </c>
      <c r="AH966" s="264">
        <v>0.27007346966816742</v>
      </c>
      <c r="AI966" s="264">
        <v>0.25550366435575522</v>
      </c>
      <c r="AJ966" s="264">
        <v>0.27007346966816742</v>
      </c>
      <c r="AK966" s="264">
        <v>0.24679161694710464</v>
      </c>
      <c r="AL966" s="264">
        <v>0.25550366435575522</v>
      </c>
      <c r="AM966" s="244"/>
      <c r="AN966" s="244"/>
      <c r="AO966" s="244"/>
      <c r="AP966" s="244"/>
      <c r="AQ966" s="244"/>
      <c r="AR966" s="244"/>
      <c r="AS966" s="255"/>
      <c r="AT966" s="244"/>
      <c r="AU966" s="244"/>
      <c r="AV966" s="244"/>
      <c r="AW966" s="244"/>
      <c r="AX966" s="244"/>
      <c r="AY966" s="244"/>
      <c r="AZ966" s="255"/>
      <c r="BA966" s="244"/>
      <c r="BB966" s="244"/>
      <c r="BC966" s="244"/>
      <c r="BD966" s="244"/>
      <c r="BE966" s="244"/>
      <c r="BF966" s="244"/>
      <c r="BG966" s="244"/>
      <c r="BH966" s="255"/>
      <c r="BI966" s="244"/>
      <c r="BJ966" s="244"/>
      <c r="BK966" s="244"/>
      <c r="BL966" s="244"/>
      <c r="BM966" s="244"/>
      <c r="BN966" s="244"/>
      <c r="BO966" s="244"/>
      <c r="BP966" s="244"/>
      <c r="BQ966" s="244"/>
      <c r="BR966" s="244"/>
      <c r="BS966" s="244"/>
      <c r="BT966" s="244"/>
      <c r="BU966" s="244"/>
      <c r="BV966" s="244"/>
      <c r="BW966" s="244"/>
      <c r="BX966" s="244"/>
      <c r="BY966" s="244"/>
      <c r="BZ966" s="244"/>
      <c r="CA966" s="244"/>
      <c r="CB966" s="244"/>
      <c r="CC966" s="244"/>
      <c r="CD966" s="255"/>
      <c r="CE966" s="244"/>
      <c r="CF966" s="244"/>
      <c r="CG966" s="244"/>
      <c r="CH966" s="244"/>
      <c r="CI966" s="244"/>
      <c r="CJ966" s="244"/>
      <c r="CK966" s="244"/>
      <c r="CL966" s="244"/>
      <c r="CM966" s="244"/>
      <c r="CN966" s="244"/>
      <c r="CO966" s="244"/>
      <c r="CP966" s="244"/>
      <c r="CQ966" s="244"/>
      <c r="CR966" s="244"/>
      <c r="CS966" s="244"/>
      <c r="CT966" s="244"/>
      <c r="CU966" s="244"/>
      <c r="CV966" s="244"/>
      <c r="CW966" s="255"/>
    </row>
    <row r="967" spans="1:101">
      <c r="A967" s="221" t="s">
        <v>576</v>
      </c>
      <c r="C967" s="264">
        <v>62.950313568115234</v>
      </c>
      <c r="D967" s="264">
        <v>8.1096944808959961</v>
      </c>
      <c r="E967" s="264">
        <v>1.621938943862915</v>
      </c>
      <c r="F967" s="264">
        <v>9.731633186340332</v>
      </c>
      <c r="G967" s="264">
        <v>15.866598129272461</v>
      </c>
      <c r="H967" s="264">
        <v>336.93887329101562</v>
      </c>
      <c r="I967" s="264">
        <v>1354.228515625</v>
      </c>
      <c r="J967" s="264">
        <v>-53.426605224609375</v>
      </c>
      <c r="K967" s="264">
        <v>-352.82553100585937</v>
      </c>
      <c r="L967" s="228">
        <v>21.235735346243946</v>
      </c>
      <c r="M967" s="264">
        <v>0.87357548932211815</v>
      </c>
      <c r="N967" s="264">
        <v>4.7643910011314832</v>
      </c>
      <c r="O967" s="264">
        <v>4.3959208784695587</v>
      </c>
      <c r="P967" s="264">
        <v>4.7290605595068147</v>
      </c>
      <c r="Q967" s="264">
        <v>4.2451675406622851</v>
      </c>
      <c r="R967" s="264">
        <v>4.1015318027921062</v>
      </c>
      <c r="S967" s="264">
        <v>3.7709268133950897</v>
      </c>
      <c r="T967" s="264">
        <v>3.8159095465970907</v>
      </c>
      <c r="U967" s="264">
        <v>3.818302799186859</v>
      </c>
      <c r="V967" s="264">
        <v>3.8913569350259625</v>
      </c>
      <c r="W967" s="264">
        <v>4.0015321710855485</v>
      </c>
      <c r="X967" s="264">
        <v>4.264330684766481</v>
      </c>
      <c r="Y967" s="264">
        <v>4.6727763151821371</v>
      </c>
      <c r="Z967" s="264"/>
      <c r="AA967" s="264">
        <v>0.96079673386508779</v>
      </c>
      <c r="AB967" s="264">
        <v>1.3391595827790965</v>
      </c>
      <c r="AC967" s="264">
        <v>1.2332475391233535</v>
      </c>
      <c r="AD967" s="264">
        <v>1.3360157256762295</v>
      </c>
      <c r="AE967" s="264">
        <v>0.99852042807952368</v>
      </c>
      <c r="AF967" s="264">
        <v>0.8240513041945976</v>
      </c>
      <c r="AG967" s="264">
        <v>1.014687725599996</v>
      </c>
      <c r="AH967" s="264">
        <v>0.86678879532597497</v>
      </c>
      <c r="AI967" s="264">
        <v>0.836847452874798</v>
      </c>
      <c r="AJ967" s="264">
        <v>0.79134140689710286</v>
      </c>
      <c r="AK967" s="264">
        <v>0.95039383777465547</v>
      </c>
      <c r="AL967" s="264">
        <v>1.3272554776624663</v>
      </c>
      <c r="AM967" s="244"/>
      <c r="AN967" s="244"/>
      <c r="AO967" s="244"/>
      <c r="AP967" s="244"/>
      <c r="AQ967" s="244"/>
      <c r="AR967" s="244"/>
      <c r="AS967" s="255"/>
      <c r="AT967" s="244"/>
      <c r="AU967" s="244"/>
      <c r="AV967" s="244"/>
      <c r="AW967" s="244"/>
      <c r="AX967" s="244"/>
      <c r="AY967" s="244"/>
      <c r="AZ967" s="255"/>
      <c r="BA967" s="244"/>
      <c r="BB967" s="244"/>
      <c r="BC967" s="244"/>
      <c r="BD967" s="244"/>
      <c r="BE967" s="244"/>
      <c r="BF967" s="244"/>
      <c r="BG967" s="244"/>
      <c r="BH967" s="255"/>
      <c r="BI967" s="244"/>
      <c r="BJ967" s="244"/>
      <c r="BK967" s="244"/>
      <c r="BL967" s="244"/>
      <c r="BM967" s="244"/>
      <c r="BN967" s="244"/>
      <c r="BO967" s="244"/>
      <c r="BP967" s="244"/>
      <c r="BQ967" s="244"/>
      <c r="BR967" s="244"/>
      <c r="BS967" s="244"/>
      <c r="BT967" s="244"/>
      <c r="BU967" s="244"/>
      <c r="BV967" s="244"/>
      <c r="BW967" s="244"/>
      <c r="BX967" s="244"/>
      <c r="BY967" s="244"/>
      <c r="BZ967" s="244"/>
      <c r="CA967" s="244"/>
      <c r="CB967" s="244"/>
      <c r="CC967" s="244"/>
      <c r="CD967" s="255"/>
      <c r="CE967" s="244"/>
      <c r="CF967" s="244"/>
      <c r="CG967" s="244"/>
      <c r="CH967" s="244"/>
      <c r="CI967" s="244"/>
      <c r="CJ967" s="244"/>
      <c r="CK967" s="244"/>
      <c r="CL967" s="244"/>
      <c r="CM967" s="244"/>
      <c r="CN967" s="244"/>
      <c r="CO967" s="244"/>
      <c r="CP967" s="244"/>
      <c r="CQ967" s="244"/>
      <c r="CR967" s="244"/>
      <c r="CS967" s="244"/>
      <c r="CT967" s="244"/>
      <c r="CU967" s="244"/>
      <c r="CV967" s="244"/>
      <c r="CW967" s="255"/>
    </row>
    <row r="968" spans="1:101">
      <c r="A968" s="221" t="s">
        <v>500</v>
      </c>
      <c r="C968" s="264">
        <v>3.6881661415100098</v>
      </c>
      <c r="D968" s="264">
        <v>3.2966773509979248</v>
      </c>
      <c r="E968" s="264">
        <v>0.65933549404144287</v>
      </c>
      <c r="F968" s="264">
        <v>3.9560127258300781</v>
      </c>
      <c r="G968" s="264">
        <v>6.4499416351318359</v>
      </c>
      <c r="H968" s="264">
        <v>135.57919311523437</v>
      </c>
      <c r="I968" s="264">
        <v>9396.1796875</v>
      </c>
      <c r="J968" s="264">
        <v>5.1399321556091309</v>
      </c>
      <c r="K968" s="264">
        <v>-2753.8388671875</v>
      </c>
      <c r="L968" s="228">
        <v>21.020220368317165</v>
      </c>
      <c r="M968" s="264">
        <v>0.31788726103821918</v>
      </c>
      <c r="N968" s="264">
        <v>0.23850235411771759</v>
      </c>
      <c r="O968" s="264">
        <v>0.21582920157453112</v>
      </c>
      <c r="P968" s="264">
        <v>0.23428924294626041</v>
      </c>
      <c r="Q968" s="264">
        <v>0.22673152543186492</v>
      </c>
      <c r="R968" s="264">
        <v>0.23850235411771759</v>
      </c>
      <c r="S968" s="264">
        <v>0.22673152543186492</v>
      </c>
      <c r="T968" s="264">
        <v>0.23850235411771759</v>
      </c>
      <c r="U968" s="264">
        <v>0.23428924294626041</v>
      </c>
      <c r="V968" s="264">
        <v>0.23850235411771759</v>
      </c>
      <c r="W968" s="264">
        <v>0.23428924294626041</v>
      </c>
      <c r="X968" s="264">
        <v>0.2309446366033221</v>
      </c>
      <c r="Y968" s="264">
        <v>0.23850235411771759</v>
      </c>
      <c r="Z968" s="264"/>
      <c r="AA968" s="264">
        <v>7.3883303143962992E-2</v>
      </c>
      <c r="AB968" s="264">
        <v>6.6325585629567488E-2</v>
      </c>
      <c r="AC968" s="264">
        <v>7.8096414315420151E-2</v>
      </c>
      <c r="AD968" s="264">
        <v>7.5577175143954969E-2</v>
      </c>
      <c r="AE968" s="264">
        <v>7.3883303143962992E-2</v>
      </c>
      <c r="AF968" s="264">
        <v>7.5577175143954969E-2</v>
      </c>
      <c r="AG968" s="264">
        <v>7.3883303143962992E-2</v>
      </c>
      <c r="AH968" s="264">
        <v>7.8096414315420151E-2</v>
      </c>
      <c r="AI968" s="264">
        <v>7.3883303143962992E-2</v>
      </c>
      <c r="AJ968" s="264">
        <v>7.8096414315420151E-2</v>
      </c>
      <c r="AK968" s="264">
        <v>7.1364063972497824E-2</v>
      </c>
      <c r="AL968" s="264">
        <v>7.3883303143962992E-2</v>
      </c>
      <c r="AM968" s="244"/>
      <c r="AN968" s="244"/>
      <c r="AO968" s="244"/>
      <c r="AP968" s="244"/>
      <c r="AQ968" s="244"/>
      <c r="AR968" s="244"/>
      <c r="AS968" s="255"/>
      <c r="AT968" s="244"/>
      <c r="AU968" s="244"/>
      <c r="AV968" s="244"/>
      <c r="AW968" s="244"/>
      <c r="AX968" s="244"/>
      <c r="AY968" s="244"/>
      <c r="AZ968" s="255"/>
      <c r="BA968" s="244"/>
      <c r="BB968" s="244"/>
      <c r="BC968" s="244"/>
      <c r="BD968" s="244"/>
      <c r="BE968" s="244"/>
      <c r="BF968" s="244"/>
      <c r="BG968" s="244"/>
      <c r="BH968" s="255"/>
      <c r="BI968" s="244"/>
      <c r="BJ968" s="244"/>
      <c r="BK968" s="244"/>
      <c r="BL968" s="244"/>
      <c r="BM968" s="244"/>
      <c r="BN968" s="244"/>
      <c r="BO968" s="244"/>
      <c r="BP968" s="244"/>
      <c r="BQ968" s="244"/>
      <c r="BR968" s="244"/>
      <c r="BS968" s="244"/>
      <c r="BT968" s="244"/>
      <c r="BU968" s="244"/>
      <c r="BV968" s="244"/>
      <c r="BW968" s="244"/>
      <c r="BX968" s="244"/>
      <c r="BY968" s="244"/>
      <c r="BZ968" s="244"/>
      <c r="CA968" s="244"/>
      <c r="CB968" s="244"/>
      <c r="CC968" s="244"/>
      <c r="CD968" s="255"/>
      <c r="CE968" s="244"/>
      <c r="CF968" s="244"/>
      <c r="CG968" s="244"/>
      <c r="CH968" s="244"/>
      <c r="CI968" s="244"/>
      <c r="CJ968" s="244"/>
      <c r="CK968" s="244"/>
      <c r="CL968" s="244"/>
      <c r="CM968" s="244"/>
      <c r="CN968" s="244"/>
      <c r="CO968" s="244"/>
      <c r="CP968" s="244"/>
      <c r="CQ968" s="244"/>
      <c r="CR968" s="244"/>
      <c r="CS968" s="244"/>
      <c r="CT968" s="244"/>
      <c r="CU968" s="244"/>
      <c r="CV968" s="244"/>
      <c r="CW968" s="255"/>
    </row>
    <row r="969" spans="1:101">
      <c r="A969" s="221" t="s">
        <v>538</v>
      </c>
      <c r="C969" s="264">
        <v>169.087890625</v>
      </c>
      <c r="D969" s="264">
        <v>11.336667060852051</v>
      </c>
      <c r="E969" s="264">
        <v>2.2673335075378418</v>
      </c>
      <c r="F969" s="264">
        <v>13.604000091552734</v>
      </c>
      <c r="G969" s="264">
        <v>22.18016242980957</v>
      </c>
      <c r="H969" s="264">
        <v>463.89273071289062</v>
      </c>
      <c r="I969" s="264">
        <v>704.78759765625</v>
      </c>
      <c r="J969" s="264">
        <v>-58.163803100585938</v>
      </c>
      <c r="K969" s="264">
        <v>-153.10586547851563</v>
      </c>
      <c r="L969" s="228">
        <v>20.914758723715739</v>
      </c>
      <c r="M969" s="264">
        <v>1.276261890625884</v>
      </c>
      <c r="N969" s="264">
        <v>12.950040779398341</v>
      </c>
      <c r="O969" s="264">
        <v>11.964385923984704</v>
      </c>
      <c r="P969" s="264">
        <v>12.863191202511395</v>
      </c>
      <c r="Q969" s="264">
        <v>11.485329063551552</v>
      </c>
      <c r="R969" s="264">
        <v>11.023694599993838</v>
      </c>
      <c r="S969" s="264">
        <v>10.107130170969469</v>
      </c>
      <c r="T969" s="264">
        <v>10.193642994234175</v>
      </c>
      <c r="U969" s="264">
        <v>10.216422874711714</v>
      </c>
      <c r="V969" s="264">
        <v>10.412901908963143</v>
      </c>
      <c r="W969" s="264">
        <v>10.748908810482064</v>
      </c>
      <c r="X969" s="264">
        <v>11.525194587282289</v>
      </c>
      <c r="Y969" s="264">
        <v>12.683797811513163</v>
      </c>
      <c r="Z969" s="264"/>
      <c r="AA969" s="264">
        <v>2.5146753606774137</v>
      </c>
      <c r="AB969" s="264">
        <v>3.6426293900486293</v>
      </c>
      <c r="AC969" s="264">
        <v>3.2906243838553988</v>
      </c>
      <c r="AD969" s="264">
        <v>3.5987432057535043</v>
      </c>
      <c r="AE969" s="264">
        <v>2.6243048180418969</v>
      </c>
      <c r="AF969" s="264">
        <v>2.1109148558069384</v>
      </c>
      <c r="AG969" s="264">
        <v>2.671288871198104</v>
      </c>
      <c r="AH969" s="264">
        <v>2.2256525123146984</v>
      </c>
      <c r="AI969" s="264">
        <v>2.1544642864798234</v>
      </c>
      <c r="AJ969" s="264">
        <v>2.0063935975857308</v>
      </c>
      <c r="AK969" s="264">
        <v>2.4939058104820679</v>
      </c>
      <c r="AL969" s="264">
        <v>3.5796472322181132</v>
      </c>
      <c r="AM969" s="244"/>
      <c r="AN969" s="244"/>
      <c r="AO969" s="244"/>
      <c r="AP969" s="244"/>
      <c r="AQ969" s="244"/>
      <c r="AR969" s="244"/>
      <c r="AS969" s="255"/>
      <c r="AT969" s="244"/>
      <c r="AU969" s="244"/>
      <c r="AV969" s="244"/>
      <c r="AW969" s="244"/>
      <c r="AX969" s="244"/>
      <c r="AY969" s="244"/>
      <c r="AZ969" s="255"/>
      <c r="BA969" s="244"/>
      <c r="BB969" s="244"/>
      <c r="BC969" s="244"/>
      <c r="BD969" s="244"/>
      <c r="BE969" s="244"/>
      <c r="BF969" s="244"/>
      <c r="BG969" s="244"/>
      <c r="BH969" s="255"/>
      <c r="BI969" s="244"/>
      <c r="BJ969" s="244"/>
      <c r="BK969" s="244"/>
      <c r="BL969" s="244"/>
      <c r="BM969" s="244"/>
      <c r="BN969" s="244"/>
      <c r="BO969" s="244"/>
      <c r="BP969" s="244"/>
      <c r="BQ969" s="244"/>
      <c r="BR969" s="244"/>
      <c r="BS969" s="244"/>
      <c r="BT969" s="244"/>
      <c r="BU969" s="244"/>
      <c r="BV969" s="244"/>
      <c r="BW969" s="244"/>
      <c r="BX969" s="244"/>
      <c r="BY969" s="244"/>
      <c r="BZ969" s="244"/>
      <c r="CA969" s="244"/>
      <c r="CB969" s="244"/>
      <c r="CC969" s="244"/>
      <c r="CD969" s="255"/>
      <c r="CE969" s="244"/>
      <c r="CF969" s="244"/>
      <c r="CG969" s="244"/>
      <c r="CH969" s="244"/>
      <c r="CI969" s="244"/>
      <c r="CJ969" s="244"/>
      <c r="CK969" s="244"/>
      <c r="CL969" s="244"/>
      <c r="CM969" s="244"/>
      <c r="CN969" s="244"/>
      <c r="CO969" s="244"/>
      <c r="CP969" s="244"/>
      <c r="CQ969" s="244"/>
      <c r="CR969" s="244"/>
      <c r="CS969" s="244"/>
      <c r="CT969" s="244"/>
      <c r="CU969" s="244"/>
      <c r="CV969" s="244"/>
      <c r="CW969" s="255"/>
    </row>
    <row r="970" spans="1:101">
      <c r="A970" s="221" t="s">
        <v>463</v>
      </c>
      <c r="C970" s="264">
        <v>116.60647583007812</v>
      </c>
      <c r="D970" s="264">
        <v>8.1096944808959961</v>
      </c>
      <c r="E970" s="264">
        <v>1.621938943862915</v>
      </c>
      <c r="F970" s="264">
        <v>9.731633186340332</v>
      </c>
      <c r="G970" s="264">
        <v>15.866598129272461</v>
      </c>
      <c r="H970" s="264">
        <v>328.6612548828125</v>
      </c>
      <c r="I970" s="264">
        <v>731.08380126953125</v>
      </c>
      <c r="J970" s="264">
        <v>-57.974048614501953</v>
      </c>
      <c r="K970" s="264">
        <v>-158.73789978027344</v>
      </c>
      <c r="L970" s="228">
        <v>20.714034581591701</v>
      </c>
      <c r="M970" s="264">
        <v>0.8801478077714846</v>
      </c>
      <c r="N970" s="264">
        <v>8.9267608196170567</v>
      </c>
      <c r="O970" s="264">
        <v>8.2469301253297544</v>
      </c>
      <c r="P970" s="264">
        <v>8.8666643604358111</v>
      </c>
      <c r="Q970" s="264">
        <v>7.9184338864864863</v>
      </c>
      <c r="R970" s="264">
        <v>7.6019952997664912</v>
      </c>
      <c r="S970" s="264">
        <v>6.9706341649673842</v>
      </c>
      <c r="T970" s="264">
        <v>7.031161376578849</v>
      </c>
      <c r="U970" s="264">
        <v>7.0464580770638987</v>
      </c>
      <c r="V970" s="264">
        <v>7.1819476959114343</v>
      </c>
      <c r="W970" s="264">
        <v>7.4126534240144615</v>
      </c>
      <c r="X970" s="264">
        <v>7.9462189915250327</v>
      </c>
      <c r="Y970" s="264">
        <v>8.743663146141774</v>
      </c>
      <c r="Z970" s="264"/>
      <c r="AA970" s="264">
        <v>1.735839728953914</v>
      </c>
      <c r="AB970" s="264">
        <v>2.5108814759484113</v>
      </c>
      <c r="AC970" s="264">
        <v>2.2698360488947085</v>
      </c>
      <c r="AD970" s="264">
        <v>2.4815113419089787</v>
      </c>
      <c r="AE970" s="264">
        <v>1.811232888620206</v>
      </c>
      <c r="AF970" s="264">
        <v>1.4583184607235835</v>
      </c>
      <c r="AG970" s="264">
        <v>1.8435442427629027</v>
      </c>
      <c r="AH970" s="264">
        <v>1.5374453549935831</v>
      </c>
      <c r="AI970" s="264">
        <v>1.4881193471932392</v>
      </c>
      <c r="AJ970" s="264">
        <v>1.3866590356609985</v>
      </c>
      <c r="AK970" s="264">
        <v>1.721335542969308</v>
      </c>
      <c r="AL970" s="264">
        <v>2.4682304228550391</v>
      </c>
      <c r="AM970" s="244"/>
      <c r="AN970" s="244"/>
      <c r="AO970" s="244"/>
      <c r="AP970" s="244"/>
      <c r="AQ970" s="244"/>
      <c r="AR970" s="244"/>
      <c r="AS970" s="255"/>
      <c r="AT970" s="244"/>
      <c r="AU970" s="244"/>
      <c r="AV970" s="244"/>
      <c r="AW970" s="244"/>
      <c r="AX970" s="244"/>
      <c r="AY970" s="244"/>
      <c r="AZ970" s="255"/>
      <c r="BA970" s="244"/>
      <c r="BB970" s="244"/>
      <c r="BC970" s="244"/>
      <c r="BD970" s="244"/>
      <c r="BE970" s="244"/>
      <c r="BF970" s="244"/>
      <c r="BG970" s="244"/>
      <c r="BH970" s="255"/>
      <c r="BI970" s="244"/>
      <c r="BJ970" s="244"/>
      <c r="BK970" s="244"/>
      <c r="BL970" s="244"/>
      <c r="BM970" s="244"/>
      <c r="BN970" s="244"/>
      <c r="BO970" s="244"/>
      <c r="BP970" s="244"/>
      <c r="BQ970" s="244"/>
      <c r="BR970" s="244"/>
      <c r="BS970" s="244"/>
      <c r="BT970" s="244"/>
      <c r="BU970" s="244"/>
      <c r="BV970" s="244"/>
      <c r="BW970" s="244"/>
      <c r="BX970" s="244"/>
      <c r="BY970" s="244"/>
      <c r="BZ970" s="244"/>
      <c r="CA970" s="244"/>
      <c r="CB970" s="244"/>
      <c r="CC970" s="244"/>
      <c r="CD970" s="255"/>
      <c r="CE970" s="244"/>
      <c r="CF970" s="244"/>
      <c r="CG970" s="244"/>
      <c r="CH970" s="244"/>
      <c r="CI970" s="244"/>
      <c r="CJ970" s="244"/>
      <c r="CK970" s="244"/>
      <c r="CL970" s="244"/>
      <c r="CM970" s="244"/>
      <c r="CN970" s="244"/>
      <c r="CO970" s="244"/>
      <c r="CP970" s="244"/>
      <c r="CQ970" s="244"/>
      <c r="CR970" s="244"/>
      <c r="CS970" s="244"/>
      <c r="CT970" s="244"/>
      <c r="CU970" s="244"/>
      <c r="CV970" s="244"/>
      <c r="CW970" s="255"/>
    </row>
    <row r="971" spans="1:101">
      <c r="A971" s="221" t="s">
        <v>451</v>
      </c>
      <c r="C971" s="264">
        <v>163.49896240234375</v>
      </c>
      <c r="D971" s="264">
        <v>11.336667060852051</v>
      </c>
      <c r="E971" s="264">
        <v>2.2673335075378418</v>
      </c>
      <c r="F971" s="264">
        <v>13.604000091552734</v>
      </c>
      <c r="G971" s="264">
        <v>22.18016242980957</v>
      </c>
      <c r="H971" s="264">
        <v>450.17514038085937</v>
      </c>
      <c r="I971" s="264">
        <v>728.8795166015625</v>
      </c>
      <c r="J971" s="264">
        <v>-58.005146026611328</v>
      </c>
      <c r="K971" s="264">
        <v>-153.53933715820312</v>
      </c>
      <c r="L971" s="228">
        <v>20.296297011315911</v>
      </c>
      <c r="M971" s="264">
        <v>1.2340792727143173</v>
      </c>
      <c r="N971" s="264">
        <v>12.521287268963194</v>
      </c>
      <c r="O971" s="264">
        <v>11.56819261137691</v>
      </c>
      <c r="P971" s="264">
        <v>12.437270845732378</v>
      </c>
      <c r="Q971" s="264">
        <v>11.105315635921947</v>
      </c>
      <c r="R971" s="264">
        <v>10.659293092162512</v>
      </c>
      <c r="S971" s="264">
        <v>9.7731572004873133</v>
      </c>
      <c r="T971" s="264">
        <v>9.8569703980939263</v>
      </c>
      <c r="U971" s="264">
        <v>9.8789211231363225</v>
      </c>
      <c r="V971" s="264">
        <v>10.068904694640345</v>
      </c>
      <c r="W971" s="264">
        <v>10.393618700463339</v>
      </c>
      <c r="X971" s="264">
        <v>11.143917567035672</v>
      </c>
      <c r="Y971" s="264">
        <v>12.263938480299682</v>
      </c>
      <c r="Z971" s="264"/>
      <c r="AA971" s="264">
        <v>2.431864863811092</v>
      </c>
      <c r="AB971" s="264">
        <v>3.5220159002454463</v>
      </c>
      <c r="AC971" s="264">
        <v>3.1819605047592225</v>
      </c>
      <c r="AD971" s="264">
        <v>3.4797454727348773</v>
      </c>
      <c r="AE971" s="264">
        <v>2.537832012084301</v>
      </c>
      <c r="AF971" s="264">
        <v>2.041619889027035</v>
      </c>
      <c r="AG971" s="264">
        <v>2.5832465042013903</v>
      </c>
      <c r="AH971" s="264">
        <v>2.1525653501051876</v>
      </c>
      <c r="AI971" s="264">
        <v>2.0836870909134033</v>
      </c>
      <c r="AJ971" s="264">
        <v>1.9406310535587687</v>
      </c>
      <c r="AK971" s="264">
        <v>2.4117483869671186</v>
      </c>
      <c r="AL971" s="264">
        <v>3.4612600184651265</v>
      </c>
      <c r="AM971" s="244"/>
      <c r="AN971" s="244"/>
      <c r="AO971" s="244"/>
      <c r="AP971" s="244"/>
      <c r="AQ971" s="244"/>
      <c r="AR971" s="244"/>
      <c r="AS971" s="255"/>
      <c r="AT971" s="244"/>
      <c r="AU971" s="244"/>
      <c r="AV971" s="244"/>
      <c r="AW971" s="244"/>
      <c r="AX971" s="244"/>
      <c r="AY971" s="244"/>
      <c r="AZ971" s="255"/>
      <c r="BA971" s="244"/>
      <c r="BB971" s="244"/>
      <c r="BC971" s="244"/>
      <c r="BD971" s="244"/>
      <c r="BE971" s="244"/>
      <c r="BF971" s="244"/>
      <c r="BG971" s="244"/>
      <c r="BH971" s="255"/>
      <c r="BI971" s="244"/>
      <c r="BJ971" s="244"/>
      <c r="BK971" s="244"/>
      <c r="BL971" s="244"/>
      <c r="BM971" s="244"/>
      <c r="BN971" s="244"/>
      <c r="BO971" s="244"/>
      <c r="BP971" s="244"/>
      <c r="BQ971" s="244"/>
      <c r="BR971" s="244"/>
      <c r="BS971" s="244"/>
      <c r="BT971" s="244"/>
      <c r="BU971" s="244"/>
      <c r="BV971" s="244"/>
      <c r="BW971" s="244"/>
      <c r="BX971" s="244"/>
      <c r="BY971" s="244"/>
      <c r="BZ971" s="244"/>
      <c r="CA971" s="244"/>
      <c r="CB971" s="244"/>
      <c r="CC971" s="244"/>
      <c r="CD971" s="255"/>
      <c r="CE971" s="244"/>
      <c r="CF971" s="244"/>
      <c r="CG971" s="244"/>
      <c r="CH971" s="244"/>
      <c r="CI971" s="244"/>
      <c r="CJ971" s="244"/>
      <c r="CK971" s="244"/>
      <c r="CL971" s="244"/>
      <c r="CM971" s="244"/>
      <c r="CN971" s="244"/>
      <c r="CO971" s="244"/>
      <c r="CP971" s="244"/>
      <c r="CQ971" s="244"/>
      <c r="CR971" s="244"/>
      <c r="CS971" s="244"/>
      <c r="CT971" s="244"/>
      <c r="CU971" s="244"/>
      <c r="CV971" s="244"/>
      <c r="CW971" s="255"/>
    </row>
    <row r="972" spans="1:101">
      <c r="A972" s="221" t="s">
        <v>497</v>
      </c>
      <c r="C972" s="264">
        <v>3.4969279766082764</v>
      </c>
      <c r="D972" s="264">
        <v>3.2966773509979248</v>
      </c>
      <c r="E972" s="264">
        <v>0.65933549404144287</v>
      </c>
      <c r="F972" s="264">
        <v>3.9560127258300781</v>
      </c>
      <c r="G972" s="264">
        <v>6.4499416351318359</v>
      </c>
      <c r="H972" s="264">
        <v>129.86357116699219</v>
      </c>
      <c r="I972" s="264">
        <v>9910.033203125</v>
      </c>
      <c r="J972" s="264">
        <v>8.4697360992431641</v>
      </c>
      <c r="K972" s="264">
        <v>-2776.325927734375</v>
      </c>
      <c r="L972" s="228">
        <v>20.134070556524467</v>
      </c>
      <c r="M972" s="264">
        <v>0.31628807007821069</v>
      </c>
      <c r="N972" s="264">
        <v>0.22613556538568791</v>
      </c>
      <c r="O972" s="264">
        <v>0.20463805778918515</v>
      </c>
      <c r="P972" s="264">
        <v>0.22214091183052853</v>
      </c>
      <c r="Q972" s="264">
        <v>0.2149750759650276</v>
      </c>
      <c r="R972" s="264">
        <v>0.22613556538568791</v>
      </c>
      <c r="S972" s="264">
        <v>0.2149750759650276</v>
      </c>
      <c r="T972" s="264">
        <v>0.22613556538568791</v>
      </c>
      <c r="U972" s="264">
        <v>0.22214091183052853</v>
      </c>
      <c r="V972" s="264">
        <v>0.22613556538568791</v>
      </c>
      <c r="W972" s="264">
        <v>0.22214091183052853</v>
      </c>
      <c r="X972" s="264">
        <v>0.21896972952018698</v>
      </c>
      <c r="Y972" s="264">
        <v>0.22613556538568791</v>
      </c>
      <c r="Z972" s="264"/>
      <c r="AA972" s="264">
        <v>7.00523170550168E-2</v>
      </c>
      <c r="AB972" s="264">
        <v>6.2886481189515869E-2</v>
      </c>
      <c r="AC972" s="264">
        <v>7.4046970610176177E-2</v>
      </c>
      <c r="AD972" s="264">
        <v>7.1658358655009191E-2</v>
      </c>
      <c r="AE972" s="264">
        <v>7.00523170550168E-2</v>
      </c>
      <c r="AF972" s="264">
        <v>7.1658358655009191E-2</v>
      </c>
      <c r="AG972" s="264">
        <v>7.00523170550168E-2</v>
      </c>
      <c r="AH972" s="264">
        <v>7.4046970610176177E-2</v>
      </c>
      <c r="AI972" s="264">
        <v>7.00523170550168E-2</v>
      </c>
      <c r="AJ972" s="264">
        <v>7.4046970610176177E-2</v>
      </c>
      <c r="AK972" s="264">
        <v>6.7663705099849814E-2</v>
      </c>
      <c r="AL972" s="264">
        <v>7.00523170550168E-2</v>
      </c>
      <c r="AM972" s="244"/>
      <c r="AN972" s="244"/>
      <c r="AO972" s="244"/>
      <c r="AP972" s="244"/>
      <c r="AQ972" s="244"/>
      <c r="AR972" s="244"/>
      <c r="AS972" s="255"/>
      <c r="AT972" s="244"/>
      <c r="AU972" s="244"/>
      <c r="AV972" s="244"/>
      <c r="AW972" s="244"/>
      <c r="AX972" s="244"/>
      <c r="AY972" s="244"/>
      <c r="AZ972" s="255"/>
      <c r="BA972" s="244"/>
      <c r="BB972" s="244"/>
      <c r="BC972" s="244"/>
      <c r="BD972" s="244"/>
      <c r="BE972" s="244"/>
      <c r="BF972" s="244"/>
      <c r="BG972" s="244"/>
      <c r="BH972" s="255"/>
      <c r="BI972" s="244"/>
      <c r="BJ972" s="244"/>
      <c r="BK972" s="244"/>
      <c r="BL972" s="244"/>
      <c r="BM972" s="244"/>
      <c r="BN972" s="244"/>
      <c r="BO972" s="244"/>
      <c r="BP972" s="244"/>
      <c r="BQ972" s="244"/>
      <c r="BR972" s="244"/>
      <c r="BS972" s="244"/>
      <c r="BT972" s="244"/>
      <c r="BU972" s="244"/>
      <c r="BV972" s="244"/>
      <c r="BW972" s="244"/>
      <c r="BX972" s="244"/>
      <c r="BY972" s="244"/>
      <c r="BZ972" s="244"/>
      <c r="CA972" s="244"/>
      <c r="CB972" s="244"/>
      <c r="CC972" s="244"/>
      <c r="CD972" s="255"/>
      <c r="CE972" s="244"/>
      <c r="CF972" s="244"/>
      <c r="CG972" s="244"/>
      <c r="CH972" s="244"/>
      <c r="CI972" s="244"/>
      <c r="CJ972" s="244"/>
      <c r="CK972" s="244"/>
      <c r="CL972" s="244"/>
      <c r="CM972" s="244"/>
      <c r="CN972" s="244"/>
      <c r="CO972" s="244"/>
      <c r="CP972" s="244"/>
      <c r="CQ972" s="244"/>
      <c r="CR972" s="244"/>
      <c r="CS972" s="244"/>
      <c r="CT972" s="244"/>
      <c r="CU972" s="244"/>
      <c r="CV972" s="244"/>
      <c r="CW972" s="255"/>
    </row>
    <row r="973" spans="1:101">
      <c r="A973" s="221" t="s">
        <v>467</v>
      </c>
      <c r="C973" s="264">
        <v>8.5029582977294922</v>
      </c>
      <c r="D973" s="264">
        <v>8.1096944808959961</v>
      </c>
      <c r="E973" s="264">
        <v>1.621938943862915</v>
      </c>
      <c r="F973" s="264">
        <v>9.731633186340332</v>
      </c>
      <c r="G973" s="264">
        <v>15.866598129272461</v>
      </c>
      <c r="H973" s="264">
        <v>316.28350830078125</v>
      </c>
      <c r="I973" s="264">
        <v>10025.8173828125</v>
      </c>
      <c r="J973" s="264">
        <v>9.2200279235839844</v>
      </c>
      <c r="K973" s="264">
        <v>-2779.443603515625</v>
      </c>
      <c r="L973" s="228">
        <v>19.933920290220172</v>
      </c>
      <c r="M973" s="264">
        <v>0.77488693466554026</v>
      </c>
      <c r="N973" s="264">
        <v>0.5498601428779426</v>
      </c>
      <c r="O973" s="264">
        <v>0.49758785842603936</v>
      </c>
      <c r="P973" s="264">
        <v>0.54014693933633451</v>
      </c>
      <c r="Q973" s="264">
        <v>0.52272284451903339</v>
      </c>
      <c r="R973" s="264">
        <v>0.5498601428779426</v>
      </c>
      <c r="S973" s="264">
        <v>0.52272284451903339</v>
      </c>
      <c r="T973" s="264">
        <v>0.5498601428779426</v>
      </c>
      <c r="U973" s="264">
        <v>0.54014693933633451</v>
      </c>
      <c r="V973" s="264">
        <v>0.5498601428779426</v>
      </c>
      <c r="W973" s="264">
        <v>0.54014693933633451</v>
      </c>
      <c r="X973" s="264">
        <v>0.5324360480606416</v>
      </c>
      <c r="Y973" s="264">
        <v>0.5498601428779426</v>
      </c>
      <c r="Z973" s="264"/>
      <c r="AA973" s="264">
        <v>0.17033577623717006</v>
      </c>
      <c r="AB973" s="264">
        <v>0.15291168141986894</v>
      </c>
      <c r="AC973" s="264">
        <v>0.18004897977877821</v>
      </c>
      <c r="AD973" s="264">
        <v>0.17424094817301114</v>
      </c>
      <c r="AE973" s="264">
        <v>0.17033577623717006</v>
      </c>
      <c r="AF973" s="264">
        <v>0.17424094817301114</v>
      </c>
      <c r="AG973" s="264">
        <v>0.17033577623717006</v>
      </c>
      <c r="AH973" s="264">
        <v>0.18004897977877821</v>
      </c>
      <c r="AI973" s="264">
        <v>0.17033577623717006</v>
      </c>
      <c r="AJ973" s="264">
        <v>0.18004897977877821</v>
      </c>
      <c r="AK973" s="264">
        <v>0.16452774463140302</v>
      </c>
      <c r="AL973" s="264">
        <v>0.17033577623717006</v>
      </c>
      <c r="AM973" s="244"/>
      <c r="AN973" s="244"/>
      <c r="AO973" s="244"/>
      <c r="AP973" s="244"/>
      <c r="AQ973" s="244"/>
      <c r="AR973" s="244"/>
      <c r="AS973" s="255"/>
      <c r="AT973" s="244"/>
      <c r="AU973" s="244"/>
      <c r="AV973" s="244"/>
      <c r="AW973" s="244"/>
      <c r="AX973" s="244"/>
      <c r="AY973" s="244"/>
      <c r="AZ973" s="255"/>
      <c r="BA973" s="244"/>
      <c r="BB973" s="244"/>
      <c r="BC973" s="244"/>
      <c r="BD973" s="244"/>
      <c r="BE973" s="244"/>
      <c r="BF973" s="244"/>
      <c r="BG973" s="244"/>
      <c r="BH973" s="255"/>
      <c r="BI973" s="244"/>
      <c r="BJ973" s="244"/>
      <c r="BK973" s="244"/>
      <c r="BL973" s="244"/>
      <c r="BM973" s="244"/>
      <c r="BN973" s="244"/>
      <c r="BO973" s="244"/>
      <c r="BP973" s="244"/>
      <c r="BQ973" s="244"/>
      <c r="BR973" s="244"/>
      <c r="BS973" s="244"/>
      <c r="BT973" s="244"/>
      <c r="BU973" s="244"/>
      <c r="BV973" s="244"/>
      <c r="BW973" s="244"/>
      <c r="BX973" s="244"/>
      <c r="BY973" s="244"/>
      <c r="BZ973" s="244"/>
      <c r="CA973" s="244"/>
      <c r="CB973" s="244"/>
      <c r="CC973" s="244"/>
      <c r="CD973" s="255"/>
      <c r="CE973" s="244"/>
      <c r="CF973" s="244"/>
      <c r="CG973" s="244"/>
      <c r="CH973" s="244"/>
      <c r="CI973" s="244"/>
      <c r="CJ973" s="244"/>
      <c r="CK973" s="244"/>
      <c r="CL973" s="244"/>
      <c r="CM973" s="244"/>
      <c r="CN973" s="244"/>
      <c r="CO973" s="244"/>
      <c r="CP973" s="244"/>
      <c r="CQ973" s="244"/>
      <c r="CR973" s="244"/>
      <c r="CS973" s="244"/>
      <c r="CT973" s="244"/>
      <c r="CU973" s="244"/>
      <c r="CV973" s="244"/>
      <c r="CW973" s="255"/>
    </row>
    <row r="974" spans="1:101">
      <c r="A974" s="221" t="s">
        <v>547</v>
      </c>
      <c r="C974" s="264">
        <v>112.72525787353516</v>
      </c>
      <c r="D974" s="264">
        <v>8.1096944808959961</v>
      </c>
      <c r="E974" s="264">
        <v>1.621938943862915</v>
      </c>
      <c r="F974" s="264">
        <v>9.731633186340332</v>
      </c>
      <c r="G974" s="264">
        <v>15.866598129272461</v>
      </c>
      <c r="H974" s="264">
        <v>309.26181030273437</v>
      </c>
      <c r="I974" s="264">
        <v>756.255615234375</v>
      </c>
      <c r="J974" s="264">
        <v>-57.830284118652344</v>
      </c>
      <c r="K974" s="264">
        <v>-152.33720397949219</v>
      </c>
      <c r="L974" s="228">
        <v>19.491373805872776</v>
      </c>
      <c r="M974" s="264">
        <v>0.85084126041725561</v>
      </c>
      <c r="N974" s="264">
        <v>8.6333605195988952</v>
      </c>
      <c r="O974" s="264">
        <v>7.9762572826564702</v>
      </c>
      <c r="P974" s="264">
        <v>8.5754608016742644</v>
      </c>
      <c r="Q974" s="264">
        <v>7.6568860423677023</v>
      </c>
      <c r="R974" s="264">
        <v>7.3491297333292263</v>
      </c>
      <c r="S974" s="264">
        <v>6.7380867806463138</v>
      </c>
      <c r="T974" s="264">
        <v>6.7957619961561173</v>
      </c>
      <c r="U974" s="264">
        <v>6.810948583141144</v>
      </c>
      <c r="V974" s="264">
        <v>6.9419346059754288</v>
      </c>
      <c r="W974" s="264">
        <v>7.1659392069880434</v>
      </c>
      <c r="X974" s="264">
        <v>7.6834630581881935</v>
      </c>
      <c r="Y974" s="264">
        <v>8.4558652076754441</v>
      </c>
      <c r="Z974" s="264"/>
      <c r="AA974" s="264">
        <v>1.6764502404516091</v>
      </c>
      <c r="AB974" s="264">
        <v>2.4284195933657529</v>
      </c>
      <c r="AC974" s="264">
        <v>2.193749589236933</v>
      </c>
      <c r="AD974" s="264">
        <v>2.3991621371690033</v>
      </c>
      <c r="AE974" s="264">
        <v>1.7495365453612648</v>
      </c>
      <c r="AF974" s="264">
        <v>1.4072765705379588</v>
      </c>
      <c r="AG974" s="264">
        <v>1.7808592474654028</v>
      </c>
      <c r="AH974" s="264">
        <v>1.4837683415431324</v>
      </c>
      <c r="AI974" s="264">
        <v>1.4363095243198825</v>
      </c>
      <c r="AJ974" s="264">
        <v>1.3375957317238207</v>
      </c>
      <c r="AK974" s="264">
        <v>1.662603873654712</v>
      </c>
      <c r="AL974" s="264">
        <v>2.386431488145409</v>
      </c>
      <c r="AM974" s="244"/>
      <c r="AN974" s="244"/>
      <c r="AO974" s="244"/>
      <c r="AP974" s="244"/>
      <c r="AQ974" s="244"/>
      <c r="AR974" s="244"/>
      <c r="AS974" s="255"/>
      <c r="AT974" s="244"/>
      <c r="AU974" s="244"/>
      <c r="AV974" s="244"/>
      <c r="AW974" s="244"/>
      <c r="AX974" s="244"/>
      <c r="AY974" s="244"/>
      <c r="AZ974" s="255"/>
      <c r="BA974" s="244"/>
      <c r="BB974" s="244"/>
      <c r="BC974" s="244"/>
      <c r="BD974" s="244"/>
      <c r="BE974" s="244"/>
      <c r="BF974" s="244"/>
      <c r="BG974" s="244"/>
      <c r="BH974" s="255"/>
      <c r="BI974" s="244"/>
      <c r="BJ974" s="244"/>
      <c r="BK974" s="244"/>
      <c r="BL974" s="244"/>
      <c r="BM974" s="244"/>
      <c r="BN974" s="244"/>
      <c r="BO974" s="244"/>
      <c r="BP974" s="244"/>
      <c r="BQ974" s="244"/>
      <c r="BR974" s="244"/>
      <c r="BS974" s="244"/>
      <c r="BT974" s="244"/>
      <c r="BU974" s="244"/>
      <c r="BV974" s="244"/>
      <c r="BW974" s="244"/>
      <c r="BX974" s="244"/>
      <c r="BY974" s="244"/>
      <c r="BZ974" s="244"/>
      <c r="CA974" s="244"/>
      <c r="CB974" s="244"/>
      <c r="CC974" s="244"/>
      <c r="CD974" s="255"/>
      <c r="CE974" s="244"/>
      <c r="CF974" s="244"/>
      <c r="CG974" s="244"/>
      <c r="CH974" s="244"/>
      <c r="CI974" s="244"/>
      <c r="CJ974" s="244"/>
      <c r="CK974" s="244"/>
      <c r="CL974" s="244"/>
      <c r="CM974" s="244"/>
      <c r="CN974" s="244"/>
      <c r="CO974" s="244"/>
      <c r="CP974" s="244"/>
      <c r="CQ974" s="244"/>
      <c r="CR974" s="244"/>
      <c r="CS974" s="244"/>
      <c r="CT974" s="244"/>
      <c r="CU974" s="244"/>
      <c r="CV974" s="244"/>
      <c r="CW974" s="255"/>
    </row>
    <row r="975" spans="1:101">
      <c r="A975" s="221" t="s">
        <v>511</v>
      </c>
      <c r="C975" s="264">
        <v>155.661376953125</v>
      </c>
      <c r="D975" s="264">
        <v>11.336667060852051</v>
      </c>
      <c r="E975" s="264">
        <v>2.2673335075378418</v>
      </c>
      <c r="F975" s="264">
        <v>13.604000091552734</v>
      </c>
      <c r="G975" s="264">
        <v>22.18016242980957</v>
      </c>
      <c r="H975" s="264">
        <v>427.05706787109375</v>
      </c>
      <c r="I975" s="264">
        <v>765.57879638671875</v>
      </c>
      <c r="J975" s="264">
        <v>-57.769870758056641</v>
      </c>
      <c r="K975" s="264">
        <v>-152.19796752929687</v>
      </c>
      <c r="L975" s="228">
        <v>19.254010387858301</v>
      </c>
      <c r="M975" s="264">
        <v>1.1749196147407193</v>
      </c>
      <c r="N975" s="264">
        <v>11.921735683845979</v>
      </c>
      <c r="O975" s="264">
        <v>11.014347293190522</v>
      </c>
      <c r="P975" s="264">
        <v>11.841782445278021</v>
      </c>
      <c r="Q975" s="264">
        <v>10.573330205684295</v>
      </c>
      <c r="R975" s="264">
        <v>10.148352080067552</v>
      </c>
      <c r="S975" s="264">
        <v>9.3045679525745264</v>
      </c>
      <c r="T975" s="264">
        <v>9.3842111776264403</v>
      </c>
      <c r="U975" s="264">
        <v>9.4051822091922155</v>
      </c>
      <c r="V975" s="264">
        <v>9.5860597178939031</v>
      </c>
      <c r="W975" s="264">
        <v>9.8953858069846259</v>
      </c>
      <c r="X975" s="264">
        <v>10.610030185623511</v>
      </c>
      <c r="Y975" s="264">
        <v>11.676633884949773</v>
      </c>
      <c r="Z975" s="264"/>
      <c r="AA975" s="264">
        <v>2.3149961835154169</v>
      </c>
      <c r="AB975" s="264">
        <v>3.3533844041212704</v>
      </c>
      <c r="AC975" s="264">
        <v>3.0293305486382587</v>
      </c>
      <c r="AD975" s="264">
        <v>3.3129830263764712</v>
      </c>
      <c r="AE975" s="264">
        <v>2.4159204536491483</v>
      </c>
      <c r="AF975" s="264">
        <v>1.9432965031329705</v>
      </c>
      <c r="AG975" s="264">
        <v>2.4591737122778903</v>
      </c>
      <c r="AH975" s="264">
        <v>2.048923353053437</v>
      </c>
      <c r="AI975" s="264">
        <v>1.9833878673617273</v>
      </c>
      <c r="AJ975" s="264">
        <v>1.8470748127859737</v>
      </c>
      <c r="AK975" s="264">
        <v>2.2958758508524348</v>
      </c>
      <c r="AL975" s="264">
        <v>3.2954033791002386</v>
      </c>
      <c r="AM975" s="244"/>
      <c r="AN975" s="244"/>
      <c r="AO975" s="244"/>
      <c r="AP975" s="244"/>
      <c r="AQ975" s="244"/>
      <c r="AR975" s="244"/>
      <c r="AS975" s="255"/>
      <c r="AT975" s="244"/>
      <c r="AU975" s="244"/>
      <c r="AV975" s="244"/>
      <c r="AW975" s="244"/>
      <c r="AX975" s="244"/>
      <c r="AY975" s="244"/>
      <c r="AZ975" s="255"/>
      <c r="BA975" s="244"/>
      <c r="BB975" s="244"/>
      <c r="BC975" s="244"/>
      <c r="BD975" s="244"/>
      <c r="BE975" s="244"/>
      <c r="BF975" s="244"/>
      <c r="BG975" s="244"/>
      <c r="BH975" s="255"/>
      <c r="BI975" s="244"/>
      <c r="BJ975" s="244"/>
      <c r="BK975" s="244"/>
      <c r="BL975" s="244"/>
      <c r="BM975" s="244"/>
      <c r="BN975" s="244"/>
      <c r="BO975" s="244"/>
      <c r="BP975" s="244"/>
      <c r="BQ975" s="244"/>
      <c r="BR975" s="244"/>
      <c r="BS975" s="244"/>
      <c r="BT975" s="244"/>
      <c r="BU975" s="244"/>
      <c r="BV975" s="244"/>
      <c r="BW975" s="244"/>
      <c r="BX975" s="244"/>
      <c r="BY975" s="244"/>
      <c r="BZ975" s="244"/>
      <c r="CA975" s="244"/>
      <c r="CB975" s="244"/>
      <c r="CC975" s="244"/>
      <c r="CD975" s="255"/>
      <c r="CE975" s="244"/>
      <c r="CF975" s="244"/>
      <c r="CG975" s="244"/>
      <c r="CH975" s="244"/>
      <c r="CI975" s="244"/>
      <c r="CJ975" s="244"/>
      <c r="CK975" s="244"/>
      <c r="CL975" s="244"/>
      <c r="CM975" s="244"/>
      <c r="CN975" s="244"/>
      <c r="CO975" s="244"/>
      <c r="CP975" s="244"/>
      <c r="CQ975" s="244"/>
      <c r="CR975" s="244"/>
      <c r="CS975" s="244"/>
      <c r="CT975" s="244"/>
      <c r="CU975" s="244"/>
      <c r="CV975" s="244"/>
      <c r="CW975" s="255"/>
    </row>
    <row r="976" spans="1:101">
      <c r="A976" s="221" t="s">
        <v>562</v>
      </c>
      <c r="C976" s="264">
        <v>150.99122619628906</v>
      </c>
      <c r="D976" s="264">
        <v>11.336667060852051</v>
      </c>
      <c r="E976" s="264">
        <v>2.2673335075378418</v>
      </c>
      <c r="F976" s="264">
        <v>13.604000091552734</v>
      </c>
      <c r="G976" s="264">
        <v>22.18016242980957</v>
      </c>
      <c r="H976" s="264">
        <v>425.57638549804687</v>
      </c>
      <c r="I976" s="264">
        <v>789.258056640625</v>
      </c>
      <c r="J976" s="264">
        <v>-57.597072601318359</v>
      </c>
      <c r="K976" s="264">
        <v>-157.86906433105469</v>
      </c>
      <c r="L976" s="228">
        <v>19.187253414453249</v>
      </c>
      <c r="M976" s="264">
        <v>1.1396844915605122</v>
      </c>
      <c r="N976" s="264">
        <v>11.559070847142342</v>
      </c>
      <c r="O976" s="264">
        <v>10.678772683214838</v>
      </c>
      <c r="P976" s="264">
        <v>11.48125323296231</v>
      </c>
      <c r="Q976" s="264">
        <v>10.253409959317858</v>
      </c>
      <c r="R976" s="264">
        <v>9.8436604301686117</v>
      </c>
      <c r="S976" s="264">
        <v>9.0261244577431583</v>
      </c>
      <c r="T976" s="264">
        <v>9.1044998439929401</v>
      </c>
      <c r="U976" s="264">
        <v>9.1243072128927167</v>
      </c>
      <c r="V976" s="264">
        <v>9.2997498101525515</v>
      </c>
      <c r="W976" s="264">
        <v>9.5984857021374861</v>
      </c>
      <c r="X976" s="264">
        <v>10.289388295035117</v>
      </c>
      <c r="Y976" s="264">
        <v>11.321981602519955</v>
      </c>
      <c r="Z976" s="264"/>
      <c r="AA976" s="264">
        <v>2.2477015808656331</v>
      </c>
      <c r="AB976" s="264">
        <v>3.2512864919024542</v>
      </c>
      <c r="AC976" s="264">
        <v>2.9391619458330149</v>
      </c>
      <c r="AD976" s="264">
        <v>3.213255736176837</v>
      </c>
      <c r="AE976" s="264">
        <v>2.3453265639454384</v>
      </c>
      <c r="AF976" s="264">
        <v>1.888345251522332</v>
      </c>
      <c r="AG976" s="264">
        <v>2.3871658424082121</v>
      </c>
      <c r="AH976" s="264">
        <v>1.9908049673434736</v>
      </c>
      <c r="AI976" s="264">
        <v>1.9269337793177002</v>
      </c>
      <c r="AJ976" s="264">
        <v>1.7955550011838626</v>
      </c>
      <c r="AK976" s="264">
        <v>2.2289204219700389</v>
      </c>
      <c r="AL976" s="264">
        <v>3.1960585593551736</v>
      </c>
      <c r="AM976" s="244"/>
      <c r="AN976" s="244"/>
      <c r="AO976" s="244"/>
      <c r="AP976" s="244"/>
      <c r="AQ976" s="244"/>
      <c r="AR976" s="244"/>
      <c r="AS976" s="255"/>
      <c r="AT976" s="244"/>
      <c r="AU976" s="244"/>
      <c r="AV976" s="244"/>
      <c r="AW976" s="244"/>
      <c r="AX976" s="244"/>
      <c r="AY976" s="244"/>
      <c r="AZ976" s="255"/>
      <c r="BA976" s="244"/>
      <c r="BB976" s="244"/>
      <c r="BC976" s="244"/>
      <c r="BD976" s="244"/>
      <c r="BE976" s="244"/>
      <c r="BF976" s="244"/>
      <c r="BG976" s="244"/>
      <c r="BH976" s="255"/>
      <c r="BI976" s="244"/>
      <c r="BJ976" s="244"/>
      <c r="BK976" s="244"/>
      <c r="BL976" s="244"/>
      <c r="BM976" s="244"/>
      <c r="BN976" s="244"/>
      <c r="BO976" s="244"/>
      <c r="BP976" s="244"/>
      <c r="BQ976" s="244"/>
      <c r="BR976" s="244"/>
      <c r="BS976" s="244"/>
      <c r="BT976" s="244"/>
      <c r="BU976" s="244"/>
      <c r="BV976" s="244"/>
      <c r="BW976" s="244"/>
      <c r="BX976" s="244"/>
      <c r="BY976" s="244"/>
      <c r="BZ976" s="244"/>
      <c r="CA976" s="244"/>
      <c r="CB976" s="244"/>
      <c r="CC976" s="244"/>
      <c r="CD976" s="255"/>
      <c r="CE976" s="244"/>
      <c r="CF976" s="244"/>
      <c r="CG976" s="244"/>
      <c r="CH976" s="244"/>
      <c r="CI976" s="244"/>
      <c r="CJ976" s="244"/>
      <c r="CK976" s="244"/>
      <c r="CL976" s="244"/>
      <c r="CM976" s="244"/>
      <c r="CN976" s="244"/>
      <c r="CO976" s="244"/>
      <c r="CP976" s="244"/>
      <c r="CQ976" s="244"/>
      <c r="CR976" s="244"/>
      <c r="CS976" s="244"/>
      <c r="CT976" s="244"/>
      <c r="CU976" s="244"/>
      <c r="CV976" s="244"/>
      <c r="CW976" s="255"/>
    </row>
    <row r="977" spans="1:101">
      <c r="A977" s="221" t="s">
        <v>460</v>
      </c>
      <c r="C977" s="264">
        <v>108.99931335449219</v>
      </c>
      <c r="D977" s="264">
        <v>8.1096944808959961</v>
      </c>
      <c r="E977" s="264">
        <v>1.621938943862915</v>
      </c>
      <c r="F977" s="264">
        <v>9.731633186340332</v>
      </c>
      <c r="G977" s="264">
        <v>15.866598129272461</v>
      </c>
      <c r="H977" s="264">
        <v>300.11672973632812</v>
      </c>
      <c r="I977" s="264">
        <v>782.10687255859375</v>
      </c>
      <c r="J977" s="264">
        <v>-57.66021728515625</v>
      </c>
      <c r="K977" s="264">
        <v>-152.74435424804687</v>
      </c>
      <c r="L977" s="228">
        <v>18.915001542389522</v>
      </c>
      <c r="M977" s="264">
        <v>0.82271951514287711</v>
      </c>
      <c r="N977" s="264">
        <v>8.3475248459754638</v>
      </c>
      <c r="O977" s="264">
        <v>7.7121284075846077</v>
      </c>
      <c r="P977" s="264">
        <v>8.2915138971549194</v>
      </c>
      <c r="Q977" s="264">
        <v>7.4035437572812981</v>
      </c>
      <c r="R977" s="264">
        <v>7.1061953947750087</v>
      </c>
      <c r="S977" s="264">
        <v>6.5154381336582095</v>
      </c>
      <c r="T977" s="264">
        <v>6.5713135987292848</v>
      </c>
      <c r="U977" s="264">
        <v>6.5859474154242159</v>
      </c>
      <c r="V977" s="264">
        <v>6.7126031297602307</v>
      </c>
      <c r="W977" s="264">
        <v>6.9290791336422277</v>
      </c>
      <c r="X977" s="264">
        <v>7.4292783780237812</v>
      </c>
      <c r="Y977" s="264">
        <v>8.1759589868664566</v>
      </c>
      <c r="Z977" s="264"/>
      <c r="AA977" s="264">
        <v>1.6212432425407282</v>
      </c>
      <c r="AB977" s="264">
        <v>2.3480106001636312</v>
      </c>
      <c r="AC977" s="264">
        <v>2.1213070031728152</v>
      </c>
      <c r="AD977" s="264">
        <v>2.3198303151565849</v>
      </c>
      <c r="AE977" s="264">
        <v>1.6918880080562009</v>
      </c>
      <c r="AF977" s="264">
        <v>1.3610799260180235</v>
      </c>
      <c r="AG977" s="264">
        <v>1.7221643361342605</v>
      </c>
      <c r="AH977" s="264">
        <v>1.4350435667367918</v>
      </c>
      <c r="AI977" s="264">
        <v>1.3891247272756024</v>
      </c>
      <c r="AJ977" s="264">
        <v>1.2937540357058459</v>
      </c>
      <c r="AK977" s="264">
        <v>1.6078322579780793</v>
      </c>
      <c r="AL977" s="264">
        <v>2.3075066789767513</v>
      </c>
      <c r="AM977" s="244"/>
      <c r="AN977" s="244"/>
      <c r="AO977" s="244"/>
      <c r="AP977" s="244"/>
      <c r="AQ977" s="244"/>
      <c r="AR977" s="244"/>
      <c r="AS977" s="255"/>
      <c r="AT977" s="244"/>
      <c r="AU977" s="244"/>
      <c r="AV977" s="244"/>
      <c r="AW977" s="244"/>
      <c r="AX977" s="244"/>
      <c r="AY977" s="244"/>
      <c r="AZ977" s="255"/>
      <c r="BA977" s="244"/>
      <c r="BB977" s="244"/>
      <c r="BC977" s="244"/>
      <c r="BD977" s="244"/>
      <c r="BE977" s="244"/>
      <c r="BF977" s="244"/>
      <c r="BG977" s="244"/>
      <c r="BH977" s="255"/>
      <c r="BI977" s="244"/>
      <c r="BJ977" s="244"/>
      <c r="BK977" s="244"/>
      <c r="BL977" s="244"/>
      <c r="BM977" s="244"/>
      <c r="BN977" s="244"/>
      <c r="BO977" s="244"/>
      <c r="BP977" s="244"/>
      <c r="BQ977" s="244"/>
      <c r="BR977" s="244"/>
      <c r="BS977" s="244"/>
      <c r="BT977" s="244"/>
      <c r="BU977" s="244"/>
      <c r="BV977" s="244"/>
      <c r="BW977" s="244"/>
      <c r="BX977" s="244"/>
      <c r="BY977" s="244"/>
      <c r="BZ977" s="244"/>
      <c r="CA977" s="244"/>
      <c r="CB977" s="244"/>
      <c r="CC977" s="244"/>
      <c r="CD977" s="255"/>
      <c r="CE977" s="244"/>
      <c r="CF977" s="244"/>
      <c r="CG977" s="244"/>
      <c r="CH977" s="244"/>
      <c r="CI977" s="244"/>
      <c r="CJ977" s="244"/>
      <c r="CK977" s="244"/>
      <c r="CL977" s="244"/>
      <c r="CM977" s="244"/>
      <c r="CN977" s="244"/>
      <c r="CO977" s="244"/>
      <c r="CP977" s="244"/>
      <c r="CQ977" s="244"/>
      <c r="CR977" s="244"/>
      <c r="CS977" s="244"/>
      <c r="CT977" s="244"/>
      <c r="CU977" s="244"/>
      <c r="CV977" s="244"/>
      <c r="CW977" s="255"/>
    </row>
    <row r="978" spans="1:101">
      <c r="A978" s="221" t="s">
        <v>566</v>
      </c>
      <c r="C978" s="264">
        <v>11.010297775268555</v>
      </c>
      <c r="D978" s="264">
        <v>11.336667060852051</v>
      </c>
      <c r="E978" s="264">
        <v>2.2673335075378418</v>
      </c>
      <c r="F978" s="264">
        <v>13.604000091552734</v>
      </c>
      <c r="G978" s="264">
        <v>22.18016242980957</v>
      </c>
      <c r="H978" s="264">
        <v>409.54873657226562</v>
      </c>
      <c r="I978" s="264">
        <v>10823.5986328125</v>
      </c>
      <c r="J978" s="264">
        <v>14.389680862426758</v>
      </c>
      <c r="K978" s="264">
        <v>-2767.529296875</v>
      </c>
      <c r="L978" s="228">
        <v>18.464641175506387</v>
      </c>
      <c r="M978" s="264">
        <v>1.0033844478772773</v>
      </c>
      <c r="N978" s="264">
        <v>0.7120020885491366</v>
      </c>
      <c r="O978" s="264">
        <v>0.64431583017042859</v>
      </c>
      <c r="P978" s="264">
        <v>0.69942466991331631</v>
      </c>
      <c r="Q978" s="264">
        <v>0.67686258378708031</v>
      </c>
      <c r="R978" s="264">
        <v>0.7120020885491366</v>
      </c>
      <c r="S978" s="264">
        <v>0.67686258378708031</v>
      </c>
      <c r="T978" s="264">
        <v>0.7120020885491366</v>
      </c>
      <c r="U978" s="264">
        <v>0.69942466991331631</v>
      </c>
      <c r="V978" s="264">
        <v>0.7120020885491366</v>
      </c>
      <c r="W978" s="264">
        <v>0.69942466991331631</v>
      </c>
      <c r="X978" s="264">
        <v>0.6894400024229006</v>
      </c>
      <c r="Y978" s="264">
        <v>0.7120020885491366</v>
      </c>
      <c r="Z978" s="264"/>
      <c r="AA978" s="264">
        <v>0.22056413800195179</v>
      </c>
      <c r="AB978" s="264">
        <v>0.19800205187571579</v>
      </c>
      <c r="AC978" s="264">
        <v>0.23314155663777214</v>
      </c>
      <c r="AD978" s="264">
        <v>0.22562086126236008</v>
      </c>
      <c r="AE978" s="264">
        <v>0.22056413800195179</v>
      </c>
      <c r="AF978" s="264">
        <v>0.22562086126236008</v>
      </c>
      <c r="AG978" s="264">
        <v>0.22056413800195179</v>
      </c>
      <c r="AH978" s="264">
        <v>0.23314155663777214</v>
      </c>
      <c r="AI978" s="264">
        <v>0.22056413800195179</v>
      </c>
      <c r="AJ978" s="264">
        <v>0.23314155663777214</v>
      </c>
      <c r="AK978" s="264">
        <v>0.21304344262653979</v>
      </c>
      <c r="AL978" s="264">
        <v>0.22056413800195179</v>
      </c>
      <c r="AM978" s="244"/>
      <c r="AN978" s="244"/>
      <c r="AO978" s="244"/>
      <c r="AP978" s="244"/>
      <c r="AQ978" s="244"/>
      <c r="AR978" s="244"/>
      <c r="AS978" s="255"/>
      <c r="AT978" s="244"/>
      <c r="AU978" s="244"/>
      <c r="AV978" s="244"/>
      <c r="AW978" s="244"/>
      <c r="AX978" s="244"/>
      <c r="AY978" s="244"/>
      <c r="AZ978" s="255"/>
      <c r="BA978" s="244"/>
      <c r="BB978" s="244"/>
      <c r="BC978" s="244"/>
      <c r="BD978" s="244"/>
      <c r="BE978" s="244"/>
      <c r="BF978" s="244"/>
      <c r="BG978" s="244"/>
      <c r="BH978" s="255"/>
      <c r="BI978" s="244"/>
      <c r="BJ978" s="244"/>
      <c r="BK978" s="244"/>
      <c r="BL978" s="244"/>
      <c r="BM978" s="244"/>
      <c r="BN978" s="244"/>
      <c r="BO978" s="244"/>
      <c r="BP978" s="244"/>
      <c r="BQ978" s="244"/>
      <c r="BR978" s="244"/>
      <c r="BS978" s="244"/>
      <c r="BT978" s="244"/>
      <c r="BU978" s="244"/>
      <c r="BV978" s="244"/>
      <c r="BW978" s="244"/>
      <c r="BX978" s="244"/>
      <c r="BY978" s="244"/>
      <c r="BZ978" s="244"/>
      <c r="CA978" s="244"/>
      <c r="CB978" s="244"/>
      <c r="CC978" s="244"/>
      <c r="CD978" s="255"/>
      <c r="CE978" s="244"/>
      <c r="CF978" s="244"/>
      <c r="CG978" s="244"/>
      <c r="CH978" s="244"/>
      <c r="CI978" s="244"/>
      <c r="CJ978" s="244"/>
      <c r="CK978" s="244"/>
      <c r="CL978" s="244"/>
      <c r="CM978" s="244"/>
      <c r="CN978" s="244"/>
      <c r="CO978" s="244"/>
      <c r="CP978" s="244"/>
      <c r="CQ978" s="244"/>
      <c r="CR978" s="244"/>
      <c r="CS978" s="244"/>
      <c r="CT978" s="244"/>
      <c r="CU978" s="244"/>
      <c r="CV978" s="244"/>
      <c r="CW978" s="255"/>
    </row>
    <row r="979" spans="1:101">
      <c r="A979" s="221" t="s">
        <v>486</v>
      </c>
      <c r="C979" s="264">
        <v>67.671394348144531</v>
      </c>
      <c r="D979" s="264">
        <v>11.336667060852051</v>
      </c>
      <c r="E979" s="264">
        <v>2.2673335075378418</v>
      </c>
      <c r="F979" s="264">
        <v>13.604000091552734</v>
      </c>
      <c r="G979" s="264">
        <v>22.18016242980957</v>
      </c>
      <c r="H979" s="264">
        <v>409.01828002929687</v>
      </c>
      <c r="I979" s="264">
        <v>1761.025390625</v>
      </c>
      <c r="J979" s="264">
        <v>-50.650337219238281</v>
      </c>
      <c r="K979" s="264">
        <v>-402.27435302734375</v>
      </c>
      <c r="L979" s="228">
        <v>18.440725504811383</v>
      </c>
      <c r="M979" s="264">
        <v>1.0526515993349599</v>
      </c>
      <c r="N979" s="264">
        <v>5.1055095295887636</v>
      </c>
      <c r="O979" s="264">
        <v>4.7089728365010695</v>
      </c>
      <c r="P979" s="264">
        <v>5.0666752364501146</v>
      </c>
      <c r="Q979" s="264">
        <v>4.5547789684163353</v>
      </c>
      <c r="R979" s="264">
        <v>4.4084164467296674</v>
      </c>
      <c r="S979" s="264">
        <v>4.0560457058829984</v>
      </c>
      <c r="T979" s="264">
        <v>4.1080430045220897</v>
      </c>
      <c r="U979" s="264">
        <v>4.1088806754485931</v>
      </c>
      <c r="V979" s="264">
        <v>4.1873869326523927</v>
      </c>
      <c r="W979" s="264">
        <v>4.3015730723364731</v>
      </c>
      <c r="X979" s="264">
        <v>4.5766109912413473</v>
      </c>
      <c r="Y979" s="264">
        <v>5.0091633311448227</v>
      </c>
      <c r="Z979" s="264"/>
      <c r="AA979" s="264">
        <v>1.0398648621997695</v>
      </c>
      <c r="AB979" s="264">
        <v>1.434756344226602</v>
      </c>
      <c r="AC979" s="264">
        <v>1.3280657866050867</v>
      </c>
      <c r="AD979" s="264">
        <v>1.4351374457165558</v>
      </c>
      <c r="AE979" s="264">
        <v>1.079536826264921</v>
      </c>
      <c r="AF979" s="264">
        <v>0.89673221911806733</v>
      </c>
      <c r="AG979" s="264">
        <v>1.0965390965785575</v>
      </c>
      <c r="AH979" s="264">
        <v>0.94268099282932638</v>
      </c>
      <c r="AI979" s="264">
        <v>0.9095141231285564</v>
      </c>
      <c r="AJ979" s="264">
        <v>0.86333706469902272</v>
      </c>
      <c r="AK979" s="264">
        <v>1.0279206291157834</v>
      </c>
      <c r="AL979" s="264">
        <v>1.4252496559755297</v>
      </c>
      <c r="AM979" s="244"/>
      <c r="AN979" s="244"/>
      <c r="AO979" s="244"/>
      <c r="AP979" s="244"/>
      <c r="AQ979" s="244"/>
      <c r="AR979" s="244"/>
      <c r="AS979" s="255"/>
      <c r="AT979" s="244"/>
      <c r="AU979" s="244"/>
      <c r="AV979" s="244"/>
      <c r="AW979" s="244"/>
      <c r="AX979" s="244"/>
      <c r="AY979" s="244"/>
      <c r="AZ979" s="255"/>
      <c r="BA979" s="244"/>
      <c r="BB979" s="244"/>
      <c r="BC979" s="244"/>
      <c r="BD979" s="244"/>
      <c r="BE979" s="244"/>
      <c r="BF979" s="244"/>
      <c r="BG979" s="244"/>
      <c r="BH979" s="255"/>
      <c r="BI979" s="244"/>
      <c r="BJ979" s="244"/>
      <c r="BK979" s="244"/>
      <c r="BL979" s="244"/>
      <c r="BM979" s="244"/>
      <c r="BN979" s="244"/>
      <c r="BO979" s="244"/>
      <c r="BP979" s="244"/>
      <c r="BQ979" s="244"/>
      <c r="BR979" s="244"/>
      <c r="BS979" s="244"/>
      <c r="BT979" s="244"/>
      <c r="BU979" s="244"/>
      <c r="BV979" s="244"/>
      <c r="BW979" s="244"/>
      <c r="BX979" s="244"/>
      <c r="BY979" s="244"/>
      <c r="BZ979" s="244"/>
      <c r="CA979" s="244"/>
      <c r="CB979" s="244"/>
      <c r="CC979" s="244"/>
      <c r="CD979" s="255"/>
      <c r="CE979" s="244"/>
      <c r="CF979" s="244"/>
      <c r="CG979" s="244"/>
      <c r="CH979" s="244"/>
      <c r="CI979" s="244"/>
      <c r="CJ979" s="244"/>
      <c r="CK979" s="244"/>
      <c r="CL979" s="244"/>
      <c r="CM979" s="244"/>
      <c r="CN979" s="244"/>
      <c r="CO979" s="244"/>
      <c r="CP979" s="244"/>
      <c r="CQ979" s="244"/>
      <c r="CR979" s="244"/>
      <c r="CS979" s="244"/>
      <c r="CT979" s="244"/>
      <c r="CU979" s="244"/>
      <c r="CV979" s="244"/>
      <c r="CW979" s="255"/>
    </row>
    <row r="980" spans="1:101">
      <c r="A980" s="221" t="s">
        <v>520</v>
      </c>
      <c r="C980" s="264">
        <v>103.77424621582031</v>
      </c>
      <c r="D980" s="264">
        <v>8.1096944808959961</v>
      </c>
      <c r="E980" s="264">
        <v>1.621938943862915</v>
      </c>
      <c r="F980" s="264">
        <v>9.731633186340332</v>
      </c>
      <c r="G980" s="264">
        <v>15.866598129272461</v>
      </c>
      <c r="H980" s="264">
        <v>284.7047119140625</v>
      </c>
      <c r="I980" s="264">
        <v>821.4862060546875</v>
      </c>
      <c r="J980" s="264">
        <v>-57.4075927734375</v>
      </c>
      <c r="K980" s="264">
        <v>-151.36300659179687</v>
      </c>
      <c r="L980" s="228">
        <v>17.943651459668185</v>
      </c>
      <c r="M980" s="264">
        <v>0.7832797431604801</v>
      </c>
      <c r="N980" s="264">
        <v>7.947823789230652</v>
      </c>
      <c r="O980" s="264">
        <v>7.3428981954603474</v>
      </c>
      <c r="P980" s="264">
        <v>7.8945216301853467</v>
      </c>
      <c r="Q980" s="264">
        <v>7.0488868037895296</v>
      </c>
      <c r="R980" s="264">
        <v>6.7655680533783666</v>
      </c>
      <c r="S980" s="264">
        <v>6.20304530171635</v>
      </c>
      <c r="T980" s="264">
        <v>6.2561407850842929</v>
      </c>
      <c r="U980" s="264">
        <v>6.2701214727948091</v>
      </c>
      <c r="V980" s="264">
        <v>6.3907064785959351</v>
      </c>
      <c r="W980" s="264">
        <v>6.5969238713230833</v>
      </c>
      <c r="X980" s="264">
        <v>7.07335345708234</v>
      </c>
      <c r="Y980" s="264">
        <v>7.784422589966514</v>
      </c>
      <c r="Z980" s="264"/>
      <c r="AA980" s="264">
        <v>1.5433307890102776</v>
      </c>
      <c r="AB980" s="264">
        <v>2.2355896027475133</v>
      </c>
      <c r="AC980" s="264">
        <v>2.0195536990921723</v>
      </c>
      <c r="AD980" s="264">
        <v>2.2086553509176472</v>
      </c>
      <c r="AE980" s="264">
        <v>1.6106136357660987</v>
      </c>
      <c r="AF980" s="264">
        <v>1.2955310020886468</v>
      </c>
      <c r="AG980" s="264">
        <v>1.639449141518593</v>
      </c>
      <c r="AH980" s="264">
        <v>1.3659489020356248</v>
      </c>
      <c r="AI980" s="264">
        <v>1.3222585782411516</v>
      </c>
      <c r="AJ980" s="264">
        <v>1.2313832085239824</v>
      </c>
      <c r="AK980" s="264">
        <v>1.5305839005682897</v>
      </c>
      <c r="AL980" s="264">
        <v>2.1969355860668252</v>
      </c>
      <c r="AM980" s="244"/>
      <c r="AN980" s="244"/>
      <c r="AO980" s="244"/>
      <c r="AP980" s="244"/>
      <c r="AQ980" s="244"/>
      <c r="AR980" s="244"/>
      <c r="AS980" s="255"/>
      <c r="AT980" s="244"/>
      <c r="AU980" s="244"/>
      <c r="AV980" s="244"/>
      <c r="AW980" s="244"/>
      <c r="AX980" s="244"/>
      <c r="AY980" s="244"/>
      <c r="AZ980" s="255"/>
      <c r="BA980" s="244"/>
      <c r="BB980" s="244"/>
      <c r="BC980" s="244"/>
      <c r="BD980" s="244"/>
      <c r="BE980" s="244"/>
      <c r="BF980" s="244"/>
      <c r="BG980" s="244"/>
      <c r="BH980" s="255"/>
      <c r="BI980" s="244"/>
      <c r="BJ980" s="244"/>
      <c r="BK980" s="244"/>
      <c r="BL980" s="244"/>
      <c r="BM980" s="244"/>
      <c r="BN980" s="244"/>
      <c r="BO980" s="244"/>
      <c r="BP980" s="244"/>
      <c r="BQ980" s="244"/>
      <c r="BR980" s="244"/>
      <c r="BS980" s="244"/>
      <c r="BT980" s="244"/>
      <c r="BU980" s="244"/>
      <c r="BV980" s="244"/>
      <c r="BW980" s="244"/>
      <c r="BX980" s="244"/>
      <c r="BY980" s="244"/>
      <c r="BZ980" s="244"/>
      <c r="CA980" s="244"/>
      <c r="CB980" s="244"/>
      <c r="CC980" s="244"/>
      <c r="CD980" s="255"/>
      <c r="CE980" s="244"/>
      <c r="CF980" s="244"/>
      <c r="CG980" s="244"/>
      <c r="CH980" s="244"/>
      <c r="CI980" s="244"/>
      <c r="CJ980" s="244"/>
      <c r="CK980" s="244"/>
      <c r="CL980" s="244"/>
      <c r="CM980" s="244"/>
      <c r="CN980" s="244"/>
      <c r="CO980" s="244"/>
      <c r="CP980" s="244"/>
      <c r="CQ980" s="244"/>
      <c r="CR980" s="244"/>
      <c r="CS980" s="244"/>
      <c r="CT980" s="244"/>
      <c r="CU980" s="244"/>
      <c r="CV980" s="244"/>
      <c r="CW980" s="255"/>
    </row>
    <row r="981" spans="1:101">
      <c r="A981" s="221" t="s">
        <v>571</v>
      </c>
      <c r="C981" s="264">
        <v>100.66081237792969</v>
      </c>
      <c r="D981" s="264">
        <v>8.1096944808959961</v>
      </c>
      <c r="E981" s="264">
        <v>1.621938943862915</v>
      </c>
      <c r="F981" s="264">
        <v>9.731633186340332</v>
      </c>
      <c r="G981" s="264">
        <v>15.866598129272461</v>
      </c>
      <c r="H981" s="264">
        <v>283.71759033203125</v>
      </c>
      <c r="I981" s="264">
        <v>846.89471435546875</v>
      </c>
      <c r="J981" s="264">
        <v>-57.223587036132813</v>
      </c>
      <c r="K981" s="264">
        <v>-157.00827026367187</v>
      </c>
      <c r="L981" s="228">
        <v>17.881437226038781</v>
      </c>
      <c r="M981" s="264">
        <v>0.75978966104034429</v>
      </c>
      <c r="N981" s="264">
        <v>7.7060472314282249</v>
      </c>
      <c r="O981" s="264">
        <v>7.1191817888098887</v>
      </c>
      <c r="P981" s="264">
        <v>7.6541688219748698</v>
      </c>
      <c r="Q981" s="264">
        <v>6.8356066395452366</v>
      </c>
      <c r="R981" s="264">
        <v>6.5624402867790721</v>
      </c>
      <c r="S981" s="264">
        <v>6.0174163051621035</v>
      </c>
      <c r="T981" s="264">
        <v>6.0696665626619586</v>
      </c>
      <c r="U981" s="264">
        <v>6.0828714752618085</v>
      </c>
      <c r="V981" s="264">
        <v>6.1998332067683659</v>
      </c>
      <c r="W981" s="264">
        <v>6.3989904680916556</v>
      </c>
      <c r="X981" s="264">
        <v>6.859592196690075</v>
      </c>
      <c r="Y981" s="264">
        <v>7.5479877350133009</v>
      </c>
      <c r="Z981" s="264"/>
      <c r="AA981" s="264">
        <v>1.4984677205770884</v>
      </c>
      <c r="AB981" s="264">
        <v>2.1675243279349687</v>
      </c>
      <c r="AC981" s="264">
        <v>1.959441297222009</v>
      </c>
      <c r="AD981" s="264">
        <v>2.1421704907845571</v>
      </c>
      <c r="AE981" s="264">
        <v>1.5635510426302917</v>
      </c>
      <c r="AF981" s="264">
        <v>1.2588968343482208</v>
      </c>
      <c r="AG981" s="264">
        <v>1.5914438949388074</v>
      </c>
      <c r="AH981" s="264">
        <v>1.3272033115623152</v>
      </c>
      <c r="AI981" s="264">
        <v>1.2846225195451331</v>
      </c>
      <c r="AJ981" s="264">
        <v>1.1970366674559079</v>
      </c>
      <c r="AK981" s="264">
        <v>1.4859469479800254</v>
      </c>
      <c r="AL981" s="264">
        <v>2.1307057062367813</v>
      </c>
      <c r="AM981" s="244"/>
      <c r="AN981" s="244"/>
      <c r="AO981" s="244"/>
      <c r="AP981" s="244"/>
      <c r="AQ981" s="244"/>
      <c r="AR981" s="244"/>
      <c r="AS981" s="255"/>
      <c r="AT981" s="244"/>
      <c r="AU981" s="244"/>
      <c r="AV981" s="244"/>
      <c r="AW981" s="244"/>
      <c r="AX981" s="244"/>
      <c r="AY981" s="244"/>
      <c r="AZ981" s="255"/>
      <c r="BA981" s="244"/>
      <c r="BB981" s="244"/>
      <c r="BC981" s="244"/>
      <c r="BD981" s="244"/>
      <c r="BE981" s="244"/>
      <c r="BF981" s="244"/>
      <c r="BG981" s="244"/>
      <c r="BH981" s="255"/>
      <c r="BI981" s="244"/>
      <c r="BJ981" s="244"/>
      <c r="BK981" s="244"/>
      <c r="BL981" s="244"/>
      <c r="BM981" s="244"/>
      <c r="BN981" s="244"/>
      <c r="BO981" s="244"/>
      <c r="BP981" s="244"/>
      <c r="BQ981" s="244"/>
      <c r="BR981" s="244"/>
      <c r="BS981" s="244"/>
      <c r="BT981" s="244"/>
      <c r="BU981" s="244"/>
      <c r="BV981" s="244"/>
      <c r="BW981" s="244"/>
      <c r="BX981" s="244"/>
      <c r="BY981" s="244"/>
      <c r="BZ981" s="244"/>
      <c r="CA981" s="244"/>
      <c r="CB981" s="244"/>
      <c r="CC981" s="244"/>
      <c r="CD981" s="255"/>
      <c r="CE981" s="244"/>
      <c r="CF981" s="244"/>
      <c r="CG981" s="244"/>
      <c r="CH981" s="244"/>
      <c r="CI981" s="244"/>
      <c r="CJ981" s="244"/>
      <c r="CK981" s="244"/>
      <c r="CL981" s="244"/>
      <c r="CM981" s="244"/>
      <c r="CN981" s="244"/>
      <c r="CO981" s="244"/>
      <c r="CP981" s="244"/>
      <c r="CQ981" s="244"/>
      <c r="CR981" s="244"/>
      <c r="CS981" s="244"/>
      <c r="CT981" s="244"/>
      <c r="CU981" s="244"/>
      <c r="CV981" s="244"/>
      <c r="CW981" s="255"/>
    </row>
    <row r="982" spans="1:101">
      <c r="A982" s="221" t="s">
        <v>559</v>
      </c>
      <c r="C982" s="264">
        <v>141.140869140625</v>
      </c>
      <c r="D982" s="264">
        <v>11.336667060852051</v>
      </c>
      <c r="E982" s="264">
        <v>2.2673335075378418</v>
      </c>
      <c r="F982" s="264">
        <v>13.604000091552734</v>
      </c>
      <c r="G982" s="264">
        <v>22.18016242980957</v>
      </c>
      <c r="H982" s="264">
        <v>388.61474609375</v>
      </c>
      <c r="I982" s="264">
        <v>844.3411865234375</v>
      </c>
      <c r="J982" s="264">
        <v>-57.256931304931641</v>
      </c>
      <c r="K982" s="264">
        <v>-151.81491088867187</v>
      </c>
      <c r="L982" s="228">
        <v>17.520824996223546</v>
      </c>
      <c r="M982" s="264">
        <v>1.0653218289398592</v>
      </c>
      <c r="N982" s="264">
        <v>10.80903062630175</v>
      </c>
      <c r="O982" s="264">
        <v>9.9862694259297555</v>
      </c>
      <c r="P982" s="264">
        <v>10.73650325173498</v>
      </c>
      <c r="Q982" s="264">
        <v>9.586689790351528</v>
      </c>
      <c r="R982" s="264">
        <v>9.2016597824970781</v>
      </c>
      <c r="S982" s="264">
        <v>8.4367008939709489</v>
      </c>
      <c r="T982" s="264">
        <v>8.5090528335405917</v>
      </c>
      <c r="U982" s="264">
        <v>8.5280018484586435</v>
      </c>
      <c r="V982" s="264">
        <v>8.6920056125102292</v>
      </c>
      <c r="W982" s="264">
        <v>8.972315740242049</v>
      </c>
      <c r="X982" s="264">
        <v>9.6200129979962306</v>
      </c>
      <c r="Y982" s="264">
        <v>10.586873680410047</v>
      </c>
      <c r="Z982" s="264"/>
      <c r="AA982" s="264">
        <v>2.0993130520307766</v>
      </c>
      <c r="AB982" s="264">
        <v>3.0403884931574652</v>
      </c>
      <c r="AC982" s="264">
        <v>2.7468348747878335</v>
      </c>
      <c r="AD982" s="264">
        <v>3.0038984473870798</v>
      </c>
      <c r="AE982" s="264">
        <v>2.1907894415155944</v>
      </c>
      <c r="AF982" s="264">
        <v>1.7624331615216828</v>
      </c>
      <c r="AG982" s="264">
        <v>2.2299936084376597</v>
      </c>
      <c r="AH982" s="264">
        <v>1.8582070912210227</v>
      </c>
      <c r="AI982" s="264">
        <v>1.7987477722949432</v>
      </c>
      <c r="AJ982" s="264">
        <v>1.6752543122513854</v>
      </c>
      <c r="AK982" s="264">
        <v>2.0819474561755666</v>
      </c>
      <c r="AL982" s="264">
        <v>2.9879408355975867</v>
      </c>
      <c r="AM982" s="244"/>
      <c r="AN982" s="244"/>
      <c r="AO982" s="244"/>
      <c r="AP982" s="244"/>
      <c r="AQ982" s="244"/>
      <c r="AR982" s="244"/>
      <c r="AS982" s="255"/>
      <c r="AT982" s="244"/>
      <c r="AU982" s="244"/>
      <c r="AV982" s="244"/>
      <c r="AW982" s="244"/>
      <c r="AX982" s="244"/>
      <c r="AY982" s="244"/>
      <c r="AZ982" s="255"/>
      <c r="BA982" s="244"/>
      <c r="BB982" s="244"/>
      <c r="BC982" s="244"/>
      <c r="BD982" s="244"/>
      <c r="BE982" s="244"/>
      <c r="BF982" s="244"/>
      <c r="BG982" s="244"/>
      <c r="BH982" s="255"/>
      <c r="BI982" s="244"/>
      <c r="BJ982" s="244"/>
      <c r="BK982" s="244"/>
      <c r="BL982" s="244"/>
      <c r="BM982" s="244"/>
      <c r="BN982" s="244"/>
      <c r="BO982" s="244"/>
      <c r="BP982" s="244"/>
      <c r="BQ982" s="244"/>
      <c r="BR982" s="244"/>
      <c r="BS982" s="244"/>
      <c r="BT982" s="244"/>
      <c r="BU982" s="244"/>
      <c r="BV982" s="244"/>
      <c r="BW982" s="244"/>
      <c r="BX982" s="244"/>
      <c r="BY982" s="244"/>
      <c r="BZ982" s="244"/>
      <c r="CA982" s="244"/>
      <c r="CB982" s="244"/>
      <c r="CC982" s="244"/>
      <c r="CD982" s="255"/>
      <c r="CE982" s="244"/>
      <c r="CF982" s="244"/>
      <c r="CG982" s="244"/>
      <c r="CH982" s="244"/>
      <c r="CI982" s="244"/>
      <c r="CJ982" s="244"/>
      <c r="CK982" s="244"/>
      <c r="CL982" s="244"/>
      <c r="CM982" s="244"/>
      <c r="CN982" s="244"/>
      <c r="CO982" s="244"/>
      <c r="CP982" s="244"/>
      <c r="CQ982" s="244"/>
      <c r="CR982" s="244"/>
      <c r="CS982" s="244"/>
      <c r="CT982" s="244"/>
      <c r="CU982" s="244"/>
      <c r="CV982" s="244"/>
      <c r="CW982" s="255"/>
    </row>
    <row r="983" spans="1:101">
      <c r="A983" s="221" t="s">
        <v>575</v>
      </c>
      <c r="C983" s="264">
        <v>7.3401985168457031</v>
      </c>
      <c r="D983" s="264">
        <v>8.1096944808959961</v>
      </c>
      <c r="E983" s="264">
        <v>1.621938943862915</v>
      </c>
      <c r="F983" s="264">
        <v>9.731633186340332</v>
      </c>
      <c r="G983" s="264">
        <v>15.866598129272461</v>
      </c>
      <c r="H983" s="264">
        <v>273.03250122070312</v>
      </c>
      <c r="I983" s="264">
        <v>11614.005859375</v>
      </c>
      <c r="J983" s="264">
        <v>19.511564254760742</v>
      </c>
      <c r="K983" s="264">
        <v>-2755.724609375</v>
      </c>
      <c r="L983" s="228">
        <v>17.208004033158137</v>
      </c>
      <c r="M983" s="264">
        <v>0.66892296525152728</v>
      </c>
      <c r="N983" s="264">
        <v>0.47466805903275766</v>
      </c>
      <c r="O983" s="264">
        <v>0.42954388678028566</v>
      </c>
      <c r="P983" s="264">
        <v>0.46628311327554411</v>
      </c>
      <c r="Q983" s="264">
        <v>0.45124172252472006</v>
      </c>
      <c r="R983" s="264">
        <v>0.47466805903275766</v>
      </c>
      <c r="S983" s="264">
        <v>0.45124172252472006</v>
      </c>
      <c r="T983" s="264">
        <v>0.47466805903275766</v>
      </c>
      <c r="U983" s="264">
        <v>0.46628311327554411</v>
      </c>
      <c r="V983" s="264">
        <v>0.47466805903275766</v>
      </c>
      <c r="W983" s="264">
        <v>0.46628311327554411</v>
      </c>
      <c r="X983" s="264">
        <v>0.45962666828193366</v>
      </c>
      <c r="Y983" s="264">
        <v>0.47466805903275766</v>
      </c>
      <c r="Z983" s="264"/>
      <c r="AA983" s="264">
        <v>0.14704275866796784</v>
      </c>
      <c r="AB983" s="264">
        <v>0.13200136791714381</v>
      </c>
      <c r="AC983" s="264">
        <v>0.15542770442518139</v>
      </c>
      <c r="AD983" s="264">
        <v>0.15041390750824002</v>
      </c>
      <c r="AE983" s="264">
        <v>0.14704275866796784</v>
      </c>
      <c r="AF983" s="264">
        <v>0.15041390750824002</v>
      </c>
      <c r="AG983" s="264">
        <v>0.14704275866796784</v>
      </c>
      <c r="AH983" s="264">
        <v>0.15542770442518139</v>
      </c>
      <c r="AI983" s="264">
        <v>0.14704275866796784</v>
      </c>
      <c r="AJ983" s="264">
        <v>0.15542770442518139</v>
      </c>
      <c r="AK983" s="264">
        <v>0.14202896175102647</v>
      </c>
      <c r="AL983" s="264">
        <v>0.14704275866796784</v>
      </c>
      <c r="AM983" s="244"/>
      <c r="AN983" s="244"/>
      <c r="AO983" s="244"/>
      <c r="AP983" s="244"/>
      <c r="AQ983" s="244"/>
      <c r="AR983" s="244"/>
      <c r="AS983" s="255"/>
      <c r="AT983" s="244"/>
      <c r="AU983" s="244"/>
      <c r="AV983" s="244"/>
      <c r="AW983" s="244"/>
      <c r="AX983" s="244"/>
      <c r="AY983" s="244"/>
      <c r="AZ983" s="255"/>
      <c r="BA983" s="244"/>
      <c r="BB983" s="244"/>
      <c r="BC983" s="244"/>
      <c r="BD983" s="244"/>
      <c r="BE983" s="244"/>
      <c r="BF983" s="244"/>
      <c r="BG983" s="244"/>
      <c r="BH983" s="255"/>
      <c r="BI983" s="244"/>
      <c r="BJ983" s="244"/>
      <c r="BK983" s="244"/>
      <c r="BL983" s="244"/>
      <c r="BM983" s="244"/>
      <c r="BN983" s="244"/>
      <c r="BO983" s="244"/>
      <c r="BP983" s="244"/>
      <c r="BQ983" s="244"/>
      <c r="BR983" s="244"/>
      <c r="BS983" s="244"/>
      <c r="BT983" s="244"/>
      <c r="BU983" s="244"/>
      <c r="BV983" s="244"/>
      <c r="BW983" s="244"/>
      <c r="BX983" s="244"/>
      <c r="BY983" s="244"/>
      <c r="BZ983" s="244"/>
      <c r="CA983" s="244"/>
      <c r="CB983" s="244"/>
      <c r="CC983" s="244"/>
      <c r="CD983" s="255"/>
      <c r="CE983" s="244"/>
      <c r="CF983" s="244"/>
      <c r="CG983" s="244"/>
      <c r="CH983" s="244"/>
      <c r="CI983" s="244"/>
      <c r="CJ983" s="244"/>
      <c r="CK983" s="244"/>
      <c r="CL983" s="244"/>
      <c r="CM983" s="244"/>
      <c r="CN983" s="244"/>
      <c r="CO983" s="244"/>
      <c r="CP983" s="244"/>
      <c r="CQ983" s="244"/>
      <c r="CR983" s="244"/>
      <c r="CS983" s="244"/>
      <c r="CT983" s="244"/>
      <c r="CU983" s="244"/>
      <c r="CV983" s="244"/>
      <c r="CW983" s="255"/>
    </row>
    <row r="984" spans="1:101">
      <c r="A984" s="221" t="s">
        <v>495</v>
      </c>
      <c r="C984" s="264">
        <v>45.114261627197266</v>
      </c>
      <c r="D984" s="264">
        <v>8.1096944808959961</v>
      </c>
      <c r="E984" s="264">
        <v>1.621938943862915</v>
      </c>
      <c r="F984" s="264">
        <v>9.731633186340332</v>
      </c>
      <c r="G984" s="264">
        <v>15.866598129272461</v>
      </c>
      <c r="H984" s="264">
        <v>272.67886352539062</v>
      </c>
      <c r="I984" s="264">
        <v>1889.6265869140625</v>
      </c>
      <c r="J984" s="264">
        <v>-49.816993713378906</v>
      </c>
      <c r="K984" s="264">
        <v>-400.35369873046875</v>
      </c>
      <c r="L984" s="228">
        <v>17.18571582463699</v>
      </c>
      <c r="M984" s="264">
        <v>0.70176773288997363</v>
      </c>
      <c r="N984" s="264">
        <v>3.4036730197258414</v>
      </c>
      <c r="O984" s="264">
        <v>3.1393152243340454</v>
      </c>
      <c r="P984" s="264">
        <v>3.3777834909667415</v>
      </c>
      <c r="Q984" s="264">
        <v>3.0365193122775556</v>
      </c>
      <c r="R984" s="264">
        <v>2.9389442978197771</v>
      </c>
      <c r="S984" s="264">
        <v>2.7040304705886644</v>
      </c>
      <c r="T984" s="264">
        <v>2.7386953363480586</v>
      </c>
      <c r="U984" s="264">
        <v>2.7392537836323942</v>
      </c>
      <c r="V984" s="264">
        <v>2.7915912884349279</v>
      </c>
      <c r="W984" s="264">
        <v>2.8677153815576477</v>
      </c>
      <c r="X984" s="264">
        <v>3.0510739941608973</v>
      </c>
      <c r="Y984" s="264">
        <v>3.339442220763214</v>
      </c>
      <c r="Z984" s="264"/>
      <c r="AA984" s="264">
        <v>0.69324324146651262</v>
      </c>
      <c r="AB984" s="264">
        <v>0.95650422948440128</v>
      </c>
      <c r="AC984" s="264">
        <v>0.88537719107005741</v>
      </c>
      <c r="AD984" s="264">
        <v>0.95675829714437022</v>
      </c>
      <c r="AE984" s="264">
        <v>0.71969121750994702</v>
      </c>
      <c r="AF984" s="264">
        <v>0.59782147941204467</v>
      </c>
      <c r="AG984" s="264">
        <v>0.73102606438570461</v>
      </c>
      <c r="AH984" s="264">
        <v>0.62845399521955059</v>
      </c>
      <c r="AI984" s="264">
        <v>0.60634274875237071</v>
      </c>
      <c r="AJ984" s="264">
        <v>0.57555804313268155</v>
      </c>
      <c r="AK984" s="264">
        <v>0.68528041941052198</v>
      </c>
      <c r="AL984" s="264">
        <v>0.95016643731701944</v>
      </c>
      <c r="AM984" s="244"/>
      <c r="AN984" s="244"/>
      <c r="AO984" s="244"/>
      <c r="AP984" s="244"/>
      <c r="AQ984" s="244"/>
      <c r="AR984" s="244"/>
      <c r="AS984" s="255"/>
      <c r="AT984" s="244"/>
      <c r="AU984" s="244"/>
      <c r="AV984" s="244"/>
      <c r="AW984" s="244"/>
      <c r="AX984" s="244"/>
      <c r="AY984" s="244"/>
      <c r="AZ984" s="255"/>
      <c r="BA984" s="244"/>
      <c r="BB984" s="244"/>
      <c r="BC984" s="244"/>
      <c r="BD984" s="244"/>
      <c r="BE984" s="244"/>
      <c r="BF984" s="244"/>
      <c r="BG984" s="244"/>
      <c r="BH984" s="255"/>
      <c r="BI984" s="244"/>
      <c r="BJ984" s="244"/>
      <c r="BK984" s="244"/>
      <c r="BL984" s="244"/>
      <c r="BM984" s="244"/>
      <c r="BN984" s="244"/>
      <c r="BO984" s="244"/>
      <c r="BP984" s="244"/>
      <c r="BQ984" s="244"/>
      <c r="BR984" s="244"/>
      <c r="BS984" s="244"/>
      <c r="BT984" s="244"/>
      <c r="BU984" s="244"/>
      <c r="BV984" s="244"/>
      <c r="BW984" s="244"/>
      <c r="BX984" s="244"/>
      <c r="BY984" s="244"/>
      <c r="BZ984" s="244"/>
      <c r="CA984" s="244"/>
      <c r="CB984" s="244"/>
      <c r="CC984" s="244"/>
      <c r="CD984" s="255"/>
      <c r="CE984" s="244"/>
      <c r="CF984" s="244"/>
      <c r="CG984" s="244"/>
      <c r="CH984" s="244"/>
      <c r="CI984" s="244"/>
      <c r="CJ984" s="244"/>
      <c r="CK984" s="244"/>
      <c r="CL984" s="244"/>
      <c r="CM984" s="244"/>
      <c r="CN984" s="244"/>
      <c r="CO984" s="244"/>
      <c r="CP984" s="244"/>
      <c r="CQ984" s="244"/>
      <c r="CR984" s="244"/>
      <c r="CS984" s="244"/>
      <c r="CT984" s="244"/>
      <c r="CU984" s="244"/>
      <c r="CV984" s="244"/>
      <c r="CW984" s="255"/>
    </row>
    <row r="985" spans="1:101">
      <c r="A985" s="221" t="s">
        <v>568</v>
      </c>
      <c r="C985" s="264">
        <v>94.093910217285156</v>
      </c>
      <c r="D985" s="264">
        <v>8.1096944808959961</v>
      </c>
      <c r="E985" s="264">
        <v>1.621938943862915</v>
      </c>
      <c r="F985" s="264">
        <v>9.731633186340332</v>
      </c>
      <c r="G985" s="264">
        <v>15.866598129272461</v>
      </c>
      <c r="H985" s="264">
        <v>259.07650756835937</v>
      </c>
      <c r="I985" s="264">
        <v>906.00030517578125</v>
      </c>
      <c r="J985" s="264">
        <v>-56.857383728027344</v>
      </c>
      <c r="K985" s="264">
        <v>-150.89405822753906</v>
      </c>
      <c r="L985" s="228">
        <v>16.328421123113518</v>
      </c>
      <c r="M985" s="264">
        <v>0.71021455262656963</v>
      </c>
      <c r="N985" s="264">
        <v>7.2060204175344929</v>
      </c>
      <c r="O985" s="264">
        <v>6.6575129506198314</v>
      </c>
      <c r="P985" s="264">
        <v>7.1576688344899804</v>
      </c>
      <c r="Q985" s="264">
        <v>6.3911265269010116</v>
      </c>
      <c r="R985" s="264">
        <v>6.1344398549980461</v>
      </c>
      <c r="S985" s="264">
        <v>5.6244672626472934</v>
      </c>
      <c r="T985" s="264">
        <v>5.6727018890270564</v>
      </c>
      <c r="U985" s="264">
        <v>5.6853345656390903</v>
      </c>
      <c r="V985" s="264">
        <v>5.7946704083401475</v>
      </c>
      <c r="W985" s="264">
        <v>5.9815438268280268</v>
      </c>
      <c r="X985" s="264">
        <v>6.4133419986641469</v>
      </c>
      <c r="Y985" s="264">
        <v>7.0579157869400238</v>
      </c>
      <c r="Z985" s="264"/>
      <c r="AA985" s="264">
        <v>1.3995420346871827</v>
      </c>
      <c r="AB985" s="264">
        <v>2.0269256621049752</v>
      </c>
      <c r="AC985" s="264">
        <v>1.8312232498585539</v>
      </c>
      <c r="AD985" s="264">
        <v>2.0025989649247182</v>
      </c>
      <c r="AE985" s="264">
        <v>1.4605262943437283</v>
      </c>
      <c r="AF985" s="264">
        <v>1.174955441014454</v>
      </c>
      <c r="AG985" s="264">
        <v>1.486662405625105</v>
      </c>
      <c r="AH985" s="264">
        <v>1.2388047274806806</v>
      </c>
      <c r="AI985" s="264">
        <v>1.1991651815299611</v>
      </c>
      <c r="AJ985" s="264">
        <v>1.1168362081675891</v>
      </c>
      <c r="AK985" s="264">
        <v>1.3879649707837101</v>
      </c>
      <c r="AL985" s="264">
        <v>1.991960557065056</v>
      </c>
      <c r="AM985" s="244"/>
      <c r="AN985" s="244"/>
      <c r="AO985" s="244"/>
      <c r="AP985" s="244"/>
      <c r="AQ985" s="244"/>
      <c r="AR985" s="244"/>
      <c r="AS985" s="255"/>
      <c r="AT985" s="244"/>
      <c r="AU985" s="244"/>
      <c r="AV985" s="244"/>
      <c r="AW985" s="244"/>
      <c r="AX985" s="244"/>
      <c r="AY985" s="244"/>
      <c r="AZ985" s="255"/>
      <c r="BA985" s="244"/>
      <c r="BB985" s="244"/>
      <c r="BC985" s="244"/>
      <c r="BD985" s="244"/>
      <c r="BE985" s="244"/>
      <c r="BF985" s="244"/>
      <c r="BG985" s="244"/>
      <c r="BH985" s="255"/>
      <c r="BI985" s="244"/>
      <c r="BJ985" s="244"/>
      <c r="BK985" s="244"/>
      <c r="BL985" s="244"/>
      <c r="BM985" s="244"/>
      <c r="BN985" s="244"/>
      <c r="BO985" s="244"/>
      <c r="BP985" s="244"/>
      <c r="BQ985" s="244"/>
      <c r="BR985" s="244"/>
      <c r="BS985" s="244"/>
      <c r="BT985" s="244"/>
      <c r="BU985" s="244"/>
      <c r="BV985" s="244"/>
      <c r="BW985" s="244"/>
      <c r="BX985" s="244"/>
      <c r="BY985" s="244"/>
      <c r="BZ985" s="244"/>
      <c r="CA985" s="244"/>
      <c r="CB985" s="244"/>
      <c r="CC985" s="244"/>
      <c r="CD985" s="255"/>
      <c r="CE985" s="244"/>
      <c r="CF985" s="244"/>
      <c r="CG985" s="244"/>
      <c r="CH985" s="244"/>
      <c r="CI985" s="244"/>
      <c r="CJ985" s="244"/>
      <c r="CK985" s="244"/>
      <c r="CL985" s="244"/>
      <c r="CM985" s="244"/>
      <c r="CN985" s="244"/>
      <c r="CO985" s="244"/>
      <c r="CP985" s="244"/>
      <c r="CQ985" s="244"/>
      <c r="CR985" s="244"/>
      <c r="CS985" s="244"/>
      <c r="CT985" s="244"/>
      <c r="CU985" s="244"/>
      <c r="CV985" s="244"/>
      <c r="CW985" s="255"/>
    </row>
    <row r="986" spans="1:101">
      <c r="A986" s="221" t="s">
        <v>456</v>
      </c>
      <c r="C986" s="264">
        <v>60.713066101074219</v>
      </c>
      <c r="D986" s="264">
        <v>11.336667060852051</v>
      </c>
      <c r="E986" s="264">
        <v>2.2673335075378418</v>
      </c>
      <c r="F986" s="264">
        <v>13.604000091552734</v>
      </c>
      <c r="G986" s="264">
        <v>22.18016242980957</v>
      </c>
      <c r="H986" s="264">
        <v>361.75863647460937</v>
      </c>
      <c r="I986" s="264">
        <v>1962.856689453125</v>
      </c>
      <c r="J986" s="264">
        <v>-49.347885131835938</v>
      </c>
      <c r="K986" s="264">
        <v>-392.3836669921875</v>
      </c>
      <c r="L986" s="228">
        <v>16.310008623960648</v>
      </c>
      <c r="M986" s="264">
        <v>0.89996305817307376</v>
      </c>
      <c r="N986" s="264">
        <v>4.581096749502187</v>
      </c>
      <c r="O986" s="264">
        <v>4.2253490357036538</v>
      </c>
      <c r="P986" s="264">
        <v>4.5462852546996908</v>
      </c>
      <c r="Q986" s="264">
        <v>4.0867371188427057</v>
      </c>
      <c r="R986" s="264">
        <v>3.9551450413727953</v>
      </c>
      <c r="S986" s="264">
        <v>3.6389017504249295</v>
      </c>
      <c r="T986" s="264">
        <v>3.6854260126666341</v>
      </c>
      <c r="U986" s="264">
        <v>3.6862377858064619</v>
      </c>
      <c r="V986" s="264">
        <v>3.7566725485512804</v>
      </c>
      <c r="W986" s="264">
        <v>3.8592650872406025</v>
      </c>
      <c r="X986" s="264">
        <v>4.1062814988127778</v>
      </c>
      <c r="Y986" s="264">
        <v>4.4945830987851165</v>
      </c>
      <c r="Z986" s="264"/>
      <c r="AA986" s="264">
        <v>0.93269713555595546</v>
      </c>
      <c r="AB986" s="264">
        <v>1.2873951240949273</v>
      </c>
      <c r="AC986" s="264">
        <v>1.1914263145673394</v>
      </c>
      <c r="AD986" s="264">
        <v>1.2876064782112726</v>
      </c>
      <c r="AE986" s="264">
        <v>0.9683204034982783</v>
      </c>
      <c r="AF986" s="264">
        <v>0.80414784185117338</v>
      </c>
      <c r="AG986" s="264">
        <v>0.98358751833070257</v>
      </c>
      <c r="AH986" s="264">
        <v>0.84537171169905767</v>
      </c>
      <c r="AI986" s="264">
        <v>0.81564925517403652</v>
      </c>
      <c r="AJ986" s="264">
        <v>0.77412517581441143</v>
      </c>
      <c r="AK986" s="264">
        <v>0.92200749537291959</v>
      </c>
      <c r="AL986" s="264">
        <v>1.2787517384242371</v>
      </c>
      <c r="AM986" s="244"/>
      <c r="AN986" s="244"/>
      <c r="AO986" s="244"/>
      <c r="AP986" s="244"/>
      <c r="AQ986" s="244"/>
      <c r="AR986" s="244"/>
      <c r="AS986" s="255"/>
      <c r="AT986" s="244"/>
      <c r="AU986" s="244"/>
      <c r="AV986" s="244"/>
      <c r="AW986" s="244"/>
      <c r="AX986" s="244"/>
      <c r="AY986" s="244"/>
      <c r="AZ986" s="255"/>
      <c r="BA986" s="244"/>
      <c r="BB986" s="244"/>
      <c r="BC986" s="244"/>
      <c r="BD986" s="244"/>
      <c r="BE986" s="244"/>
      <c r="BF986" s="244"/>
      <c r="BG986" s="244"/>
      <c r="BH986" s="255"/>
      <c r="BI986" s="244"/>
      <c r="BJ986" s="244"/>
      <c r="BK986" s="244"/>
      <c r="BL986" s="244"/>
      <c r="BM986" s="244"/>
      <c r="BN986" s="244"/>
      <c r="BO986" s="244"/>
      <c r="BP986" s="244"/>
      <c r="BQ986" s="244"/>
      <c r="BR986" s="244"/>
      <c r="BS986" s="244"/>
      <c r="BT986" s="244"/>
      <c r="BU986" s="244"/>
      <c r="BV986" s="244"/>
      <c r="BW986" s="244"/>
      <c r="BX986" s="244"/>
      <c r="BY986" s="244"/>
      <c r="BZ986" s="244"/>
      <c r="CA986" s="244"/>
      <c r="CB986" s="244"/>
      <c r="CC986" s="244"/>
      <c r="CD986" s="255"/>
      <c r="CE986" s="244"/>
      <c r="CF986" s="244"/>
      <c r="CG986" s="244"/>
      <c r="CH986" s="244"/>
      <c r="CI986" s="244"/>
      <c r="CJ986" s="244"/>
      <c r="CK986" s="244"/>
      <c r="CL986" s="244"/>
      <c r="CM986" s="244"/>
      <c r="CN986" s="244"/>
      <c r="CO986" s="244"/>
      <c r="CP986" s="244"/>
      <c r="CQ986" s="244"/>
      <c r="CR986" s="244"/>
      <c r="CS986" s="244"/>
      <c r="CT986" s="244"/>
      <c r="CU986" s="244"/>
      <c r="CV986" s="244"/>
      <c r="CW986" s="255"/>
    </row>
    <row r="987" spans="1:101">
      <c r="A987" s="221" t="s">
        <v>481</v>
      </c>
      <c r="C987" s="264">
        <v>126.01802062988281</v>
      </c>
      <c r="D987" s="264">
        <v>11.336667060852051</v>
      </c>
      <c r="E987" s="264">
        <v>2.2673335075378418</v>
      </c>
      <c r="F987" s="264">
        <v>13.604000091552734</v>
      </c>
      <c r="G987" s="264">
        <v>22.18016242980957</v>
      </c>
      <c r="H987" s="264">
        <v>355.18817138671875</v>
      </c>
      <c r="I987" s="264">
        <v>945.66668701171875</v>
      </c>
      <c r="J987" s="264">
        <v>-56.583538055419922</v>
      </c>
      <c r="K987" s="264">
        <v>-155.53314208984375</v>
      </c>
      <c r="L987" s="228">
        <v>16.013777655614525</v>
      </c>
      <c r="M987" s="264">
        <v>0.95118632693640492</v>
      </c>
      <c r="N987" s="264">
        <v>9.6472578361018897</v>
      </c>
      <c r="O987" s="264">
        <v>8.9125566241826597</v>
      </c>
      <c r="P987" s="264">
        <v>9.5823108695063279</v>
      </c>
      <c r="Q987" s="264">
        <v>8.5575467859727592</v>
      </c>
      <c r="R987" s="264">
        <v>8.2155677975057593</v>
      </c>
      <c r="S987" s="264">
        <v>7.5332482217739027</v>
      </c>
      <c r="T987" s="264">
        <v>7.5986607077041759</v>
      </c>
      <c r="U987" s="264">
        <v>7.6151920359880707</v>
      </c>
      <c r="V987" s="264">
        <v>7.7616172974630846</v>
      </c>
      <c r="W987" s="264">
        <v>8.0109437539739936</v>
      </c>
      <c r="X987" s="264">
        <v>8.5875744833342686</v>
      </c>
      <c r="Y987" s="264">
        <v>9.449381977108926</v>
      </c>
      <c r="Z987" s="264"/>
      <c r="AA987" s="264">
        <v>1.8759428829511318</v>
      </c>
      <c r="AB987" s="264">
        <v>2.7135398252336644</v>
      </c>
      <c r="AC987" s="264">
        <v>2.4530391316461198</v>
      </c>
      <c r="AD987" s="264">
        <v>2.6817991679577777</v>
      </c>
      <c r="AE987" s="264">
        <v>1.9574211778305859</v>
      </c>
      <c r="AF987" s="264">
        <v>1.5760223088794669</v>
      </c>
      <c r="AG987" s="264">
        <v>1.9923404470646378</v>
      </c>
      <c r="AH987" s="264">
        <v>1.6615356956742759</v>
      </c>
      <c r="AI987" s="264">
        <v>1.608228485490067</v>
      </c>
      <c r="AJ987" s="264">
        <v>1.498579105915367</v>
      </c>
      <c r="AK987" s="264">
        <v>1.8602680346244265</v>
      </c>
      <c r="AL987" s="264">
        <v>2.6674463189229747</v>
      </c>
      <c r="AM987" s="244"/>
      <c r="AN987" s="244"/>
      <c r="AO987" s="244"/>
      <c r="AP987" s="244"/>
      <c r="AQ987" s="244"/>
      <c r="AR987" s="244"/>
      <c r="AS987" s="255"/>
      <c r="AT987" s="244"/>
      <c r="AU987" s="244"/>
      <c r="AV987" s="244"/>
      <c r="AW987" s="244"/>
      <c r="AX987" s="244"/>
      <c r="AY987" s="244"/>
      <c r="AZ987" s="255"/>
      <c r="BA987" s="244"/>
      <c r="BB987" s="244"/>
      <c r="BC987" s="244"/>
      <c r="BD987" s="244"/>
      <c r="BE987" s="244"/>
      <c r="BF987" s="244"/>
      <c r="BG987" s="244"/>
      <c r="BH987" s="255"/>
      <c r="BI987" s="244"/>
      <c r="BJ987" s="244"/>
      <c r="BK987" s="244"/>
      <c r="BL987" s="244"/>
      <c r="BM987" s="244"/>
      <c r="BN987" s="244"/>
      <c r="BO987" s="244"/>
      <c r="BP987" s="244"/>
      <c r="BQ987" s="244"/>
      <c r="BR987" s="244"/>
      <c r="BS987" s="244"/>
      <c r="BT987" s="244"/>
      <c r="BU987" s="244"/>
      <c r="BV987" s="244"/>
      <c r="BW987" s="244"/>
      <c r="BX987" s="244"/>
      <c r="BY987" s="244"/>
      <c r="BZ987" s="244"/>
      <c r="CA987" s="244"/>
      <c r="CB987" s="244"/>
      <c r="CC987" s="244"/>
      <c r="CD987" s="255"/>
      <c r="CE987" s="244"/>
      <c r="CF987" s="244"/>
      <c r="CG987" s="244"/>
      <c r="CH987" s="244"/>
      <c r="CI987" s="244"/>
      <c r="CJ987" s="244"/>
      <c r="CK987" s="244"/>
      <c r="CL987" s="244"/>
      <c r="CM987" s="244"/>
      <c r="CN987" s="244"/>
      <c r="CO987" s="244"/>
      <c r="CP987" s="244"/>
      <c r="CQ987" s="244"/>
      <c r="CR987" s="244"/>
      <c r="CS987" s="244"/>
      <c r="CT987" s="244"/>
      <c r="CU987" s="244"/>
      <c r="CV987" s="244"/>
      <c r="CW987" s="255"/>
    </row>
    <row r="988" spans="1:101">
      <c r="A988" s="221" t="s">
        <v>540</v>
      </c>
      <c r="C988" s="264">
        <v>69.051612854003906</v>
      </c>
      <c r="D988" s="264">
        <v>11.336667060852051</v>
      </c>
      <c r="E988" s="264">
        <v>2.2673335075378418</v>
      </c>
      <c r="F988" s="264">
        <v>13.604000091552734</v>
      </c>
      <c r="G988" s="264">
        <v>22.18016242980957</v>
      </c>
      <c r="H988" s="264">
        <v>348.93240356445312</v>
      </c>
      <c r="I988" s="264">
        <v>1725.82568359375</v>
      </c>
      <c r="J988" s="264">
        <v>-51.079288482666016</v>
      </c>
      <c r="K988" s="264">
        <v>-323.25552368164062</v>
      </c>
      <c r="L988" s="228">
        <v>15.731733306233931</v>
      </c>
      <c r="M988" s="264">
        <v>0.90811528291520971</v>
      </c>
      <c r="N988" s="264">
        <v>5.2333172436186386</v>
      </c>
      <c r="O988" s="264">
        <v>4.8293249662788487</v>
      </c>
      <c r="P988" s="264">
        <v>5.1949395482378478</v>
      </c>
      <c r="Q988" s="264">
        <v>4.6604881474850828</v>
      </c>
      <c r="R988" s="264">
        <v>4.4993793492655225</v>
      </c>
      <c r="S988" s="264">
        <v>4.1353943694113093</v>
      </c>
      <c r="T988" s="264">
        <v>4.1831296874710908</v>
      </c>
      <c r="U988" s="264">
        <v>4.186520815346169</v>
      </c>
      <c r="V988" s="264">
        <v>4.2666673339828272</v>
      </c>
      <c r="W988" s="264">
        <v>4.3893979568746726</v>
      </c>
      <c r="X988" s="264">
        <v>4.6809649186133573</v>
      </c>
      <c r="Y988" s="264">
        <v>5.1318786728543859</v>
      </c>
      <c r="Z988" s="264"/>
      <c r="AA988" s="264">
        <v>1.0508245391915652</v>
      </c>
      <c r="AB988" s="264">
        <v>1.4710890985729339</v>
      </c>
      <c r="AC988" s="264">
        <v>1.3517491236092425</v>
      </c>
      <c r="AD988" s="264">
        <v>1.4659804194827324</v>
      </c>
      <c r="AE988" s="264">
        <v>1.0925933624474335</v>
      </c>
      <c r="AF988" s="264">
        <v>0.89911781815309033</v>
      </c>
      <c r="AG988" s="264">
        <v>1.1104942866999483</v>
      </c>
      <c r="AH988" s="264">
        <v>0.94599484055223537</v>
      </c>
      <c r="AI988" s="264">
        <v>0.9135841199222835</v>
      </c>
      <c r="AJ988" s="264">
        <v>0.86245719404049859</v>
      </c>
      <c r="AK988" s="264">
        <v>1.0397493652974503</v>
      </c>
      <c r="AL988" s="264">
        <v>1.456578822248572</v>
      </c>
      <c r="AM988" s="244"/>
      <c r="AN988" s="244"/>
      <c r="AO988" s="244"/>
      <c r="AP988" s="244"/>
      <c r="AQ988" s="244"/>
      <c r="AR988" s="244"/>
      <c r="AS988" s="255"/>
      <c r="AT988" s="244"/>
      <c r="AU988" s="244"/>
      <c r="AV988" s="244"/>
      <c r="AW988" s="244"/>
      <c r="AX988" s="244"/>
      <c r="AY988" s="244"/>
      <c r="AZ988" s="255"/>
      <c r="BA988" s="244"/>
      <c r="BB988" s="244"/>
      <c r="BC988" s="244"/>
      <c r="BD988" s="244"/>
      <c r="BE988" s="244"/>
      <c r="BF988" s="244"/>
      <c r="BG988" s="244"/>
      <c r="BH988" s="255"/>
      <c r="BI988" s="244"/>
      <c r="BJ988" s="244"/>
      <c r="BK988" s="244"/>
      <c r="BL988" s="244"/>
      <c r="BM988" s="244"/>
      <c r="BN988" s="244"/>
      <c r="BO988" s="244"/>
      <c r="BP988" s="244"/>
      <c r="BQ988" s="244"/>
      <c r="BR988" s="244"/>
      <c r="BS988" s="244"/>
      <c r="BT988" s="244"/>
      <c r="BU988" s="244"/>
      <c r="BV988" s="244"/>
      <c r="BW988" s="244"/>
      <c r="BX988" s="244"/>
      <c r="BY988" s="244"/>
      <c r="BZ988" s="244"/>
      <c r="CA988" s="244"/>
      <c r="CB988" s="244"/>
      <c r="CC988" s="244"/>
      <c r="CD988" s="255"/>
      <c r="CE988" s="244"/>
      <c r="CF988" s="244"/>
      <c r="CG988" s="244"/>
      <c r="CH988" s="244"/>
      <c r="CI988" s="244"/>
      <c r="CJ988" s="244"/>
      <c r="CK988" s="244"/>
      <c r="CL988" s="244"/>
      <c r="CM988" s="244"/>
      <c r="CN988" s="244"/>
      <c r="CO988" s="244"/>
      <c r="CP988" s="244"/>
      <c r="CQ988" s="244"/>
      <c r="CR988" s="244"/>
      <c r="CS988" s="244"/>
      <c r="CT988" s="244"/>
      <c r="CU988" s="244"/>
      <c r="CV988" s="244"/>
      <c r="CW988" s="255"/>
    </row>
    <row r="989" spans="1:101">
      <c r="A989" s="221" t="s">
        <v>485</v>
      </c>
      <c r="C989" s="264">
        <v>9.1892490386962891</v>
      </c>
      <c r="D989" s="264">
        <v>11.336667060852051</v>
      </c>
      <c r="E989" s="264">
        <v>2.2673335075378418</v>
      </c>
      <c r="F989" s="264">
        <v>13.604000091552734</v>
      </c>
      <c r="G989" s="264">
        <v>22.18016242980957</v>
      </c>
      <c r="H989" s="264">
        <v>341.81137084960937</v>
      </c>
      <c r="I989" s="264">
        <v>12968.529296875</v>
      </c>
      <c r="J989" s="264">
        <v>28.288932800292969</v>
      </c>
      <c r="K989" s="264">
        <v>-2735.494873046875</v>
      </c>
      <c r="L989" s="228">
        <v>15.410680311007352</v>
      </c>
      <c r="M989" s="264">
        <v>0.83742963473573284</v>
      </c>
      <c r="N989" s="264">
        <v>0.59424047303721816</v>
      </c>
      <c r="O989" s="264">
        <v>0.53774918622225398</v>
      </c>
      <c r="P989" s="264">
        <v>0.58374329708796369</v>
      </c>
      <c r="Q989" s="264">
        <v>0.56491286814964226</v>
      </c>
      <c r="R989" s="264">
        <v>0.59424047303721816</v>
      </c>
      <c r="S989" s="264">
        <v>0.56491286814964226</v>
      </c>
      <c r="T989" s="264">
        <v>0.59424047303721816</v>
      </c>
      <c r="U989" s="264">
        <v>0.58374329708796369</v>
      </c>
      <c r="V989" s="264">
        <v>0.59424047303721816</v>
      </c>
      <c r="W989" s="264">
        <v>0.58374329708796369</v>
      </c>
      <c r="X989" s="264">
        <v>0.57541004409889673</v>
      </c>
      <c r="Y989" s="264">
        <v>0.59424047303721816</v>
      </c>
      <c r="Z989" s="264"/>
      <c r="AA989" s="264">
        <v>0.18408392308006671</v>
      </c>
      <c r="AB989" s="264">
        <v>0.16525349414174531</v>
      </c>
      <c r="AC989" s="264">
        <v>0.19458109902932122</v>
      </c>
      <c r="AD989" s="264">
        <v>0.18830428938321409</v>
      </c>
      <c r="AE989" s="264">
        <v>0.18408392308006671</v>
      </c>
      <c r="AF989" s="264">
        <v>0.18830428938321409</v>
      </c>
      <c r="AG989" s="264">
        <v>0.18408392308006671</v>
      </c>
      <c r="AH989" s="264">
        <v>0.19458109902932122</v>
      </c>
      <c r="AI989" s="264">
        <v>0.18408392308006671</v>
      </c>
      <c r="AJ989" s="264">
        <v>0.19458109902932122</v>
      </c>
      <c r="AK989" s="264">
        <v>0.17780711343395955</v>
      </c>
      <c r="AL989" s="264">
        <v>0.18408392308006671</v>
      </c>
      <c r="AM989" s="244"/>
      <c r="AN989" s="244"/>
      <c r="AO989" s="244"/>
      <c r="AP989" s="244"/>
      <c r="AQ989" s="244"/>
      <c r="AR989" s="244"/>
      <c r="AS989" s="255"/>
      <c r="AT989" s="244"/>
      <c r="AU989" s="244"/>
      <c r="AV989" s="244"/>
      <c r="AW989" s="244"/>
      <c r="AX989" s="244"/>
      <c r="AY989" s="244"/>
      <c r="AZ989" s="255"/>
      <c r="BA989" s="244"/>
      <c r="BB989" s="244"/>
      <c r="BC989" s="244"/>
      <c r="BD989" s="244"/>
      <c r="BE989" s="244"/>
      <c r="BF989" s="244"/>
      <c r="BG989" s="244"/>
      <c r="BH989" s="255"/>
      <c r="BI989" s="244"/>
      <c r="BJ989" s="244"/>
      <c r="BK989" s="244"/>
      <c r="BL989" s="244"/>
      <c r="BM989" s="244"/>
      <c r="BN989" s="244"/>
      <c r="BO989" s="244"/>
      <c r="BP989" s="244"/>
      <c r="BQ989" s="244"/>
      <c r="BR989" s="244"/>
      <c r="BS989" s="244"/>
      <c r="BT989" s="244"/>
      <c r="BU989" s="244"/>
      <c r="BV989" s="244"/>
      <c r="BW989" s="244"/>
      <c r="BX989" s="244"/>
      <c r="BY989" s="244"/>
      <c r="BZ989" s="244"/>
      <c r="CA989" s="244"/>
      <c r="CB989" s="244"/>
      <c r="CC989" s="244"/>
      <c r="CD989" s="255"/>
      <c r="CE989" s="244"/>
      <c r="CF989" s="244"/>
      <c r="CG989" s="244"/>
      <c r="CH989" s="244"/>
      <c r="CI989" s="244"/>
      <c r="CJ989" s="244"/>
      <c r="CK989" s="244"/>
      <c r="CL989" s="244"/>
      <c r="CM989" s="244"/>
      <c r="CN989" s="244"/>
      <c r="CO989" s="244"/>
      <c r="CP989" s="244"/>
      <c r="CQ989" s="244"/>
      <c r="CR989" s="244"/>
      <c r="CS989" s="244"/>
      <c r="CT989" s="244"/>
      <c r="CU989" s="244"/>
      <c r="CV989" s="244"/>
      <c r="CW989" s="255"/>
    </row>
    <row r="990" spans="1:101">
      <c r="A990" s="221" t="s">
        <v>513</v>
      </c>
      <c r="C990" s="264">
        <v>79.785202026367188</v>
      </c>
      <c r="D990" s="264">
        <v>11.336667060852051</v>
      </c>
      <c r="E990" s="264">
        <v>2.2673335075378418</v>
      </c>
      <c r="F990" s="264">
        <v>13.604000091552734</v>
      </c>
      <c r="G990" s="264">
        <v>22.18016242980957</v>
      </c>
      <c r="H990" s="264">
        <v>339.8612060546875</v>
      </c>
      <c r="I990" s="264">
        <v>1493.6484375</v>
      </c>
      <c r="J990" s="264">
        <v>-52.744644165039063</v>
      </c>
      <c r="K990" s="264">
        <v>-263.02871704101562</v>
      </c>
      <c r="L990" s="228">
        <v>15.322755701819904</v>
      </c>
      <c r="M990" s="264">
        <v>0.89568536695533174</v>
      </c>
      <c r="N990" s="264">
        <v>6.0687047262045981</v>
      </c>
      <c r="O990" s="264">
        <v>5.6024995735623104</v>
      </c>
      <c r="P990" s="264">
        <v>6.0255167574710713</v>
      </c>
      <c r="Q990" s="264">
        <v>5.3967802129964406</v>
      </c>
      <c r="R990" s="264">
        <v>5.1997467603531682</v>
      </c>
      <c r="S990" s="264">
        <v>4.7750867089726539</v>
      </c>
      <c r="T990" s="264">
        <v>4.8253177181570237</v>
      </c>
      <c r="U990" s="264">
        <v>4.8315826417890264</v>
      </c>
      <c r="V990" s="264">
        <v>4.9242235028880801</v>
      </c>
      <c r="W990" s="264">
        <v>5.0717824047073075</v>
      </c>
      <c r="X990" s="264">
        <v>5.4187740850018837</v>
      </c>
      <c r="Y990" s="264">
        <v>5.9486048447454571</v>
      </c>
      <c r="Z990" s="264"/>
      <c r="AA990" s="264">
        <v>1.2046850345156073</v>
      </c>
      <c r="AB990" s="264">
        <v>1.7063003155387708</v>
      </c>
      <c r="AC990" s="264">
        <v>1.558719755261027</v>
      </c>
      <c r="AD990" s="264">
        <v>1.6953111536615162</v>
      </c>
      <c r="AE990" s="264">
        <v>1.2541379268811357</v>
      </c>
      <c r="AF990" s="264">
        <v>1.0241647572722008</v>
      </c>
      <c r="AG990" s="264">
        <v>1.2753320236092192</v>
      </c>
      <c r="AH990" s="264">
        <v>1.0783202294244643</v>
      </c>
      <c r="AI990" s="264">
        <v>1.0421969596002993</v>
      </c>
      <c r="AJ990" s="264">
        <v>0.97941444469340733</v>
      </c>
      <c r="AK990" s="264">
        <v>1.1929177558195112</v>
      </c>
      <c r="AL990" s="264">
        <v>1.6850845603521696</v>
      </c>
      <c r="AM990" s="244"/>
      <c r="AN990" s="244"/>
      <c r="AO990" s="244"/>
      <c r="AP990" s="244"/>
      <c r="AQ990" s="244"/>
      <c r="AR990" s="244"/>
      <c r="AS990" s="255"/>
      <c r="AT990" s="244"/>
      <c r="AU990" s="244"/>
      <c r="AV990" s="244"/>
      <c r="AW990" s="244"/>
      <c r="AX990" s="244"/>
      <c r="AY990" s="244"/>
      <c r="AZ990" s="255"/>
      <c r="BA990" s="244"/>
      <c r="BB990" s="244"/>
      <c r="BC990" s="244"/>
      <c r="BD990" s="244"/>
      <c r="BE990" s="244"/>
      <c r="BF990" s="244"/>
      <c r="BG990" s="244"/>
      <c r="BH990" s="255"/>
      <c r="BI990" s="244"/>
      <c r="BJ990" s="244"/>
      <c r="BK990" s="244"/>
      <c r="BL990" s="244"/>
      <c r="BM990" s="244"/>
      <c r="BN990" s="244"/>
      <c r="BO990" s="244"/>
      <c r="BP990" s="244"/>
      <c r="BQ990" s="244"/>
      <c r="BR990" s="244"/>
      <c r="BS990" s="244"/>
      <c r="BT990" s="244"/>
      <c r="BU990" s="244"/>
      <c r="BV990" s="244"/>
      <c r="BW990" s="244"/>
      <c r="BX990" s="244"/>
      <c r="BY990" s="244"/>
      <c r="BZ990" s="244"/>
      <c r="CA990" s="244"/>
      <c r="CB990" s="244"/>
      <c r="CC990" s="244"/>
      <c r="CD990" s="255"/>
      <c r="CE990" s="244"/>
      <c r="CF990" s="244"/>
      <c r="CG990" s="244"/>
      <c r="CH990" s="244"/>
      <c r="CI990" s="244"/>
      <c r="CJ990" s="244"/>
      <c r="CK990" s="244"/>
      <c r="CL990" s="244"/>
      <c r="CM990" s="244"/>
      <c r="CN990" s="244"/>
      <c r="CO990" s="244"/>
      <c r="CP990" s="244"/>
      <c r="CQ990" s="244"/>
      <c r="CR990" s="244"/>
      <c r="CS990" s="244"/>
      <c r="CT990" s="244"/>
      <c r="CU990" s="244"/>
      <c r="CV990" s="244"/>
      <c r="CW990" s="255"/>
    </row>
    <row r="991" spans="1:101">
      <c r="A991" s="221" t="s">
        <v>465</v>
      </c>
      <c r="C991" s="264">
        <v>40.475376129150391</v>
      </c>
      <c r="D991" s="264">
        <v>8.1096944808959961</v>
      </c>
      <c r="E991" s="264">
        <v>1.621938943862915</v>
      </c>
      <c r="F991" s="264">
        <v>9.731633186340332</v>
      </c>
      <c r="G991" s="264">
        <v>15.866598129272461</v>
      </c>
      <c r="H991" s="264">
        <v>241.17242431640625</v>
      </c>
      <c r="I991" s="264">
        <v>2106.19677734375</v>
      </c>
      <c r="J991" s="264">
        <v>-48.419040679931641</v>
      </c>
      <c r="K991" s="264">
        <v>-390.24295043945312</v>
      </c>
      <c r="L991" s="228">
        <v>15.200008498957699</v>
      </c>
      <c r="M991" s="264">
        <v>0.59997537211538154</v>
      </c>
      <c r="N991" s="264">
        <v>3.0540644996681232</v>
      </c>
      <c r="O991" s="264">
        <v>2.8168993571357679</v>
      </c>
      <c r="P991" s="264">
        <v>3.0308568364664592</v>
      </c>
      <c r="Q991" s="264">
        <v>2.7244914125618029</v>
      </c>
      <c r="R991" s="264">
        <v>2.6367633609151953</v>
      </c>
      <c r="S991" s="264">
        <v>2.4259345002832853</v>
      </c>
      <c r="T991" s="264">
        <v>2.4569506751110883</v>
      </c>
      <c r="U991" s="264">
        <v>2.4574918572043067</v>
      </c>
      <c r="V991" s="264">
        <v>2.5044483657008523</v>
      </c>
      <c r="W991" s="264">
        <v>2.5728433914937341</v>
      </c>
      <c r="X991" s="264">
        <v>2.7375209992085177</v>
      </c>
      <c r="Y991" s="264">
        <v>2.9963887325234095</v>
      </c>
      <c r="Z991" s="264"/>
      <c r="AA991" s="264">
        <v>0.62179809037063671</v>
      </c>
      <c r="AB991" s="264">
        <v>0.85826341606328449</v>
      </c>
      <c r="AC991" s="264">
        <v>0.79428420971155922</v>
      </c>
      <c r="AD991" s="264">
        <v>0.85840431880751478</v>
      </c>
      <c r="AE991" s="264">
        <v>0.64554693566551868</v>
      </c>
      <c r="AF991" s="264">
        <v>0.53609856123411548</v>
      </c>
      <c r="AG991" s="264">
        <v>0.65572501222046808</v>
      </c>
      <c r="AH991" s="264">
        <v>0.56358114113270497</v>
      </c>
      <c r="AI991" s="264">
        <v>0.54376617011602413</v>
      </c>
      <c r="AJ991" s="264">
        <v>0.5160834505429408</v>
      </c>
      <c r="AK991" s="264">
        <v>0.61467166358194614</v>
      </c>
      <c r="AL991" s="264">
        <v>0.85250115894949097</v>
      </c>
      <c r="AM991" s="244"/>
      <c r="AN991" s="244"/>
      <c r="AO991" s="244"/>
      <c r="AP991" s="244"/>
      <c r="AQ991" s="244"/>
      <c r="AR991" s="244"/>
      <c r="AS991" s="255"/>
      <c r="AT991" s="244"/>
      <c r="AU991" s="244"/>
      <c r="AV991" s="244"/>
      <c r="AW991" s="244"/>
      <c r="AX991" s="244"/>
      <c r="AY991" s="244"/>
      <c r="AZ991" s="255"/>
      <c r="BA991" s="244"/>
      <c r="BB991" s="244"/>
      <c r="BC991" s="244"/>
      <c r="BD991" s="244"/>
      <c r="BE991" s="244"/>
      <c r="BF991" s="244"/>
      <c r="BG991" s="244"/>
      <c r="BH991" s="255"/>
      <c r="BI991" s="244"/>
      <c r="BJ991" s="244"/>
      <c r="BK991" s="244"/>
      <c r="BL991" s="244"/>
      <c r="BM991" s="244"/>
      <c r="BN991" s="244"/>
      <c r="BO991" s="244"/>
      <c r="BP991" s="244"/>
      <c r="BQ991" s="244"/>
      <c r="BR991" s="244"/>
      <c r="BS991" s="244"/>
      <c r="BT991" s="244"/>
      <c r="BU991" s="244"/>
      <c r="BV991" s="244"/>
      <c r="BW991" s="244"/>
      <c r="BX991" s="244"/>
      <c r="BY991" s="244"/>
      <c r="BZ991" s="244"/>
      <c r="CA991" s="244"/>
      <c r="CB991" s="244"/>
      <c r="CC991" s="244"/>
      <c r="CD991" s="255"/>
      <c r="CE991" s="244"/>
      <c r="CF991" s="244"/>
      <c r="CG991" s="244"/>
      <c r="CH991" s="244"/>
      <c r="CI991" s="244"/>
      <c r="CJ991" s="244"/>
      <c r="CK991" s="244"/>
      <c r="CL991" s="244"/>
      <c r="CM991" s="244"/>
      <c r="CN991" s="244"/>
      <c r="CO991" s="244"/>
      <c r="CP991" s="244"/>
      <c r="CQ991" s="244"/>
      <c r="CR991" s="244"/>
      <c r="CS991" s="244"/>
      <c r="CT991" s="244"/>
      <c r="CU991" s="244"/>
      <c r="CV991" s="244"/>
      <c r="CW991" s="255"/>
    </row>
    <row r="992" spans="1:101">
      <c r="A992" s="221" t="s">
        <v>490</v>
      </c>
      <c r="C992" s="264">
        <v>84.012008666992188</v>
      </c>
      <c r="D992" s="264">
        <v>8.1096944808959961</v>
      </c>
      <c r="E992" s="264">
        <v>1.621938943862915</v>
      </c>
      <c r="F992" s="264">
        <v>9.731633186340332</v>
      </c>
      <c r="G992" s="264">
        <v>15.866598129272461</v>
      </c>
      <c r="H992" s="264">
        <v>236.79208374023437</v>
      </c>
      <c r="I992" s="264">
        <v>1014.7252807617187</v>
      </c>
      <c r="J992" s="264">
        <v>-56.136032104492188</v>
      </c>
      <c r="K992" s="264">
        <v>-154.50175476074219</v>
      </c>
      <c r="L992" s="228">
        <v>14.923935365426706</v>
      </c>
      <c r="M992" s="264">
        <v>0.63412421795760454</v>
      </c>
      <c r="N992" s="264">
        <v>6.4315052240679265</v>
      </c>
      <c r="O992" s="264">
        <v>5.9417044161217731</v>
      </c>
      <c r="P992" s="264">
        <v>6.3882072463375525</v>
      </c>
      <c r="Q992" s="264">
        <v>5.7050311906485067</v>
      </c>
      <c r="R992" s="264">
        <v>5.4770451983371737</v>
      </c>
      <c r="S992" s="264">
        <v>5.0221654811826024</v>
      </c>
      <c r="T992" s="264">
        <v>5.0657738051361179</v>
      </c>
      <c r="U992" s="264">
        <v>5.0767946906587147</v>
      </c>
      <c r="V992" s="264">
        <v>5.1744115316420576</v>
      </c>
      <c r="W992" s="264">
        <v>5.3406291693159957</v>
      </c>
      <c r="X992" s="264">
        <v>5.7250496555561785</v>
      </c>
      <c r="Y992" s="264">
        <v>6.2995879847392855</v>
      </c>
      <c r="Z992" s="264"/>
      <c r="AA992" s="264">
        <v>1.250628588634088</v>
      </c>
      <c r="AB992" s="264">
        <v>1.8090265501557765</v>
      </c>
      <c r="AC992" s="264">
        <v>1.6353594210974132</v>
      </c>
      <c r="AD992" s="264">
        <v>1.787866111971852</v>
      </c>
      <c r="AE992" s="264">
        <v>1.3049474518870574</v>
      </c>
      <c r="AF992" s="264">
        <v>1.0506815392529782</v>
      </c>
      <c r="AG992" s="264">
        <v>1.3282269647097587</v>
      </c>
      <c r="AH992" s="264">
        <v>1.1076904637828509</v>
      </c>
      <c r="AI992" s="264">
        <v>1.0721523236600448</v>
      </c>
      <c r="AJ992" s="264">
        <v>0.99905273727691157</v>
      </c>
      <c r="AK992" s="264">
        <v>1.2401786897496176</v>
      </c>
      <c r="AL992" s="264">
        <v>1.7782975459486501</v>
      </c>
      <c r="AM992" s="244"/>
      <c r="AN992" s="244"/>
      <c r="AO992" s="244"/>
      <c r="AP992" s="244"/>
      <c r="AQ992" s="244"/>
      <c r="AR992" s="244"/>
      <c r="AS992" s="255"/>
      <c r="AT992" s="244"/>
      <c r="AU992" s="244"/>
      <c r="AV992" s="244"/>
      <c r="AW992" s="244"/>
      <c r="AX992" s="244"/>
      <c r="AY992" s="244"/>
      <c r="AZ992" s="255"/>
      <c r="BA992" s="244"/>
      <c r="BB992" s="244"/>
      <c r="BC992" s="244"/>
      <c r="BD992" s="244"/>
      <c r="BE992" s="244"/>
      <c r="BF992" s="244"/>
      <c r="BG992" s="244"/>
      <c r="BH992" s="255"/>
      <c r="BI992" s="244"/>
      <c r="BJ992" s="244"/>
      <c r="BK992" s="244"/>
      <c r="BL992" s="244"/>
      <c r="BM992" s="244"/>
      <c r="BN992" s="244"/>
      <c r="BO992" s="244"/>
      <c r="BP992" s="244"/>
      <c r="BQ992" s="244"/>
      <c r="BR992" s="244"/>
      <c r="BS992" s="244"/>
      <c r="BT992" s="244"/>
      <c r="BU992" s="244"/>
      <c r="BV992" s="244"/>
      <c r="BW992" s="244"/>
      <c r="BX992" s="244"/>
      <c r="BY992" s="244"/>
      <c r="BZ992" s="244"/>
      <c r="CA992" s="244"/>
      <c r="CB992" s="244"/>
      <c r="CC992" s="244"/>
      <c r="CD992" s="255"/>
      <c r="CE992" s="244"/>
      <c r="CF992" s="244"/>
      <c r="CG992" s="244"/>
      <c r="CH992" s="244"/>
      <c r="CI992" s="244"/>
      <c r="CJ992" s="244"/>
      <c r="CK992" s="244"/>
      <c r="CL992" s="244"/>
      <c r="CM992" s="244"/>
      <c r="CN992" s="244"/>
      <c r="CO992" s="244"/>
      <c r="CP992" s="244"/>
      <c r="CQ992" s="244"/>
      <c r="CR992" s="244"/>
      <c r="CS992" s="244"/>
      <c r="CT992" s="244"/>
      <c r="CU992" s="244"/>
      <c r="CV992" s="244"/>
      <c r="CW992" s="255"/>
    </row>
    <row r="993" spans="1:101">
      <c r="A993" s="221" t="s">
        <v>453</v>
      </c>
      <c r="C993" s="264">
        <v>56.494625091552734</v>
      </c>
      <c r="D993" s="264">
        <v>11.336667060852051</v>
      </c>
      <c r="E993" s="264">
        <v>2.2673335075378418</v>
      </c>
      <c r="F993" s="264">
        <v>13.604000091552734</v>
      </c>
      <c r="G993" s="264">
        <v>22.18016242980957</v>
      </c>
      <c r="H993" s="264">
        <v>327.20718383789062</v>
      </c>
      <c r="I993" s="264">
        <v>2109.422607421875</v>
      </c>
      <c r="J993" s="264">
        <v>-48.442272186279297</v>
      </c>
      <c r="K993" s="264">
        <v>-376.81503295898437</v>
      </c>
      <c r="L993" s="228">
        <v>14.752245334669901</v>
      </c>
      <c r="M993" s="264">
        <v>0.8402892503482664</v>
      </c>
      <c r="N993" s="264">
        <v>4.2670519450417412</v>
      </c>
      <c r="O993" s="264">
        <v>3.9361358294595865</v>
      </c>
      <c r="P993" s="264">
        <v>4.2348837336446046</v>
      </c>
      <c r="Q993" s="264">
        <v>3.8050874097401599</v>
      </c>
      <c r="R993" s="264">
        <v>3.6805237793495262</v>
      </c>
      <c r="S993" s="264">
        <v>3.3854575025782507</v>
      </c>
      <c r="T993" s="264">
        <v>3.427792130717922</v>
      </c>
      <c r="U993" s="264">
        <v>3.4290035710268469</v>
      </c>
      <c r="V993" s="264">
        <v>3.4945514341300434</v>
      </c>
      <c r="W993" s="264">
        <v>3.5911333078848573</v>
      </c>
      <c r="X993" s="264">
        <v>3.8229500561204128</v>
      </c>
      <c r="Y993" s="264">
        <v>4.1859870766127347</v>
      </c>
      <c r="Z993" s="264"/>
      <c r="AA993" s="264">
        <v>0.86604886643403234</v>
      </c>
      <c r="AB993" s="264">
        <v>1.1992160100966958</v>
      </c>
      <c r="AC993" s="264">
        <v>1.1080320314121235</v>
      </c>
      <c r="AD993" s="264">
        <v>1.1984241520530685</v>
      </c>
      <c r="AE993" s="264">
        <v>0.89942851814009317</v>
      </c>
      <c r="AF993" s="264">
        <v>0.74541459318509817</v>
      </c>
      <c r="AG993" s="264">
        <v>0.91373408315697646</v>
      </c>
      <c r="AH993" s="264">
        <v>0.78377255769610243</v>
      </c>
      <c r="AI993" s="264">
        <v>0.75637286797126047</v>
      </c>
      <c r="AJ993" s="264">
        <v>0.71701325428398044</v>
      </c>
      <c r="AK993" s="264">
        <v>0.85630203195679488</v>
      </c>
      <c r="AL993" s="264">
        <v>1.1903083401500532</v>
      </c>
      <c r="AM993" s="244"/>
      <c r="AN993" s="244"/>
      <c r="AO993" s="244"/>
      <c r="AP993" s="244"/>
      <c r="AQ993" s="244"/>
      <c r="AR993" s="244"/>
      <c r="AS993" s="255"/>
      <c r="AT993" s="244"/>
      <c r="AU993" s="244"/>
      <c r="AV993" s="244"/>
      <c r="AW993" s="244"/>
      <c r="AX993" s="244"/>
      <c r="AY993" s="244"/>
      <c r="AZ993" s="255"/>
      <c r="BA993" s="244"/>
      <c r="BB993" s="244"/>
      <c r="BC993" s="244"/>
      <c r="BD993" s="244"/>
      <c r="BE993" s="244"/>
      <c r="BF993" s="244"/>
      <c r="BG993" s="244"/>
      <c r="BH993" s="255"/>
      <c r="BI993" s="244"/>
      <c r="BJ993" s="244"/>
      <c r="BK993" s="244"/>
      <c r="BL993" s="244"/>
      <c r="BM993" s="244"/>
      <c r="BN993" s="244"/>
      <c r="BO993" s="244"/>
      <c r="BP993" s="244"/>
      <c r="BQ993" s="244"/>
      <c r="BR993" s="244"/>
      <c r="BS993" s="244"/>
      <c r="BT993" s="244"/>
      <c r="BU993" s="244"/>
      <c r="BV993" s="244"/>
      <c r="BW993" s="244"/>
      <c r="BX993" s="244"/>
      <c r="BY993" s="244"/>
      <c r="BZ993" s="244"/>
      <c r="CA993" s="244"/>
      <c r="CB993" s="244"/>
      <c r="CC993" s="244"/>
      <c r="CD993" s="255"/>
      <c r="CE993" s="244"/>
      <c r="CF993" s="244"/>
      <c r="CG993" s="244"/>
      <c r="CH993" s="244"/>
      <c r="CI993" s="244"/>
      <c r="CJ993" s="244"/>
      <c r="CK993" s="244"/>
      <c r="CL993" s="244"/>
      <c r="CM993" s="244"/>
      <c r="CN993" s="244"/>
      <c r="CO993" s="244"/>
      <c r="CP993" s="244"/>
      <c r="CQ993" s="244"/>
      <c r="CR993" s="244"/>
      <c r="CS993" s="244"/>
      <c r="CT993" s="244"/>
      <c r="CU993" s="244"/>
      <c r="CV993" s="244"/>
      <c r="CW993" s="255"/>
    </row>
    <row r="994" spans="1:101">
      <c r="A994" s="221" t="s">
        <v>549</v>
      </c>
      <c r="C994" s="264">
        <v>46.034412384033203</v>
      </c>
      <c r="D994" s="264">
        <v>8.1096944808959961</v>
      </c>
      <c r="E994" s="264">
        <v>1.621938943862915</v>
      </c>
      <c r="F994" s="264">
        <v>9.731633186340332</v>
      </c>
      <c r="G994" s="264">
        <v>15.866598129272461</v>
      </c>
      <c r="H994" s="264">
        <v>232.62158203125</v>
      </c>
      <c r="I994" s="264">
        <v>1851.8560791015625</v>
      </c>
      <c r="J994" s="264">
        <v>-50.262592315673828</v>
      </c>
      <c r="K994" s="264">
        <v>-321.37322998046875</v>
      </c>
      <c r="L994" s="228">
        <v>14.66108670624322</v>
      </c>
      <c r="M994" s="264">
        <v>0.6054101886101364</v>
      </c>
      <c r="N994" s="264">
        <v>3.4888781624124245</v>
      </c>
      <c r="O994" s="264">
        <v>3.2195499775192316</v>
      </c>
      <c r="P994" s="264">
        <v>3.463293032158564</v>
      </c>
      <c r="Q994" s="264">
        <v>3.1069920983233876</v>
      </c>
      <c r="R994" s="264">
        <v>2.9995862328436811</v>
      </c>
      <c r="S994" s="264">
        <v>2.7569295796075384</v>
      </c>
      <c r="T994" s="264">
        <v>2.788753124980726</v>
      </c>
      <c r="U994" s="264">
        <v>2.7910138768974453</v>
      </c>
      <c r="V994" s="264">
        <v>2.8444448893218839</v>
      </c>
      <c r="W994" s="264">
        <v>2.9262653045831142</v>
      </c>
      <c r="X994" s="264">
        <v>3.1206432790755709</v>
      </c>
      <c r="Y994" s="264">
        <v>3.4212524485695894</v>
      </c>
      <c r="Z994" s="264"/>
      <c r="AA994" s="264">
        <v>0.70054969279437662</v>
      </c>
      <c r="AB994" s="264">
        <v>0.98072606571528897</v>
      </c>
      <c r="AC994" s="264">
        <v>0.90116608240616125</v>
      </c>
      <c r="AD994" s="264">
        <v>0.97732027965515456</v>
      </c>
      <c r="AE994" s="264">
        <v>0.72839557496495544</v>
      </c>
      <c r="AF994" s="264">
        <v>0.5994118787687267</v>
      </c>
      <c r="AG994" s="264">
        <v>0.74032952446663203</v>
      </c>
      <c r="AH994" s="264">
        <v>0.63066322703482336</v>
      </c>
      <c r="AI994" s="264">
        <v>0.60905607994818878</v>
      </c>
      <c r="AJ994" s="264">
        <v>0.5749714626936655</v>
      </c>
      <c r="AK994" s="264">
        <v>0.69316624353163336</v>
      </c>
      <c r="AL994" s="264">
        <v>0.9710525481657144</v>
      </c>
      <c r="AM994" s="244"/>
      <c r="AN994" s="244"/>
      <c r="AO994" s="244"/>
      <c r="AP994" s="244"/>
      <c r="AQ994" s="244"/>
      <c r="AR994" s="244"/>
      <c r="AS994" s="255"/>
      <c r="AT994" s="244"/>
      <c r="AU994" s="244"/>
      <c r="AV994" s="244"/>
      <c r="AW994" s="244"/>
      <c r="AX994" s="244"/>
      <c r="AY994" s="244"/>
      <c r="AZ994" s="255"/>
      <c r="BA994" s="244"/>
      <c r="BB994" s="244"/>
      <c r="BC994" s="244"/>
      <c r="BD994" s="244"/>
      <c r="BE994" s="244"/>
      <c r="BF994" s="244"/>
      <c r="BG994" s="244"/>
      <c r="BH994" s="255"/>
      <c r="BI994" s="244"/>
      <c r="BJ994" s="244"/>
      <c r="BK994" s="244"/>
      <c r="BL994" s="244"/>
      <c r="BM994" s="244"/>
      <c r="BN994" s="244"/>
      <c r="BO994" s="244"/>
      <c r="BP994" s="244"/>
      <c r="BQ994" s="244"/>
      <c r="BR994" s="244"/>
      <c r="BS994" s="244"/>
      <c r="BT994" s="244"/>
      <c r="BU994" s="244"/>
      <c r="BV994" s="244"/>
      <c r="BW994" s="244"/>
      <c r="BX994" s="244"/>
      <c r="BY994" s="244"/>
      <c r="BZ994" s="244"/>
      <c r="CA994" s="244"/>
      <c r="CB994" s="244"/>
      <c r="CC994" s="244"/>
      <c r="CD994" s="255"/>
      <c r="CE994" s="244"/>
      <c r="CF994" s="244"/>
      <c r="CG994" s="244"/>
      <c r="CH994" s="244"/>
      <c r="CI994" s="244"/>
      <c r="CJ994" s="244"/>
      <c r="CK994" s="244"/>
      <c r="CL994" s="244"/>
      <c r="CM994" s="244"/>
      <c r="CN994" s="244"/>
      <c r="CO994" s="244"/>
      <c r="CP994" s="244"/>
      <c r="CQ994" s="244"/>
      <c r="CR994" s="244"/>
      <c r="CS994" s="244"/>
      <c r="CT994" s="244"/>
      <c r="CU994" s="244"/>
      <c r="CV994" s="244"/>
      <c r="CW994" s="255"/>
    </row>
    <row r="995" spans="1:101">
      <c r="A995" s="221" t="s">
        <v>478</v>
      </c>
      <c r="C995" s="264">
        <v>117.79686737060547</v>
      </c>
      <c r="D995" s="264">
        <v>11.336667060852051</v>
      </c>
      <c r="E995" s="264">
        <v>2.2673335075378418</v>
      </c>
      <c r="F995" s="264">
        <v>13.604000091552734</v>
      </c>
      <c r="G995" s="264">
        <v>22.18016242980957</v>
      </c>
      <c r="H995" s="264">
        <v>324.33978271484375</v>
      </c>
      <c r="I995" s="264">
        <v>1011.6656494140625</v>
      </c>
      <c r="J995" s="264">
        <v>-56.17266845703125</v>
      </c>
      <c r="K995" s="264">
        <v>-149.31596374511719</v>
      </c>
      <c r="L995" s="228">
        <v>14.622968134664797</v>
      </c>
      <c r="M995" s="264">
        <v>0.88912288004111184</v>
      </c>
      <c r="N995" s="264">
        <v>9.0212705492703815</v>
      </c>
      <c r="O995" s="264">
        <v>8.3345899723889243</v>
      </c>
      <c r="P995" s="264">
        <v>8.960738842883778</v>
      </c>
      <c r="Q995" s="264">
        <v>8.0010988275161665</v>
      </c>
      <c r="R995" s="264">
        <v>7.6797508740752107</v>
      </c>
      <c r="S995" s="264">
        <v>7.041312393230192</v>
      </c>
      <c r="T995" s="264">
        <v>7.1016976806984289</v>
      </c>
      <c r="U995" s="264">
        <v>7.1175126224936669</v>
      </c>
      <c r="V995" s="264">
        <v>7.2543909770621076</v>
      </c>
      <c r="W995" s="264">
        <v>7.4883391993768846</v>
      </c>
      <c r="X995" s="264">
        <v>8.028910541824839</v>
      </c>
      <c r="Y995" s="264">
        <v>8.8358572608287709</v>
      </c>
      <c r="Z995" s="264"/>
      <c r="AA995" s="264">
        <v>1.7520970811111352</v>
      </c>
      <c r="AB995" s="264">
        <v>2.5375233098998433</v>
      </c>
      <c r="AC995" s="264">
        <v>2.2925220046407251</v>
      </c>
      <c r="AD995" s="264">
        <v>2.5070685367910603</v>
      </c>
      <c r="AE995" s="264">
        <v>1.8284437292929741</v>
      </c>
      <c r="AF995" s="264">
        <v>1.4709354543232462</v>
      </c>
      <c r="AG995" s="264">
        <v>1.8611637213709047</v>
      </c>
      <c r="AH995" s="264">
        <v>1.5508688508742892</v>
      </c>
      <c r="AI995" s="264">
        <v>1.5012438085136641</v>
      </c>
      <c r="AJ995" s="264">
        <v>1.3981755545106114</v>
      </c>
      <c r="AK995" s="264">
        <v>1.7376036687159542</v>
      </c>
      <c r="AL995" s="264">
        <v>2.4937502348775706</v>
      </c>
      <c r="AM995" s="244"/>
      <c r="AN995" s="244"/>
      <c r="AO995" s="244"/>
      <c r="AP995" s="244"/>
      <c r="AQ995" s="244"/>
      <c r="AR995" s="244"/>
      <c r="AS995" s="255"/>
      <c r="AT995" s="244"/>
      <c r="AU995" s="244"/>
      <c r="AV995" s="244"/>
      <c r="AW995" s="244"/>
      <c r="AX995" s="244"/>
      <c r="AY995" s="244"/>
      <c r="AZ995" s="255"/>
      <c r="BA995" s="244"/>
      <c r="BB995" s="244"/>
      <c r="BC995" s="244"/>
      <c r="BD995" s="244"/>
      <c r="BE995" s="244"/>
      <c r="BF995" s="244"/>
      <c r="BG995" s="244"/>
      <c r="BH995" s="255"/>
      <c r="BI995" s="244"/>
      <c r="BJ995" s="244"/>
      <c r="BK995" s="244"/>
      <c r="BL995" s="244"/>
      <c r="BM995" s="244"/>
      <c r="BN995" s="244"/>
      <c r="BO995" s="244"/>
      <c r="BP995" s="244"/>
      <c r="BQ995" s="244"/>
      <c r="BR995" s="244"/>
      <c r="BS995" s="244"/>
      <c r="BT995" s="244"/>
      <c r="BU995" s="244"/>
      <c r="BV995" s="244"/>
      <c r="BW995" s="244"/>
      <c r="BX995" s="244"/>
      <c r="BY995" s="244"/>
      <c r="BZ995" s="244"/>
      <c r="CA995" s="244"/>
      <c r="CB995" s="244"/>
      <c r="CC995" s="244"/>
      <c r="CD995" s="255"/>
      <c r="CE995" s="244"/>
      <c r="CF995" s="244"/>
      <c r="CG995" s="244"/>
      <c r="CH995" s="244"/>
      <c r="CI995" s="244"/>
      <c r="CJ995" s="244"/>
      <c r="CK995" s="244"/>
      <c r="CL995" s="244"/>
      <c r="CM995" s="244"/>
      <c r="CN995" s="244"/>
      <c r="CO995" s="244"/>
      <c r="CP995" s="244"/>
      <c r="CQ995" s="244"/>
      <c r="CR995" s="244"/>
      <c r="CS995" s="244"/>
      <c r="CT995" s="244"/>
      <c r="CU995" s="244"/>
      <c r="CV995" s="244"/>
      <c r="CW995" s="255"/>
    </row>
    <row r="996" spans="1:101">
      <c r="A996" s="221" t="s">
        <v>494</v>
      </c>
      <c r="C996" s="264">
        <v>6.1261663436889648</v>
      </c>
      <c r="D996" s="264">
        <v>8.1096944808959961</v>
      </c>
      <c r="E996" s="264">
        <v>1.621938943862915</v>
      </c>
      <c r="F996" s="264">
        <v>9.731633186340332</v>
      </c>
      <c r="G996" s="264">
        <v>15.866598129272461</v>
      </c>
      <c r="H996" s="264">
        <v>227.87425231933594</v>
      </c>
      <c r="I996" s="264">
        <v>13915.572265625</v>
      </c>
      <c r="J996" s="264">
        <v>34.425834655761719</v>
      </c>
      <c r="K996" s="264">
        <v>-2721.35107421875</v>
      </c>
      <c r="L996" s="228">
        <v>14.361884693719789</v>
      </c>
      <c r="M996" s="264">
        <v>0.55828642315715582</v>
      </c>
      <c r="N996" s="264">
        <v>0.39616031535814517</v>
      </c>
      <c r="O996" s="264">
        <v>0.35849945748150247</v>
      </c>
      <c r="P996" s="264">
        <v>0.38916219805864216</v>
      </c>
      <c r="Q996" s="264">
        <v>0.37660857876642795</v>
      </c>
      <c r="R996" s="264">
        <v>0.39616031535814517</v>
      </c>
      <c r="S996" s="264">
        <v>0.37660857876642795</v>
      </c>
      <c r="T996" s="264">
        <v>0.39616031535814517</v>
      </c>
      <c r="U996" s="264">
        <v>0.38916219805864216</v>
      </c>
      <c r="V996" s="264">
        <v>0.39616031535814517</v>
      </c>
      <c r="W996" s="264">
        <v>0.38916219805864216</v>
      </c>
      <c r="X996" s="264">
        <v>0.3836066960659309</v>
      </c>
      <c r="Y996" s="264">
        <v>0.39616031535814517</v>
      </c>
      <c r="Z996" s="264"/>
      <c r="AA996" s="264">
        <v>0.12272261538671106</v>
      </c>
      <c r="AB996" s="264">
        <v>0.11016899609449679</v>
      </c>
      <c r="AC996" s="264">
        <v>0.12972073268621406</v>
      </c>
      <c r="AD996" s="264">
        <v>0.12553619292214263</v>
      </c>
      <c r="AE996" s="264">
        <v>0.12272261538671106</v>
      </c>
      <c r="AF996" s="264">
        <v>0.12553619292214263</v>
      </c>
      <c r="AG996" s="264">
        <v>0.12272261538671106</v>
      </c>
      <c r="AH996" s="264">
        <v>0.12972073268621406</v>
      </c>
      <c r="AI996" s="264">
        <v>0.12272261538671106</v>
      </c>
      <c r="AJ996" s="264">
        <v>0.12972073268621406</v>
      </c>
      <c r="AK996" s="264">
        <v>0.11853807562263963</v>
      </c>
      <c r="AL996" s="264">
        <v>0.12272261538671106</v>
      </c>
      <c r="AM996" s="244"/>
      <c r="AN996" s="244"/>
      <c r="AO996" s="244"/>
      <c r="AP996" s="244"/>
      <c r="AQ996" s="244"/>
      <c r="AR996" s="244"/>
      <c r="AS996" s="255"/>
      <c r="AT996" s="244"/>
      <c r="AU996" s="244"/>
      <c r="AV996" s="244"/>
      <c r="AW996" s="244"/>
      <c r="AX996" s="244"/>
      <c r="AY996" s="244"/>
      <c r="AZ996" s="255"/>
      <c r="BA996" s="244"/>
      <c r="BB996" s="244"/>
      <c r="BC996" s="244"/>
      <c r="BD996" s="244"/>
      <c r="BE996" s="244"/>
      <c r="BF996" s="244"/>
      <c r="BG996" s="244"/>
      <c r="BH996" s="255"/>
      <c r="BI996" s="244"/>
      <c r="BJ996" s="244"/>
      <c r="BK996" s="244"/>
      <c r="BL996" s="244"/>
      <c r="BM996" s="244"/>
      <c r="BN996" s="244"/>
      <c r="BO996" s="244"/>
      <c r="BP996" s="244"/>
      <c r="BQ996" s="244"/>
      <c r="BR996" s="244"/>
      <c r="BS996" s="244"/>
      <c r="BT996" s="244"/>
      <c r="BU996" s="244"/>
      <c r="BV996" s="244"/>
      <c r="BW996" s="244"/>
      <c r="BX996" s="244"/>
      <c r="BY996" s="244"/>
      <c r="BZ996" s="244"/>
      <c r="CA996" s="244"/>
      <c r="CB996" s="244"/>
      <c r="CC996" s="244"/>
      <c r="CD996" s="255"/>
      <c r="CE996" s="244"/>
      <c r="CF996" s="244"/>
      <c r="CG996" s="244"/>
      <c r="CH996" s="244"/>
      <c r="CI996" s="244"/>
      <c r="CJ996" s="244"/>
      <c r="CK996" s="244"/>
      <c r="CL996" s="244"/>
      <c r="CM996" s="244"/>
      <c r="CN996" s="244"/>
      <c r="CO996" s="244"/>
      <c r="CP996" s="244"/>
      <c r="CQ996" s="244"/>
      <c r="CR996" s="244"/>
      <c r="CS996" s="244"/>
      <c r="CT996" s="244"/>
      <c r="CU996" s="244"/>
      <c r="CV996" s="244"/>
      <c r="CW996" s="255"/>
    </row>
    <row r="997" spans="1:101">
      <c r="A997" s="221" t="s">
        <v>564</v>
      </c>
      <c r="C997" s="264">
        <v>57.531230926513672</v>
      </c>
      <c r="D997" s="264">
        <v>11.336667060852051</v>
      </c>
      <c r="E997" s="264">
        <v>2.2673335075378418</v>
      </c>
      <c r="F997" s="264">
        <v>13.604000091552734</v>
      </c>
      <c r="G997" s="264">
        <v>22.18016242980957</v>
      </c>
      <c r="H997" s="264">
        <v>318.17343139648438</v>
      </c>
      <c r="I997" s="264">
        <v>2071.414794921875</v>
      </c>
      <c r="J997" s="264">
        <v>-48.732254028320313</v>
      </c>
      <c r="K997" s="264">
        <v>-356.40301513671875</v>
      </c>
      <c r="L997" s="228">
        <v>14.344955029241481</v>
      </c>
      <c r="M997" s="264">
        <v>0.79573946258540096</v>
      </c>
      <c r="N997" s="264">
        <v>4.3496367670310621</v>
      </c>
      <c r="O997" s="264">
        <v>4.0127632825089314</v>
      </c>
      <c r="P997" s="264">
        <v>4.3171045428014772</v>
      </c>
      <c r="Q997" s="264">
        <v>3.8772270542948184</v>
      </c>
      <c r="R997" s="264">
        <v>3.7482469428383487</v>
      </c>
      <c r="S997" s="264">
        <v>3.4469644158479991</v>
      </c>
      <c r="T997" s="264">
        <v>3.4891114901374234</v>
      </c>
      <c r="U997" s="264">
        <v>3.4908047030570186</v>
      </c>
      <c r="V997" s="264">
        <v>3.557562364435781</v>
      </c>
      <c r="W997" s="264">
        <v>3.6570425406387441</v>
      </c>
      <c r="X997" s="264">
        <v>3.8950912340318968</v>
      </c>
      <c r="Y997" s="264">
        <v>4.2665178482401984</v>
      </c>
      <c r="Z997" s="264"/>
      <c r="AA997" s="264">
        <v>0.8800828043621115</v>
      </c>
      <c r="AB997" s="264">
        <v>1.2225010221223958</v>
      </c>
      <c r="AC997" s="264">
        <v>1.1277463478151049</v>
      </c>
      <c r="AD997" s="264">
        <v>1.2206985783571365</v>
      </c>
      <c r="AE997" s="264">
        <v>0.9143082415112902</v>
      </c>
      <c r="AF997" s="264">
        <v>0.75621050276113844</v>
      </c>
      <c r="AG997" s="264">
        <v>0.92897628600379534</v>
      </c>
      <c r="AH997" s="264">
        <v>0.79527067265165363</v>
      </c>
      <c r="AI997" s="264">
        <v>0.76762779658623825</v>
      </c>
      <c r="AJ997" s="264">
        <v>0.72681979835329602</v>
      </c>
      <c r="AK997" s="264">
        <v>0.87035872345660681</v>
      </c>
      <c r="AL997" s="264">
        <v>1.2125584795255626</v>
      </c>
      <c r="AM997" s="244"/>
      <c r="AN997" s="244"/>
      <c r="AO997" s="244"/>
      <c r="AP997" s="244"/>
      <c r="AQ997" s="244"/>
      <c r="AR997" s="244"/>
      <c r="AS997" s="255"/>
      <c r="AT997" s="244"/>
      <c r="AU997" s="244"/>
      <c r="AV997" s="244"/>
      <c r="AW997" s="244"/>
      <c r="AX997" s="244"/>
      <c r="AY997" s="244"/>
      <c r="AZ997" s="255"/>
      <c r="BA997" s="244"/>
      <c r="BB997" s="244"/>
      <c r="BC997" s="244"/>
      <c r="BD997" s="244"/>
      <c r="BE997" s="244"/>
      <c r="BF997" s="244"/>
      <c r="BG997" s="244"/>
      <c r="BH997" s="255"/>
      <c r="BI997" s="244"/>
      <c r="BJ997" s="244"/>
      <c r="BK997" s="244"/>
      <c r="BL997" s="244"/>
      <c r="BM997" s="244"/>
      <c r="BN997" s="244"/>
      <c r="BO997" s="244"/>
      <c r="BP997" s="244"/>
      <c r="BQ997" s="244"/>
      <c r="BR997" s="244"/>
      <c r="BS997" s="244"/>
      <c r="BT997" s="244"/>
      <c r="BU997" s="244"/>
      <c r="BV997" s="244"/>
      <c r="BW997" s="244"/>
      <c r="BX997" s="244"/>
      <c r="BY997" s="244"/>
      <c r="BZ997" s="244"/>
      <c r="CA997" s="244"/>
      <c r="CB997" s="244"/>
      <c r="CC997" s="244"/>
      <c r="CD997" s="255"/>
      <c r="CE997" s="244"/>
      <c r="CF997" s="244"/>
      <c r="CG997" s="244"/>
      <c r="CH997" s="244"/>
      <c r="CI997" s="244"/>
      <c r="CJ997" s="244"/>
      <c r="CK997" s="244"/>
      <c r="CL997" s="244"/>
      <c r="CM997" s="244"/>
      <c r="CN997" s="244"/>
      <c r="CO997" s="244"/>
      <c r="CP997" s="244"/>
      <c r="CQ997" s="244"/>
      <c r="CR997" s="244"/>
      <c r="CS997" s="244"/>
      <c r="CT997" s="244"/>
      <c r="CU997" s="244"/>
      <c r="CV997" s="244"/>
      <c r="CW997" s="255"/>
    </row>
    <row r="998" spans="1:101">
      <c r="A998" s="221" t="s">
        <v>522</v>
      </c>
      <c r="C998" s="264">
        <v>53.190135955810547</v>
      </c>
      <c r="D998" s="264">
        <v>8.1096944808959961</v>
      </c>
      <c r="E998" s="264">
        <v>1.621938943862915</v>
      </c>
      <c r="F998" s="264">
        <v>9.731633186340332</v>
      </c>
      <c r="G998" s="264">
        <v>15.866598129272461</v>
      </c>
      <c r="H998" s="264">
        <v>226.57412719726562</v>
      </c>
      <c r="I998" s="264">
        <v>1602.7239990234375</v>
      </c>
      <c r="J998" s="264">
        <v>-52.037822723388672</v>
      </c>
      <c r="K998" s="264">
        <v>-261.399658203125</v>
      </c>
      <c r="L998" s="228">
        <v>14.279943885842169</v>
      </c>
      <c r="M998" s="264">
        <v>0.5971235779702222</v>
      </c>
      <c r="N998" s="264">
        <v>4.0458031508030636</v>
      </c>
      <c r="O998" s="264">
        <v>3.7349997157082053</v>
      </c>
      <c r="P998" s="264">
        <v>4.0170111716473791</v>
      </c>
      <c r="Q998" s="264">
        <v>3.5978534753309592</v>
      </c>
      <c r="R998" s="264">
        <v>3.4664978402354443</v>
      </c>
      <c r="S998" s="264">
        <v>3.1833911393151011</v>
      </c>
      <c r="T998" s="264">
        <v>3.2168784787713482</v>
      </c>
      <c r="U998" s="264">
        <v>3.2210550945260166</v>
      </c>
      <c r="V998" s="264">
        <v>3.2828156685920531</v>
      </c>
      <c r="W998" s="264">
        <v>3.3811882698048707</v>
      </c>
      <c r="X998" s="264">
        <v>3.6125160566679209</v>
      </c>
      <c r="Y998" s="264">
        <v>3.9657365631636363</v>
      </c>
      <c r="Z998" s="264"/>
      <c r="AA998" s="264">
        <v>0.80312335634373788</v>
      </c>
      <c r="AB998" s="264">
        <v>1.1375335436925136</v>
      </c>
      <c r="AC998" s="264">
        <v>1.039146503507351</v>
      </c>
      <c r="AD998" s="264">
        <v>1.1302074357743437</v>
      </c>
      <c r="AE998" s="264">
        <v>0.83609195125409008</v>
      </c>
      <c r="AF998" s="264">
        <v>0.68277650484813368</v>
      </c>
      <c r="AG998" s="264">
        <v>0.85022134907281244</v>
      </c>
      <c r="AH998" s="264">
        <v>0.71888015294964247</v>
      </c>
      <c r="AI998" s="264">
        <v>0.69479797306686597</v>
      </c>
      <c r="AJ998" s="264">
        <v>0.65294296312893796</v>
      </c>
      <c r="AK998" s="264">
        <v>0.79527850387967369</v>
      </c>
      <c r="AL998" s="264">
        <v>1.123389706901446</v>
      </c>
      <c r="AM998" s="244"/>
      <c r="AN998" s="244"/>
      <c r="AO998" s="244"/>
      <c r="AP998" s="244"/>
      <c r="AQ998" s="244"/>
      <c r="AR998" s="244"/>
      <c r="AS998" s="255"/>
      <c r="AT998" s="244"/>
      <c r="AU998" s="244"/>
      <c r="AV998" s="244"/>
      <c r="AW998" s="244"/>
      <c r="AX998" s="244"/>
      <c r="AY998" s="244"/>
      <c r="AZ998" s="255"/>
      <c r="BA998" s="244"/>
      <c r="BB998" s="244"/>
      <c r="BC998" s="244"/>
      <c r="BD998" s="244"/>
      <c r="BE998" s="244"/>
      <c r="BF998" s="244"/>
      <c r="BG998" s="244"/>
      <c r="BH998" s="255"/>
      <c r="BI998" s="244"/>
      <c r="BJ998" s="244"/>
      <c r="BK998" s="244"/>
      <c r="BL998" s="244"/>
      <c r="BM998" s="244"/>
      <c r="BN998" s="244"/>
      <c r="BO998" s="244"/>
      <c r="BP998" s="244"/>
      <c r="BQ998" s="244"/>
      <c r="BR998" s="244"/>
      <c r="BS998" s="244"/>
      <c r="BT998" s="244"/>
      <c r="BU998" s="244"/>
      <c r="BV998" s="244"/>
      <c r="BW998" s="244"/>
      <c r="BX998" s="244"/>
      <c r="BY998" s="244"/>
      <c r="BZ998" s="244"/>
      <c r="CA998" s="244"/>
      <c r="CB998" s="244"/>
      <c r="CC998" s="244"/>
      <c r="CD998" s="255"/>
      <c r="CE998" s="244"/>
      <c r="CF998" s="244"/>
      <c r="CG998" s="244"/>
      <c r="CH998" s="244"/>
      <c r="CI998" s="244"/>
      <c r="CJ998" s="244"/>
      <c r="CK998" s="244"/>
      <c r="CL998" s="244"/>
      <c r="CM998" s="244"/>
      <c r="CN998" s="244"/>
      <c r="CO998" s="244"/>
      <c r="CP998" s="244"/>
      <c r="CQ998" s="244"/>
      <c r="CR998" s="244"/>
      <c r="CS998" s="244"/>
      <c r="CT998" s="244"/>
      <c r="CU998" s="244"/>
      <c r="CV998" s="244"/>
      <c r="CW998" s="255"/>
    </row>
    <row r="999" spans="1:101">
      <c r="A999" s="221" t="s">
        <v>462</v>
      </c>
      <c r="C999" s="264">
        <v>37.663082122802734</v>
      </c>
      <c r="D999" s="264">
        <v>8.1096944808959961</v>
      </c>
      <c r="E999" s="264">
        <v>1.621938943862915</v>
      </c>
      <c r="F999" s="264">
        <v>9.731633186340332</v>
      </c>
      <c r="G999" s="264">
        <v>15.866598129272461</v>
      </c>
      <c r="H999" s="264">
        <v>218.13809204101562</v>
      </c>
      <c r="I999" s="264">
        <v>2263.466064453125</v>
      </c>
      <c r="J999" s="264">
        <v>-47.444065093994141</v>
      </c>
      <c r="K999" s="264">
        <v>-374.51437377929687</v>
      </c>
      <c r="L999" s="228">
        <v>13.748258573935905</v>
      </c>
      <c r="M999" s="264">
        <v>0.56019283356550698</v>
      </c>
      <c r="N999" s="264">
        <v>2.8447012966944945</v>
      </c>
      <c r="O999" s="264">
        <v>2.6240905529730583</v>
      </c>
      <c r="P999" s="264">
        <v>2.8232558224297368</v>
      </c>
      <c r="Q999" s="264">
        <v>2.5367249398267742</v>
      </c>
      <c r="R999" s="264">
        <v>2.4536825195663514</v>
      </c>
      <c r="S999" s="264">
        <v>2.2569716683855008</v>
      </c>
      <c r="T999" s="264">
        <v>2.2851947538119481</v>
      </c>
      <c r="U999" s="264">
        <v>2.2860023806845651</v>
      </c>
      <c r="V999" s="264">
        <v>2.3297009560866964</v>
      </c>
      <c r="W999" s="264">
        <v>2.3940888719232385</v>
      </c>
      <c r="X999" s="264">
        <v>2.5486333707469426</v>
      </c>
      <c r="Y999" s="264">
        <v>2.7906580510751575</v>
      </c>
      <c r="Z999" s="264"/>
      <c r="AA999" s="264">
        <v>0.57736591095602174</v>
      </c>
      <c r="AB999" s="264">
        <v>0.79947734006446403</v>
      </c>
      <c r="AC999" s="264">
        <v>0.73868802094141572</v>
      </c>
      <c r="AD999" s="264">
        <v>0.79894943470204594</v>
      </c>
      <c r="AE999" s="264">
        <v>0.59961901209339563</v>
      </c>
      <c r="AF999" s="264">
        <v>0.49694306212339895</v>
      </c>
      <c r="AG999" s="264">
        <v>0.60915605543798446</v>
      </c>
      <c r="AH999" s="264">
        <v>0.52251503846406833</v>
      </c>
      <c r="AI999" s="264">
        <v>0.50424857864750716</v>
      </c>
      <c r="AJ999" s="264">
        <v>0.47800883618932039</v>
      </c>
      <c r="AK999" s="264">
        <v>0.57086802130452996</v>
      </c>
      <c r="AL999" s="264">
        <v>0.79353889343336903</v>
      </c>
      <c r="AM999" s="244"/>
      <c r="AN999" s="244"/>
      <c r="AO999" s="244"/>
      <c r="AP999" s="244"/>
      <c r="AQ999" s="244"/>
      <c r="AR999" s="244"/>
      <c r="AS999" s="255"/>
      <c r="AT999" s="244"/>
      <c r="AU999" s="244"/>
      <c r="AV999" s="244"/>
      <c r="AW999" s="244"/>
      <c r="AX999" s="244"/>
      <c r="AY999" s="244"/>
      <c r="AZ999" s="255"/>
      <c r="BA999" s="244"/>
      <c r="BB999" s="244"/>
      <c r="BC999" s="244"/>
      <c r="BD999" s="244"/>
      <c r="BE999" s="244"/>
      <c r="BF999" s="244"/>
      <c r="BG999" s="244"/>
      <c r="BH999" s="255"/>
      <c r="BI999" s="244"/>
      <c r="BJ999" s="244"/>
      <c r="BK999" s="244"/>
      <c r="BL999" s="244"/>
      <c r="BM999" s="244"/>
      <c r="BN999" s="244"/>
      <c r="BO999" s="244"/>
      <c r="BP999" s="244"/>
      <c r="BQ999" s="244"/>
      <c r="BR999" s="244"/>
      <c r="BS999" s="244"/>
      <c r="BT999" s="244"/>
      <c r="BU999" s="244"/>
      <c r="BV999" s="244"/>
      <c r="BW999" s="244"/>
      <c r="BX999" s="244"/>
      <c r="BY999" s="244"/>
      <c r="BZ999" s="244"/>
      <c r="CA999" s="244"/>
      <c r="CB999" s="244"/>
      <c r="CC999" s="244"/>
      <c r="CD999" s="255"/>
      <c r="CE999" s="244"/>
      <c r="CF999" s="244"/>
      <c r="CG999" s="244"/>
      <c r="CH999" s="244"/>
      <c r="CI999" s="244"/>
      <c r="CJ999" s="244"/>
      <c r="CK999" s="244"/>
      <c r="CL999" s="244"/>
      <c r="CM999" s="244"/>
      <c r="CN999" s="244"/>
      <c r="CO999" s="244"/>
      <c r="CP999" s="244"/>
      <c r="CQ999" s="244"/>
      <c r="CR999" s="244"/>
      <c r="CS999" s="244"/>
      <c r="CT999" s="244"/>
      <c r="CU999" s="244"/>
      <c r="CV999" s="244"/>
      <c r="CW999" s="255"/>
    </row>
    <row r="1000" spans="1:101">
      <c r="A1000" s="221" t="s">
        <v>487</v>
      </c>
      <c r="C1000" s="264">
        <v>78.531242370605469</v>
      </c>
      <c r="D1000" s="264">
        <v>8.1096944808959961</v>
      </c>
      <c r="E1000" s="264">
        <v>1.621938943862915</v>
      </c>
      <c r="F1000" s="264">
        <v>9.731633186340332</v>
      </c>
      <c r="G1000" s="264">
        <v>15.866598129272461</v>
      </c>
      <c r="H1000" s="264">
        <v>216.22653198242187</v>
      </c>
      <c r="I1000" s="264">
        <v>1085.5438232421875</v>
      </c>
      <c r="J1000" s="264">
        <v>-55.693931579589844</v>
      </c>
      <c r="K1000" s="264">
        <v>-148.21261596679687</v>
      </c>
      <c r="L1000" s="228">
        <v>13.627781145287743</v>
      </c>
      <c r="M1000" s="264">
        <v>0.5927485866940756</v>
      </c>
      <c r="N1000" s="264">
        <v>6.0141803661802546</v>
      </c>
      <c r="O1000" s="264">
        <v>5.5563933149259501</v>
      </c>
      <c r="P1000" s="264">
        <v>5.9738258952558523</v>
      </c>
      <c r="Q1000" s="264">
        <v>5.3340658850107783</v>
      </c>
      <c r="R1000" s="264">
        <v>5.1198339160501405</v>
      </c>
      <c r="S1000" s="264">
        <v>4.6942082621534622</v>
      </c>
      <c r="T1000" s="264">
        <v>4.7344651204656198</v>
      </c>
      <c r="U1000" s="264">
        <v>4.7450084149957785</v>
      </c>
      <c r="V1000" s="264">
        <v>4.8362606513747384</v>
      </c>
      <c r="W1000" s="264">
        <v>4.9922261329179234</v>
      </c>
      <c r="X1000" s="264">
        <v>5.3526070278832263</v>
      </c>
      <c r="Y1000" s="264">
        <v>5.8905715072191809</v>
      </c>
      <c r="Z1000" s="264"/>
      <c r="AA1000" s="264">
        <v>1.1680647207407568</v>
      </c>
      <c r="AB1000" s="264">
        <v>1.6916822065998955</v>
      </c>
      <c r="AC1000" s="264">
        <v>1.5283480030938168</v>
      </c>
      <c r="AD1000" s="264">
        <v>1.6713790245273739</v>
      </c>
      <c r="AE1000" s="264">
        <v>1.2189624861953159</v>
      </c>
      <c r="AF1000" s="264">
        <v>0.98062363621549764</v>
      </c>
      <c r="AG1000" s="264">
        <v>1.2407758142472698</v>
      </c>
      <c r="AH1000" s="264">
        <v>1.0339125672495262</v>
      </c>
      <c r="AI1000" s="264">
        <v>1.0008292056757762</v>
      </c>
      <c r="AJ1000" s="264">
        <v>0.93211703634040755</v>
      </c>
      <c r="AK1000" s="264">
        <v>1.1584024458106361</v>
      </c>
      <c r="AL1000" s="264">
        <v>1.6625001565850472</v>
      </c>
      <c r="AM1000" s="244"/>
      <c r="AN1000" s="244"/>
      <c r="AO1000" s="244"/>
      <c r="AP1000" s="244"/>
      <c r="AQ1000" s="244"/>
      <c r="AR1000" s="244"/>
      <c r="AS1000" s="255"/>
      <c r="AT1000" s="244"/>
      <c r="AU1000" s="244"/>
      <c r="AV1000" s="244"/>
      <c r="AW1000" s="244"/>
      <c r="AX1000" s="244"/>
      <c r="AY1000" s="244"/>
      <c r="AZ1000" s="255"/>
      <c r="BA1000" s="244"/>
      <c r="BB1000" s="244"/>
      <c r="BC1000" s="244"/>
      <c r="BD1000" s="244"/>
      <c r="BE1000" s="244"/>
      <c r="BF1000" s="244"/>
      <c r="BG1000" s="244"/>
      <c r="BH1000" s="255"/>
      <c r="BI1000" s="244"/>
      <c r="BJ1000" s="244"/>
      <c r="BK1000" s="244"/>
      <c r="BL1000" s="244"/>
      <c r="BM1000" s="244"/>
      <c r="BN1000" s="244"/>
      <c r="BO1000" s="244"/>
      <c r="BP1000" s="244"/>
      <c r="BQ1000" s="244"/>
      <c r="BR1000" s="244"/>
      <c r="BS1000" s="244"/>
      <c r="BT1000" s="244"/>
      <c r="BU1000" s="244"/>
      <c r="BV1000" s="244"/>
      <c r="BW1000" s="244"/>
      <c r="BX1000" s="244"/>
      <c r="BY1000" s="244"/>
      <c r="BZ1000" s="244"/>
      <c r="CA1000" s="244"/>
      <c r="CB1000" s="244"/>
      <c r="CC1000" s="244"/>
      <c r="CD1000" s="255"/>
      <c r="CE1000" s="244"/>
      <c r="CF1000" s="244"/>
      <c r="CG1000" s="244"/>
      <c r="CH1000" s="244"/>
      <c r="CI1000" s="244"/>
      <c r="CJ1000" s="244"/>
      <c r="CK1000" s="244"/>
      <c r="CL1000" s="244"/>
      <c r="CM1000" s="244"/>
      <c r="CN1000" s="244"/>
      <c r="CO1000" s="244"/>
      <c r="CP1000" s="244"/>
      <c r="CQ1000" s="244"/>
      <c r="CR1000" s="244"/>
      <c r="CS1000" s="244"/>
      <c r="CT1000" s="244"/>
      <c r="CU1000" s="244"/>
      <c r="CV1000" s="244"/>
      <c r="CW1000" s="255"/>
    </row>
    <row r="1001" spans="1:101">
      <c r="A1001" s="221" t="s">
        <v>455</v>
      </c>
      <c r="C1001" s="264">
        <v>8.1992807388305664</v>
      </c>
      <c r="D1001" s="264">
        <v>11.336667060852051</v>
      </c>
      <c r="E1001" s="264">
        <v>2.2673335075378418</v>
      </c>
      <c r="F1001" s="264">
        <v>13.604000091552734</v>
      </c>
      <c r="G1001" s="264">
        <v>22.18016242980957</v>
      </c>
      <c r="H1001" s="264">
        <v>301.41049194335937</v>
      </c>
      <c r="I1001" s="264">
        <v>14534.3291015625</v>
      </c>
      <c r="J1001" s="264">
        <v>38.435405731201172</v>
      </c>
      <c r="K1001" s="264">
        <v>-2677.10205078125</v>
      </c>
      <c r="L1001" s="228">
        <v>13.589192923897807</v>
      </c>
      <c r="M1001" s="264">
        <v>0.70670542919860246</v>
      </c>
      <c r="N1001" s="264">
        <v>0.53022228063230215</v>
      </c>
      <c r="O1001" s="264">
        <v>0.4798168634822525</v>
      </c>
      <c r="P1001" s="264">
        <v>0.52085597721718002</v>
      </c>
      <c r="Q1001" s="264">
        <v>0.50405417150049669</v>
      </c>
      <c r="R1001" s="264">
        <v>0.53022228063230215</v>
      </c>
      <c r="S1001" s="264">
        <v>0.50405417150049669</v>
      </c>
      <c r="T1001" s="264">
        <v>0.53022228063230215</v>
      </c>
      <c r="U1001" s="264">
        <v>0.52085597721718002</v>
      </c>
      <c r="V1001" s="264">
        <v>0.53022228063230215</v>
      </c>
      <c r="W1001" s="264">
        <v>0.52085597721718002</v>
      </c>
      <c r="X1001" s="264">
        <v>0.51342047491561882</v>
      </c>
      <c r="Y1001" s="264">
        <v>0.53022228063230215</v>
      </c>
      <c r="Z1001" s="264"/>
      <c r="AA1001" s="264">
        <v>0.16425235565727123</v>
      </c>
      <c r="AB1001" s="264">
        <v>0.14745054994058798</v>
      </c>
      <c r="AC1001" s="264">
        <v>0.17361865907239332</v>
      </c>
      <c r="AD1001" s="264">
        <v>0.16801805716683224</v>
      </c>
      <c r="AE1001" s="264">
        <v>0.16425235565727123</v>
      </c>
      <c r="AF1001" s="264">
        <v>0.16801805716683224</v>
      </c>
      <c r="AG1001" s="264">
        <v>0.16425235565727123</v>
      </c>
      <c r="AH1001" s="264">
        <v>0.17361865907239332</v>
      </c>
      <c r="AI1001" s="264">
        <v>0.16425235565727123</v>
      </c>
      <c r="AJ1001" s="264">
        <v>0.17361865907239332</v>
      </c>
      <c r="AK1001" s="264">
        <v>0.15865175375171012</v>
      </c>
      <c r="AL1001" s="264">
        <v>0.16425235565727123</v>
      </c>
      <c r="AM1001" s="244"/>
      <c r="AN1001" s="244"/>
      <c r="AO1001" s="244"/>
      <c r="AP1001" s="244"/>
      <c r="AQ1001" s="244"/>
      <c r="AR1001" s="244"/>
      <c r="AS1001" s="255"/>
      <c r="AT1001" s="244"/>
      <c r="AU1001" s="244"/>
      <c r="AV1001" s="244"/>
      <c r="AW1001" s="244"/>
      <c r="AX1001" s="244"/>
      <c r="AY1001" s="244"/>
      <c r="AZ1001" s="255"/>
      <c r="BA1001" s="244"/>
      <c r="BB1001" s="244"/>
      <c r="BC1001" s="244"/>
      <c r="BD1001" s="244"/>
      <c r="BE1001" s="244"/>
      <c r="BF1001" s="244"/>
      <c r="BG1001" s="244"/>
      <c r="BH1001" s="255"/>
      <c r="BI1001" s="244"/>
      <c r="BJ1001" s="244"/>
      <c r="BK1001" s="244"/>
      <c r="BL1001" s="244"/>
      <c r="BM1001" s="244"/>
      <c r="BN1001" s="244"/>
      <c r="BO1001" s="244"/>
      <c r="BP1001" s="244"/>
      <c r="BQ1001" s="244"/>
      <c r="BR1001" s="244"/>
      <c r="BS1001" s="244"/>
      <c r="BT1001" s="244"/>
      <c r="BU1001" s="244"/>
      <c r="BV1001" s="244"/>
      <c r="BW1001" s="244"/>
      <c r="BX1001" s="244"/>
      <c r="BY1001" s="244"/>
      <c r="BZ1001" s="244"/>
      <c r="CA1001" s="244"/>
      <c r="CB1001" s="244"/>
      <c r="CC1001" s="244"/>
      <c r="CD1001" s="255"/>
      <c r="CE1001" s="244"/>
      <c r="CF1001" s="244"/>
      <c r="CG1001" s="244"/>
      <c r="CH1001" s="244"/>
      <c r="CI1001" s="244"/>
      <c r="CJ1001" s="244"/>
      <c r="CK1001" s="244"/>
      <c r="CL1001" s="244"/>
      <c r="CM1001" s="244"/>
      <c r="CN1001" s="244"/>
      <c r="CO1001" s="244"/>
      <c r="CP1001" s="244"/>
      <c r="CQ1001" s="244"/>
      <c r="CR1001" s="244"/>
      <c r="CS1001" s="244"/>
      <c r="CT1001" s="244"/>
      <c r="CU1001" s="244"/>
      <c r="CV1001" s="244"/>
      <c r="CW1001" s="255"/>
    </row>
    <row r="1002" spans="1:101">
      <c r="A1002" s="221" t="s">
        <v>573</v>
      </c>
      <c r="C1002" s="264">
        <v>38.354156494140625</v>
      </c>
      <c r="D1002" s="264">
        <v>8.1096944808959961</v>
      </c>
      <c r="E1002" s="264">
        <v>1.621938943862915</v>
      </c>
      <c r="F1002" s="264">
        <v>9.731633186340332</v>
      </c>
      <c r="G1002" s="264">
        <v>15.866598129272461</v>
      </c>
      <c r="H1002" s="264">
        <v>212.11561584472656</v>
      </c>
      <c r="I1002" s="264">
        <v>2222.682373046875</v>
      </c>
      <c r="J1002" s="264">
        <v>-47.752025604248047</v>
      </c>
      <c r="K1002" s="264">
        <v>-354.14382934570312</v>
      </c>
      <c r="L1002" s="228">
        <v>13.368688376264364</v>
      </c>
      <c r="M1002" s="264">
        <v>0.53049297505693516</v>
      </c>
      <c r="N1002" s="264">
        <v>2.8997578446873749</v>
      </c>
      <c r="O1002" s="264">
        <v>2.675175521672621</v>
      </c>
      <c r="P1002" s="264">
        <v>2.8780696952009852</v>
      </c>
      <c r="Q1002" s="264">
        <v>2.5848180361965456</v>
      </c>
      <c r="R1002" s="264">
        <v>2.4988312952255658</v>
      </c>
      <c r="S1002" s="264">
        <v>2.2979762772319994</v>
      </c>
      <c r="T1002" s="264">
        <v>2.326074326758282</v>
      </c>
      <c r="U1002" s="264">
        <v>2.3272031353713456</v>
      </c>
      <c r="V1002" s="264">
        <v>2.3717082429571872</v>
      </c>
      <c r="W1002" s="264">
        <v>2.4380283604258293</v>
      </c>
      <c r="X1002" s="264">
        <v>2.5967274893545982</v>
      </c>
      <c r="Y1002" s="264">
        <v>2.8443452321601326</v>
      </c>
      <c r="Z1002" s="264"/>
      <c r="AA1002" s="264">
        <v>0.58672186957474104</v>
      </c>
      <c r="AB1002" s="264">
        <v>0.81500068141493054</v>
      </c>
      <c r="AC1002" s="264">
        <v>0.75183089854340324</v>
      </c>
      <c r="AD1002" s="264">
        <v>0.8137990522380909</v>
      </c>
      <c r="AE1002" s="264">
        <v>0.60953882767419354</v>
      </c>
      <c r="AF1002" s="264">
        <v>0.50414033517409229</v>
      </c>
      <c r="AG1002" s="264">
        <v>0.61931752400253026</v>
      </c>
      <c r="AH1002" s="264">
        <v>0.53018044843443568</v>
      </c>
      <c r="AI1002" s="264">
        <v>0.51175186439082554</v>
      </c>
      <c r="AJ1002" s="264">
        <v>0.48454653223553068</v>
      </c>
      <c r="AK1002" s="264">
        <v>0.58023914897107121</v>
      </c>
      <c r="AL1002" s="264">
        <v>0.80837231968370848</v>
      </c>
      <c r="AM1002" s="244"/>
      <c r="AN1002" s="244"/>
      <c r="AO1002" s="244"/>
      <c r="AP1002" s="244"/>
      <c r="AQ1002" s="244"/>
      <c r="AR1002" s="244"/>
      <c r="AS1002" s="255"/>
      <c r="AT1002" s="244"/>
      <c r="AU1002" s="244"/>
      <c r="AV1002" s="244"/>
      <c r="AW1002" s="244"/>
      <c r="AX1002" s="244"/>
      <c r="AY1002" s="244"/>
      <c r="AZ1002" s="255"/>
      <c r="BA1002" s="244"/>
      <c r="BB1002" s="244"/>
      <c r="BC1002" s="244"/>
      <c r="BD1002" s="244"/>
      <c r="BE1002" s="244"/>
      <c r="BF1002" s="244"/>
      <c r="BG1002" s="244"/>
      <c r="BH1002" s="255"/>
      <c r="BI1002" s="244"/>
      <c r="BJ1002" s="244"/>
      <c r="BK1002" s="244"/>
      <c r="BL1002" s="244"/>
      <c r="BM1002" s="244"/>
      <c r="BN1002" s="244"/>
      <c r="BO1002" s="244"/>
      <c r="BP1002" s="244"/>
      <c r="BQ1002" s="244"/>
      <c r="BR1002" s="244"/>
      <c r="BS1002" s="244"/>
      <c r="BT1002" s="244"/>
      <c r="BU1002" s="244"/>
      <c r="BV1002" s="244"/>
      <c r="BW1002" s="244"/>
      <c r="BX1002" s="244"/>
      <c r="BY1002" s="244"/>
      <c r="BZ1002" s="244"/>
      <c r="CA1002" s="244"/>
      <c r="CB1002" s="244"/>
      <c r="CC1002" s="244"/>
      <c r="CD1002" s="255"/>
      <c r="CE1002" s="244"/>
      <c r="CF1002" s="244"/>
      <c r="CG1002" s="244"/>
      <c r="CH1002" s="244"/>
      <c r="CI1002" s="244"/>
      <c r="CJ1002" s="244"/>
      <c r="CK1002" s="244"/>
      <c r="CL1002" s="244"/>
      <c r="CM1002" s="244"/>
      <c r="CN1002" s="244"/>
      <c r="CO1002" s="244"/>
      <c r="CP1002" s="244"/>
      <c r="CQ1002" s="244"/>
      <c r="CR1002" s="244"/>
      <c r="CS1002" s="244"/>
      <c r="CT1002" s="244"/>
      <c r="CU1002" s="244"/>
      <c r="CV1002" s="244"/>
      <c r="CW1002" s="255"/>
    </row>
    <row r="1003" spans="1:101">
      <c r="A1003" s="221" t="s">
        <v>535</v>
      </c>
      <c r="C1003" s="264">
        <v>102.55610656738281</v>
      </c>
      <c r="D1003" s="264">
        <v>11.336667060852051</v>
      </c>
      <c r="E1003" s="264">
        <v>2.2673335075378418</v>
      </c>
      <c r="F1003" s="264">
        <v>13.604000091552734</v>
      </c>
      <c r="G1003" s="264">
        <v>22.18016242980957</v>
      </c>
      <c r="H1003" s="264">
        <v>289.0595703125</v>
      </c>
      <c r="I1003" s="264">
        <v>1162.00830078125</v>
      </c>
      <c r="J1003" s="264">
        <v>-55.181629180908203</v>
      </c>
      <c r="K1003" s="264">
        <v>-152.3021240234375</v>
      </c>
      <c r="L1003" s="228">
        <v>13.032346984517664</v>
      </c>
      <c r="M1003" s="264">
        <v>0.77409535326062207</v>
      </c>
      <c r="N1003" s="264">
        <v>7.8511404665438214</v>
      </c>
      <c r="O1003" s="264">
        <v>7.2532252336646934</v>
      </c>
      <c r="P1003" s="264">
        <v>7.7982852649642069</v>
      </c>
      <c r="Q1003" s="264">
        <v>6.964310792468714</v>
      </c>
      <c r="R1003" s="264">
        <v>6.6860011296945423</v>
      </c>
      <c r="S1003" s="264">
        <v>6.1307151693570345</v>
      </c>
      <c r="T1003" s="264">
        <v>6.1839492203204642</v>
      </c>
      <c r="U1003" s="264">
        <v>6.1974027614883713</v>
      </c>
      <c r="V1003" s="264">
        <v>6.3165667058155037</v>
      </c>
      <c r="W1003" s="264">
        <v>6.519473797690611</v>
      </c>
      <c r="X1003" s="264">
        <v>6.9887479614422467</v>
      </c>
      <c r="Y1003" s="264">
        <v>7.6901049484427002</v>
      </c>
      <c r="Z1003" s="264"/>
      <c r="AA1003" s="264">
        <v>1.5266816054346988</v>
      </c>
      <c r="AB1003" s="264">
        <v>2.2083355385968009</v>
      </c>
      <c r="AC1003" s="264">
        <v>1.9963346185701514</v>
      </c>
      <c r="AD1003" s="264">
        <v>2.1825043269709585</v>
      </c>
      <c r="AE1003" s="264">
        <v>1.5929903481822183</v>
      </c>
      <c r="AF1003" s="264">
        <v>1.2825999611117604</v>
      </c>
      <c r="AG1003" s="264">
        <v>1.621408380788298</v>
      </c>
      <c r="AH1003" s="264">
        <v>1.3521925461656725</v>
      </c>
      <c r="AI1003" s="264">
        <v>1.3088100221214192</v>
      </c>
      <c r="AJ1003" s="264">
        <v>1.2195750606706328</v>
      </c>
      <c r="AK1003" s="264">
        <v>1.5139250855929467</v>
      </c>
      <c r="AL1003" s="264">
        <v>2.1708236778391772</v>
      </c>
      <c r="AM1003" s="244"/>
      <c r="AN1003" s="244"/>
      <c r="AO1003" s="244"/>
      <c r="AP1003" s="244"/>
      <c r="AQ1003" s="244"/>
      <c r="AR1003" s="244"/>
      <c r="AS1003" s="255"/>
      <c r="AT1003" s="244"/>
      <c r="AU1003" s="244"/>
      <c r="AV1003" s="244"/>
      <c r="AW1003" s="244"/>
      <c r="AX1003" s="244"/>
      <c r="AY1003" s="244"/>
      <c r="AZ1003" s="255"/>
      <c r="BA1003" s="244"/>
      <c r="BB1003" s="244"/>
      <c r="BC1003" s="244"/>
      <c r="BD1003" s="244"/>
      <c r="BE1003" s="244"/>
      <c r="BF1003" s="244"/>
      <c r="BG1003" s="244"/>
      <c r="BH1003" s="255"/>
      <c r="BI1003" s="244"/>
      <c r="BJ1003" s="244"/>
      <c r="BK1003" s="244"/>
      <c r="BL1003" s="244"/>
      <c r="BM1003" s="244"/>
      <c r="BN1003" s="244"/>
      <c r="BO1003" s="244"/>
      <c r="BP1003" s="244"/>
      <c r="BQ1003" s="244"/>
      <c r="BR1003" s="244"/>
      <c r="BS1003" s="244"/>
      <c r="BT1003" s="244"/>
      <c r="BU1003" s="244"/>
      <c r="BV1003" s="244"/>
      <c r="BW1003" s="244"/>
      <c r="BX1003" s="244"/>
      <c r="BY1003" s="244"/>
      <c r="BZ1003" s="244"/>
      <c r="CA1003" s="244"/>
      <c r="CB1003" s="244"/>
      <c r="CC1003" s="244"/>
      <c r="CD1003" s="255"/>
      <c r="CE1003" s="244"/>
      <c r="CF1003" s="244"/>
      <c r="CG1003" s="244"/>
      <c r="CH1003" s="244"/>
      <c r="CI1003" s="244"/>
      <c r="CJ1003" s="244"/>
      <c r="CK1003" s="244"/>
      <c r="CL1003" s="244"/>
      <c r="CM1003" s="244"/>
      <c r="CN1003" s="244"/>
      <c r="CO1003" s="244"/>
      <c r="CP1003" s="244"/>
      <c r="CQ1003" s="244"/>
      <c r="CR1003" s="244"/>
      <c r="CS1003" s="244"/>
      <c r="CT1003" s="244"/>
      <c r="CU1003" s="244"/>
      <c r="CV1003" s="244"/>
      <c r="CW1003" s="255"/>
    </row>
    <row r="1004" spans="1:101">
      <c r="A1004" s="221" t="s">
        <v>561</v>
      </c>
      <c r="C1004" s="264">
        <v>53.567153930664062</v>
      </c>
      <c r="D1004" s="264">
        <v>11.336667060852051</v>
      </c>
      <c r="E1004" s="264">
        <v>2.2673335075378418</v>
      </c>
      <c r="F1004" s="264">
        <v>13.604000091552734</v>
      </c>
      <c r="G1004" s="264">
        <v>22.18016242980957</v>
      </c>
      <c r="H1004" s="264">
        <v>287.97622680664062</v>
      </c>
      <c r="I1004" s="264">
        <v>2224.70361328125</v>
      </c>
      <c r="J1004" s="264">
        <v>-47.779678344726563</v>
      </c>
      <c r="K1004" s="264">
        <v>-341.7138671875</v>
      </c>
      <c r="L1004" s="228">
        <v>12.983504166667517</v>
      </c>
      <c r="M1004" s="264">
        <v>0.74303906443300005</v>
      </c>
      <c r="N1004" s="264">
        <v>4.0536594183163048</v>
      </c>
      <c r="O1004" s="264">
        <v>3.7400970527170827</v>
      </c>
      <c r="P1004" s="264">
        <v>4.023565279980601</v>
      </c>
      <c r="Q1004" s="264">
        <v>3.612090129017667</v>
      </c>
      <c r="R1004" s="264">
        <v>3.4901461857958154</v>
      </c>
      <c r="S1004" s="264">
        <v>3.2089261903038215</v>
      </c>
      <c r="T1004" s="264">
        <v>3.247331540888613</v>
      </c>
      <c r="U1004" s="264">
        <v>3.2493072613142382</v>
      </c>
      <c r="V1004" s="264">
        <v>3.3114712584112702</v>
      </c>
      <c r="W1004" s="264">
        <v>3.4050751467264062</v>
      </c>
      <c r="X1004" s="264">
        <v>3.6284400421699443</v>
      </c>
      <c r="Y1004" s="264">
        <v>3.9757754756102206</v>
      </c>
      <c r="Z1004" s="264"/>
      <c r="AA1004" s="264">
        <v>0.8178293178526328</v>
      </c>
      <c r="AB1004" s="264">
        <v>1.1393795100057822</v>
      </c>
      <c r="AC1004" s="264">
        <v>1.0495054255452594</v>
      </c>
      <c r="AD1004" s="264">
        <v>1.1368360532202482</v>
      </c>
      <c r="AE1004" s="264">
        <v>0.84989917661396142</v>
      </c>
      <c r="AF1004" s="264">
        <v>0.70160225574507407</v>
      </c>
      <c r="AG1004" s="264">
        <v>0.86364340179738786</v>
      </c>
      <c r="AH1004" s="264">
        <v>0.7379696547209238</v>
      </c>
      <c r="AI1004" s="264">
        <v>0.71245692477969591</v>
      </c>
      <c r="AJ1004" s="264">
        <v>0.67382993719826656</v>
      </c>
      <c r="AK1004" s="264">
        <v>0.80895036924363617</v>
      </c>
      <c r="AL1004" s="264">
        <v>1.1293650886769679</v>
      </c>
      <c r="AM1004" s="244"/>
      <c r="AN1004" s="244"/>
      <c r="AO1004" s="244"/>
      <c r="AP1004" s="244"/>
      <c r="AQ1004" s="244"/>
      <c r="AR1004" s="244"/>
      <c r="AS1004" s="255"/>
      <c r="AT1004" s="244"/>
      <c r="AU1004" s="244"/>
      <c r="AV1004" s="244"/>
      <c r="AW1004" s="244"/>
      <c r="AX1004" s="244"/>
      <c r="AY1004" s="244"/>
      <c r="AZ1004" s="255"/>
      <c r="BA1004" s="244"/>
      <c r="BB1004" s="244"/>
      <c r="BC1004" s="244"/>
      <c r="BD1004" s="244"/>
      <c r="BE1004" s="244"/>
      <c r="BF1004" s="244"/>
      <c r="BG1004" s="244"/>
      <c r="BH1004" s="255"/>
      <c r="BI1004" s="244"/>
      <c r="BJ1004" s="244"/>
      <c r="BK1004" s="244"/>
      <c r="BL1004" s="244"/>
      <c r="BM1004" s="244"/>
      <c r="BN1004" s="244"/>
      <c r="BO1004" s="244"/>
      <c r="BP1004" s="244"/>
      <c r="BQ1004" s="244"/>
      <c r="BR1004" s="244"/>
      <c r="BS1004" s="244"/>
      <c r="BT1004" s="244"/>
      <c r="BU1004" s="244"/>
      <c r="BV1004" s="244"/>
      <c r="BW1004" s="244"/>
      <c r="BX1004" s="244"/>
      <c r="BY1004" s="244"/>
      <c r="BZ1004" s="244"/>
      <c r="CA1004" s="244"/>
      <c r="CB1004" s="244"/>
      <c r="CC1004" s="244"/>
      <c r="CD1004" s="255"/>
      <c r="CE1004" s="244"/>
      <c r="CF1004" s="244"/>
      <c r="CG1004" s="244"/>
      <c r="CH1004" s="244"/>
      <c r="CI1004" s="244"/>
      <c r="CJ1004" s="244"/>
      <c r="CK1004" s="244"/>
      <c r="CL1004" s="244"/>
      <c r="CM1004" s="244"/>
      <c r="CN1004" s="244"/>
      <c r="CO1004" s="244"/>
      <c r="CP1004" s="244"/>
      <c r="CQ1004" s="244"/>
      <c r="CR1004" s="244"/>
      <c r="CS1004" s="244"/>
      <c r="CT1004" s="244"/>
      <c r="CU1004" s="244"/>
      <c r="CV1004" s="244"/>
      <c r="CW1004" s="255"/>
    </row>
    <row r="1005" spans="1:101">
      <c r="A1005" s="221" t="s">
        <v>464</v>
      </c>
      <c r="C1005" s="264">
        <v>5.4661874771118164</v>
      </c>
      <c r="D1005" s="264">
        <v>8.1096944808959961</v>
      </c>
      <c r="E1005" s="264">
        <v>1.621938943862915</v>
      </c>
      <c r="F1005" s="264">
        <v>9.731633186340332</v>
      </c>
      <c r="G1005" s="264">
        <v>15.866598129272461</v>
      </c>
      <c r="H1005" s="264">
        <v>200.94033813476562</v>
      </c>
      <c r="I1005" s="264">
        <v>15595.7158203125</v>
      </c>
      <c r="J1005" s="264">
        <v>45.313259124755859</v>
      </c>
      <c r="K1005" s="264">
        <v>-2661.25048828125</v>
      </c>
      <c r="L1005" s="228">
        <v>12.664361648711843</v>
      </c>
      <c r="M1005" s="264">
        <v>0.47113695279907408</v>
      </c>
      <c r="N1005" s="264">
        <v>0.3534815204215348</v>
      </c>
      <c r="O1005" s="264">
        <v>0.31987790898816837</v>
      </c>
      <c r="P1005" s="264">
        <v>0.34723731814478676</v>
      </c>
      <c r="Q1005" s="264">
        <v>0.33603611433366459</v>
      </c>
      <c r="R1005" s="264">
        <v>0.3534815204215348</v>
      </c>
      <c r="S1005" s="264">
        <v>0.33603611433366459</v>
      </c>
      <c r="T1005" s="264">
        <v>0.3534815204215348</v>
      </c>
      <c r="U1005" s="264">
        <v>0.34723731814478676</v>
      </c>
      <c r="V1005" s="264">
        <v>0.3534815204215348</v>
      </c>
      <c r="W1005" s="264">
        <v>0.34723731814478676</v>
      </c>
      <c r="X1005" s="264">
        <v>0.34228031661041269</v>
      </c>
      <c r="Y1005" s="264">
        <v>0.3534815204215348</v>
      </c>
      <c r="Z1005" s="264"/>
      <c r="AA1005" s="264">
        <v>0.10950157043818085</v>
      </c>
      <c r="AB1005" s="264">
        <v>9.8300366627058683E-2</v>
      </c>
      <c r="AC1005" s="264">
        <v>0.11574577271492892</v>
      </c>
      <c r="AD1005" s="264">
        <v>0.11201203811122153</v>
      </c>
      <c r="AE1005" s="264">
        <v>0.10950157043818085</v>
      </c>
      <c r="AF1005" s="264">
        <v>0.11201203811122153</v>
      </c>
      <c r="AG1005" s="264">
        <v>0.10950157043818085</v>
      </c>
      <c r="AH1005" s="264">
        <v>0.11574577271492892</v>
      </c>
      <c r="AI1005" s="264">
        <v>0.10950157043818085</v>
      </c>
      <c r="AJ1005" s="264">
        <v>0.11574577271492892</v>
      </c>
      <c r="AK1005" s="264">
        <v>0.10576783583447344</v>
      </c>
      <c r="AL1005" s="264">
        <v>0.10950157043818085</v>
      </c>
      <c r="AM1005" s="244"/>
      <c r="AN1005" s="244"/>
      <c r="AO1005" s="244"/>
      <c r="AP1005" s="244"/>
      <c r="AQ1005" s="244"/>
      <c r="AR1005" s="244"/>
      <c r="AS1005" s="255"/>
      <c r="AT1005" s="244"/>
      <c r="AU1005" s="244"/>
      <c r="AV1005" s="244"/>
      <c r="AW1005" s="244"/>
      <c r="AX1005" s="244"/>
      <c r="AY1005" s="244"/>
      <c r="AZ1005" s="255"/>
      <c r="BA1005" s="244"/>
      <c r="BB1005" s="244"/>
      <c r="BC1005" s="244"/>
      <c r="BD1005" s="244"/>
      <c r="BE1005" s="244"/>
      <c r="BF1005" s="244"/>
      <c r="BG1005" s="244"/>
      <c r="BH1005" s="255"/>
      <c r="BI1005" s="244"/>
      <c r="BJ1005" s="244"/>
      <c r="BK1005" s="244"/>
      <c r="BL1005" s="244"/>
      <c r="BM1005" s="244"/>
      <c r="BN1005" s="244"/>
      <c r="BO1005" s="244"/>
      <c r="BP1005" s="244"/>
      <c r="BQ1005" s="244"/>
      <c r="BR1005" s="244"/>
      <c r="BS1005" s="244"/>
      <c r="BT1005" s="244"/>
      <c r="BU1005" s="244"/>
      <c r="BV1005" s="244"/>
      <c r="BW1005" s="244"/>
      <c r="BX1005" s="244"/>
      <c r="BY1005" s="244"/>
      <c r="BZ1005" s="244"/>
      <c r="CA1005" s="244"/>
      <c r="CB1005" s="244"/>
      <c r="CC1005" s="244"/>
      <c r="CD1005" s="255"/>
      <c r="CE1005" s="244"/>
      <c r="CF1005" s="244"/>
      <c r="CG1005" s="244"/>
      <c r="CH1005" s="244"/>
      <c r="CI1005" s="244"/>
      <c r="CJ1005" s="244"/>
      <c r="CK1005" s="244"/>
      <c r="CL1005" s="244"/>
      <c r="CM1005" s="244"/>
      <c r="CN1005" s="244"/>
      <c r="CO1005" s="244"/>
      <c r="CP1005" s="244"/>
      <c r="CQ1005" s="244"/>
      <c r="CR1005" s="244"/>
      <c r="CS1005" s="244"/>
      <c r="CT1005" s="244"/>
      <c r="CU1005" s="244"/>
      <c r="CV1005" s="244"/>
      <c r="CW1005" s="255"/>
    </row>
    <row r="1006" spans="1:101">
      <c r="A1006" s="221" t="s">
        <v>539</v>
      </c>
      <c r="C1006" s="264">
        <v>7.4784035682678223</v>
      </c>
      <c r="D1006" s="264">
        <v>11.336667060852051</v>
      </c>
      <c r="E1006" s="264">
        <v>2.2673335075378418</v>
      </c>
      <c r="F1006" s="264">
        <v>13.604000091552734</v>
      </c>
      <c r="G1006" s="264">
        <v>22.18016242980957</v>
      </c>
      <c r="H1006" s="264">
        <v>278.17327880859375</v>
      </c>
      <c r="I1006" s="264">
        <v>15935.359375</v>
      </c>
      <c r="J1006" s="264">
        <v>47.514156341552734</v>
      </c>
      <c r="K1006" s="264">
        <v>-2691.18603515625</v>
      </c>
      <c r="L1006" s="228">
        <v>12.541535308760182</v>
      </c>
      <c r="M1006" s="264">
        <v>0.68151777477665054</v>
      </c>
      <c r="N1006" s="264">
        <v>0.48360534195132387</v>
      </c>
      <c r="O1006" s="264">
        <v>0.43763154966183437</v>
      </c>
      <c r="P1006" s="264">
        <v>0.4750625203247254</v>
      </c>
      <c r="Q1006" s="264">
        <v>0.45973792289489557</v>
      </c>
      <c r="R1006" s="264">
        <v>0.48360534195132387</v>
      </c>
      <c r="S1006" s="264">
        <v>0.45973792289489557</v>
      </c>
      <c r="T1006" s="264">
        <v>0.48360534195132387</v>
      </c>
      <c r="U1006" s="264">
        <v>0.4750625203247254</v>
      </c>
      <c r="V1006" s="264">
        <v>0.48360534195132387</v>
      </c>
      <c r="W1006" s="264">
        <v>0.4750625203247254</v>
      </c>
      <c r="X1006" s="264">
        <v>0.46828074452149404</v>
      </c>
      <c r="Y1006" s="264">
        <v>0.48360534195132387</v>
      </c>
      <c r="Z1006" s="264"/>
      <c r="AA1006" s="264">
        <v>0.14981135181497668</v>
      </c>
      <c r="AB1006" s="264">
        <v>0.13448675438514682</v>
      </c>
      <c r="AC1006" s="264">
        <v>0.15835417344157515</v>
      </c>
      <c r="AD1006" s="264">
        <v>0.1532459742982985</v>
      </c>
      <c r="AE1006" s="264">
        <v>0.14981135181497668</v>
      </c>
      <c r="AF1006" s="264">
        <v>0.1532459742982985</v>
      </c>
      <c r="AG1006" s="264">
        <v>0.14981135181497668</v>
      </c>
      <c r="AH1006" s="264">
        <v>0.15835417344157515</v>
      </c>
      <c r="AI1006" s="264">
        <v>0.14981135181497668</v>
      </c>
      <c r="AJ1006" s="264">
        <v>0.15835417344157515</v>
      </c>
      <c r="AK1006" s="264">
        <v>0.14470315267170006</v>
      </c>
      <c r="AL1006" s="264">
        <v>0.14981135181497668</v>
      </c>
      <c r="AM1006" s="244"/>
      <c r="AN1006" s="244"/>
      <c r="AO1006" s="244"/>
      <c r="AP1006" s="244"/>
      <c r="AQ1006" s="244"/>
      <c r="AR1006" s="244"/>
      <c r="AS1006" s="255"/>
      <c r="AT1006" s="244"/>
      <c r="AU1006" s="244"/>
      <c r="AV1006" s="244"/>
      <c r="AW1006" s="244"/>
      <c r="AX1006" s="244"/>
      <c r="AY1006" s="244"/>
      <c r="AZ1006" s="255"/>
      <c r="BA1006" s="244"/>
      <c r="BB1006" s="244"/>
      <c r="BC1006" s="244"/>
      <c r="BD1006" s="244"/>
      <c r="BE1006" s="244"/>
      <c r="BF1006" s="244"/>
      <c r="BG1006" s="244"/>
      <c r="BH1006" s="255"/>
      <c r="BI1006" s="244"/>
      <c r="BJ1006" s="244"/>
      <c r="BK1006" s="244"/>
      <c r="BL1006" s="244"/>
      <c r="BM1006" s="244"/>
      <c r="BN1006" s="244"/>
      <c r="BO1006" s="244"/>
      <c r="BP1006" s="244"/>
      <c r="BQ1006" s="244"/>
      <c r="BR1006" s="244"/>
      <c r="BS1006" s="244"/>
      <c r="BT1006" s="244"/>
      <c r="BU1006" s="244"/>
      <c r="BV1006" s="244"/>
      <c r="BW1006" s="244"/>
      <c r="BX1006" s="244"/>
      <c r="BY1006" s="244"/>
      <c r="BZ1006" s="244"/>
      <c r="CA1006" s="244"/>
      <c r="CB1006" s="244"/>
      <c r="CC1006" s="244"/>
      <c r="CD1006" s="255"/>
      <c r="CE1006" s="244"/>
      <c r="CF1006" s="244"/>
      <c r="CG1006" s="244"/>
      <c r="CH1006" s="244"/>
      <c r="CI1006" s="244"/>
      <c r="CJ1006" s="244"/>
      <c r="CK1006" s="244"/>
      <c r="CL1006" s="244"/>
      <c r="CM1006" s="244"/>
      <c r="CN1006" s="244"/>
      <c r="CO1006" s="244"/>
      <c r="CP1006" s="244"/>
      <c r="CQ1006" s="244"/>
      <c r="CR1006" s="244"/>
      <c r="CS1006" s="244"/>
      <c r="CT1006" s="244"/>
      <c r="CU1006" s="244"/>
      <c r="CV1006" s="244"/>
      <c r="CW1006" s="255"/>
    </row>
    <row r="1007" spans="1:101">
      <c r="A1007" s="221" t="s">
        <v>452</v>
      </c>
      <c r="C1007" s="264">
        <v>7.2882499694824219</v>
      </c>
      <c r="D1007" s="264">
        <v>11.336667060852051</v>
      </c>
      <c r="E1007" s="264">
        <v>2.2673335075378418</v>
      </c>
      <c r="F1007" s="264">
        <v>13.604000091552734</v>
      </c>
      <c r="G1007" s="264">
        <v>22.18016242980957</v>
      </c>
      <c r="H1007" s="264">
        <v>270.65988159179687</v>
      </c>
      <c r="I1007" s="264">
        <v>16351.119140625</v>
      </c>
      <c r="J1007" s="264">
        <v>50.208305358886719</v>
      </c>
      <c r="K1007" s="264">
        <v>-2680.12939453125</v>
      </c>
      <c r="L1007" s="228">
        <v>12.202791392272765</v>
      </c>
      <c r="M1007" s="264">
        <v>0.65920332765438117</v>
      </c>
      <c r="N1007" s="264">
        <v>0.47130869389537933</v>
      </c>
      <c r="O1007" s="264">
        <v>0.4265038786508909</v>
      </c>
      <c r="P1007" s="264">
        <v>0.46298309085971523</v>
      </c>
      <c r="Q1007" s="264">
        <v>0.44804815244488572</v>
      </c>
      <c r="R1007" s="264">
        <v>0.47130869389537933</v>
      </c>
      <c r="S1007" s="264">
        <v>0.44804815244488572</v>
      </c>
      <c r="T1007" s="264">
        <v>0.47130869389537933</v>
      </c>
      <c r="U1007" s="264">
        <v>0.46298309085971523</v>
      </c>
      <c r="V1007" s="264">
        <v>0.47130869389537933</v>
      </c>
      <c r="W1007" s="264">
        <v>0.46298309085971523</v>
      </c>
      <c r="X1007" s="264">
        <v>0.45637375548054981</v>
      </c>
      <c r="Y1007" s="264">
        <v>0.47130869389537933</v>
      </c>
      <c r="Z1007" s="264"/>
      <c r="AA1007" s="264">
        <v>0.14600209391757432</v>
      </c>
      <c r="AB1007" s="264">
        <v>0.13106715550274478</v>
      </c>
      <c r="AC1007" s="264">
        <v>0.15432769695323845</v>
      </c>
      <c r="AD1007" s="264">
        <v>0.14934938414829524</v>
      </c>
      <c r="AE1007" s="264">
        <v>0.14600209391757432</v>
      </c>
      <c r="AF1007" s="264">
        <v>0.14934938414829524</v>
      </c>
      <c r="AG1007" s="264">
        <v>0.14600209391757432</v>
      </c>
      <c r="AH1007" s="264">
        <v>0.15432769695323845</v>
      </c>
      <c r="AI1007" s="264">
        <v>0.14600209391757432</v>
      </c>
      <c r="AJ1007" s="264">
        <v>0.15432769695323845</v>
      </c>
      <c r="AK1007" s="264">
        <v>0.14102378111263114</v>
      </c>
      <c r="AL1007" s="264">
        <v>0.14600209391757432</v>
      </c>
      <c r="AM1007" s="244"/>
      <c r="AN1007" s="244"/>
      <c r="AO1007" s="244"/>
      <c r="AP1007" s="244"/>
      <c r="AQ1007" s="244"/>
      <c r="AR1007" s="244"/>
      <c r="AS1007" s="255"/>
      <c r="AT1007" s="244"/>
      <c r="AU1007" s="244"/>
      <c r="AV1007" s="244"/>
      <c r="AW1007" s="244"/>
      <c r="AX1007" s="244"/>
      <c r="AY1007" s="244"/>
      <c r="AZ1007" s="255"/>
      <c r="BA1007" s="244"/>
      <c r="BB1007" s="244"/>
      <c r="BC1007" s="244"/>
      <c r="BD1007" s="244"/>
      <c r="BE1007" s="244"/>
      <c r="BF1007" s="244"/>
      <c r="BG1007" s="244"/>
      <c r="BH1007" s="255"/>
      <c r="BI1007" s="244"/>
      <c r="BJ1007" s="244"/>
      <c r="BK1007" s="244"/>
      <c r="BL1007" s="244"/>
      <c r="BM1007" s="244"/>
      <c r="BN1007" s="244"/>
      <c r="BO1007" s="244"/>
      <c r="BP1007" s="244"/>
      <c r="BQ1007" s="244"/>
      <c r="BR1007" s="244"/>
      <c r="BS1007" s="244"/>
      <c r="BT1007" s="244"/>
      <c r="BU1007" s="244"/>
      <c r="BV1007" s="244"/>
      <c r="BW1007" s="244"/>
      <c r="BX1007" s="244"/>
      <c r="BY1007" s="244"/>
      <c r="BZ1007" s="244"/>
      <c r="CA1007" s="244"/>
      <c r="CB1007" s="244"/>
      <c r="CC1007" s="244"/>
      <c r="CD1007" s="255"/>
      <c r="CE1007" s="244"/>
      <c r="CF1007" s="244"/>
      <c r="CG1007" s="244"/>
      <c r="CH1007" s="244"/>
      <c r="CI1007" s="244"/>
      <c r="CJ1007" s="244"/>
      <c r="CK1007" s="244"/>
      <c r="CL1007" s="244"/>
      <c r="CM1007" s="244"/>
      <c r="CN1007" s="244"/>
      <c r="CO1007" s="244"/>
      <c r="CP1007" s="244"/>
      <c r="CQ1007" s="244"/>
      <c r="CR1007" s="244"/>
      <c r="CS1007" s="244"/>
      <c r="CT1007" s="244"/>
      <c r="CU1007" s="244"/>
      <c r="CV1007" s="244"/>
      <c r="CW1007" s="255"/>
    </row>
    <row r="1008" spans="1:101">
      <c r="A1008" s="221" t="s">
        <v>544</v>
      </c>
      <c r="C1008" s="264">
        <v>68.370735168457031</v>
      </c>
      <c r="D1008" s="264">
        <v>8.1096944808959961</v>
      </c>
      <c r="E1008" s="264">
        <v>1.621938943862915</v>
      </c>
      <c r="F1008" s="264">
        <v>9.731633186340332</v>
      </c>
      <c r="G1008" s="264">
        <v>15.866598129272461</v>
      </c>
      <c r="H1008" s="264">
        <v>192.70637512207031</v>
      </c>
      <c r="I1008" s="264">
        <v>1246.865478515625</v>
      </c>
      <c r="J1008" s="264">
        <v>-54.631755828857422</v>
      </c>
      <c r="K1008" s="264">
        <v>-151.03480529785156</v>
      </c>
      <c r="L1008" s="228">
        <v>12.145412117328831</v>
      </c>
      <c r="M1008" s="264">
        <v>0.51606356884041438</v>
      </c>
      <c r="N1008" s="264">
        <v>5.2340936443625479</v>
      </c>
      <c r="O1008" s="264">
        <v>4.8354834891097953</v>
      </c>
      <c r="P1008" s="264">
        <v>5.1988568433094713</v>
      </c>
      <c r="Q1008" s="264">
        <v>4.6428738616458087</v>
      </c>
      <c r="R1008" s="264">
        <v>4.4573340864630282</v>
      </c>
      <c r="S1008" s="264">
        <v>4.0871434462380236</v>
      </c>
      <c r="T1008" s="264">
        <v>4.1226328135469759</v>
      </c>
      <c r="U1008" s="264">
        <v>4.1316018409922473</v>
      </c>
      <c r="V1008" s="264">
        <v>4.2110444705436691</v>
      </c>
      <c r="W1008" s="264">
        <v>4.3463158651270728</v>
      </c>
      <c r="X1008" s="264">
        <v>4.6591653076281645</v>
      </c>
      <c r="Y1008" s="264">
        <v>5.1267366322951338</v>
      </c>
      <c r="Z1008" s="264"/>
      <c r="AA1008" s="264">
        <v>1.0177877369564658</v>
      </c>
      <c r="AB1008" s="264">
        <v>1.4722236923978671</v>
      </c>
      <c r="AC1008" s="264">
        <v>1.3308897457134341</v>
      </c>
      <c r="AD1008" s="264">
        <v>1.4550028846473055</v>
      </c>
      <c r="AE1008" s="264">
        <v>1.0619935654548123</v>
      </c>
      <c r="AF1008" s="264">
        <v>0.85506664074117367</v>
      </c>
      <c r="AG1008" s="264">
        <v>1.0809389205255322</v>
      </c>
      <c r="AH1008" s="264">
        <v>0.90146169744378168</v>
      </c>
      <c r="AI1008" s="264">
        <v>0.87254001474761278</v>
      </c>
      <c r="AJ1008" s="264">
        <v>0.81305004044708851</v>
      </c>
      <c r="AK1008" s="264">
        <v>1.0092833903952978</v>
      </c>
      <c r="AL1008" s="264">
        <v>1.4472157852261183</v>
      </c>
      <c r="AM1008" s="244"/>
      <c r="AN1008" s="244"/>
      <c r="AO1008" s="244"/>
      <c r="AP1008" s="244"/>
      <c r="AQ1008" s="244"/>
      <c r="AR1008" s="244"/>
      <c r="AS1008" s="255"/>
      <c r="AT1008" s="244"/>
      <c r="AU1008" s="244"/>
      <c r="AV1008" s="244"/>
      <c r="AW1008" s="244"/>
      <c r="AX1008" s="244"/>
      <c r="AY1008" s="244"/>
      <c r="AZ1008" s="255"/>
      <c r="BA1008" s="244"/>
      <c r="BB1008" s="244"/>
      <c r="BC1008" s="244"/>
      <c r="BD1008" s="244"/>
      <c r="BE1008" s="244"/>
      <c r="BF1008" s="244"/>
      <c r="BG1008" s="244"/>
      <c r="BH1008" s="255"/>
      <c r="BI1008" s="244"/>
      <c r="BJ1008" s="244"/>
      <c r="BK1008" s="244"/>
      <c r="BL1008" s="244"/>
      <c r="BM1008" s="244"/>
      <c r="BN1008" s="244"/>
      <c r="BO1008" s="244"/>
      <c r="BP1008" s="244"/>
      <c r="BQ1008" s="244"/>
      <c r="BR1008" s="244"/>
      <c r="BS1008" s="244"/>
      <c r="BT1008" s="244"/>
      <c r="BU1008" s="244"/>
      <c r="BV1008" s="244"/>
      <c r="BW1008" s="244"/>
      <c r="BX1008" s="244"/>
      <c r="BY1008" s="244"/>
      <c r="BZ1008" s="244"/>
      <c r="CA1008" s="244"/>
      <c r="CB1008" s="244"/>
      <c r="CC1008" s="244"/>
      <c r="CD1008" s="255"/>
      <c r="CE1008" s="244"/>
      <c r="CF1008" s="244"/>
      <c r="CG1008" s="244"/>
      <c r="CH1008" s="244"/>
      <c r="CI1008" s="244"/>
      <c r="CJ1008" s="244"/>
      <c r="CK1008" s="244"/>
      <c r="CL1008" s="244"/>
      <c r="CM1008" s="244"/>
      <c r="CN1008" s="244"/>
      <c r="CO1008" s="244"/>
      <c r="CP1008" s="244"/>
      <c r="CQ1008" s="244"/>
      <c r="CR1008" s="244"/>
      <c r="CS1008" s="244"/>
      <c r="CT1008" s="244"/>
      <c r="CU1008" s="244"/>
      <c r="CV1008" s="244"/>
      <c r="CW1008" s="255"/>
    </row>
    <row r="1009" spans="1:101">
      <c r="A1009" s="221" t="s">
        <v>570</v>
      </c>
      <c r="C1009" s="264">
        <v>35.711433410644531</v>
      </c>
      <c r="D1009" s="264">
        <v>8.1096944808959961</v>
      </c>
      <c r="E1009" s="264">
        <v>1.621938943862915</v>
      </c>
      <c r="F1009" s="264">
        <v>9.731633186340332</v>
      </c>
      <c r="G1009" s="264">
        <v>15.866598129272461</v>
      </c>
      <c r="H1009" s="264">
        <v>191.98414611816406</v>
      </c>
      <c r="I1009" s="264">
        <v>2387.165771484375</v>
      </c>
      <c r="J1009" s="264">
        <v>-46.726913452148438</v>
      </c>
      <c r="K1009" s="264">
        <v>-339.28759765625</v>
      </c>
      <c r="L1009" s="228">
        <v>12.099893286690444</v>
      </c>
      <c r="M1009" s="264">
        <v>0.49535937628866566</v>
      </c>
      <c r="N1009" s="264">
        <v>2.7024396122108687</v>
      </c>
      <c r="O1009" s="264">
        <v>2.4933980351447209</v>
      </c>
      <c r="P1009" s="264">
        <v>2.6823768533203989</v>
      </c>
      <c r="Q1009" s="264">
        <v>2.4080600860117771</v>
      </c>
      <c r="R1009" s="264">
        <v>2.3267641238638759</v>
      </c>
      <c r="S1009" s="264">
        <v>2.1392841268692133</v>
      </c>
      <c r="T1009" s="264">
        <v>2.1648876939257411</v>
      </c>
      <c r="U1009" s="264">
        <v>2.1662048408761576</v>
      </c>
      <c r="V1009" s="264">
        <v>2.2076475056075124</v>
      </c>
      <c r="W1009" s="264">
        <v>2.2700500978176028</v>
      </c>
      <c r="X1009" s="264">
        <v>2.418960028113295</v>
      </c>
      <c r="Y1009" s="264">
        <v>2.6505169837401459</v>
      </c>
      <c r="Z1009" s="264"/>
      <c r="AA1009" s="264">
        <v>0.54521954523508831</v>
      </c>
      <c r="AB1009" s="264">
        <v>0.7595863400038545</v>
      </c>
      <c r="AC1009" s="264">
        <v>0.69967028369683915</v>
      </c>
      <c r="AD1009" s="264">
        <v>0.75789070214683185</v>
      </c>
      <c r="AE1009" s="264">
        <v>0.56659945107597398</v>
      </c>
      <c r="AF1009" s="264">
        <v>0.4677348371633826</v>
      </c>
      <c r="AG1009" s="264">
        <v>0.57576226786492501</v>
      </c>
      <c r="AH1009" s="264">
        <v>0.49197976981394897</v>
      </c>
      <c r="AI1009" s="264">
        <v>0.47497128318646364</v>
      </c>
      <c r="AJ1009" s="264">
        <v>0.44921995813217752</v>
      </c>
      <c r="AK1009" s="264">
        <v>0.53930024616242389</v>
      </c>
      <c r="AL1009" s="264">
        <v>0.75291005911797826</v>
      </c>
      <c r="AM1009" s="244"/>
      <c r="AN1009" s="244"/>
      <c r="AO1009" s="244"/>
      <c r="AP1009" s="244"/>
      <c r="AQ1009" s="244"/>
      <c r="AR1009" s="244"/>
      <c r="AS1009" s="255"/>
      <c r="AT1009" s="244"/>
      <c r="AU1009" s="244"/>
      <c r="AV1009" s="244"/>
      <c r="AW1009" s="244"/>
      <c r="AX1009" s="244"/>
      <c r="AY1009" s="244"/>
      <c r="AZ1009" s="255"/>
      <c r="BA1009" s="244"/>
      <c r="BB1009" s="244"/>
      <c r="BC1009" s="244"/>
      <c r="BD1009" s="244"/>
      <c r="BE1009" s="244"/>
      <c r="BF1009" s="244"/>
      <c r="BG1009" s="244"/>
      <c r="BH1009" s="255"/>
      <c r="BI1009" s="244"/>
      <c r="BJ1009" s="244"/>
      <c r="BK1009" s="244"/>
      <c r="BL1009" s="244"/>
      <c r="BM1009" s="244"/>
      <c r="BN1009" s="244"/>
      <c r="BO1009" s="244"/>
      <c r="BP1009" s="244"/>
      <c r="BQ1009" s="244"/>
      <c r="BR1009" s="244"/>
      <c r="BS1009" s="244"/>
      <c r="BT1009" s="244"/>
      <c r="BU1009" s="244"/>
      <c r="BV1009" s="244"/>
      <c r="BW1009" s="244"/>
      <c r="BX1009" s="244"/>
      <c r="BY1009" s="244"/>
      <c r="BZ1009" s="244"/>
      <c r="CA1009" s="244"/>
      <c r="CB1009" s="244"/>
      <c r="CC1009" s="244"/>
      <c r="CD1009" s="255"/>
      <c r="CE1009" s="244"/>
      <c r="CF1009" s="244"/>
      <c r="CG1009" s="244"/>
      <c r="CH1009" s="244"/>
      <c r="CI1009" s="244"/>
      <c r="CJ1009" s="244"/>
      <c r="CK1009" s="244"/>
      <c r="CL1009" s="244"/>
      <c r="CM1009" s="244"/>
      <c r="CN1009" s="244"/>
      <c r="CO1009" s="244"/>
      <c r="CP1009" s="244"/>
      <c r="CQ1009" s="244"/>
      <c r="CR1009" s="244"/>
      <c r="CS1009" s="244"/>
      <c r="CT1009" s="244"/>
      <c r="CU1009" s="244"/>
      <c r="CV1009" s="244"/>
      <c r="CW1009" s="255"/>
    </row>
    <row r="1010" spans="1:101">
      <c r="A1010" s="221" t="s">
        <v>508</v>
      </c>
      <c r="C1010" s="264">
        <v>94.412574768066406</v>
      </c>
      <c r="D1010" s="264">
        <v>11.336667060852051</v>
      </c>
      <c r="E1010" s="264">
        <v>2.2673335075378418</v>
      </c>
      <c r="F1010" s="264">
        <v>13.604000091552734</v>
      </c>
      <c r="G1010" s="264">
        <v>22.18016242980957</v>
      </c>
      <c r="H1010" s="264">
        <v>266.10662841796875</v>
      </c>
      <c r="I1010" s="264">
        <v>1262.2369384765625</v>
      </c>
      <c r="J1010" s="264">
        <v>-54.532150268554687</v>
      </c>
      <c r="K1010" s="264">
        <v>-150.80523681640625</v>
      </c>
      <c r="L1010" s="228">
        <v>11.997506189942913</v>
      </c>
      <c r="M1010" s="264">
        <v>0.71262788688262868</v>
      </c>
      <c r="N1010" s="264">
        <v>7.2277163487998894</v>
      </c>
      <c r="O1010" s="264">
        <v>6.6772789031456572</v>
      </c>
      <c r="P1010" s="264">
        <v>7.1790581435106056</v>
      </c>
      <c r="Q1010" s="264">
        <v>6.4113058717198381</v>
      </c>
      <c r="R1010" s="264">
        <v>6.1550955404649503</v>
      </c>
      <c r="S1010" s="264">
        <v>5.6439023665696384</v>
      </c>
      <c r="T1010" s="264">
        <v>5.6929093384994882</v>
      </c>
      <c r="U1010" s="264">
        <v>5.705294593847154</v>
      </c>
      <c r="V1010" s="264">
        <v>5.814996259773384</v>
      </c>
      <c r="W1010" s="264">
        <v>6.0017914026551864</v>
      </c>
      <c r="X1010" s="264">
        <v>6.4338025938790011</v>
      </c>
      <c r="Y1010" s="264">
        <v>7.0794679443958728</v>
      </c>
      <c r="Z1010" s="264"/>
      <c r="AA1010" s="264">
        <v>1.4054546146554856</v>
      </c>
      <c r="AB1010" s="264">
        <v>2.032981443137809</v>
      </c>
      <c r="AC1010" s="264">
        <v>1.8378145725198687</v>
      </c>
      <c r="AD1010" s="264">
        <v>2.0092013730482465</v>
      </c>
      <c r="AE1010" s="264">
        <v>1.466498075292433</v>
      </c>
      <c r="AF1010" s="264">
        <v>1.1807544072610985</v>
      </c>
      <c r="AG1010" s="264">
        <v>1.4926595584225533</v>
      </c>
      <c r="AH1010" s="264">
        <v>1.2448209549038043</v>
      </c>
      <c r="AI1010" s="264">
        <v>1.2048832439912285</v>
      </c>
      <c r="AJ1010" s="264">
        <v>1.122734033629909</v>
      </c>
      <c r="AK1010" s="264">
        <v>1.3937110332730205</v>
      </c>
      <c r="AL1010" s="264">
        <v>1.9984482322715493</v>
      </c>
      <c r="AM1010" s="244"/>
      <c r="AN1010" s="244"/>
      <c r="AO1010" s="244"/>
      <c r="AP1010" s="244"/>
      <c r="AQ1010" s="244"/>
      <c r="AR1010" s="244"/>
      <c r="AS1010" s="255"/>
      <c r="AT1010" s="244"/>
      <c r="AU1010" s="244"/>
      <c r="AV1010" s="244"/>
      <c r="AW1010" s="244"/>
      <c r="AX1010" s="244"/>
      <c r="AY1010" s="244"/>
      <c r="AZ1010" s="255"/>
      <c r="BA1010" s="244"/>
      <c r="BB1010" s="244"/>
      <c r="BC1010" s="244"/>
      <c r="BD1010" s="244"/>
      <c r="BE1010" s="244"/>
      <c r="BF1010" s="244"/>
      <c r="BG1010" s="244"/>
      <c r="BH1010" s="255"/>
      <c r="BI1010" s="244"/>
      <c r="BJ1010" s="244"/>
      <c r="BK1010" s="244"/>
      <c r="BL1010" s="244"/>
      <c r="BM1010" s="244"/>
      <c r="BN1010" s="244"/>
      <c r="BO1010" s="244"/>
      <c r="BP1010" s="244"/>
      <c r="BQ1010" s="244"/>
      <c r="BR1010" s="244"/>
      <c r="BS1010" s="244"/>
      <c r="BT1010" s="244"/>
      <c r="BU1010" s="244"/>
      <c r="BV1010" s="244"/>
      <c r="BW1010" s="244"/>
      <c r="BX1010" s="244"/>
      <c r="BY1010" s="244"/>
      <c r="BZ1010" s="244"/>
      <c r="CA1010" s="244"/>
      <c r="CB1010" s="244"/>
      <c r="CC1010" s="244"/>
      <c r="CD1010" s="255"/>
      <c r="CE1010" s="244"/>
      <c r="CF1010" s="244"/>
      <c r="CG1010" s="244"/>
      <c r="CH1010" s="244"/>
      <c r="CI1010" s="244"/>
      <c r="CJ1010" s="244"/>
      <c r="CK1010" s="244"/>
      <c r="CL1010" s="244"/>
      <c r="CM1010" s="244"/>
      <c r="CN1010" s="244"/>
      <c r="CO1010" s="244"/>
      <c r="CP1010" s="244"/>
      <c r="CQ1010" s="244"/>
      <c r="CR1010" s="244"/>
      <c r="CS1010" s="244"/>
      <c r="CT1010" s="244"/>
      <c r="CU1010" s="244"/>
      <c r="CV1010" s="244"/>
      <c r="CW1010" s="255"/>
    </row>
    <row r="1011" spans="1:101">
      <c r="A1011" s="221" t="s">
        <v>532</v>
      </c>
      <c r="C1011" s="264">
        <v>95.865562438964844</v>
      </c>
      <c r="D1011" s="264">
        <v>11.336667060852051</v>
      </c>
      <c r="E1011" s="264">
        <v>2.2673335075378418</v>
      </c>
      <c r="F1011" s="264">
        <v>13.604000091552734</v>
      </c>
      <c r="G1011" s="264">
        <v>22.18016242980957</v>
      </c>
      <c r="H1011" s="264">
        <v>263.95449829101562</v>
      </c>
      <c r="I1011" s="264">
        <v>1243.1058349609375</v>
      </c>
      <c r="J1011" s="264">
        <v>-54.672924041748047</v>
      </c>
      <c r="K1011" s="264">
        <v>-145.85945129394531</v>
      </c>
      <c r="L1011" s="228">
        <v>11.900477243225412</v>
      </c>
      <c r="M1011" s="264">
        <v>0.72358682040174349</v>
      </c>
      <c r="N1011" s="264">
        <v>7.3416989026630421</v>
      </c>
      <c r="O1011" s="264">
        <v>6.7828638682588966</v>
      </c>
      <c r="P1011" s="264">
        <v>7.2924369323089007</v>
      </c>
      <c r="Q1011" s="264">
        <v>6.5114617903599932</v>
      </c>
      <c r="R1011" s="264">
        <v>6.2499420959593754</v>
      </c>
      <c r="S1011" s="264">
        <v>5.7303674896289154</v>
      </c>
      <c r="T1011" s="264">
        <v>5.7795103012008848</v>
      </c>
      <c r="U1011" s="264">
        <v>5.7923808320412622</v>
      </c>
      <c r="V1011" s="264">
        <v>5.9037753035899199</v>
      </c>
      <c r="W1011" s="264">
        <v>6.0941672664146331</v>
      </c>
      <c r="X1011" s="264">
        <v>6.5340955459164842</v>
      </c>
      <c r="Y1011" s="264">
        <v>7.1908056854763558</v>
      </c>
      <c r="Z1011" s="264"/>
      <c r="AA1011" s="264">
        <v>1.4258932982331518</v>
      </c>
      <c r="AB1011" s="264">
        <v>2.0650896121589324</v>
      </c>
      <c r="AC1011" s="264">
        <v>1.8657024189528313</v>
      </c>
      <c r="AD1011" s="264">
        <v>2.040304879998152</v>
      </c>
      <c r="AE1011" s="264">
        <v>1.4880257994276691</v>
      </c>
      <c r="AF1011" s="264">
        <v>1.1970780780725561</v>
      </c>
      <c r="AG1011" s="264">
        <v>1.5146540142253193</v>
      </c>
      <c r="AH1011" s="264">
        <v>1.2621295502060887</v>
      </c>
      <c r="AI1011" s="264">
        <v>1.2217436514511653</v>
      </c>
      <c r="AJ1011" s="264">
        <v>1.1378645478170537</v>
      </c>
      <c r="AK1011" s="264">
        <v>1.4140982556949198</v>
      </c>
      <c r="AL1011" s="264">
        <v>2.0294661669798941</v>
      </c>
      <c r="AM1011" s="244"/>
      <c r="AN1011" s="244"/>
      <c r="AO1011" s="244"/>
      <c r="AP1011" s="244"/>
      <c r="AQ1011" s="244"/>
      <c r="AR1011" s="244"/>
      <c r="AS1011" s="255"/>
      <c r="AT1011" s="244"/>
      <c r="AU1011" s="244"/>
      <c r="AV1011" s="244"/>
      <c r="AW1011" s="244"/>
      <c r="AX1011" s="244"/>
      <c r="AY1011" s="244"/>
      <c r="AZ1011" s="255"/>
      <c r="BA1011" s="244"/>
      <c r="BB1011" s="244"/>
      <c r="BC1011" s="244"/>
      <c r="BD1011" s="244"/>
      <c r="BE1011" s="244"/>
      <c r="BF1011" s="244"/>
      <c r="BG1011" s="244"/>
      <c r="BH1011" s="255"/>
      <c r="BI1011" s="244"/>
      <c r="BJ1011" s="244"/>
      <c r="BK1011" s="244"/>
      <c r="BL1011" s="244"/>
      <c r="BM1011" s="244"/>
      <c r="BN1011" s="244"/>
      <c r="BO1011" s="244"/>
      <c r="BP1011" s="244"/>
      <c r="BQ1011" s="244"/>
      <c r="BR1011" s="244"/>
      <c r="BS1011" s="244"/>
      <c r="BT1011" s="244"/>
      <c r="BU1011" s="244"/>
      <c r="BV1011" s="244"/>
      <c r="BW1011" s="244"/>
      <c r="BX1011" s="244"/>
      <c r="BY1011" s="244"/>
      <c r="BZ1011" s="244"/>
      <c r="CA1011" s="244"/>
      <c r="CB1011" s="244"/>
      <c r="CC1011" s="244"/>
      <c r="CD1011" s="255"/>
      <c r="CE1011" s="244"/>
      <c r="CF1011" s="244"/>
      <c r="CG1011" s="244"/>
      <c r="CH1011" s="244"/>
      <c r="CI1011" s="244"/>
      <c r="CJ1011" s="244"/>
      <c r="CK1011" s="244"/>
      <c r="CL1011" s="244"/>
      <c r="CM1011" s="244"/>
      <c r="CN1011" s="244"/>
      <c r="CO1011" s="244"/>
      <c r="CP1011" s="244"/>
      <c r="CQ1011" s="244"/>
      <c r="CR1011" s="244"/>
      <c r="CS1011" s="244"/>
      <c r="CT1011" s="244"/>
      <c r="CU1011" s="244"/>
      <c r="CV1011" s="244"/>
      <c r="CW1011" s="255"/>
    </row>
    <row r="1012" spans="1:101">
      <c r="A1012" s="221" t="s">
        <v>563</v>
      </c>
      <c r="C1012" s="264">
        <v>7.0780487060546875</v>
      </c>
      <c r="D1012" s="264">
        <v>11.336667060852051</v>
      </c>
      <c r="E1012" s="264">
        <v>2.2673335075378418</v>
      </c>
      <c r="F1012" s="264">
        <v>13.604000091552734</v>
      </c>
      <c r="G1012" s="264">
        <v>22.18016242980957</v>
      </c>
      <c r="H1012" s="264">
        <v>260.19329833984375</v>
      </c>
      <c r="I1012" s="264">
        <v>16836.708984375</v>
      </c>
      <c r="J1012" s="264">
        <v>53.354946136474609</v>
      </c>
      <c r="K1012" s="264">
        <v>-2642.716064453125</v>
      </c>
      <c r="L1012" s="228">
        <v>11.730901858405527</v>
      </c>
      <c r="M1012" s="264">
        <v>0.61006512061391294</v>
      </c>
      <c r="N1012" s="264">
        <v>0.45771562835301627</v>
      </c>
      <c r="O1012" s="264">
        <v>0.41420303368098976</v>
      </c>
      <c r="P1012" s="264">
        <v>0.44963014494427467</v>
      </c>
      <c r="Q1012" s="264">
        <v>0.43512594672026578</v>
      </c>
      <c r="R1012" s="264">
        <v>0.45771562835301627</v>
      </c>
      <c r="S1012" s="264">
        <v>0.43512594672026578</v>
      </c>
      <c r="T1012" s="264">
        <v>0.45771562835301627</v>
      </c>
      <c r="U1012" s="264">
        <v>0.44963014494427467</v>
      </c>
      <c r="V1012" s="264">
        <v>0.45771562835301627</v>
      </c>
      <c r="W1012" s="264">
        <v>0.44963014494427467</v>
      </c>
      <c r="X1012" s="264">
        <v>0.44321143012900743</v>
      </c>
      <c r="Y1012" s="264">
        <v>0.45771562835301627</v>
      </c>
      <c r="Z1012" s="264"/>
      <c r="AA1012" s="264">
        <v>0.14179123157268328</v>
      </c>
      <c r="AB1012" s="264">
        <v>0.12728703334867442</v>
      </c>
      <c r="AC1012" s="264">
        <v>0.14987671498142488</v>
      </c>
      <c r="AD1012" s="264">
        <v>0.14504198224008857</v>
      </c>
      <c r="AE1012" s="264">
        <v>0.14179123157268328</v>
      </c>
      <c r="AF1012" s="264">
        <v>0.14504198224008857</v>
      </c>
      <c r="AG1012" s="264">
        <v>0.14179123157268328</v>
      </c>
      <c r="AH1012" s="264">
        <v>0.14987671498142488</v>
      </c>
      <c r="AI1012" s="264">
        <v>0.14179123157268328</v>
      </c>
      <c r="AJ1012" s="264">
        <v>0.14987671498142488</v>
      </c>
      <c r="AK1012" s="264">
        <v>0.13695649883134697</v>
      </c>
      <c r="AL1012" s="264">
        <v>0.14179123157268328</v>
      </c>
      <c r="AM1012" s="244"/>
      <c r="AN1012" s="244"/>
      <c r="AO1012" s="244"/>
      <c r="AP1012" s="244"/>
      <c r="AQ1012" s="244"/>
      <c r="AR1012" s="244"/>
      <c r="AS1012" s="255"/>
      <c r="AT1012" s="244"/>
      <c r="AU1012" s="244"/>
      <c r="AV1012" s="244"/>
      <c r="AW1012" s="244"/>
      <c r="AX1012" s="244"/>
      <c r="AY1012" s="244"/>
      <c r="AZ1012" s="255"/>
      <c r="BA1012" s="244"/>
      <c r="BB1012" s="244"/>
      <c r="BC1012" s="244"/>
      <c r="BD1012" s="244"/>
      <c r="BE1012" s="244"/>
      <c r="BF1012" s="244"/>
      <c r="BG1012" s="244"/>
      <c r="BH1012" s="255"/>
      <c r="BI1012" s="244"/>
      <c r="BJ1012" s="244"/>
      <c r="BK1012" s="244"/>
      <c r="BL1012" s="244"/>
      <c r="BM1012" s="244"/>
      <c r="BN1012" s="244"/>
      <c r="BO1012" s="244"/>
      <c r="BP1012" s="244"/>
      <c r="BQ1012" s="244"/>
      <c r="BR1012" s="244"/>
      <c r="BS1012" s="244"/>
      <c r="BT1012" s="244"/>
      <c r="BU1012" s="244"/>
      <c r="BV1012" s="244"/>
      <c r="BW1012" s="244"/>
      <c r="BX1012" s="244"/>
      <c r="BY1012" s="244"/>
      <c r="BZ1012" s="244"/>
      <c r="CA1012" s="244"/>
      <c r="CB1012" s="244"/>
      <c r="CC1012" s="244"/>
      <c r="CD1012" s="255"/>
      <c r="CE1012" s="244"/>
      <c r="CF1012" s="244"/>
      <c r="CG1012" s="244"/>
      <c r="CH1012" s="244"/>
      <c r="CI1012" s="244"/>
      <c r="CJ1012" s="244"/>
      <c r="CK1012" s="244"/>
      <c r="CL1012" s="244"/>
      <c r="CM1012" s="244"/>
      <c r="CN1012" s="244"/>
      <c r="CO1012" s="244"/>
      <c r="CP1012" s="244"/>
      <c r="CQ1012" s="244"/>
      <c r="CR1012" s="244"/>
      <c r="CS1012" s="244"/>
      <c r="CT1012" s="244"/>
      <c r="CU1012" s="244"/>
      <c r="CV1012" s="244"/>
      <c r="CW1012" s="255"/>
    </row>
    <row r="1013" spans="1:101">
      <c r="A1013" s="221" t="s">
        <v>548</v>
      </c>
      <c r="C1013" s="264">
        <v>4.9856023788452148</v>
      </c>
      <c r="D1013" s="264">
        <v>8.1096944808959961</v>
      </c>
      <c r="E1013" s="264">
        <v>1.621938943862915</v>
      </c>
      <c r="F1013" s="264">
        <v>9.731633186340332</v>
      </c>
      <c r="G1013" s="264">
        <v>15.866598129272461</v>
      </c>
      <c r="H1013" s="264">
        <v>185.44883728027344</v>
      </c>
      <c r="I1013" s="264">
        <v>17099.05859375</v>
      </c>
      <c r="J1013" s="264">
        <v>55.054996490478516</v>
      </c>
      <c r="K1013" s="264">
        <v>-2673.806396484375</v>
      </c>
      <c r="L1013" s="228">
        <v>11.688002386672913</v>
      </c>
      <c r="M1013" s="264">
        <v>0.45434518318443118</v>
      </c>
      <c r="N1013" s="264">
        <v>0.3224035613008826</v>
      </c>
      <c r="O1013" s="264">
        <v>0.29175436644122293</v>
      </c>
      <c r="P1013" s="264">
        <v>0.3167083468831503</v>
      </c>
      <c r="Q1013" s="264">
        <v>0.30649194859659706</v>
      </c>
      <c r="R1013" s="264">
        <v>0.3224035613008826</v>
      </c>
      <c r="S1013" s="264">
        <v>0.30649194859659706</v>
      </c>
      <c r="T1013" s="264">
        <v>0.3224035613008826</v>
      </c>
      <c r="U1013" s="264">
        <v>0.3167083468831503</v>
      </c>
      <c r="V1013" s="264">
        <v>0.3224035613008826</v>
      </c>
      <c r="W1013" s="264">
        <v>0.3167083468831503</v>
      </c>
      <c r="X1013" s="264">
        <v>0.31218716301432936</v>
      </c>
      <c r="Y1013" s="264">
        <v>0.3224035613008826</v>
      </c>
      <c r="Z1013" s="264"/>
      <c r="AA1013" s="264">
        <v>9.9874234543317786E-2</v>
      </c>
      <c r="AB1013" s="264">
        <v>8.9657836256764559E-2</v>
      </c>
      <c r="AC1013" s="264">
        <v>0.1055694489610501</v>
      </c>
      <c r="AD1013" s="264">
        <v>0.10216398286553235</v>
      </c>
      <c r="AE1013" s="264">
        <v>9.9874234543317786E-2</v>
      </c>
      <c r="AF1013" s="264">
        <v>0.10216398286553235</v>
      </c>
      <c r="AG1013" s="264">
        <v>9.9874234543317786E-2</v>
      </c>
      <c r="AH1013" s="264">
        <v>0.1055694489610501</v>
      </c>
      <c r="AI1013" s="264">
        <v>9.9874234543317786E-2</v>
      </c>
      <c r="AJ1013" s="264">
        <v>0.1055694489610501</v>
      </c>
      <c r="AK1013" s="264">
        <v>9.6468768447800043E-2</v>
      </c>
      <c r="AL1013" s="264">
        <v>9.9874234543317786E-2</v>
      </c>
      <c r="AM1013" s="244"/>
      <c r="AN1013" s="244"/>
      <c r="AO1013" s="244"/>
      <c r="AP1013" s="244"/>
      <c r="AQ1013" s="244"/>
      <c r="AR1013" s="244"/>
      <c r="AS1013" s="244"/>
      <c r="AT1013" s="244"/>
      <c r="AU1013" s="244"/>
      <c r="AV1013" s="244"/>
      <c r="AW1013" s="244"/>
      <c r="AX1013" s="244"/>
      <c r="AY1013" s="244"/>
      <c r="AZ1013" s="244"/>
      <c r="BA1013" s="244"/>
      <c r="BB1013" s="244"/>
      <c r="BC1013" s="244"/>
      <c r="BD1013" s="244"/>
      <c r="BE1013" s="244"/>
      <c r="BF1013" s="244"/>
      <c r="BG1013" s="244"/>
      <c r="BH1013" s="244"/>
      <c r="BI1013" s="244"/>
      <c r="BJ1013" s="244"/>
      <c r="BK1013" s="244"/>
      <c r="BL1013" s="244"/>
      <c r="BM1013" s="244"/>
      <c r="BN1013" s="244"/>
      <c r="BO1013" s="244"/>
      <c r="BP1013" s="244"/>
      <c r="BQ1013" s="244"/>
      <c r="BR1013" s="244"/>
      <c r="BS1013" s="244"/>
      <c r="BT1013" s="244"/>
      <c r="BU1013" s="244"/>
      <c r="BV1013" s="244"/>
      <c r="BW1013" s="244"/>
      <c r="BX1013" s="244"/>
      <c r="BY1013" s="244"/>
      <c r="BZ1013" s="244"/>
      <c r="CA1013" s="244"/>
      <c r="CB1013" s="244"/>
      <c r="CC1013" s="244"/>
      <c r="CD1013" s="244"/>
      <c r="CE1013" s="244"/>
      <c r="CF1013" s="244"/>
      <c r="CG1013" s="244"/>
      <c r="CH1013" s="244"/>
      <c r="CI1013" s="244"/>
      <c r="CJ1013" s="244"/>
      <c r="CK1013" s="244"/>
      <c r="CL1013" s="244"/>
      <c r="CM1013" s="244"/>
      <c r="CN1013" s="244"/>
      <c r="CO1013" s="244"/>
      <c r="CP1013" s="244"/>
      <c r="CQ1013" s="244"/>
      <c r="CR1013" s="244"/>
      <c r="CS1013" s="244"/>
      <c r="CT1013" s="244"/>
      <c r="CU1013" s="244"/>
      <c r="CV1013" s="244"/>
      <c r="CW1013" s="244"/>
    </row>
    <row r="1014" spans="1:101">
      <c r="A1014" s="221" t="s">
        <v>483</v>
      </c>
      <c r="C1014" s="264">
        <v>41.279960632324219</v>
      </c>
      <c r="D1014" s="264">
        <v>11.336667060852051</v>
      </c>
      <c r="E1014" s="264">
        <v>2.2673335075378418</v>
      </c>
      <c r="F1014" s="264">
        <v>13.604000091552734</v>
      </c>
      <c r="G1014" s="264">
        <v>22.18016242980957</v>
      </c>
      <c r="H1014" s="264">
        <v>257.808349609375</v>
      </c>
      <c r="I1014" s="264">
        <v>2886.898193359375</v>
      </c>
      <c r="J1014" s="264">
        <v>-43.301197052001953</v>
      </c>
      <c r="K1014" s="264">
        <v>-401.60989379882812</v>
      </c>
      <c r="L1014" s="228">
        <v>11.623374958928721</v>
      </c>
      <c r="M1014" s="264">
        <v>0.63933913379473606</v>
      </c>
      <c r="N1014" s="264">
        <v>3.1106267101284226</v>
      </c>
      <c r="O1014" s="264">
        <v>2.8686363871016654</v>
      </c>
      <c r="P1014" s="264">
        <v>3.0867389842739019</v>
      </c>
      <c r="Q1014" s="264">
        <v>2.7764056896344176</v>
      </c>
      <c r="R1014" s="264">
        <v>2.6889939937618621</v>
      </c>
      <c r="S1014" s="264">
        <v>2.4747497624778543</v>
      </c>
      <c r="T1014" s="264">
        <v>2.507314855815296</v>
      </c>
      <c r="U1014" s="264">
        <v>2.5074224878027751</v>
      </c>
      <c r="V1014" s="264">
        <v>2.5553055714992947</v>
      </c>
      <c r="W1014" s="264">
        <v>2.6239713687496291</v>
      </c>
      <c r="X1014" s="264">
        <v>2.79000969069951</v>
      </c>
      <c r="Y1014" s="264">
        <v>3.0523522696549952</v>
      </c>
      <c r="Z1014" s="264"/>
      <c r="AA1014" s="264">
        <v>0.63595381257174299</v>
      </c>
      <c r="AB1014" s="264">
        <v>0.87408584003510104</v>
      </c>
      <c r="AC1014" s="264">
        <v>0.81066950200454502</v>
      </c>
      <c r="AD1014" s="264">
        <v>0.87519257535204564</v>
      </c>
      <c r="AE1014" s="264">
        <v>0.65994917041374224</v>
      </c>
      <c r="AF1014" s="264">
        <v>0.54954129035348309</v>
      </c>
      <c r="AG1014" s="264">
        <v>0.67023289520317053</v>
      </c>
      <c r="AH1014" s="264">
        <v>0.5775717401108369</v>
      </c>
      <c r="AI1014" s="264">
        <v>0.5571119225194594</v>
      </c>
      <c r="AJ1014" s="264">
        <v>0.52958102442683819</v>
      </c>
      <c r="AK1014" s="264">
        <v>0.62849081239324567</v>
      </c>
      <c r="AL1014" s="264">
        <v>0.86905157446545089</v>
      </c>
      <c r="AM1014" s="244"/>
      <c r="AN1014" s="244"/>
      <c r="AO1014" s="244"/>
      <c r="AP1014" s="244"/>
      <c r="AQ1014" s="244"/>
      <c r="AR1014" s="244"/>
      <c r="AS1014" s="244"/>
      <c r="AT1014" s="244"/>
      <c r="AU1014" s="244"/>
      <c r="AV1014" s="244"/>
      <c r="AW1014" s="244"/>
      <c r="AX1014" s="244"/>
      <c r="AY1014" s="244"/>
      <c r="AZ1014" s="244"/>
      <c r="BA1014" s="244"/>
      <c r="BB1014" s="244"/>
      <c r="BC1014" s="244"/>
      <c r="BD1014" s="244"/>
      <c r="BE1014" s="244"/>
      <c r="BF1014" s="244"/>
      <c r="BG1014" s="244"/>
      <c r="BH1014" s="244"/>
      <c r="BI1014" s="244"/>
      <c r="BJ1014" s="244"/>
      <c r="BK1014" s="244"/>
      <c r="BL1014" s="244"/>
      <c r="BM1014" s="244"/>
      <c r="BN1014" s="244"/>
      <c r="BO1014" s="244"/>
      <c r="BP1014" s="244"/>
      <c r="BQ1014" s="244"/>
      <c r="BR1014" s="244"/>
      <c r="BS1014" s="244"/>
      <c r="BT1014" s="244"/>
      <c r="BU1014" s="244"/>
      <c r="BV1014" s="244"/>
      <c r="BW1014" s="244"/>
      <c r="BX1014" s="244"/>
      <c r="BY1014" s="244"/>
      <c r="BZ1014" s="244"/>
      <c r="CA1014" s="244"/>
      <c r="CB1014" s="244"/>
      <c r="CC1014" s="244"/>
      <c r="CD1014" s="244"/>
      <c r="CE1014" s="244"/>
      <c r="CF1014" s="244"/>
      <c r="CG1014" s="244"/>
      <c r="CH1014" s="244"/>
      <c r="CI1014" s="244"/>
      <c r="CJ1014" s="244"/>
      <c r="CK1014" s="244"/>
      <c r="CL1014" s="244"/>
      <c r="CM1014" s="244"/>
      <c r="CN1014" s="244"/>
      <c r="CO1014" s="244"/>
      <c r="CP1014" s="244"/>
      <c r="CQ1014" s="244"/>
      <c r="CR1014" s="244"/>
      <c r="CS1014" s="244"/>
      <c r="CT1014" s="244"/>
      <c r="CU1014" s="244"/>
      <c r="CV1014" s="244"/>
      <c r="CW1014" s="244"/>
    </row>
    <row r="1015" spans="1:101">
      <c r="A1015" s="221" t="s">
        <v>512</v>
      </c>
      <c r="C1015" s="264">
        <v>6.8845767974853516</v>
      </c>
      <c r="D1015" s="264">
        <v>11.336667060852051</v>
      </c>
      <c r="E1015" s="264">
        <v>2.2673335075378418</v>
      </c>
      <c r="F1015" s="264">
        <v>13.604000091552734</v>
      </c>
      <c r="G1015" s="264">
        <v>22.18016242980957</v>
      </c>
      <c r="H1015" s="264">
        <v>256.08477783203125</v>
      </c>
      <c r="I1015" s="264">
        <v>17309.857421875</v>
      </c>
      <c r="J1015" s="264">
        <v>56.420978546142578</v>
      </c>
      <c r="K1015" s="264">
        <v>-2670.658447265625</v>
      </c>
      <c r="L1015" s="228">
        <v>11.545667781788524</v>
      </c>
      <c r="M1015" s="264">
        <v>0.62740148182819566</v>
      </c>
      <c r="N1015" s="264">
        <v>0.4452043943530728</v>
      </c>
      <c r="O1015" s="264">
        <v>0.40288117627245806</v>
      </c>
      <c r="P1015" s="264">
        <v>0.43733992016635276</v>
      </c>
      <c r="Q1015" s="264">
        <v>0.42323218080614788</v>
      </c>
      <c r="R1015" s="264">
        <v>0.4452043943530728</v>
      </c>
      <c r="S1015" s="264">
        <v>0.42323218080614788</v>
      </c>
      <c r="T1015" s="264">
        <v>0.4452043943530728</v>
      </c>
      <c r="U1015" s="264">
        <v>0.43733992016635276</v>
      </c>
      <c r="V1015" s="264">
        <v>0.4452043943530728</v>
      </c>
      <c r="W1015" s="264">
        <v>0.43733992016635276</v>
      </c>
      <c r="X1015" s="264">
        <v>0.43109665499286787</v>
      </c>
      <c r="Y1015" s="264">
        <v>0.4452043943530728</v>
      </c>
      <c r="Z1015" s="264"/>
      <c r="AA1015" s="264">
        <v>0.13791549920206425</v>
      </c>
      <c r="AB1015" s="264">
        <v>0.12380775984185931</v>
      </c>
      <c r="AC1015" s="264">
        <v>0.14577997338878426</v>
      </c>
      <c r="AD1015" s="264">
        <v>0.14107739360204927</v>
      </c>
      <c r="AE1015" s="264">
        <v>0.13791549920206425</v>
      </c>
      <c r="AF1015" s="264">
        <v>0.14107739360204927</v>
      </c>
      <c r="AG1015" s="264">
        <v>0.13791549920206425</v>
      </c>
      <c r="AH1015" s="264">
        <v>0.14577997338878426</v>
      </c>
      <c r="AI1015" s="264">
        <v>0.13791549920206425</v>
      </c>
      <c r="AJ1015" s="264">
        <v>0.14577997338878426</v>
      </c>
      <c r="AK1015" s="264">
        <v>0.13321291941532926</v>
      </c>
      <c r="AL1015" s="264">
        <v>0.13791549920206425</v>
      </c>
      <c r="AM1015" s="244"/>
      <c r="AN1015" s="244"/>
      <c r="AO1015" s="244"/>
      <c r="AP1015" s="244"/>
      <c r="AQ1015" s="244"/>
      <c r="AR1015" s="244"/>
      <c r="AS1015" s="244"/>
      <c r="AT1015" s="244"/>
      <c r="AU1015" s="244"/>
      <c r="AV1015" s="244"/>
      <c r="AW1015" s="244"/>
      <c r="AX1015" s="244"/>
      <c r="AY1015" s="244"/>
      <c r="AZ1015" s="244"/>
      <c r="BA1015" s="244"/>
      <c r="BB1015" s="244"/>
      <c r="BC1015" s="244"/>
      <c r="BD1015" s="244"/>
      <c r="BE1015" s="244"/>
      <c r="BF1015" s="244"/>
      <c r="BG1015" s="244"/>
      <c r="BH1015" s="244"/>
      <c r="BI1015" s="244"/>
      <c r="BJ1015" s="244"/>
      <c r="BK1015" s="244"/>
      <c r="BL1015" s="244"/>
      <c r="BM1015" s="244"/>
      <c r="BN1015" s="244"/>
      <c r="BO1015" s="244"/>
      <c r="BP1015" s="244"/>
      <c r="BQ1015" s="244"/>
      <c r="BR1015" s="244"/>
      <c r="BS1015" s="244"/>
      <c r="BT1015" s="244"/>
      <c r="BU1015" s="244"/>
      <c r="BV1015" s="244"/>
      <c r="BW1015" s="244"/>
      <c r="BX1015" s="244"/>
      <c r="BY1015" s="244"/>
      <c r="BZ1015" s="244"/>
      <c r="CA1015" s="244"/>
      <c r="CB1015" s="244"/>
      <c r="CC1015" s="244"/>
      <c r="CD1015" s="244"/>
      <c r="CE1015" s="244"/>
      <c r="CF1015" s="244"/>
      <c r="CG1015" s="244"/>
      <c r="CH1015" s="244"/>
      <c r="CI1015" s="244"/>
      <c r="CJ1015" s="244"/>
      <c r="CK1015" s="244"/>
      <c r="CL1015" s="244"/>
      <c r="CM1015" s="244"/>
      <c r="CN1015" s="244"/>
      <c r="CO1015" s="244"/>
      <c r="CP1015" s="244"/>
      <c r="CQ1015" s="244"/>
      <c r="CR1015" s="244"/>
      <c r="CS1015" s="244"/>
      <c r="CT1015" s="244"/>
      <c r="CU1015" s="244"/>
      <c r="CV1015" s="244"/>
      <c r="CW1015" s="244"/>
    </row>
    <row r="1016" spans="1:101">
      <c r="A1016" s="221" t="s">
        <v>461</v>
      </c>
      <c r="C1016" s="264">
        <v>4.8588333129882812</v>
      </c>
      <c r="D1016" s="264">
        <v>8.1096944808959961</v>
      </c>
      <c r="E1016" s="264">
        <v>1.621938943862915</v>
      </c>
      <c r="F1016" s="264">
        <v>9.731633186340332</v>
      </c>
      <c r="G1016" s="264">
        <v>15.866598129272461</v>
      </c>
      <c r="H1016" s="264">
        <v>180.43989562988281</v>
      </c>
      <c r="I1016" s="264">
        <v>17545.181640625</v>
      </c>
      <c r="J1016" s="264">
        <v>57.945892333984375</v>
      </c>
      <c r="K1016" s="264">
        <v>-2662.2958984375</v>
      </c>
      <c r="L1016" s="228">
        <v>11.372311095488449</v>
      </c>
      <c r="M1016" s="264">
        <v>0.43946888510292142</v>
      </c>
      <c r="N1016" s="264">
        <v>0.314205795930253</v>
      </c>
      <c r="O1016" s="264">
        <v>0.28433591910059397</v>
      </c>
      <c r="P1016" s="264">
        <v>0.30865539390647689</v>
      </c>
      <c r="Q1016" s="264">
        <v>0.29869876829659059</v>
      </c>
      <c r="R1016" s="264">
        <v>0.314205795930253</v>
      </c>
      <c r="S1016" s="264">
        <v>0.29869876829659059</v>
      </c>
      <c r="T1016" s="264">
        <v>0.314205795930253</v>
      </c>
      <c r="U1016" s="264">
        <v>0.30865539390647689</v>
      </c>
      <c r="V1016" s="264">
        <v>0.314205795930253</v>
      </c>
      <c r="W1016" s="264">
        <v>0.30865539390647689</v>
      </c>
      <c r="X1016" s="264">
        <v>0.30424917032036664</v>
      </c>
      <c r="Y1016" s="264">
        <v>0.314205795930253</v>
      </c>
      <c r="Z1016" s="264"/>
      <c r="AA1016" s="264">
        <v>9.7334729278382909E-2</v>
      </c>
      <c r="AB1016" s="264">
        <v>8.7378103668496548E-2</v>
      </c>
      <c r="AC1016" s="264">
        <v>0.10288513130215898</v>
      </c>
      <c r="AD1016" s="264">
        <v>9.956625609886352E-2</v>
      </c>
      <c r="AE1016" s="264">
        <v>9.7334729278382909E-2</v>
      </c>
      <c r="AF1016" s="264">
        <v>9.956625609886352E-2</v>
      </c>
      <c r="AG1016" s="264">
        <v>9.7334729278382909E-2</v>
      </c>
      <c r="AH1016" s="264">
        <v>0.10288513130215898</v>
      </c>
      <c r="AI1016" s="264">
        <v>9.7334729278382909E-2</v>
      </c>
      <c r="AJ1016" s="264">
        <v>0.10288513130215898</v>
      </c>
      <c r="AK1016" s="264">
        <v>9.401585407508746E-2</v>
      </c>
      <c r="AL1016" s="264">
        <v>9.7334729278382909E-2</v>
      </c>
      <c r="AM1016" s="244"/>
      <c r="AN1016" s="244"/>
      <c r="AO1016" s="244"/>
      <c r="AP1016" s="244"/>
      <c r="AQ1016" s="244"/>
      <c r="AR1016" s="244"/>
      <c r="AS1016" s="244"/>
      <c r="AT1016" s="244"/>
      <c r="AU1016" s="244"/>
      <c r="AV1016" s="244"/>
      <c r="AW1016" s="244"/>
      <c r="AX1016" s="244"/>
      <c r="AY1016" s="244"/>
      <c r="AZ1016" s="244"/>
      <c r="BA1016" s="244"/>
      <c r="BB1016" s="244"/>
      <c r="BC1016" s="244"/>
      <c r="BD1016" s="244"/>
      <c r="BE1016" s="244"/>
      <c r="BF1016" s="244"/>
      <c r="BG1016" s="244"/>
      <c r="BH1016" s="244"/>
      <c r="BI1016" s="244"/>
      <c r="BJ1016" s="244"/>
      <c r="BK1016" s="244"/>
      <c r="BL1016" s="244"/>
      <c r="BM1016" s="244"/>
      <c r="BN1016" s="244"/>
      <c r="BO1016" s="244"/>
      <c r="BP1016" s="244"/>
      <c r="BQ1016" s="244"/>
      <c r="BR1016" s="244"/>
      <c r="BS1016" s="244"/>
      <c r="BT1016" s="244"/>
      <c r="BU1016" s="244"/>
      <c r="BV1016" s="244"/>
      <c r="BW1016" s="244"/>
      <c r="BX1016" s="244"/>
      <c r="BY1016" s="244"/>
      <c r="BZ1016" s="244"/>
      <c r="CA1016" s="244"/>
      <c r="CB1016" s="244"/>
      <c r="CC1016" s="244"/>
      <c r="CD1016" s="244"/>
      <c r="CE1016" s="244"/>
      <c r="CF1016" s="244"/>
      <c r="CG1016" s="244"/>
      <c r="CH1016" s="244"/>
      <c r="CI1016" s="244"/>
      <c r="CJ1016" s="244"/>
      <c r="CK1016" s="244"/>
      <c r="CL1016" s="244"/>
      <c r="CM1016" s="244"/>
      <c r="CN1016" s="244"/>
      <c r="CO1016" s="244"/>
      <c r="CP1016" s="244"/>
      <c r="CQ1016" s="244"/>
      <c r="CR1016" s="244"/>
      <c r="CS1016" s="244"/>
      <c r="CT1016" s="244"/>
      <c r="CU1016" s="244"/>
      <c r="CV1016" s="244"/>
      <c r="CW1016" s="244"/>
    </row>
    <row r="1017" spans="1:101">
      <c r="A1017" s="221" t="s">
        <v>517</v>
      </c>
      <c r="C1017" s="264">
        <v>62.941722869873047</v>
      </c>
      <c r="D1017" s="264">
        <v>8.1096944808959961</v>
      </c>
      <c r="E1017" s="264">
        <v>1.621938943862915</v>
      </c>
      <c r="F1017" s="264">
        <v>9.731633186340332</v>
      </c>
      <c r="G1017" s="264">
        <v>15.866598129272461</v>
      </c>
      <c r="H1017" s="264">
        <v>177.4044189453125</v>
      </c>
      <c r="I1017" s="264">
        <v>1354.413330078125</v>
      </c>
      <c r="J1017" s="264">
        <v>-53.934837341308594</v>
      </c>
      <c r="K1017" s="264">
        <v>-149.4285888671875</v>
      </c>
      <c r="L1017" s="228">
        <v>11.180999113484782</v>
      </c>
      <c r="M1017" s="264">
        <v>0.47508525792175232</v>
      </c>
      <c r="N1017" s="264">
        <v>4.8184775658665941</v>
      </c>
      <c r="O1017" s="264">
        <v>4.4515192687637724</v>
      </c>
      <c r="P1017" s="264">
        <v>4.7860387623404055</v>
      </c>
      <c r="Q1017" s="264">
        <v>4.2742039144798936</v>
      </c>
      <c r="R1017" s="264">
        <v>4.1033970269766344</v>
      </c>
      <c r="S1017" s="264">
        <v>3.7626015777130934</v>
      </c>
      <c r="T1017" s="264">
        <v>3.795272892332993</v>
      </c>
      <c r="U1017" s="264">
        <v>3.8035297292314372</v>
      </c>
      <c r="V1017" s="264">
        <v>3.8766641731822569</v>
      </c>
      <c r="W1017" s="264">
        <v>4.0011942684367909</v>
      </c>
      <c r="X1017" s="264">
        <v>4.2892017292526692</v>
      </c>
      <c r="Y1017" s="264">
        <v>4.7196452962639164</v>
      </c>
      <c r="Z1017" s="264"/>
      <c r="AA1017" s="264">
        <v>0.93696974310365722</v>
      </c>
      <c r="AB1017" s="264">
        <v>1.3553209620918727</v>
      </c>
      <c r="AC1017" s="264">
        <v>1.2252097150132459</v>
      </c>
      <c r="AD1017" s="264">
        <v>1.3394675820321646</v>
      </c>
      <c r="AE1017" s="264">
        <v>0.97766538352828891</v>
      </c>
      <c r="AF1017" s="264">
        <v>0.78716960484073251</v>
      </c>
      <c r="AG1017" s="264">
        <v>0.9951063722817024</v>
      </c>
      <c r="AH1017" s="264">
        <v>0.82988063660253641</v>
      </c>
      <c r="AI1017" s="264">
        <v>0.80325549599415247</v>
      </c>
      <c r="AJ1017" s="264">
        <v>0.7484893557532728</v>
      </c>
      <c r="AK1017" s="264">
        <v>0.92914068884868062</v>
      </c>
      <c r="AL1017" s="264">
        <v>1.3322988215143665</v>
      </c>
      <c r="AM1017" s="244"/>
      <c r="AN1017" s="244"/>
      <c r="AO1017" s="244"/>
      <c r="AP1017" s="244"/>
      <c r="AQ1017" s="244"/>
      <c r="AR1017" s="244"/>
      <c r="AS1017" s="244"/>
      <c r="AT1017" s="244"/>
      <c r="AU1017" s="244"/>
      <c r="AV1017" s="244"/>
      <c r="AW1017" s="244"/>
      <c r="AX1017" s="244"/>
      <c r="AY1017" s="244"/>
      <c r="AZ1017" s="244"/>
      <c r="BA1017" s="244"/>
      <c r="BB1017" s="244"/>
      <c r="BC1017" s="244"/>
      <c r="BD1017" s="244"/>
      <c r="BE1017" s="244"/>
      <c r="BF1017" s="244"/>
      <c r="BG1017" s="244"/>
      <c r="BH1017" s="244"/>
      <c r="BI1017" s="244"/>
      <c r="BJ1017" s="244"/>
      <c r="BK1017" s="244"/>
      <c r="BL1017" s="244"/>
      <c r="BM1017" s="244"/>
      <c r="BN1017" s="244"/>
      <c r="BO1017" s="244"/>
      <c r="BP1017" s="244"/>
      <c r="BQ1017" s="244"/>
      <c r="BR1017" s="244"/>
      <c r="BS1017" s="244"/>
      <c r="BT1017" s="244"/>
      <c r="BU1017" s="244"/>
      <c r="BV1017" s="244"/>
      <c r="BW1017" s="244"/>
      <c r="BX1017" s="244"/>
      <c r="BY1017" s="244"/>
      <c r="BZ1017" s="244"/>
      <c r="CA1017" s="244"/>
      <c r="CB1017" s="244"/>
      <c r="CC1017" s="244"/>
      <c r="CD1017" s="244"/>
      <c r="CE1017" s="244"/>
      <c r="CF1017" s="244"/>
      <c r="CG1017" s="244"/>
      <c r="CH1017" s="244"/>
      <c r="CI1017" s="244"/>
      <c r="CJ1017" s="244"/>
      <c r="CK1017" s="244"/>
      <c r="CL1017" s="244"/>
      <c r="CM1017" s="244"/>
      <c r="CN1017" s="244"/>
      <c r="CO1017" s="244"/>
      <c r="CP1017" s="244"/>
      <c r="CQ1017" s="244"/>
      <c r="CR1017" s="244"/>
      <c r="CS1017" s="244"/>
      <c r="CT1017" s="244"/>
      <c r="CU1017" s="244"/>
      <c r="CV1017" s="244"/>
      <c r="CW1017" s="244"/>
    </row>
    <row r="1018" spans="1:101">
      <c r="A1018" s="221" t="s">
        <v>541</v>
      </c>
      <c r="C1018" s="264">
        <v>63.910369873046875</v>
      </c>
      <c r="D1018" s="264">
        <v>8.1096944808959961</v>
      </c>
      <c r="E1018" s="264">
        <v>1.621938943862915</v>
      </c>
      <c r="F1018" s="264">
        <v>9.731633186340332</v>
      </c>
      <c r="G1018" s="264">
        <v>15.866598129272461</v>
      </c>
      <c r="H1018" s="264">
        <v>175.96966552734375</v>
      </c>
      <c r="I1018" s="264">
        <v>1333.8853759765625</v>
      </c>
      <c r="J1018" s="264">
        <v>-54.084667205810547</v>
      </c>
      <c r="K1018" s="264">
        <v>-144.50369262695312</v>
      </c>
      <c r="L1018" s="228">
        <v>11.090573299024753</v>
      </c>
      <c r="M1018" s="264">
        <v>0.48239121360116166</v>
      </c>
      <c r="N1018" s="264">
        <v>4.8944659351086965</v>
      </c>
      <c r="O1018" s="264">
        <v>4.5219092455059329</v>
      </c>
      <c r="P1018" s="264">
        <v>4.8616246215392689</v>
      </c>
      <c r="Q1018" s="264">
        <v>4.3409745269066642</v>
      </c>
      <c r="R1018" s="264">
        <v>4.1666280639729179</v>
      </c>
      <c r="S1018" s="264">
        <v>3.8202449930859448</v>
      </c>
      <c r="T1018" s="264">
        <v>3.8530068674672577</v>
      </c>
      <c r="U1018" s="264">
        <v>3.8615872213608426</v>
      </c>
      <c r="V1018" s="264">
        <v>3.9358502023932807</v>
      </c>
      <c r="W1018" s="264">
        <v>4.0627781776097569</v>
      </c>
      <c r="X1018" s="264">
        <v>4.3560636972776576</v>
      </c>
      <c r="Y1018" s="264">
        <v>4.793870456984239</v>
      </c>
      <c r="Z1018" s="264"/>
      <c r="AA1018" s="264">
        <v>0.95059553215543491</v>
      </c>
      <c r="AB1018" s="264">
        <v>1.3767264081059554</v>
      </c>
      <c r="AC1018" s="264">
        <v>1.2438016126352214</v>
      </c>
      <c r="AD1018" s="264">
        <v>1.3602032533321016</v>
      </c>
      <c r="AE1018" s="264">
        <v>0.99201719961844637</v>
      </c>
      <c r="AF1018" s="264">
        <v>0.79805205204837093</v>
      </c>
      <c r="AG1018" s="264">
        <v>1.0097693428168799</v>
      </c>
      <c r="AH1018" s="264">
        <v>0.84141970013739287</v>
      </c>
      <c r="AI1018" s="264">
        <v>0.81449576763411047</v>
      </c>
      <c r="AJ1018" s="264">
        <v>0.7585763652113694</v>
      </c>
      <c r="AK1018" s="264">
        <v>0.94273217046328017</v>
      </c>
      <c r="AL1018" s="264">
        <v>1.3529774446532632</v>
      </c>
      <c r="AM1018" s="244"/>
      <c r="AN1018" s="244"/>
      <c r="AO1018" s="244"/>
      <c r="AP1018" s="244"/>
      <c r="AQ1018" s="244"/>
      <c r="AR1018" s="244"/>
      <c r="AS1018" s="244"/>
      <c r="AT1018" s="244"/>
      <c r="AU1018" s="244"/>
      <c r="AV1018" s="244"/>
      <c r="AW1018" s="244"/>
      <c r="AX1018" s="244"/>
      <c r="AY1018" s="244"/>
      <c r="AZ1018" s="244"/>
      <c r="BA1018" s="244"/>
      <c r="BB1018" s="244"/>
      <c r="BC1018" s="244"/>
      <c r="BD1018" s="244"/>
      <c r="BE1018" s="244"/>
      <c r="BF1018" s="244"/>
      <c r="BG1018" s="244"/>
      <c r="BH1018" s="244"/>
      <c r="BI1018" s="244"/>
      <c r="BJ1018" s="244"/>
      <c r="BK1018" s="244"/>
      <c r="BL1018" s="244"/>
      <c r="BM1018" s="244"/>
      <c r="BN1018" s="244"/>
      <c r="BO1018" s="244"/>
      <c r="BP1018" s="244"/>
      <c r="BQ1018" s="244"/>
      <c r="BR1018" s="244"/>
      <c r="BS1018" s="244"/>
      <c r="BT1018" s="244"/>
      <c r="BU1018" s="244"/>
      <c r="BV1018" s="244"/>
      <c r="BW1018" s="244"/>
      <c r="BX1018" s="244"/>
      <c r="BY1018" s="244"/>
      <c r="BZ1018" s="244"/>
      <c r="CA1018" s="244"/>
      <c r="CB1018" s="244"/>
      <c r="CC1018" s="244"/>
      <c r="CD1018" s="244"/>
      <c r="CE1018" s="244"/>
      <c r="CF1018" s="244"/>
      <c r="CG1018" s="244"/>
      <c r="CH1018" s="244"/>
      <c r="CI1018" s="244"/>
      <c r="CJ1018" s="244"/>
      <c r="CK1018" s="244"/>
      <c r="CL1018" s="244"/>
      <c r="CM1018" s="244"/>
      <c r="CN1018" s="244"/>
      <c r="CO1018" s="244"/>
      <c r="CP1018" s="244"/>
      <c r="CQ1018" s="244"/>
      <c r="CR1018" s="244"/>
      <c r="CS1018" s="244"/>
      <c r="CT1018" s="244"/>
      <c r="CU1018" s="244"/>
      <c r="CV1018" s="244"/>
      <c r="CW1018" s="244"/>
    </row>
    <row r="1019" spans="1:101">
      <c r="A1019" s="221" t="s">
        <v>505</v>
      </c>
      <c r="C1019" s="264">
        <v>88.2532958984375</v>
      </c>
      <c r="D1019" s="264">
        <v>11.336667060852051</v>
      </c>
      <c r="E1019" s="264">
        <v>2.2673335075378418</v>
      </c>
      <c r="F1019" s="264">
        <v>13.604000091552734</v>
      </c>
      <c r="G1019" s="264">
        <v>22.18016242980957</v>
      </c>
      <c r="H1019" s="264">
        <v>242.99505615234375</v>
      </c>
      <c r="I1019" s="264">
        <v>1350.3297119140625</v>
      </c>
      <c r="J1019" s="264">
        <v>-53.978111267089844</v>
      </c>
      <c r="K1019" s="264">
        <v>-144.25810241699219</v>
      </c>
      <c r="L1019" s="228">
        <v>10.955513062130988</v>
      </c>
      <c r="M1019" s="264">
        <v>0.66613001179637144</v>
      </c>
      <c r="N1019" s="264">
        <v>6.7587272718995486</v>
      </c>
      <c r="O1019" s="264">
        <v>6.2442668401117238</v>
      </c>
      <c r="P1019" s="264">
        <v>6.7133769753381785</v>
      </c>
      <c r="Q1019" s="264">
        <v>5.9944155931639429</v>
      </c>
      <c r="R1019" s="264">
        <v>5.7536620136289436</v>
      </c>
      <c r="S1019" s="264">
        <v>5.275344514076032</v>
      </c>
      <c r="T1019" s="264">
        <v>5.320585113723725</v>
      </c>
      <c r="U1019" s="264">
        <v>5.3324336529988958</v>
      </c>
      <c r="V1019" s="264">
        <v>5.4349827853968016</v>
      </c>
      <c r="W1019" s="264">
        <v>5.6102565699192244</v>
      </c>
      <c r="X1019" s="264">
        <v>6.0152521029382218</v>
      </c>
      <c r="Y1019" s="264">
        <v>6.6198158134393825</v>
      </c>
      <c r="Z1019" s="264"/>
      <c r="AA1019" s="264">
        <v>1.3126694583036502</v>
      </c>
      <c r="AB1019" s="264">
        <v>1.9011100381074333</v>
      </c>
      <c r="AC1019" s="264">
        <v>1.7175552944089734</v>
      </c>
      <c r="AD1019" s="264">
        <v>1.8782933512066626</v>
      </c>
      <c r="AE1019" s="264">
        <v>1.3698682941401883</v>
      </c>
      <c r="AF1019" s="264">
        <v>1.1020234362822134</v>
      </c>
      <c r="AG1019" s="264">
        <v>1.3943820809272762</v>
      </c>
      <c r="AH1019" s="264">
        <v>1.1619094605683147</v>
      </c>
      <c r="AI1019" s="264">
        <v>1.1247304262693096</v>
      </c>
      <c r="AJ1019" s="264">
        <v>1.0475117888952379</v>
      </c>
      <c r="AK1019" s="264">
        <v>1.3018110075917246</v>
      </c>
      <c r="AL1019" s="264">
        <v>1.8683152921443085</v>
      </c>
      <c r="AM1019" s="244"/>
      <c r="AN1019" s="244"/>
      <c r="AO1019" s="244"/>
      <c r="AP1019" s="244"/>
      <c r="AQ1019" s="244"/>
      <c r="AR1019" s="244"/>
      <c r="AS1019" s="244"/>
      <c r="AT1019" s="244"/>
      <c r="AU1019" s="244"/>
      <c r="AV1019" s="244"/>
      <c r="AW1019" s="244"/>
      <c r="AX1019" s="244"/>
      <c r="AY1019" s="244"/>
      <c r="AZ1019" s="244"/>
      <c r="BA1019" s="244"/>
      <c r="BB1019" s="244"/>
      <c r="BC1019" s="244"/>
      <c r="BD1019" s="244"/>
      <c r="BE1019" s="244"/>
      <c r="BF1019" s="244"/>
      <c r="BG1019" s="244"/>
      <c r="BH1019" s="244"/>
      <c r="BI1019" s="244"/>
      <c r="BJ1019" s="244"/>
      <c r="BK1019" s="244"/>
      <c r="BL1019" s="244"/>
      <c r="BM1019" s="244"/>
      <c r="BN1019" s="244"/>
      <c r="BO1019" s="244"/>
      <c r="BP1019" s="244"/>
      <c r="BQ1019" s="244"/>
      <c r="BR1019" s="244"/>
      <c r="BS1019" s="244"/>
      <c r="BT1019" s="244"/>
      <c r="BU1019" s="244"/>
      <c r="BV1019" s="244"/>
      <c r="BW1019" s="244"/>
      <c r="BX1019" s="244"/>
      <c r="BY1019" s="244"/>
      <c r="BZ1019" s="244"/>
      <c r="CA1019" s="244"/>
      <c r="CB1019" s="244"/>
      <c r="CC1019" s="244"/>
      <c r="CD1019" s="244"/>
      <c r="CE1019" s="244"/>
      <c r="CF1019" s="244"/>
      <c r="CG1019" s="244"/>
      <c r="CH1019" s="244"/>
      <c r="CI1019" s="244"/>
      <c r="CJ1019" s="244"/>
      <c r="CK1019" s="244"/>
      <c r="CL1019" s="244"/>
      <c r="CM1019" s="244"/>
      <c r="CN1019" s="244"/>
      <c r="CO1019" s="244"/>
      <c r="CP1019" s="244"/>
      <c r="CQ1019" s="244"/>
      <c r="CR1019" s="244"/>
      <c r="CS1019" s="244"/>
      <c r="CT1019" s="244"/>
      <c r="CU1019" s="244"/>
      <c r="CV1019" s="244"/>
      <c r="CW1019" s="244"/>
    </row>
    <row r="1020" spans="1:101">
      <c r="A1020" s="221" t="s">
        <v>572</v>
      </c>
      <c r="C1020" s="264">
        <v>4.7186989784240723</v>
      </c>
      <c r="D1020" s="264">
        <v>8.1096944808959961</v>
      </c>
      <c r="E1020" s="264">
        <v>1.621938943862915</v>
      </c>
      <c r="F1020" s="264">
        <v>9.731633186340332</v>
      </c>
      <c r="G1020" s="264">
        <v>15.866598129272461</v>
      </c>
      <c r="H1020" s="264">
        <v>173.46218872070312</v>
      </c>
      <c r="I1020" s="264">
        <v>18066.232421875</v>
      </c>
      <c r="J1020" s="264">
        <v>61.322322845458984</v>
      </c>
      <c r="K1020" s="264">
        <v>-2624.353515625</v>
      </c>
      <c r="L1020" s="228">
        <v>10.932538290163581</v>
      </c>
      <c r="M1020" s="264">
        <v>0.40671008040927237</v>
      </c>
      <c r="N1020" s="264">
        <v>0.30514375223534429</v>
      </c>
      <c r="O1020" s="264">
        <v>0.27613535578732662</v>
      </c>
      <c r="P1020" s="264">
        <v>0.29975342996284993</v>
      </c>
      <c r="Q1020" s="264">
        <v>0.29008396448017731</v>
      </c>
      <c r="R1020" s="264">
        <v>0.30514375223534429</v>
      </c>
      <c r="S1020" s="264">
        <v>0.29008396448017731</v>
      </c>
      <c r="T1020" s="264">
        <v>0.30514375223534429</v>
      </c>
      <c r="U1020" s="264">
        <v>0.29975342996284993</v>
      </c>
      <c r="V1020" s="264">
        <v>0.30514375223534429</v>
      </c>
      <c r="W1020" s="264">
        <v>0.29975342996284993</v>
      </c>
      <c r="X1020" s="264">
        <v>0.29547428675267173</v>
      </c>
      <c r="Y1020" s="264">
        <v>0.30514375223534429</v>
      </c>
      <c r="Z1020" s="264"/>
      <c r="AA1020" s="264">
        <v>9.4527487715122219E-2</v>
      </c>
      <c r="AB1020" s="264">
        <v>8.4858022232449634E-2</v>
      </c>
      <c r="AC1020" s="264">
        <v>9.9917809987616624E-2</v>
      </c>
      <c r="AD1020" s="264">
        <v>9.6694654826725762E-2</v>
      </c>
      <c r="AE1020" s="264">
        <v>9.4527487715122219E-2</v>
      </c>
      <c r="AF1020" s="264">
        <v>9.6694654826725762E-2</v>
      </c>
      <c r="AG1020" s="264">
        <v>9.4527487715122219E-2</v>
      </c>
      <c r="AH1020" s="264">
        <v>9.9917809987616624E-2</v>
      </c>
      <c r="AI1020" s="264">
        <v>9.4527487715122219E-2</v>
      </c>
      <c r="AJ1020" s="264">
        <v>9.9917809987616624E-2</v>
      </c>
      <c r="AK1020" s="264">
        <v>9.1304332554231357E-2</v>
      </c>
      <c r="AL1020" s="264">
        <v>9.4527487715122219E-2</v>
      </c>
      <c r="AM1020" s="244"/>
      <c r="AN1020" s="244"/>
      <c r="AO1020" s="244"/>
      <c r="AP1020" s="244"/>
      <c r="AQ1020" s="244"/>
      <c r="AR1020" s="244"/>
      <c r="AS1020" s="244"/>
      <c r="AT1020" s="244"/>
      <c r="AU1020" s="244"/>
      <c r="AV1020" s="244"/>
      <c r="AW1020" s="244"/>
      <c r="AX1020" s="244"/>
      <c r="AY1020" s="244"/>
      <c r="AZ1020" s="244"/>
      <c r="BA1020" s="244"/>
      <c r="BB1020" s="244"/>
      <c r="BC1020" s="244"/>
      <c r="BD1020" s="244"/>
      <c r="BE1020" s="244"/>
      <c r="BF1020" s="244"/>
      <c r="BG1020" s="244"/>
      <c r="BH1020" s="244"/>
      <c r="BI1020" s="244"/>
      <c r="BJ1020" s="244"/>
      <c r="BK1020" s="244"/>
      <c r="BL1020" s="244"/>
      <c r="BM1020" s="244"/>
      <c r="BN1020" s="244"/>
      <c r="BO1020" s="244"/>
      <c r="BP1020" s="244"/>
      <c r="BQ1020" s="244"/>
      <c r="BR1020" s="244"/>
      <c r="BS1020" s="244"/>
      <c r="BT1020" s="244"/>
      <c r="BU1020" s="244"/>
      <c r="BV1020" s="244"/>
      <c r="BW1020" s="244"/>
      <c r="BX1020" s="244"/>
      <c r="BY1020" s="244"/>
      <c r="BZ1020" s="244"/>
      <c r="CA1020" s="244"/>
      <c r="CB1020" s="244"/>
      <c r="CC1020" s="244"/>
      <c r="CD1020" s="244"/>
      <c r="CE1020" s="244"/>
      <c r="CF1020" s="244"/>
      <c r="CG1020" s="244"/>
      <c r="CH1020" s="244"/>
      <c r="CI1020" s="244"/>
      <c r="CJ1020" s="244"/>
      <c r="CK1020" s="244"/>
      <c r="CL1020" s="244"/>
      <c r="CM1020" s="244"/>
      <c r="CN1020" s="244"/>
      <c r="CO1020" s="244"/>
      <c r="CP1020" s="244"/>
      <c r="CQ1020" s="244"/>
      <c r="CR1020" s="244"/>
      <c r="CS1020" s="244"/>
      <c r="CT1020" s="244"/>
      <c r="CU1020" s="244"/>
      <c r="CV1020" s="244"/>
      <c r="CW1020" s="244"/>
    </row>
    <row r="1021" spans="1:101">
      <c r="A1021" s="221" t="s">
        <v>492</v>
      </c>
      <c r="C1021" s="264">
        <v>27.519973754882813</v>
      </c>
      <c r="D1021" s="264">
        <v>8.1096944808959961</v>
      </c>
      <c r="E1021" s="264">
        <v>1.621938943862915</v>
      </c>
      <c r="F1021" s="264">
        <v>9.731633186340332</v>
      </c>
      <c r="G1021" s="264">
        <v>15.866598129272461</v>
      </c>
      <c r="H1021" s="264">
        <v>171.87220764160156</v>
      </c>
      <c r="I1021" s="264">
        <v>3097.7177734375</v>
      </c>
      <c r="J1021" s="264">
        <v>-41.935073852539062</v>
      </c>
      <c r="K1021" s="264">
        <v>-398.4613037109375</v>
      </c>
      <c r="L1021" s="228">
        <v>10.832328276989447</v>
      </c>
      <c r="M1021" s="264">
        <v>0.42622608919649074</v>
      </c>
      <c r="N1021" s="264">
        <v>2.0737511400856148</v>
      </c>
      <c r="O1021" s="264">
        <v>1.9124242580677766</v>
      </c>
      <c r="P1021" s="264">
        <v>2.0578259895159343</v>
      </c>
      <c r="Q1021" s="264">
        <v>1.8509371264229448</v>
      </c>
      <c r="R1021" s="264">
        <v>1.7926626625079081</v>
      </c>
      <c r="S1021" s="264">
        <v>1.6498331749852362</v>
      </c>
      <c r="T1021" s="264">
        <v>1.671543237210197</v>
      </c>
      <c r="U1021" s="264">
        <v>1.6716149918685164</v>
      </c>
      <c r="V1021" s="264">
        <v>1.703537047666196</v>
      </c>
      <c r="W1021" s="264">
        <v>1.7493142458330857</v>
      </c>
      <c r="X1021" s="264">
        <v>1.8600064604663396</v>
      </c>
      <c r="Y1021" s="264">
        <v>2.0349015131033301</v>
      </c>
      <c r="Z1021" s="264"/>
      <c r="AA1021" s="264">
        <v>0.42396920838116192</v>
      </c>
      <c r="AB1021" s="264">
        <v>0.5827238933567338</v>
      </c>
      <c r="AC1021" s="264">
        <v>0.54044633466969649</v>
      </c>
      <c r="AD1021" s="264">
        <v>0.58346171690136361</v>
      </c>
      <c r="AE1021" s="264">
        <v>0.43996611360916144</v>
      </c>
      <c r="AF1021" s="264">
        <v>0.36636086023565528</v>
      </c>
      <c r="AG1021" s="264">
        <v>0.44682193013544691</v>
      </c>
      <c r="AH1021" s="264">
        <v>0.38504782674055787</v>
      </c>
      <c r="AI1021" s="264">
        <v>0.37140794834630619</v>
      </c>
      <c r="AJ1021" s="264">
        <v>0.35305401628455879</v>
      </c>
      <c r="AK1021" s="264">
        <v>0.41899387492883033</v>
      </c>
      <c r="AL1021" s="264">
        <v>0.57936771631030048</v>
      </c>
      <c r="AM1021" s="244"/>
      <c r="AN1021" s="244"/>
      <c r="AO1021" s="244"/>
      <c r="AP1021" s="244"/>
      <c r="AQ1021" s="244"/>
      <c r="AR1021" s="244"/>
      <c r="AS1021" s="244"/>
      <c r="AT1021" s="244"/>
      <c r="AU1021" s="244"/>
      <c r="AV1021" s="244"/>
      <c r="AW1021" s="244"/>
      <c r="AX1021" s="244"/>
      <c r="AY1021" s="244"/>
      <c r="AZ1021" s="244"/>
      <c r="BA1021" s="244"/>
      <c r="BB1021" s="244"/>
      <c r="BC1021" s="244"/>
      <c r="BD1021" s="244"/>
      <c r="BE1021" s="244"/>
      <c r="BF1021" s="244"/>
      <c r="BG1021" s="244"/>
      <c r="BH1021" s="244"/>
      <c r="BI1021" s="244"/>
      <c r="BJ1021" s="244"/>
      <c r="BK1021" s="244"/>
      <c r="BL1021" s="244"/>
      <c r="BM1021" s="244"/>
      <c r="BN1021" s="244"/>
      <c r="BO1021" s="244"/>
      <c r="BP1021" s="244"/>
      <c r="BQ1021" s="244"/>
      <c r="BR1021" s="244"/>
      <c r="BS1021" s="244"/>
      <c r="BT1021" s="244"/>
      <c r="BU1021" s="244"/>
      <c r="BV1021" s="244"/>
      <c r="BW1021" s="244"/>
      <c r="BX1021" s="244"/>
      <c r="BY1021" s="244"/>
      <c r="BZ1021" s="244"/>
      <c r="CA1021" s="244"/>
      <c r="CB1021" s="244"/>
      <c r="CC1021" s="244"/>
      <c r="CD1021" s="244"/>
      <c r="CE1021" s="244"/>
      <c r="CF1021" s="244"/>
      <c r="CG1021" s="244"/>
      <c r="CH1021" s="244"/>
      <c r="CI1021" s="244"/>
      <c r="CJ1021" s="244"/>
      <c r="CK1021" s="244"/>
      <c r="CL1021" s="244"/>
      <c r="CM1021" s="244"/>
      <c r="CN1021" s="244"/>
      <c r="CO1021" s="244"/>
      <c r="CP1021" s="244"/>
      <c r="CQ1021" s="244"/>
      <c r="CR1021" s="244"/>
      <c r="CS1021" s="244"/>
      <c r="CT1021" s="244"/>
      <c r="CU1021" s="244"/>
      <c r="CV1021" s="244"/>
      <c r="CW1021" s="244"/>
    </row>
    <row r="1022" spans="1:101">
      <c r="A1022" s="221" t="s">
        <v>521</v>
      </c>
      <c r="C1022" s="264">
        <v>4.5897178649902344</v>
      </c>
      <c r="D1022" s="264">
        <v>8.1096944808959961</v>
      </c>
      <c r="E1022" s="264">
        <v>1.621938943862915</v>
      </c>
      <c r="F1022" s="264">
        <v>9.731633186340332</v>
      </c>
      <c r="G1022" s="264">
        <v>15.866598129272461</v>
      </c>
      <c r="H1022" s="264">
        <v>170.72319030761719</v>
      </c>
      <c r="I1022" s="264">
        <v>18573.931640625</v>
      </c>
      <c r="J1022" s="264">
        <v>64.612251281738281</v>
      </c>
      <c r="K1022" s="264">
        <v>-2651.779541015625</v>
      </c>
      <c r="L1022" s="228">
        <v>10.75991086883405</v>
      </c>
      <c r="M1022" s="264">
        <v>0.41826765455213005</v>
      </c>
      <c r="N1022" s="264">
        <v>0.29680292956871507</v>
      </c>
      <c r="O1022" s="264">
        <v>0.26858745084830526</v>
      </c>
      <c r="P1022" s="264">
        <v>0.29155994677756836</v>
      </c>
      <c r="Q1022" s="264">
        <v>0.28215478720409842</v>
      </c>
      <c r="R1022" s="264">
        <v>0.29680292956871507</v>
      </c>
      <c r="S1022" s="264">
        <v>0.28215478720409842</v>
      </c>
      <c r="T1022" s="264">
        <v>0.29680292956871507</v>
      </c>
      <c r="U1022" s="264">
        <v>0.29155994677756836</v>
      </c>
      <c r="V1022" s="264">
        <v>0.29680292956871507</v>
      </c>
      <c r="W1022" s="264">
        <v>0.29155994677756836</v>
      </c>
      <c r="X1022" s="264">
        <v>0.28739776999524513</v>
      </c>
      <c r="Y1022" s="264">
        <v>0.29680292956871507</v>
      </c>
      <c r="Z1022" s="264"/>
      <c r="AA1022" s="264">
        <v>9.1943666134709459E-2</v>
      </c>
      <c r="AB1022" s="264">
        <v>8.2538506561239511E-2</v>
      </c>
      <c r="AC1022" s="264">
        <v>9.7186648925856142E-2</v>
      </c>
      <c r="AD1022" s="264">
        <v>9.405159573469947E-2</v>
      </c>
      <c r="AE1022" s="264">
        <v>9.1943666134709459E-2</v>
      </c>
      <c r="AF1022" s="264">
        <v>9.405159573469947E-2</v>
      </c>
      <c r="AG1022" s="264">
        <v>9.1943666134709459E-2</v>
      </c>
      <c r="AH1022" s="264">
        <v>9.7186648925856142E-2</v>
      </c>
      <c r="AI1022" s="264">
        <v>9.1943666134709459E-2</v>
      </c>
      <c r="AJ1022" s="264">
        <v>9.7186648925856142E-2</v>
      </c>
      <c r="AK1022" s="264">
        <v>8.88086129435528E-2</v>
      </c>
      <c r="AL1022" s="264">
        <v>9.1943666134709459E-2</v>
      </c>
      <c r="AM1022" s="244"/>
      <c r="AN1022" s="244"/>
      <c r="AO1022" s="244"/>
      <c r="AP1022" s="244"/>
      <c r="AQ1022" s="244"/>
      <c r="AR1022" s="244"/>
      <c r="AS1022" s="244"/>
      <c r="AT1022" s="244"/>
      <c r="AU1022" s="244"/>
      <c r="AV1022" s="244"/>
      <c r="AW1022" s="244"/>
      <c r="AX1022" s="244"/>
      <c r="AY1022" s="244"/>
      <c r="AZ1022" s="244"/>
      <c r="BA1022" s="244"/>
      <c r="BB1022" s="244"/>
      <c r="BC1022" s="244"/>
      <c r="BD1022" s="244"/>
      <c r="BE1022" s="244"/>
      <c r="BF1022" s="244"/>
      <c r="BG1022" s="244"/>
      <c r="BH1022" s="244"/>
      <c r="BI1022" s="244"/>
      <c r="BJ1022" s="244"/>
      <c r="BK1022" s="244"/>
      <c r="BL1022" s="244"/>
      <c r="BM1022" s="244"/>
      <c r="BN1022" s="244"/>
      <c r="BO1022" s="244"/>
      <c r="BP1022" s="244"/>
      <c r="BQ1022" s="244"/>
      <c r="BR1022" s="244"/>
      <c r="BS1022" s="244"/>
      <c r="BT1022" s="244"/>
      <c r="BU1022" s="244"/>
      <c r="BV1022" s="244"/>
      <c r="BW1022" s="244"/>
      <c r="BX1022" s="244"/>
      <c r="BY1022" s="244"/>
      <c r="BZ1022" s="244"/>
      <c r="CA1022" s="244"/>
      <c r="CB1022" s="244"/>
      <c r="CC1022" s="244"/>
      <c r="CD1022" s="244"/>
      <c r="CE1022" s="244"/>
      <c r="CF1022" s="244"/>
      <c r="CG1022" s="244"/>
      <c r="CH1022" s="244"/>
      <c r="CI1022" s="244"/>
      <c r="CJ1022" s="244"/>
      <c r="CK1022" s="244"/>
      <c r="CL1022" s="244"/>
      <c r="CM1022" s="244"/>
      <c r="CN1022" s="244"/>
      <c r="CO1022" s="244"/>
      <c r="CP1022" s="244"/>
      <c r="CQ1022" s="244"/>
      <c r="CR1022" s="244"/>
      <c r="CS1022" s="244"/>
      <c r="CT1022" s="244"/>
      <c r="CU1022" s="244"/>
      <c r="CV1022" s="244"/>
      <c r="CW1022" s="244"/>
    </row>
    <row r="1023" spans="1:101">
      <c r="A1023" s="221" t="s">
        <v>560</v>
      </c>
      <c r="C1023" s="264">
        <v>6.2915987968444824</v>
      </c>
      <c r="D1023" s="264">
        <v>11.336667060852051</v>
      </c>
      <c r="E1023" s="264">
        <v>2.2673335075378418</v>
      </c>
      <c r="F1023" s="264">
        <v>13.604000091552734</v>
      </c>
      <c r="G1023" s="264">
        <v>22.18016242980957</v>
      </c>
      <c r="H1023" s="264">
        <v>233.64778137207031</v>
      </c>
      <c r="I1023" s="264">
        <v>18941.296875</v>
      </c>
      <c r="J1023" s="264">
        <v>66.992790222167969</v>
      </c>
      <c r="K1023" s="264">
        <v>-2641.446044921875</v>
      </c>
      <c r="L1023" s="228">
        <v>10.534088490952644</v>
      </c>
      <c r="M1023" s="264">
        <v>0.56905881995360463</v>
      </c>
      <c r="N1023" s="264">
        <v>0.4068583363137922</v>
      </c>
      <c r="O1023" s="264">
        <v>0.36818047438310197</v>
      </c>
      <c r="P1023" s="264">
        <v>0.39967123995046627</v>
      </c>
      <c r="Q1023" s="264">
        <v>0.38677861930690288</v>
      </c>
      <c r="R1023" s="264">
        <v>0.4068583363137922</v>
      </c>
      <c r="S1023" s="264">
        <v>0.38677861930690288</v>
      </c>
      <c r="T1023" s="264">
        <v>0.4068583363137922</v>
      </c>
      <c r="U1023" s="264">
        <v>0.39967123995046627</v>
      </c>
      <c r="V1023" s="264">
        <v>0.4068583363137922</v>
      </c>
      <c r="W1023" s="264">
        <v>0.39967123995046627</v>
      </c>
      <c r="X1023" s="264">
        <v>0.39396571567022876</v>
      </c>
      <c r="Y1023" s="264">
        <v>0.4068583363137922</v>
      </c>
      <c r="Z1023" s="264"/>
      <c r="AA1023" s="264">
        <v>0.12603665028682956</v>
      </c>
      <c r="AB1023" s="264">
        <v>0.11314402964326613</v>
      </c>
      <c r="AC1023" s="264">
        <v>0.13322374665015546</v>
      </c>
      <c r="AD1023" s="264">
        <v>0.12892620643563429</v>
      </c>
      <c r="AE1023" s="264">
        <v>0.12603665028682956</v>
      </c>
      <c r="AF1023" s="264">
        <v>0.12892620643563429</v>
      </c>
      <c r="AG1023" s="264">
        <v>0.12603665028682956</v>
      </c>
      <c r="AH1023" s="264">
        <v>0.13322374665015546</v>
      </c>
      <c r="AI1023" s="264">
        <v>0.12603665028682956</v>
      </c>
      <c r="AJ1023" s="264">
        <v>0.13322374665015546</v>
      </c>
      <c r="AK1023" s="264">
        <v>0.12173911007230841</v>
      </c>
      <c r="AL1023" s="264">
        <v>0.12603665028682956</v>
      </c>
      <c r="AM1023" s="244"/>
      <c r="AN1023" s="244"/>
      <c r="AO1023" s="244"/>
      <c r="AP1023" s="244"/>
      <c r="AQ1023" s="244"/>
      <c r="AR1023" s="244"/>
      <c r="AS1023" s="244"/>
      <c r="AT1023" s="244"/>
      <c r="AU1023" s="244"/>
      <c r="AV1023" s="244"/>
      <c r="AW1023" s="244"/>
      <c r="AX1023" s="244"/>
      <c r="AY1023" s="244"/>
      <c r="AZ1023" s="244"/>
      <c r="BA1023" s="244"/>
      <c r="BB1023" s="244"/>
      <c r="BC1023" s="244"/>
      <c r="BD1023" s="244"/>
      <c r="BE1023" s="244"/>
      <c r="BF1023" s="244"/>
      <c r="BG1023" s="244"/>
      <c r="BH1023" s="244"/>
      <c r="BI1023" s="244"/>
      <c r="BJ1023" s="244"/>
      <c r="BK1023" s="244"/>
      <c r="BL1023" s="244"/>
      <c r="BM1023" s="244"/>
      <c r="BN1023" s="244"/>
      <c r="BO1023" s="244"/>
      <c r="BP1023" s="244"/>
      <c r="BQ1023" s="244"/>
      <c r="BR1023" s="244"/>
      <c r="BS1023" s="244"/>
      <c r="BT1023" s="244"/>
      <c r="BU1023" s="244"/>
      <c r="BV1023" s="244"/>
      <c r="BW1023" s="244"/>
      <c r="BX1023" s="244"/>
      <c r="BY1023" s="244"/>
      <c r="BZ1023" s="244"/>
      <c r="CA1023" s="244"/>
      <c r="CB1023" s="244"/>
      <c r="CC1023" s="244"/>
      <c r="CD1023" s="244"/>
      <c r="CE1023" s="244"/>
      <c r="CF1023" s="244"/>
      <c r="CG1023" s="244"/>
      <c r="CH1023" s="244"/>
      <c r="CI1023" s="244"/>
      <c r="CJ1023" s="244"/>
      <c r="CK1023" s="244"/>
      <c r="CL1023" s="244"/>
      <c r="CM1023" s="244"/>
      <c r="CN1023" s="244"/>
      <c r="CO1023" s="244"/>
      <c r="CP1023" s="244"/>
      <c r="CQ1023" s="244"/>
      <c r="CR1023" s="244"/>
      <c r="CS1023" s="244"/>
      <c r="CT1023" s="244"/>
      <c r="CU1023" s="244"/>
      <c r="CV1023" s="244"/>
      <c r="CW1023" s="244"/>
    </row>
    <row r="1024" spans="1:101">
      <c r="A1024" s="221" t="s">
        <v>480</v>
      </c>
      <c r="C1024" s="264">
        <v>38.395755767822266</v>
      </c>
      <c r="D1024" s="264">
        <v>11.336667060852051</v>
      </c>
      <c r="E1024" s="264">
        <v>2.2673335075378418</v>
      </c>
      <c r="F1024" s="264">
        <v>13.604000091552734</v>
      </c>
      <c r="G1024" s="264">
        <v>22.18016242980957</v>
      </c>
      <c r="H1024" s="264">
        <v>233.09310913085937</v>
      </c>
      <c r="I1024" s="264">
        <v>3103.755615234375</v>
      </c>
      <c r="J1024" s="264">
        <v>-41.942314147949219</v>
      </c>
      <c r="K1024" s="264">
        <v>-384.3580322265625</v>
      </c>
      <c r="L1024" s="228">
        <v>10.509080816977765</v>
      </c>
      <c r="M1024" s="264">
        <v>0.59691637306272005</v>
      </c>
      <c r="N1024" s="264">
        <v>2.896327978890274</v>
      </c>
      <c r="O1024" s="264">
        <v>2.6713264902284237</v>
      </c>
      <c r="P1024" s="264">
        <v>2.8742695298553058</v>
      </c>
      <c r="Q1024" s="264">
        <v>2.5840641924061245</v>
      </c>
      <c r="R1024" s="264">
        <v>2.5012504345452964</v>
      </c>
      <c r="S1024" s="264">
        <v>2.3014070875089043</v>
      </c>
      <c r="T1024" s="264">
        <v>2.3310137690958346</v>
      </c>
      <c r="U1024" s="264">
        <v>2.3314394079504179</v>
      </c>
      <c r="V1024" s="264">
        <v>2.3759819448749377</v>
      </c>
      <c r="W1024" s="264">
        <v>2.4406478348425256</v>
      </c>
      <c r="X1024" s="264">
        <v>2.5964866037741414</v>
      </c>
      <c r="Y1024" s="264">
        <v>2.84172376544422</v>
      </c>
      <c r="Z1024" s="264"/>
      <c r="AA1024" s="264">
        <v>0.59020470909179334</v>
      </c>
      <c r="AB1024" s="264">
        <v>0.81392138054664753</v>
      </c>
      <c r="AC1024" s="264">
        <v>0.75359171057537122</v>
      </c>
      <c r="AD1024" s="264">
        <v>0.81424521331917155</v>
      </c>
      <c r="AE1024" s="264">
        <v>0.61268879698134482</v>
      </c>
      <c r="AF1024" s="264">
        <v>0.50910402053240023</v>
      </c>
      <c r="AG1024" s="264">
        <v>0.62232483464829547</v>
      </c>
      <c r="AH1024" s="264">
        <v>0.53517485679115584</v>
      </c>
      <c r="AI1024" s="264">
        <v>0.51632842031183812</v>
      </c>
      <c r="AJ1024" s="264">
        <v>0.49020668101205273</v>
      </c>
      <c r="AK1024" s="264">
        <v>0.58340594816693903</v>
      </c>
      <c r="AL1024" s="264">
        <v>0.8086215628760085</v>
      </c>
      <c r="AM1024" s="244"/>
      <c r="AN1024" s="244"/>
      <c r="AO1024" s="244"/>
      <c r="AP1024" s="244"/>
      <c r="AQ1024" s="244"/>
      <c r="AR1024" s="244"/>
      <c r="AS1024" s="244"/>
      <c r="AT1024" s="244"/>
      <c r="AU1024" s="244"/>
      <c r="AV1024" s="244"/>
      <c r="AW1024" s="244"/>
      <c r="AX1024" s="244"/>
      <c r="AY1024" s="244"/>
      <c r="AZ1024" s="244"/>
      <c r="BA1024" s="244"/>
      <c r="BB1024" s="244"/>
      <c r="BC1024" s="244"/>
      <c r="BD1024" s="244"/>
      <c r="BE1024" s="244"/>
      <c r="BF1024" s="244"/>
      <c r="BG1024" s="244"/>
      <c r="BH1024" s="244"/>
      <c r="BI1024" s="244"/>
      <c r="BJ1024" s="244"/>
      <c r="BK1024" s="244"/>
      <c r="BL1024" s="244"/>
      <c r="BM1024" s="244"/>
      <c r="BN1024" s="244"/>
      <c r="BO1024" s="244"/>
      <c r="BP1024" s="244"/>
      <c r="BQ1024" s="244"/>
      <c r="BR1024" s="244"/>
      <c r="BS1024" s="244"/>
      <c r="BT1024" s="244"/>
      <c r="BU1024" s="244"/>
      <c r="BV1024" s="244"/>
      <c r="BW1024" s="244"/>
      <c r="BX1024" s="244"/>
      <c r="BY1024" s="244"/>
      <c r="BZ1024" s="244"/>
      <c r="CA1024" s="244"/>
      <c r="CB1024" s="244"/>
      <c r="CC1024" s="244"/>
      <c r="CD1024" s="244"/>
      <c r="CE1024" s="244"/>
      <c r="CF1024" s="244"/>
      <c r="CG1024" s="244"/>
      <c r="CH1024" s="244"/>
      <c r="CI1024" s="244"/>
      <c r="CJ1024" s="244"/>
      <c r="CK1024" s="244"/>
      <c r="CL1024" s="244"/>
      <c r="CM1024" s="244"/>
      <c r="CN1024" s="244"/>
      <c r="CO1024" s="244"/>
      <c r="CP1024" s="244"/>
      <c r="CQ1024" s="244"/>
      <c r="CR1024" s="244"/>
      <c r="CS1024" s="244"/>
      <c r="CT1024" s="244"/>
      <c r="CU1024" s="244"/>
      <c r="CV1024" s="244"/>
      <c r="CW1024" s="244"/>
    </row>
    <row r="1025" spans="1:101">
      <c r="A1025" s="221" t="s">
        <v>514</v>
      </c>
      <c r="C1025" s="264">
        <v>58.835533142089844</v>
      </c>
      <c r="D1025" s="264">
        <v>8.1096944808959961</v>
      </c>
      <c r="E1025" s="264">
        <v>1.621938943862915</v>
      </c>
      <c r="F1025" s="264">
        <v>9.731633186340332</v>
      </c>
      <c r="G1025" s="264">
        <v>15.866598129272461</v>
      </c>
      <c r="H1025" s="264">
        <v>161.9967041015625</v>
      </c>
      <c r="I1025" s="264">
        <v>1448.939208984375</v>
      </c>
      <c r="J1025" s="264">
        <v>-53.339111328125</v>
      </c>
      <c r="K1025" s="264">
        <v>-142.78538513183594</v>
      </c>
      <c r="L1025" s="228">
        <v>10.20992031821444</v>
      </c>
      <c r="M1025" s="264">
        <v>0.44408667453091322</v>
      </c>
      <c r="N1025" s="264">
        <v>4.5058181812663642</v>
      </c>
      <c r="O1025" s="264">
        <v>4.1628445600744826</v>
      </c>
      <c r="P1025" s="264">
        <v>4.4755846502254517</v>
      </c>
      <c r="Q1025" s="264">
        <v>3.9962770621092942</v>
      </c>
      <c r="R1025" s="264">
        <v>3.8357746757526288</v>
      </c>
      <c r="S1025" s="264">
        <v>3.5168963427173532</v>
      </c>
      <c r="T1025" s="264">
        <v>3.5470567424824826</v>
      </c>
      <c r="U1025" s="264">
        <v>3.5549557686659301</v>
      </c>
      <c r="V1025" s="264">
        <v>3.6233218569312005</v>
      </c>
      <c r="W1025" s="264">
        <v>3.740171046612816</v>
      </c>
      <c r="X1025" s="264">
        <v>4.0101680686254806</v>
      </c>
      <c r="Y1025" s="264">
        <v>4.4132105422929211</v>
      </c>
      <c r="Z1025" s="264"/>
      <c r="AA1025" s="264">
        <v>0.87511297220243334</v>
      </c>
      <c r="AB1025" s="264">
        <v>1.267406692071622</v>
      </c>
      <c r="AC1025" s="264">
        <v>1.1450368629393153</v>
      </c>
      <c r="AD1025" s="264">
        <v>1.2521955674711081</v>
      </c>
      <c r="AE1025" s="264">
        <v>0.91324552942679194</v>
      </c>
      <c r="AF1025" s="264">
        <v>0.73468229085480874</v>
      </c>
      <c r="AG1025" s="264">
        <v>0.92958805395151722</v>
      </c>
      <c r="AH1025" s="264">
        <v>0.7746063070455429</v>
      </c>
      <c r="AI1025" s="264">
        <v>0.74982028417953961</v>
      </c>
      <c r="AJ1025" s="264">
        <v>0.69834119259682503</v>
      </c>
      <c r="AK1025" s="264">
        <v>0.86787400506114953</v>
      </c>
      <c r="AL1025" s="264">
        <v>1.2455435280962055</v>
      </c>
      <c r="AM1025" s="244"/>
      <c r="AN1025" s="244"/>
      <c r="AO1025" s="244"/>
      <c r="AP1025" s="244"/>
      <c r="AQ1025" s="244"/>
      <c r="AR1025" s="244"/>
      <c r="AS1025" s="244"/>
      <c r="AT1025" s="244"/>
      <c r="AU1025" s="244"/>
      <c r="AV1025" s="244"/>
      <c r="AW1025" s="244"/>
      <c r="AX1025" s="244"/>
      <c r="AY1025" s="244"/>
      <c r="AZ1025" s="244"/>
      <c r="BA1025" s="244"/>
      <c r="BB1025" s="244"/>
      <c r="BC1025" s="244"/>
      <c r="BD1025" s="244"/>
      <c r="BE1025" s="244"/>
      <c r="BF1025" s="244"/>
      <c r="BG1025" s="244"/>
      <c r="BH1025" s="244"/>
      <c r="BI1025" s="244"/>
      <c r="BJ1025" s="244"/>
      <c r="BK1025" s="244"/>
      <c r="BL1025" s="244"/>
      <c r="BM1025" s="244"/>
      <c r="BN1025" s="244"/>
      <c r="BO1025" s="244"/>
      <c r="BP1025" s="244"/>
      <c r="BQ1025" s="244"/>
      <c r="BR1025" s="244"/>
      <c r="BS1025" s="244"/>
      <c r="BT1025" s="244"/>
      <c r="BU1025" s="244"/>
      <c r="BV1025" s="244"/>
      <c r="BW1025" s="244"/>
      <c r="BX1025" s="244"/>
      <c r="BY1025" s="244"/>
      <c r="BZ1025" s="244"/>
      <c r="CA1025" s="244"/>
      <c r="CB1025" s="244"/>
      <c r="CC1025" s="244"/>
      <c r="CD1025" s="244"/>
      <c r="CE1025" s="244"/>
      <c r="CF1025" s="244"/>
      <c r="CG1025" s="244"/>
      <c r="CH1025" s="244"/>
      <c r="CI1025" s="244"/>
      <c r="CJ1025" s="244"/>
      <c r="CK1025" s="244"/>
      <c r="CL1025" s="244"/>
      <c r="CM1025" s="244"/>
      <c r="CN1025" s="244"/>
      <c r="CO1025" s="244"/>
      <c r="CP1025" s="244"/>
      <c r="CQ1025" s="244"/>
      <c r="CR1025" s="244"/>
      <c r="CS1025" s="244"/>
      <c r="CT1025" s="244"/>
      <c r="CU1025" s="244"/>
      <c r="CV1025" s="244"/>
      <c r="CW1025" s="244"/>
    </row>
    <row r="1026" spans="1:101">
      <c r="A1026" s="221" t="s">
        <v>537</v>
      </c>
      <c r="C1026" s="264">
        <v>42.049747467041016</v>
      </c>
      <c r="D1026" s="264">
        <v>11.336667060852051</v>
      </c>
      <c r="E1026" s="264">
        <v>2.2673335075378418</v>
      </c>
      <c r="F1026" s="264">
        <v>13.604000091552734</v>
      </c>
      <c r="G1026" s="264">
        <v>22.18016242980957</v>
      </c>
      <c r="H1026" s="264">
        <v>219.52647399902344</v>
      </c>
      <c r="I1026" s="264">
        <v>2834.049072265625</v>
      </c>
      <c r="J1026" s="264">
        <v>-43.853897094726563</v>
      </c>
      <c r="K1026" s="264">
        <v>-320.14492797851562</v>
      </c>
      <c r="L1026" s="228">
        <v>9.8974244542433745</v>
      </c>
      <c r="M1026" s="264">
        <v>0.55142400843311501</v>
      </c>
      <c r="N1026" s="264">
        <v>3.1837249006111126</v>
      </c>
      <c r="O1026" s="264">
        <v>2.9376249113952539</v>
      </c>
      <c r="P1026" s="264">
        <v>3.160187636003438</v>
      </c>
      <c r="Q1026" s="264">
        <v>2.8363452668196847</v>
      </c>
      <c r="R1026" s="264">
        <v>2.7398068132715374</v>
      </c>
      <c r="S1026" s="264">
        <v>2.5187453344141351</v>
      </c>
      <c r="T1026" s="264">
        <v>2.5485250358000133</v>
      </c>
      <c r="U1026" s="264">
        <v>2.5502514021791445</v>
      </c>
      <c r="V1026" s="264">
        <v>2.5990522977736235</v>
      </c>
      <c r="W1026" s="264">
        <v>2.6729604669721976</v>
      </c>
      <c r="X1026" s="264">
        <v>2.8490552610044424</v>
      </c>
      <c r="Y1026" s="264">
        <v>3.1223703682145856</v>
      </c>
      <c r="Z1026" s="264"/>
      <c r="AA1026" s="264">
        <v>0.64127990888213715</v>
      </c>
      <c r="AB1026" s="264">
        <v>0.89489196225392786</v>
      </c>
      <c r="AC1026" s="264">
        <v>0.82361713969258599</v>
      </c>
      <c r="AD1026" s="264">
        <v>0.89251510020563685</v>
      </c>
      <c r="AE1026" s="264">
        <v>0.6665435398689421</v>
      </c>
      <c r="AF1026" s="264">
        <v>0.54965153681328227</v>
      </c>
      <c r="AG1026" s="264">
        <v>0.67737081029185853</v>
      </c>
      <c r="AH1026" s="264">
        <v>0.57819901010647956</v>
      </c>
      <c r="AI1026" s="264">
        <v>0.55827083563977753</v>
      </c>
      <c r="AJ1026" s="264">
        <v>0.52767174813286943</v>
      </c>
      <c r="AK1026" s="264">
        <v>0.63438697643477293</v>
      </c>
      <c r="AL1026" s="264">
        <v>0.88669803846824347</v>
      </c>
      <c r="AM1026" s="244"/>
      <c r="AN1026" s="244"/>
      <c r="AO1026" s="244"/>
      <c r="AP1026" s="244"/>
      <c r="AQ1026" s="244"/>
      <c r="AR1026" s="244"/>
      <c r="AS1026" s="244"/>
      <c r="AT1026" s="244"/>
      <c r="AU1026" s="244"/>
      <c r="AV1026" s="244"/>
      <c r="AW1026" s="244"/>
      <c r="AX1026" s="244"/>
      <c r="AY1026" s="244"/>
      <c r="AZ1026" s="244"/>
      <c r="BA1026" s="244"/>
      <c r="BB1026" s="244"/>
      <c r="BC1026" s="244"/>
      <c r="BD1026" s="244"/>
      <c r="BE1026" s="244"/>
      <c r="BF1026" s="244"/>
      <c r="BG1026" s="244"/>
      <c r="BH1026" s="244"/>
      <c r="BI1026" s="244"/>
      <c r="BJ1026" s="244"/>
      <c r="BK1026" s="244"/>
      <c r="BL1026" s="244"/>
      <c r="BM1026" s="244"/>
      <c r="BN1026" s="244"/>
      <c r="BO1026" s="244"/>
      <c r="BP1026" s="244"/>
      <c r="BQ1026" s="244"/>
      <c r="BR1026" s="244"/>
      <c r="BS1026" s="244"/>
      <c r="BT1026" s="244"/>
      <c r="BU1026" s="244"/>
      <c r="BV1026" s="244"/>
      <c r="BW1026" s="244"/>
      <c r="BX1026" s="244"/>
      <c r="BY1026" s="244"/>
      <c r="BZ1026" s="244"/>
      <c r="CA1026" s="244"/>
      <c r="CB1026" s="244"/>
      <c r="CC1026" s="244"/>
      <c r="CD1026" s="244"/>
      <c r="CE1026" s="244"/>
      <c r="CF1026" s="244"/>
      <c r="CG1026" s="244"/>
      <c r="CH1026" s="244"/>
      <c r="CI1026" s="244"/>
      <c r="CJ1026" s="244"/>
      <c r="CK1026" s="244"/>
      <c r="CL1026" s="244"/>
      <c r="CM1026" s="244"/>
      <c r="CN1026" s="244"/>
      <c r="CO1026" s="244"/>
      <c r="CP1026" s="244"/>
      <c r="CQ1026" s="244"/>
      <c r="CR1026" s="244"/>
      <c r="CS1026" s="244"/>
      <c r="CT1026" s="244"/>
      <c r="CU1026" s="244"/>
      <c r="CV1026" s="244"/>
      <c r="CW1026" s="244"/>
    </row>
    <row r="1027" spans="1:101">
      <c r="A1027" s="221" t="s">
        <v>569</v>
      </c>
      <c r="C1027" s="264">
        <v>4.194399356842041</v>
      </c>
      <c r="D1027" s="264">
        <v>8.1096944808959961</v>
      </c>
      <c r="E1027" s="264">
        <v>1.621938943862915</v>
      </c>
      <c r="F1027" s="264">
        <v>9.731633186340332</v>
      </c>
      <c r="G1027" s="264">
        <v>15.866598129272461</v>
      </c>
      <c r="H1027" s="264">
        <v>155.76519775390625</v>
      </c>
      <c r="I1027" s="264">
        <v>20324.509765625</v>
      </c>
      <c r="J1027" s="264">
        <v>75.956092834472656</v>
      </c>
      <c r="K1027" s="264">
        <v>-2620.787841796875</v>
      </c>
      <c r="L1027" s="228">
        <v>9.8171763519973165</v>
      </c>
      <c r="M1027" s="264">
        <v>0.379372546635735</v>
      </c>
      <c r="N1027" s="264">
        <v>0.27123889087586145</v>
      </c>
      <c r="O1027" s="264">
        <v>0.24545364958873464</v>
      </c>
      <c r="P1027" s="264">
        <v>0.26644749330031087</v>
      </c>
      <c r="Q1027" s="264">
        <v>0.25785241287126859</v>
      </c>
      <c r="R1027" s="264">
        <v>0.27123889087586145</v>
      </c>
      <c r="S1027" s="264">
        <v>0.25785241287126859</v>
      </c>
      <c r="T1027" s="264">
        <v>0.27123889087586145</v>
      </c>
      <c r="U1027" s="264">
        <v>0.26644749330031087</v>
      </c>
      <c r="V1027" s="264">
        <v>0.27123889087586145</v>
      </c>
      <c r="W1027" s="264">
        <v>0.26644749330031087</v>
      </c>
      <c r="X1027" s="264">
        <v>0.26264381044681917</v>
      </c>
      <c r="Y1027" s="264">
        <v>0.27123889087586145</v>
      </c>
      <c r="Z1027" s="264"/>
      <c r="AA1027" s="264">
        <v>8.4024433524553035E-2</v>
      </c>
      <c r="AB1027" s="264">
        <v>7.5429353095510757E-2</v>
      </c>
      <c r="AC1027" s="264">
        <v>8.8815831100103632E-2</v>
      </c>
      <c r="AD1027" s="264">
        <v>8.5950804290422858E-2</v>
      </c>
      <c r="AE1027" s="264">
        <v>8.4024433524553035E-2</v>
      </c>
      <c r="AF1027" s="264">
        <v>8.5950804290422858E-2</v>
      </c>
      <c r="AG1027" s="264">
        <v>8.4024433524553035E-2</v>
      </c>
      <c r="AH1027" s="264">
        <v>8.8815831100103632E-2</v>
      </c>
      <c r="AI1027" s="264">
        <v>8.4024433524553035E-2</v>
      </c>
      <c r="AJ1027" s="264">
        <v>8.8815831100103632E-2</v>
      </c>
      <c r="AK1027" s="264">
        <v>8.1159406714872262E-2</v>
      </c>
      <c r="AL1027" s="264">
        <v>8.4024433524553035E-2</v>
      </c>
      <c r="AM1027" s="244"/>
      <c r="AN1027" s="244"/>
      <c r="AO1027" s="244"/>
      <c r="AP1027" s="244"/>
      <c r="AQ1027" s="244"/>
      <c r="AR1027" s="244"/>
      <c r="AS1027" s="244"/>
      <c r="AT1027" s="244"/>
      <c r="AU1027" s="244"/>
      <c r="AV1027" s="244"/>
      <c r="AW1027" s="244"/>
      <c r="AX1027" s="244"/>
      <c r="AY1027" s="244"/>
      <c r="AZ1027" s="244"/>
      <c r="BA1027" s="244"/>
      <c r="BB1027" s="244"/>
      <c r="BC1027" s="244"/>
      <c r="BD1027" s="244"/>
      <c r="BE1027" s="244"/>
      <c r="BF1027" s="244"/>
      <c r="BG1027" s="244"/>
      <c r="BH1027" s="244"/>
      <c r="BI1027" s="244"/>
      <c r="BJ1027" s="244"/>
      <c r="BK1027" s="244"/>
      <c r="BL1027" s="244"/>
      <c r="BM1027" s="244"/>
      <c r="BN1027" s="244"/>
      <c r="BO1027" s="244"/>
      <c r="BP1027" s="244"/>
      <c r="BQ1027" s="244"/>
      <c r="BR1027" s="244"/>
      <c r="BS1027" s="244"/>
      <c r="BT1027" s="244"/>
      <c r="BU1027" s="244"/>
      <c r="BV1027" s="244"/>
      <c r="BW1027" s="244"/>
      <c r="BX1027" s="244"/>
      <c r="BY1027" s="244"/>
      <c r="BZ1027" s="244"/>
      <c r="CA1027" s="244"/>
      <c r="CB1027" s="244"/>
      <c r="CC1027" s="244"/>
      <c r="CD1027" s="244"/>
      <c r="CE1027" s="244"/>
      <c r="CF1027" s="244"/>
      <c r="CG1027" s="244"/>
      <c r="CH1027" s="244"/>
      <c r="CI1027" s="244"/>
      <c r="CJ1027" s="244"/>
      <c r="CK1027" s="244"/>
      <c r="CL1027" s="244"/>
      <c r="CM1027" s="244"/>
      <c r="CN1027" s="244"/>
      <c r="CO1027" s="244"/>
      <c r="CP1027" s="244"/>
      <c r="CQ1027" s="244"/>
      <c r="CR1027" s="244"/>
      <c r="CS1027" s="244"/>
      <c r="CT1027" s="244"/>
      <c r="CU1027" s="244"/>
      <c r="CV1027" s="244"/>
      <c r="CW1027" s="244"/>
    </row>
    <row r="1028" spans="1:101">
      <c r="A1028" s="221" t="s">
        <v>489</v>
      </c>
      <c r="C1028" s="264">
        <v>25.597169876098633</v>
      </c>
      <c r="D1028" s="264">
        <v>8.1096944808959961</v>
      </c>
      <c r="E1028" s="264">
        <v>1.621938943862915</v>
      </c>
      <c r="F1028" s="264">
        <v>9.731633186340332</v>
      </c>
      <c r="G1028" s="264">
        <v>15.866598129272461</v>
      </c>
      <c r="H1028" s="264">
        <v>155.39540100097656</v>
      </c>
      <c r="I1028" s="264">
        <v>3330.411376953125</v>
      </c>
      <c r="J1028" s="264">
        <v>-40.47357177734375</v>
      </c>
      <c r="K1028" s="264">
        <v>-380.9730224609375</v>
      </c>
      <c r="L1028" s="228">
        <v>9.7938703882203964</v>
      </c>
      <c r="M1028" s="264">
        <v>0.3979442487084785</v>
      </c>
      <c r="N1028" s="264">
        <v>1.9308853192601836</v>
      </c>
      <c r="O1028" s="264">
        <v>1.78088432681895</v>
      </c>
      <c r="P1028" s="264">
        <v>1.9161796865702048</v>
      </c>
      <c r="Q1028" s="264">
        <v>1.7227094616040834</v>
      </c>
      <c r="R1028" s="264">
        <v>1.6675002896968649</v>
      </c>
      <c r="S1028" s="264">
        <v>1.5342713916726036</v>
      </c>
      <c r="T1028" s="264">
        <v>1.5540091793972235</v>
      </c>
      <c r="U1028" s="264">
        <v>1.5542929386336126</v>
      </c>
      <c r="V1028" s="264">
        <v>1.5839879632499589</v>
      </c>
      <c r="W1028" s="264">
        <v>1.6270985565616845</v>
      </c>
      <c r="X1028" s="264">
        <v>1.7309910691827617</v>
      </c>
      <c r="Y1028" s="264">
        <v>1.8944825102961476</v>
      </c>
      <c r="Z1028" s="264"/>
      <c r="AA1028" s="264">
        <v>0.39346980606119575</v>
      </c>
      <c r="AB1028" s="264">
        <v>0.54261425369776517</v>
      </c>
      <c r="AC1028" s="264">
        <v>0.50239447371691437</v>
      </c>
      <c r="AD1028" s="264">
        <v>0.54283014221278125</v>
      </c>
      <c r="AE1028" s="264">
        <v>0.40845919798756336</v>
      </c>
      <c r="AF1028" s="264">
        <v>0.33940268035493359</v>
      </c>
      <c r="AG1028" s="264">
        <v>0.41488322309886377</v>
      </c>
      <c r="AH1028" s="264">
        <v>0.35678323786077071</v>
      </c>
      <c r="AI1028" s="264">
        <v>0.3442189468745589</v>
      </c>
      <c r="AJ1028" s="264">
        <v>0.32680445400803532</v>
      </c>
      <c r="AK1028" s="264">
        <v>0.38893729877795952</v>
      </c>
      <c r="AL1028" s="264">
        <v>0.5390810419173393</v>
      </c>
      <c r="AM1028" s="244"/>
      <c r="AN1028" s="244"/>
      <c r="AO1028" s="244"/>
      <c r="AP1028" s="244"/>
      <c r="AQ1028" s="244"/>
      <c r="AR1028" s="244"/>
      <c r="AS1028" s="244"/>
      <c r="AT1028" s="244"/>
      <c r="AU1028" s="244"/>
      <c r="AV1028" s="244"/>
      <c r="AW1028" s="244"/>
      <c r="AX1028" s="244"/>
      <c r="AY1028" s="244"/>
      <c r="AZ1028" s="244"/>
      <c r="BA1028" s="244"/>
      <c r="BB1028" s="244"/>
      <c r="BC1028" s="244"/>
      <c r="BD1028" s="244"/>
      <c r="BE1028" s="244"/>
      <c r="BF1028" s="244"/>
      <c r="BG1028" s="244"/>
      <c r="BH1028" s="244"/>
      <c r="BI1028" s="244"/>
      <c r="BJ1028" s="244"/>
      <c r="BK1028" s="244"/>
      <c r="BL1028" s="244"/>
      <c r="BM1028" s="244"/>
      <c r="BN1028" s="244"/>
      <c r="BO1028" s="244"/>
      <c r="BP1028" s="244"/>
      <c r="BQ1028" s="244"/>
      <c r="BR1028" s="244"/>
      <c r="BS1028" s="244"/>
      <c r="BT1028" s="244"/>
      <c r="BU1028" s="244"/>
      <c r="BV1028" s="244"/>
      <c r="BW1028" s="244"/>
      <c r="BX1028" s="244"/>
      <c r="BY1028" s="244"/>
      <c r="BZ1028" s="244"/>
      <c r="CA1028" s="244"/>
      <c r="CB1028" s="244"/>
      <c r="CC1028" s="244"/>
      <c r="CD1028" s="244"/>
      <c r="CE1028" s="244"/>
      <c r="CF1028" s="244"/>
      <c r="CG1028" s="244"/>
      <c r="CH1028" s="244"/>
      <c r="CI1028" s="244"/>
      <c r="CJ1028" s="244"/>
      <c r="CK1028" s="244"/>
      <c r="CL1028" s="244"/>
      <c r="CM1028" s="244"/>
      <c r="CN1028" s="244"/>
      <c r="CO1028" s="244"/>
      <c r="CP1028" s="244"/>
      <c r="CQ1028" s="244"/>
      <c r="CR1028" s="244"/>
      <c r="CS1028" s="244"/>
      <c r="CT1028" s="244"/>
      <c r="CU1028" s="244"/>
      <c r="CV1028" s="244"/>
      <c r="CW1028" s="244"/>
    </row>
    <row r="1029" spans="1:101">
      <c r="A1029" s="221" t="s">
        <v>482</v>
      </c>
      <c r="C1029" s="264">
        <v>5.907374382019043</v>
      </c>
      <c r="D1029" s="264">
        <v>11.336667060852051</v>
      </c>
      <c r="E1029" s="264">
        <v>2.2673335075378418</v>
      </c>
      <c r="F1029" s="264">
        <v>13.604000091552734</v>
      </c>
      <c r="G1029" s="264">
        <v>22.18016242980957</v>
      </c>
      <c r="H1029" s="264">
        <v>217.15864562988281</v>
      </c>
      <c r="I1029" s="264">
        <v>20173.267578125</v>
      </c>
      <c r="J1029" s="264">
        <v>74.976020812988281</v>
      </c>
      <c r="K1029" s="264">
        <v>-2592.885986328125</v>
      </c>
      <c r="L1029" s="228">
        <v>9.7906698196183122</v>
      </c>
      <c r="M1029" s="264">
        <v>0.50916337421965563</v>
      </c>
      <c r="N1029" s="264">
        <v>0.38201173266678295</v>
      </c>
      <c r="O1029" s="264">
        <v>0.34569590542859174</v>
      </c>
      <c r="P1029" s="264">
        <v>0.37526354812797647</v>
      </c>
      <c r="Q1029" s="264">
        <v>0.36315827238191267</v>
      </c>
      <c r="R1029" s="264">
        <v>0.38201173266678295</v>
      </c>
      <c r="S1029" s="264">
        <v>0.36315827238191267</v>
      </c>
      <c r="T1029" s="264">
        <v>0.38201173266678295</v>
      </c>
      <c r="U1029" s="264">
        <v>0.37526354812797647</v>
      </c>
      <c r="V1029" s="264">
        <v>0.38201173266678295</v>
      </c>
      <c r="W1029" s="264">
        <v>0.37526354812797647</v>
      </c>
      <c r="X1029" s="264">
        <v>0.36990645692071922</v>
      </c>
      <c r="Y1029" s="264">
        <v>0.38201173266678295</v>
      </c>
      <c r="Z1029" s="264"/>
      <c r="AA1029" s="264">
        <v>0.11833966483718569</v>
      </c>
      <c r="AB1029" s="264">
        <v>0.10623438909112193</v>
      </c>
      <c r="AC1029" s="264">
        <v>0.12508784937599216</v>
      </c>
      <c r="AD1029" s="264">
        <v>0.12105275746063757</v>
      </c>
      <c r="AE1029" s="264">
        <v>0.11833966483718569</v>
      </c>
      <c r="AF1029" s="264">
        <v>0.12105275746063757</v>
      </c>
      <c r="AG1029" s="264">
        <v>0.11833966483718569</v>
      </c>
      <c r="AH1029" s="264">
        <v>0.12508784937599216</v>
      </c>
      <c r="AI1029" s="264">
        <v>0.11833966483718569</v>
      </c>
      <c r="AJ1029" s="264">
        <v>0.12508784937599216</v>
      </c>
      <c r="AK1029" s="264">
        <v>0.1143045729218311</v>
      </c>
      <c r="AL1029" s="264">
        <v>0.11833966483718569</v>
      </c>
      <c r="AM1029" s="244"/>
      <c r="AN1029" s="244"/>
      <c r="AO1029" s="244"/>
      <c r="AP1029" s="244"/>
      <c r="AQ1029" s="244"/>
      <c r="AR1029" s="244"/>
      <c r="AS1029" s="244"/>
      <c r="AT1029" s="244"/>
      <c r="AU1029" s="244"/>
      <c r="AV1029" s="244"/>
      <c r="AW1029" s="244"/>
      <c r="AX1029" s="244"/>
      <c r="AY1029" s="244"/>
      <c r="AZ1029" s="244"/>
      <c r="BA1029" s="244"/>
      <c r="BB1029" s="244"/>
      <c r="BC1029" s="244"/>
      <c r="BD1029" s="244"/>
      <c r="BE1029" s="244"/>
      <c r="BF1029" s="244"/>
      <c r="BG1029" s="244"/>
      <c r="BH1029" s="244"/>
      <c r="BI1029" s="244"/>
      <c r="BJ1029" s="244"/>
      <c r="BK1029" s="244"/>
      <c r="BL1029" s="244"/>
      <c r="BM1029" s="244"/>
      <c r="BN1029" s="244"/>
      <c r="BO1029" s="244"/>
      <c r="BP1029" s="244"/>
      <c r="BQ1029" s="244"/>
      <c r="BR1029" s="244"/>
      <c r="BS1029" s="244"/>
      <c r="BT1029" s="244"/>
      <c r="BU1029" s="244"/>
      <c r="BV1029" s="244"/>
      <c r="BW1029" s="244"/>
      <c r="BX1029" s="244"/>
      <c r="BY1029" s="244"/>
      <c r="BZ1029" s="244"/>
      <c r="CA1029" s="244"/>
      <c r="CB1029" s="244"/>
      <c r="CC1029" s="244"/>
      <c r="CD1029" s="244"/>
      <c r="CE1029" s="244"/>
      <c r="CF1029" s="244"/>
      <c r="CG1029" s="244"/>
      <c r="CH1029" s="244"/>
      <c r="CI1029" s="244"/>
      <c r="CJ1029" s="244"/>
      <c r="CK1029" s="244"/>
      <c r="CL1029" s="244"/>
      <c r="CM1029" s="244"/>
      <c r="CN1029" s="244"/>
      <c r="CO1029" s="244"/>
      <c r="CP1029" s="244"/>
      <c r="CQ1029" s="244"/>
      <c r="CR1029" s="244"/>
      <c r="CS1029" s="244"/>
      <c r="CT1029" s="244"/>
      <c r="CU1029" s="244"/>
      <c r="CV1029" s="244"/>
      <c r="CW1029" s="244"/>
    </row>
    <row r="1030" spans="1:101">
      <c r="A1030" s="221" t="s">
        <v>510</v>
      </c>
      <c r="C1030" s="264">
        <v>48.519321441650391</v>
      </c>
      <c r="D1030" s="264">
        <v>11.336667060852051</v>
      </c>
      <c r="E1030" s="264">
        <v>2.2673335075378418</v>
      </c>
      <c r="F1030" s="264">
        <v>13.604000091552734</v>
      </c>
      <c r="G1030" s="264">
        <v>22.18016242980957</v>
      </c>
      <c r="H1030" s="264">
        <v>213.36671447753906</v>
      </c>
      <c r="I1030" s="264">
        <v>2456.156494140625</v>
      </c>
      <c r="J1030" s="264">
        <v>-46.471519470214844</v>
      </c>
      <c r="K1030" s="264">
        <v>-259.72079467773437</v>
      </c>
      <c r="L1030" s="228">
        <v>9.6197093161251548</v>
      </c>
      <c r="M1030" s="264">
        <v>0.54373466832787809</v>
      </c>
      <c r="N1030" s="264">
        <v>3.6875444516319886</v>
      </c>
      <c r="O1030" s="264">
        <v>3.4039541339049837</v>
      </c>
      <c r="P1030" s="264">
        <v>3.6611235070033077</v>
      </c>
      <c r="Q1030" s="264">
        <v>3.2802995707070215</v>
      </c>
      <c r="R1030" s="264">
        <v>3.1619602555478679</v>
      </c>
      <c r="S1030" s="264">
        <v>2.9042718531834235</v>
      </c>
      <c r="T1030" s="264">
        <v>2.9354890165847918</v>
      </c>
      <c r="U1030" s="264">
        <v>2.9389793676682165</v>
      </c>
      <c r="V1030" s="264">
        <v>2.9953116080090005</v>
      </c>
      <c r="W1030" s="264">
        <v>3.084262803984152</v>
      </c>
      <c r="X1030" s="264">
        <v>3.2939013886019426</v>
      </c>
      <c r="Y1030" s="264">
        <v>3.61490273347402</v>
      </c>
      <c r="Z1030" s="264"/>
      <c r="AA1030" s="264">
        <v>0.73388934270529305</v>
      </c>
      <c r="AB1030" s="264">
        <v>1.0367521655428213</v>
      </c>
      <c r="AC1030" s="264">
        <v>0.94832414609577231</v>
      </c>
      <c r="AD1030" s="264">
        <v>1.0307619039817411</v>
      </c>
      <c r="AE1030" s="264">
        <v>0.76380063841739732</v>
      </c>
      <c r="AF1030" s="264">
        <v>0.62482289074603858</v>
      </c>
      <c r="AG1030" s="264">
        <v>0.77661976515115627</v>
      </c>
      <c r="AH1030" s="264">
        <v>0.65775727346390112</v>
      </c>
      <c r="AI1030" s="264">
        <v>0.63560937107980708</v>
      </c>
      <c r="AJ1030" s="264">
        <v>0.59793468203969236</v>
      </c>
      <c r="AK1030" s="264">
        <v>0.72659321345494854</v>
      </c>
      <c r="AL1030" s="264">
        <v>1.0244562153371641</v>
      </c>
      <c r="AM1030" s="244"/>
      <c r="AN1030" s="244"/>
      <c r="AO1030" s="244"/>
      <c r="AP1030" s="244"/>
      <c r="AQ1030" s="244"/>
      <c r="AR1030" s="244"/>
      <c r="AS1030" s="244"/>
      <c r="AT1030" s="244"/>
      <c r="AU1030" s="244"/>
      <c r="AV1030" s="244"/>
      <c r="AW1030" s="244"/>
      <c r="AX1030" s="244"/>
      <c r="AY1030" s="244"/>
      <c r="AZ1030" s="244"/>
      <c r="BA1030" s="244"/>
      <c r="BB1030" s="244"/>
      <c r="BC1030" s="244"/>
      <c r="BD1030" s="244"/>
      <c r="BE1030" s="244"/>
      <c r="BF1030" s="244"/>
      <c r="BG1030" s="244"/>
      <c r="BH1030" s="244"/>
      <c r="BI1030" s="244"/>
      <c r="BJ1030" s="244"/>
      <c r="BK1030" s="244"/>
      <c r="BL1030" s="244"/>
      <c r="BM1030" s="244"/>
      <c r="BN1030" s="244"/>
      <c r="BO1030" s="244"/>
      <c r="BP1030" s="244"/>
      <c r="BQ1030" s="244"/>
      <c r="BR1030" s="244"/>
      <c r="BS1030" s="244"/>
      <c r="BT1030" s="244"/>
      <c r="BU1030" s="244"/>
      <c r="BV1030" s="244"/>
      <c r="BW1030" s="244"/>
      <c r="BX1030" s="244"/>
      <c r="BY1030" s="244"/>
      <c r="BZ1030" s="244"/>
      <c r="CA1030" s="244"/>
      <c r="CB1030" s="244"/>
      <c r="CC1030" s="244"/>
      <c r="CD1030" s="244"/>
      <c r="CE1030" s="244"/>
      <c r="CF1030" s="244"/>
      <c r="CG1030" s="244"/>
      <c r="CH1030" s="244"/>
      <c r="CI1030" s="244"/>
      <c r="CJ1030" s="244"/>
      <c r="CK1030" s="244"/>
      <c r="CL1030" s="244"/>
      <c r="CM1030" s="244"/>
      <c r="CN1030" s="244"/>
      <c r="CO1030" s="244"/>
      <c r="CP1030" s="244"/>
      <c r="CQ1030" s="244"/>
      <c r="CR1030" s="244"/>
      <c r="CS1030" s="244"/>
      <c r="CT1030" s="244"/>
      <c r="CU1030" s="244"/>
      <c r="CV1030" s="244"/>
      <c r="CW1030" s="244"/>
    </row>
    <row r="1031" spans="1:101">
      <c r="A1031" s="221" t="s">
        <v>546</v>
      </c>
      <c r="C1031" s="264">
        <v>28.033164978027344</v>
      </c>
      <c r="D1031" s="264">
        <v>8.1096944808959961</v>
      </c>
      <c r="E1031" s="264">
        <v>1.621938943862915</v>
      </c>
      <c r="F1031" s="264">
        <v>9.731633186340332</v>
      </c>
      <c r="G1031" s="264">
        <v>15.866598129272461</v>
      </c>
      <c r="H1031" s="264">
        <v>146.35098266601562</v>
      </c>
      <c r="I1031" s="264">
        <v>3041.009033203125</v>
      </c>
      <c r="J1031" s="264">
        <v>-42.512779235839844</v>
      </c>
      <c r="K1031" s="264">
        <v>-317.05404663085937</v>
      </c>
      <c r="L1031" s="228">
        <v>9.223840937739169</v>
      </c>
      <c r="M1031" s="264">
        <v>0.36761600562207775</v>
      </c>
      <c r="N1031" s="264">
        <v>2.1224832670740752</v>
      </c>
      <c r="O1031" s="264">
        <v>1.9584166075968361</v>
      </c>
      <c r="P1031" s="264">
        <v>2.1067917573356256</v>
      </c>
      <c r="Q1031" s="264">
        <v>1.8908968445464562</v>
      </c>
      <c r="R1031" s="264">
        <v>1.8265378755143582</v>
      </c>
      <c r="S1031" s="264">
        <v>1.67916355627609</v>
      </c>
      <c r="T1031" s="264">
        <v>1.6990166905333424</v>
      </c>
      <c r="U1031" s="264">
        <v>1.7001676014527629</v>
      </c>
      <c r="V1031" s="264">
        <v>1.7327015318490822</v>
      </c>
      <c r="W1031" s="264">
        <v>1.7819736446481318</v>
      </c>
      <c r="X1031" s="264">
        <v>1.8993701740029614</v>
      </c>
      <c r="Y1031" s="264">
        <v>2.0815802454763901</v>
      </c>
      <c r="Z1031" s="264"/>
      <c r="AA1031" s="264">
        <v>0.42751993925475806</v>
      </c>
      <c r="AB1031" s="264">
        <v>0.59659464150261854</v>
      </c>
      <c r="AC1031" s="264">
        <v>0.54907809312839051</v>
      </c>
      <c r="AD1031" s="264">
        <v>0.59501006680375779</v>
      </c>
      <c r="AE1031" s="264">
        <v>0.44436235991262801</v>
      </c>
      <c r="AF1031" s="264">
        <v>0.36643435787552153</v>
      </c>
      <c r="AG1031" s="264">
        <v>0.45158054019457228</v>
      </c>
      <c r="AH1031" s="264">
        <v>0.38546600673765297</v>
      </c>
      <c r="AI1031" s="264">
        <v>0.37218055709318504</v>
      </c>
      <c r="AJ1031" s="264">
        <v>0.3517811654219129</v>
      </c>
      <c r="AK1031" s="264">
        <v>0.42292465095651521</v>
      </c>
      <c r="AL1031" s="264">
        <v>0.59113202564549561</v>
      </c>
      <c r="AM1031" s="244"/>
      <c r="AN1031" s="244"/>
      <c r="AO1031" s="244"/>
      <c r="AP1031" s="244"/>
      <c r="AQ1031" s="244"/>
      <c r="AR1031" s="244"/>
      <c r="AS1031" s="244"/>
      <c r="AT1031" s="244"/>
      <c r="AU1031" s="244"/>
      <c r="AV1031" s="244"/>
      <c r="AW1031" s="244"/>
      <c r="AX1031" s="244"/>
      <c r="AY1031" s="244"/>
      <c r="AZ1031" s="244"/>
      <c r="BA1031" s="244"/>
      <c r="BB1031" s="244"/>
      <c r="BC1031" s="244"/>
      <c r="BD1031" s="244"/>
      <c r="BE1031" s="244"/>
      <c r="BF1031" s="244"/>
      <c r="BG1031" s="244"/>
      <c r="BH1031" s="244"/>
      <c r="BI1031" s="244"/>
      <c r="BJ1031" s="244"/>
      <c r="BK1031" s="244"/>
      <c r="BL1031" s="244"/>
      <c r="BM1031" s="244"/>
      <c r="BN1031" s="244"/>
      <c r="BO1031" s="244"/>
      <c r="BP1031" s="244"/>
      <c r="BQ1031" s="244"/>
      <c r="BR1031" s="244"/>
      <c r="BS1031" s="244"/>
      <c r="BT1031" s="244"/>
      <c r="BU1031" s="244"/>
      <c r="BV1031" s="244"/>
      <c r="BW1031" s="244"/>
      <c r="BX1031" s="244"/>
      <c r="BY1031" s="244"/>
      <c r="BZ1031" s="244"/>
      <c r="CA1031" s="244"/>
      <c r="CB1031" s="244"/>
      <c r="CC1031" s="244"/>
      <c r="CD1031" s="244"/>
      <c r="CE1031" s="244"/>
      <c r="CF1031" s="244"/>
      <c r="CG1031" s="244"/>
      <c r="CH1031" s="244"/>
      <c r="CI1031" s="244"/>
      <c r="CJ1031" s="244"/>
      <c r="CK1031" s="244"/>
      <c r="CL1031" s="244"/>
      <c r="CM1031" s="244"/>
      <c r="CN1031" s="244"/>
      <c r="CO1031" s="244"/>
      <c r="CP1031" s="244"/>
      <c r="CQ1031" s="244"/>
      <c r="CR1031" s="244"/>
      <c r="CS1031" s="244"/>
      <c r="CT1031" s="244"/>
      <c r="CU1031" s="244"/>
      <c r="CV1031" s="244"/>
      <c r="CW1031" s="244"/>
    </row>
    <row r="1032" spans="1:101">
      <c r="A1032" s="221" t="s">
        <v>491</v>
      </c>
      <c r="C1032" s="264">
        <v>3.9382498264312744</v>
      </c>
      <c r="D1032" s="264">
        <v>8.1096944808959961</v>
      </c>
      <c r="E1032" s="264">
        <v>1.621938943862915</v>
      </c>
      <c r="F1032" s="264">
        <v>9.731633186340332</v>
      </c>
      <c r="G1032" s="264">
        <v>15.866598129272461</v>
      </c>
      <c r="H1032" s="264">
        <v>144.77239990234375</v>
      </c>
      <c r="I1032" s="264">
        <v>21646.4453125</v>
      </c>
      <c r="J1032" s="264">
        <v>84.522308349609375</v>
      </c>
      <c r="K1032" s="264">
        <v>-2570.883544921875</v>
      </c>
      <c r="L1032" s="228">
        <v>9.1243503466458282</v>
      </c>
      <c r="M1032" s="264">
        <v>0.33944224947976631</v>
      </c>
      <c r="N1032" s="264">
        <v>0.25467448844452195</v>
      </c>
      <c r="O1032" s="264">
        <v>0.23046393695239445</v>
      </c>
      <c r="P1032" s="264">
        <v>0.25017569875198431</v>
      </c>
      <c r="Q1032" s="264">
        <v>0.24210551492127508</v>
      </c>
      <c r="R1032" s="264">
        <v>0.25467448844452195</v>
      </c>
      <c r="S1032" s="264">
        <v>0.24210551492127508</v>
      </c>
      <c r="T1032" s="264">
        <v>0.25467448844452195</v>
      </c>
      <c r="U1032" s="264">
        <v>0.25017569875198431</v>
      </c>
      <c r="V1032" s="264">
        <v>0.25467448844452195</v>
      </c>
      <c r="W1032" s="264">
        <v>0.25017569875198431</v>
      </c>
      <c r="X1032" s="264">
        <v>0.24660430461381272</v>
      </c>
      <c r="Y1032" s="264">
        <v>0.25467448844452195</v>
      </c>
      <c r="Z1032" s="264"/>
      <c r="AA1032" s="264">
        <v>7.8893109891457119E-2</v>
      </c>
      <c r="AB1032" s="264">
        <v>7.0822926060747943E-2</v>
      </c>
      <c r="AC1032" s="264">
        <v>8.3391899583994761E-2</v>
      </c>
      <c r="AD1032" s="264">
        <v>8.0701838307091697E-2</v>
      </c>
      <c r="AE1032" s="264">
        <v>7.8893109891457119E-2</v>
      </c>
      <c r="AF1032" s="264">
        <v>8.0701838307091697E-2</v>
      </c>
      <c r="AG1032" s="264">
        <v>7.8893109891457119E-2</v>
      </c>
      <c r="AH1032" s="264">
        <v>8.3391899583994761E-2</v>
      </c>
      <c r="AI1032" s="264">
        <v>7.8893109891457119E-2</v>
      </c>
      <c r="AJ1032" s="264">
        <v>8.3391899583994761E-2</v>
      </c>
      <c r="AK1032" s="264">
        <v>7.6203048614554042E-2</v>
      </c>
      <c r="AL1032" s="264">
        <v>7.8893109891457119E-2</v>
      </c>
      <c r="AM1032" s="244"/>
      <c r="AN1032" s="244"/>
      <c r="AO1032" s="244"/>
      <c r="AP1032" s="244"/>
      <c r="AQ1032" s="244"/>
      <c r="AR1032" s="244"/>
      <c r="AS1032" s="244"/>
      <c r="AT1032" s="244"/>
      <c r="AU1032" s="244"/>
      <c r="AV1032" s="244"/>
      <c r="AW1032" s="244"/>
      <c r="AX1032" s="244"/>
      <c r="AY1032" s="244"/>
      <c r="AZ1032" s="244"/>
      <c r="BA1032" s="244"/>
      <c r="BB1032" s="244"/>
      <c r="BC1032" s="244"/>
      <c r="BD1032" s="244"/>
      <c r="BE1032" s="244"/>
      <c r="BF1032" s="244"/>
      <c r="BG1032" s="244"/>
      <c r="BH1032" s="244"/>
      <c r="BI1032" s="244"/>
      <c r="BJ1032" s="244"/>
      <c r="BK1032" s="244"/>
      <c r="BL1032" s="244"/>
      <c r="BM1032" s="244"/>
      <c r="BN1032" s="244"/>
      <c r="BO1032" s="244"/>
      <c r="BP1032" s="244"/>
      <c r="BQ1032" s="244"/>
      <c r="BR1032" s="244"/>
      <c r="BS1032" s="244"/>
      <c r="BT1032" s="244"/>
      <c r="BU1032" s="244"/>
      <c r="BV1032" s="244"/>
      <c r="BW1032" s="244"/>
      <c r="BX1032" s="244"/>
      <c r="BY1032" s="244"/>
      <c r="BZ1032" s="244"/>
      <c r="CA1032" s="244"/>
      <c r="CB1032" s="244"/>
      <c r="CC1032" s="244"/>
      <c r="CD1032" s="244"/>
      <c r="CE1032" s="244"/>
      <c r="CF1032" s="244"/>
      <c r="CG1032" s="244"/>
      <c r="CH1032" s="244"/>
      <c r="CI1032" s="244"/>
      <c r="CJ1032" s="244"/>
      <c r="CK1032" s="244"/>
      <c r="CL1032" s="244"/>
      <c r="CM1032" s="244"/>
      <c r="CN1032" s="244"/>
      <c r="CO1032" s="244"/>
      <c r="CP1032" s="244"/>
      <c r="CQ1032" s="244"/>
      <c r="CR1032" s="244"/>
      <c r="CS1032" s="244"/>
      <c r="CT1032" s="244"/>
      <c r="CU1032" s="244"/>
      <c r="CV1032" s="244"/>
      <c r="CW1032" s="244"/>
    </row>
    <row r="1033" spans="1:101">
      <c r="A1033" s="221" t="s">
        <v>519</v>
      </c>
      <c r="C1033" s="264">
        <v>32.346214294433594</v>
      </c>
      <c r="D1033" s="264">
        <v>8.1096944808959961</v>
      </c>
      <c r="E1033" s="264">
        <v>1.621938943862915</v>
      </c>
      <c r="F1033" s="264">
        <v>9.731633186340332</v>
      </c>
      <c r="G1033" s="264">
        <v>15.866598129272461</v>
      </c>
      <c r="H1033" s="264">
        <v>142.24447631835937</v>
      </c>
      <c r="I1033" s="264">
        <v>2635.5205078125</v>
      </c>
      <c r="J1033" s="264">
        <v>-45.309238433837891</v>
      </c>
      <c r="K1033" s="264">
        <v>-257.04202270507812</v>
      </c>
      <c r="L1033" s="228">
        <v>8.9650265636756075</v>
      </c>
      <c r="M1033" s="264">
        <v>0.36248977888525175</v>
      </c>
      <c r="N1033" s="264">
        <v>2.4583629677546592</v>
      </c>
      <c r="O1033" s="264">
        <v>2.2693027559366565</v>
      </c>
      <c r="P1033" s="264">
        <v>2.4407490046688718</v>
      </c>
      <c r="Q1033" s="264">
        <v>2.186866380471348</v>
      </c>
      <c r="R1033" s="264">
        <v>2.1079735036985792</v>
      </c>
      <c r="S1033" s="264">
        <v>1.936181235455616</v>
      </c>
      <c r="T1033" s="264">
        <v>1.956992677723195</v>
      </c>
      <c r="U1033" s="264">
        <v>1.9593195784454775</v>
      </c>
      <c r="V1033" s="264">
        <v>1.9968744053393341</v>
      </c>
      <c r="W1033" s="264">
        <v>2.0561752026561013</v>
      </c>
      <c r="X1033" s="264">
        <v>2.195934259067962</v>
      </c>
      <c r="Y1033" s="264">
        <v>2.4099351556493471</v>
      </c>
      <c r="Z1033" s="264"/>
      <c r="AA1033" s="264">
        <v>0.48925956180352881</v>
      </c>
      <c r="AB1033" s="264">
        <v>0.69116811036188097</v>
      </c>
      <c r="AC1033" s="264">
        <v>0.63221609739718176</v>
      </c>
      <c r="AD1033" s="264">
        <v>0.68717460265449415</v>
      </c>
      <c r="AE1033" s="264">
        <v>0.50920042561159828</v>
      </c>
      <c r="AF1033" s="264">
        <v>0.41654859383069243</v>
      </c>
      <c r="AG1033" s="264">
        <v>0.517746510100771</v>
      </c>
      <c r="AH1033" s="264">
        <v>0.43850484897593411</v>
      </c>
      <c r="AI1033" s="264">
        <v>0.4237395807198715</v>
      </c>
      <c r="AJ1033" s="264">
        <v>0.39862312135979494</v>
      </c>
      <c r="AK1033" s="264">
        <v>0.48439547563663243</v>
      </c>
      <c r="AL1033" s="264">
        <v>0.68297081022477624</v>
      </c>
      <c r="AM1033" s="244"/>
      <c r="AN1033" s="244"/>
      <c r="AO1033" s="244"/>
      <c r="AP1033" s="244"/>
      <c r="AQ1033" s="244"/>
      <c r="AR1033" s="244"/>
      <c r="AS1033" s="244"/>
      <c r="AT1033" s="244"/>
      <c r="AU1033" s="244"/>
      <c r="AV1033" s="244"/>
      <c r="AW1033" s="244"/>
      <c r="AX1033" s="244"/>
      <c r="AY1033" s="244"/>
      <c r="AZ1033" s="244"/>
      <c r="BA1033" s="244"/>
      <c r="BB1033" s="244"/>
      <c r="BC1033" s="244"/>
      <c r="BD1033" s="244"/>
      <c r="BE1033" s="244"/>
      <c r="BF1033" s="244"/>
      <c r="BG1033" s="244"/>
      <c r="BH1033" s="244"/>
      <c r="BI1033" s="244"/>
      <c r="BJ1033" s="244"/>
      <c r="BK1033" s="244"/>
      <c r="BL1033" s="244"/>
      <c r="BM1033" s="244"/>
      <c r="BN1033" s="244"/>
      <c r="BO1033" s="244"/>
      <c r="BP1033" s="244"/>
      <c r="BQ1033" s="244"/>
      <c r="BR1033" s="244"/>
      <c r="BS1033" s="244"/>
      <c r="BT1033" s="244"/>
      <c r="BU1033" s="244"/>
      <c r="BV1033" s="244"/>
      <c r="BW1033" s="244"/>
      <c r="BX1033" s="244"/>
      <c r="BY1033" s="244"/>
      <c r="BZ1033" s="244"/>
      <c r="CA1033" s="244"/>
      <c r="CB1033" s="244"/>
      <c r="CC1033" s="244"/>
      <c r="CD1033" s="244"/>
      <c r="CE1033" s="244"/>
      <c r="CF1033" s="244"/>
      <c r="CG1033" s="244"/>
      <c r="CH1033" s="244"/>
      <c r="CI1033" s="244"/>
      <c r="CJ1033" s="244"/>
      <c r="CK1033" s="244"/>
      <c r="CL1033" s="244"/>
      <c r="CM1033" s="244"/>
      <c r="CN1033" s="244"/>
      <c r="CO1033" s="244"/>
      <c r="CP1033" s="244"/>
      <c r="CQ1033" s="244"/>
      <c r="CR1033" s="244"/>
      <c r="CS1033" s="244"/>
      <c r="CT1033" s="244"/>
      <c r="CU1033" s="244"/>
      <c r="CV1033" s="244"/>
      <c r="CW1033" s="244"/>
    </row>
    <row r="1034" spans="1:101">
      <c r="A1034" s="221" t="s">
        <v>534</v>
      </c>
      <c r="C1034" s="264">
        <v>39.169994354248047</v>
      </c>
      <c r="D1034" s="264">
        <v>11.336667060852051</v>
      </c>
      <c r="E1034" s="264">
        <v>2.2673335075378418</v>
      </c>
      <c r="F1034" s="264">
        <v>13.604000091552734</v>
      </c>
      <c r="G1034" s="264">
        <v>22.18016242980957</v>
      </c>
      <c r="H1034" s="264">
        <v>198.80072021484375</v>
      </c>
      <c r="I1034" s="264">
        <v>3042.406494140625</v>
      </c>
      <c r="J1034" s="264">
        <v>-42.541961669921875</v>
      </c>
      <c r="K1034" s="264">
        <v>-305.36846923828125</v>
      </c>
      <c r="L1034" s="228">
        <v>8.9629970936041179</v>
      </c>
      <c r="M1034" s="264">
        <v>0.51493970955002477</v>
      </c>
      <c r="N1034" s="264">
        <v>2.9682454000105465</v>
      </c>
      <c r="O1034" s="264">
        <v>2.739067664801313</v>
      </c>
      <c r="P1034" s="264">
        <v>2.9464548712559813</v>
      </c>
      <c r="Q1034" s="264">
        <v>2.6434828131396966</v>
      </c>
      <c r="R1034" s="264">
        <v>2.5522860566564489</v>
      </c>
      <c r="S1034" s="264">
        <v>2.3458858845611559</v>
      </c>
      <c r="T1034" s="264">
        <v>2.3730515428534638</v>
      </c>
      <c r="U1034" s="264">
        <v>2.3749334970540108</v>
      </c>
      <c r="V1034" s="264">
        <v>2.4203965087636865</v>
      </c>
      <c r="W1034" s="264">
        <v>2.4899141285502653</v>
      </c>
      <c r="X1034" s="264">
        <v>2.6551279920563564</v>
      </c>
      <c r="Y1034" s="264">
        <v>2.9107550842624188</v>
      </c>
      <c r="Z1034" s="264"/>
      <c r="AA1034" s="264">
        <v>0.5962557619259572</v>
      </c>
      <c r="AB1034" s="264">
        <v>0.8343690284979286</v>
      </c>
      <c r="AC1034" s="264">
        <v>0.7668447549697921</v>
      </c>
      <c r="AD1034" s="264">
        <v>0.83156144961680878</v>
      </c>
      <c r="AE1034" s="264">
        <v>0.61992824488106835</v>
      </c>
      <c r="AF1034" s="264">
        <v>0.5102920380831566</v>
      </c>
      <c r="AG1034" s="264">
        <v>0.63007359471897306</v>
      </c>
      <c r="AH1034" s="264">
        <v>0.53688349197728291</v>
      </c>
      <c r="AI1034" s="264">
        <v>0.5184747465020203</v>
      </c>
      <c r="AJ1034" s="264">
        <v>0.48953852606706055</v>
      </c>
      <c r="AK1034" s="264">
        <v>0.58995500770764042</v>
      </c>
      <c r="AL1034" s="264">
        <v>0.82621702491846616</v>
      </c>
      <c r="AM1034" s="244"/>
      <c r="AN1034" s="244"/>
      <c r="AO1034" s="244"/>
      <c r="AP1034" s="244"/>
      <c r="AQ1034" s="244"/>
      <c r="AR1034" s="244"/>
      <c r="AS1034" s="244"/>
      <c r="AT1034" s="244"/>
      <c r="AU1034" s="244"/>
      <c r="AV1034" s="244"/>
      <c r="AW1034" s="244"/>
      <c r="AX1034" s="244"/>
      <c r="AY1034" s="244"/>
      <c r="AZ1034" s="244"/>
      <c r="BA1034" s="244"/>
      <c r="BB1034" s="244"/>
      <c r="BC1034" s="244"/>
      <c r="BD1034" s="244"/>
      <c r="BE1034" s="244"/>
      <c r="BF1034" s="244"/>
      <c r="BG1034" s="244"/>
      <c r="BH1034" s="244"/>
      <c r="BI1034" s="244"/>
      <c r="BJ1034" s="244"/>
      <c r="BK1034" s="244"/>
      <c r="BL1034" s="244"/>
      <c r="BM1034" s="244"/>
      <c r="BN1034" s="244"/>
      <c r="BO1034" s="244"/>
      <c r="BP1034" s="244"/>
      <c r="BQ1034" s="244"/>
      <c r="BR1034" s="244"/>
      <c r="BS1034" s="244"/>
      <c r="BT1034" s="244"/>
      <c r="BU1034" s="244"/>
      <c r="BV1034" s="244"/>
      <c r="BW1034" s="244"/>
      <c r="BX1034" s="244"/>
      <c r="BY1034" s="244"/>
      <c r="BZ1034" s="244"/>
      <c r="CA1034" s="244"/>
      <c r="CB1034" s="244"/>
      <c r="CC1034" s="244"/>
      <c r="CD1034" s="244"/>
      <c r="CE1034" s="244"/>
      <c r="CF1034" s="244"/>
      <c r="CG1034" s="244"/>
      <c r="CH1034" s="244"/>
      <c r="CI1034" s="244"/>
      <c r="CJ1034" s="244"/>
      <c r="CK1034" s="244"/>
      <c r="CL1034" s="244"/>
      <c r="CM1034" s="244"/>
      <c r="CN1034" s="244"/>
      <c r="CO1034" s="244"/>
      <c r="CP1034" s="244"/>
      <c r="CQ1034" s="244"/>
      <c r="CR1034" s="244"/>
      <c r="CS1034" s="244"/>
      <c r="CT1034" s="244"/>
      <c r="CU1034" s="244"/>
      <c r="CV1034" s="244"/>
      <c r="CW1034" s="244"/>
    </row>
    <row r="1035" spans="1:101">
      <c r="A1035" s="221" t="s">
        <v>479</v>
      </c>
      <c r="C1035" s="264">
        <v>5.2509994506835937</v>
      </c>
      <c r="D1035" s="264">
        <v>11.336667060852051</v>
      </c>
      <c r="E1035" s="264">
        <v>2.2673335075378418</v>
      </c>
      <c r="F1035" s="264">
        <v>13.604000091552734</v>
      </c>
      <c r="G1035" s="264">
        <v>22.18016242980957</v>
      </c>
      <c r="H1035" s="264">
        <v>195.00360107421875</v>
      </c>
      <c r="I1035" s="264">
        <v>22694.92578125</v>
      </c>
      <c r="J1035" s="264">
        <v>91.316497802734375</v>
      </c>
      <c r="K1035" s="264">
        <v>-2585.38623046875</v>
      </c>
      <c r="L1035" s="228">
        <v>8.7918024715990235</v>
      </c>
      <c r="M1035" s="264">
        <v>0.4749393123892417</v>
      </c>
      <c r="N1035" s="264">
        <v>0.33956598459269577</v>
      </c>
      <c r="O1035" s="264">
        <v>0.30728524926985912</v>
      </c>
      <c r="P1035" s="264">
        <v>0.33356759833597893</v>
      </c>
      <c r="Q1035" s="264">
        <v>0.32280735322836668</v>
      </c>
      <c r="R1035" s="264">
        <v>0.33956598459269577</v>
      </c>
      <c r="S1035" s="264">
        <v>0.32280735322836668</v>
      </c>
      <c r="T1035" s="264">
        <v>0.33956598459269577</v>
      </c>
      <c r="U1035" s="264">
        <v>0.33356759833597893</v>
      </c>
      <c r="V1035" s="264">
        <v>0.33956598459269577</v>
      </c>
      <c r="W1035" s="264">
        <v>0.33356759833597893</v>
      </c>
      <c r="X1035" s="264">
        <v>0.32880573948508351</v>
      </c>
      <c r="Y1035" s="264">
        <v>0.33956598459269577</v>
      </c>
      <c r="Z1035" s="264"/>
      <c r="AA1035" s="264">
        <v>0.10519081318860946</v>
      </c>
      <c r="AB1035" s="264">
        <v>9.4430568080997215E-2</v>
      </c>
      <c r="AC1035" s="264">
        <v>0.11118919944532631</v>
      </c>
      <c r="AD1035" s="264">
        <v>0.10760245107612222</v>
      </c>
      <c r="AE1035" s="264">
        <v>0.10519081318860946</v>
      </c>
      <c r="AF1035" s="264">
        <v>0.10760245107612222</v>
      </c>
      <c r="AG1035" s="264">
        <v>0.10519081318860946</v>
      </c>
      <c r="AH1035" s="264">
        <v>0.11118919944532631</v>
      </c>
      <c r="AI1035" s="264">
        <v>0.10519081318860946</v>
      </c>
      <c r="AJ1035" s="264">
        <v>0.11118919944532631</v>
      </c>
      <c r="AK1035" s="264">
        <v>0.10160406481940536</v>
      </c>
      <c r="AL1035" s="264">
        <v>0.10519081318860946</v>
      </c>
      <c r="AM1035" s="244"/>
      <c r="AN1035" s="244"/>
      <c r="AO1035" s="244"/>
      <c r="AP1035" s="244"/>
      <c r="AQ1035" s="244"/>
      <c r="AR1035" s="244"/>
      <c r="AS1035" s="244"/>
      <c r="AT1035" s="244"/>
      <c r="AU1035" s="244"/>
      <c r="AV1035" s="244"/>
      <c r="AW1035" s="244"/>
      <c r="AX1035" s="244"/>
      <c r="AY1035" s="244"/>
      <c r="AZ1035" s="244"/>
      <c r="BA1035" s="244"/>
      <c r="BB1035" s="244"/>
      <c r="BC1035" s="244"/>
      <c r="BD1035" s="244"/>
      <c r="BE1035" s="244"/>
      <c r="BF1035" s="244"/>
      <c r="BG1035" s="244"/>
      <c r="BH1035" s="244"/>
      <c r="BI1035" s="244"/>
      <c r="BJ1035" s="244"/>
      <c r="BK1035" s="244"/>
      <c r="BL1035" s="244"/>
      <c r="BM1035" s="244"/>
      <c r="BN1035" s="244"/>
      <c r="BO1035" s="244"/>
      <c r="BP1035" s="244"/>
      <c r="BQ1035" s="244"/>
      <c r="BR1035" s="244"/>
      <c r="BS1035" s="244"/>
      <c r="BT1035" s="244"/>
      <c r="BU1035" s="244"/>
      <c r="BV1035" s="244"/>
      <c r="BW1035" s="244"/>
      <c r="BX1035" s="244"/>
      <c r="BY1035" s="244"/>
      <c r="BZ1035" s="244"/>
      <c r="CA1035" s="244"/>
      <c r="CB1035" s="244"/>
      <c r="CC1035" s="244"/>
      <c r="CD1035" s="244"/>
      <c r="CE1035" s="244"/>
      <c r="CF1035" s="244"/>
      <c r="CG1035" s="244"/>
      <c r="CH1035" s="244"/>
      <c r="CI1035" s="244"/>
      <c r="CJ1035" s="244"/>
      <c r="CK1035" s="244"/>
      <c r="CL1035" s="244"/>
      <c r="CM1035" s="244"/>
      <c r="CN1035" s="244"/>
      <c r="CO1035" s="244"/>
      <c r="CP1035" s="244"/>
      <c r="CQ1035" s="244"/>
      <c r="CR1035" s="244"/>
      <c r="CS1035" s="244"/>
      <c r="CT1035" s="244"/>
      <c r="CU1035" s="244"/>
      <c r="CV1035" s="244"/>
      <c r="CW1035" s="244"/>
    </row>
    <row r="1036" spans="1:101">
      <c r="A1036" s="221" t="s">
        <v>507</v>
      </c>
      <c r="C1036" s="264">
        <v>45.250480651855469</v>
      </c>
      <c r="D1036" s="264">
        <v>11.336667060852051</v>
      </c>
      <c r="E1036" s="264">
        <v>2.2673335075378418</v>
      </c>
      <c r="F1036" s="264">
        <v>13.604000091552734</v>
      </c>
      <c r="G1036" s="264">
        <v>22.18016242980957</v>
      </c>
      <c r="H1036" s="264">
        <v>193.5767822265625</v>
      </c>
      <c r="I1036" s="264">
        <v>2633.586181640625</v>
      </c>
      <c r="J1036" s="264">
        <v>-45.353023529052734</v>
      </c>
      <c r="K1036" s="264">
        <v>-247.46441650390625</v>
      </c>
      <c r="L1036" s="228">
        <v>8.7274740183957835</v>
      </c>
      <c r="M1036" s="264">
        <v>0.50787398598759637</v>
      </c>
      <c r="N1036" s="264">
        <v>3.4415216438708169</v>
      </c>
      <c r="O1036" s="264">
        <v>3.17710183731129</v>
      </c>
      <c r="P1036" s="264">
        <v>3.4170080660784743</v>
      </c>
      <c r="Q1036" s="264">
        <v>3.0606055904852667</v>
      </c>
      <c r="R1036" s="264">
        <v>2.9490396673182211</v>
      </c>
      <c r="S1036" s="264">
        <v>2.7082607617321903</v>
      </c>
      <c r="T1036" s="264">
        <v>2.7368319863646637</v>
      </c>
      <c r="U1036" s="264">
        <v>2.740345838132225</v>
      </c>
      <c r="V1036" s="264">
        <v>2.7928868454844711</v>
      </c>
      <c r="W1036" s="264">
        <v>2.8764790674231864</v>
      </c>
      <c r="X1036" s="264">
        <v>3.0731074127519364</v>
      </c>
      <c r="Y1036" s="264">
        <v>3.3734550292253362</v>
      </c>
      <c r="Z1036" s="264"/>
      <c r="AA1036" s="264">
        <v>0.6834005514791045</v>
      </c>
      <c r="AB1036" s="264">
        <v>0.96762503725512705</v>
      </c>
      <c r="AC1036" s="264">
        <v>0.88408654364798556</v>
      </c>
      <c r="AD1036" s="264">
        <v>0.96147772536957632</v>
      </c>
      <c r="AE1036" s="264">
        <v>0.71142798103900828</v>
      </c>
      <c r="AF1036" s="264">
        <v>0.58110546705659605</v>
      </c>
      <c r="AG1036" s="264">
        <v>0.72343973656468119</v>
      </c>
      <c r="AH1036" s="264">
        <v>0.61182008506606278</v>
      </c>
      <c r="AI1036" s="264">
        <v>0.59131042578227766</v>
      </c>
      <c r="AJ1036" s="264">
        <v>0.5557652259462551</v>
      </c>
      <c r="AK1036" s="264">
        <v>0.67670944452098392</v>
      </c>
      <c r="AL1036" s="264">
        <v>0.95566701006102717</v>
      </c>
      <c r="AM1036" s="244"/>
      <c r="AN1036" s="244"/>
      <c r="AO1036" s="244"/>
      <c r="AP1036" s="244"/>
      <c r="AQ1036" s="244"/>
      <c r="AR1036" s="244"/>
      <c r="AS1036" s="244"/>
      <c r="AT1036" s="244"/>
      <c r="AU1036" s="244"/>
      <c r="AV1036" s="244"/>
      <c r="AW1036" s="244"/>
      <c r="AX1036" s="244"/>
      <c r="AY1036" s="244"/>
      <c r="AZ1036" s="244"/>
      <c r="BA1036" s="244"/>
      <c r="BB1036" s="244"/>
      <c r="BC1036" s="244"/>
      <c r="BD1036" s="244"/>
      <c r="BE1036" s="244"/>
      <c r="BF1036" s="244"/>
      <c r="BG1036" s="244"/>
      <c r="BH1036" s="244"/>
      <c r="BI1036" s="244"/>
      <c r="BJ1036" s="244"/>
      <c r="BK1036" s="244"/>
      <c r="BL1036" s="244"/>
      <c r="BM1036" s="244"/>
      <c r="BN1036" s="244"/>
      <c r="BO1036" s="244"/>
      <c r="BP1036" s="244"/>
      <c r="BQ1036" s="244"/>
      <c r="BR1036" s="244"/>
      <c r="BS1036" s="244"/>
      <c r="BT1036" s="244"/>
      <c r="BU1036" s="244"/>
      <c r="BV1036" s="244"/>
      <c r="BW1036" s="244"/>
      <c r="BX1036" s="244"/>
      <c r="BY1036" s="244"/>
      <c r="BZ1036" s="244"/>
      <c r="CA1036" s="244"/>
      <c r="CB1036" s="244"/>
      <c r="CC1036" s="244"/>
      <c r="CD1036" s="244"/>
      <c r="CE1036" s="244"/>
      <c r="CF1036" s="244"/>
      <c r="CG1036" s="244"/>
      <c r="CH1036" s="244"/>
      <c r="CI1036" s="244"/>
      <c r="CJ1036" s="244"/>
      <c r="CK1036" s="244"/>
      <c r="CL1036" s="244"/>
      <c r="CM1036" s="244"/>
      <c r="CN1036" s="244"/>
      <c r="CO1036" s="244"/>
      <c r="CP1036" s="244"/>
      <c r="CQ1036" s="244"/>
      <c r="CR1036" s="244"/>
      <c r="CS1036" s="244"/>
      <c r="CT1036" s="244"/>
      <c r="CU1036" s="244"/>
      <c r="CV1036" s="244"/>
      <c r="CW1036" s="244"/>
    </row>
    <row r="1037" spans="1:101">
      <c r="A1037" s="221" t="s">
        <v>543</v>
      </c>
      <c r="C1037" s="264">
        <v>26.11332893371582</v>
      </c>
      <c r="D1037" s="264">
        <v>8.1096944808959961</v>
      </c>
      <c r="E1037" s="264">
        <v>1.621938943862915</v>
      </c>
      <c r="F1037" s="264">
        <v>9.731633186340332</v>
      </c>
      <c r="G1037" s="264">
        <v>15.866598129272461</v>
      </c>
      <c r="H1037" s="264">
        <v>132.53382873535156</v>
      </c>
      <c r="I1037" s="264">
        <v>3264.582275390625</v>
      </c>
      <c r="J1037" s="264">
        <v>-41.102245330810547</v>
      </c>
      <c r="K1037" s="264">
        <v>-302.05035400390625</v>
      </c>
      <c r="L1037" s="228">
        <v>8.3530081148667197</v>
      </c>
      <c r="M1037" s="264">
        <v>0.34329313970001574</v>
      </c>
      <c r="N1037" s="264">
        <v>1.9788302666736972</v>
      </c>
      <c r="O1037" s="264">
        <v>1.8260451098675419</v>
      </c>
      <c r="P1037" s="264">
        <v>1.9643032475039872</v>
      </c>
      <c r="Q1037" s="264">
        <v>1.7623218754264642</v>
      </c>
      <c r="R1037" s="264">
        <v>1.7015240377709657</v>
      </c>
      <c r="S1037" s="264">
        <v>1.5639239230407702</v>
      </c>
      <c r="T1037" s="264">
        <v>1.5820343619023092</v>
      </c>
      <c r="U1037" s="264">
        <v>1.5832889980360072</v>
      </c>
      <c r="V1037" s="264">
        <v>1.6135976725091239</v>
      </c>
      <c r="W1037" s="264">
        <v>1.6599427523668433</v>
      </c>
      <c r="X1037" s="264">
        <v>1.7700853280375708</v>
      </c>
      <c r="Y1037" s="264">
        <v>1.9405033895082788</v>
      </c>
      <c r="Z1037" s="264"/>
      <c r="AA1037" s="264">
        <v>0.39750384128397137</v>
      </c>
      <c r="AB1037" s="264">
        <v>0.55624601899861903</v>
      </c>
      <c r="AC1037" s="264">
        <v>0.51122983664652799</v>
      </c>
      <c r="AD1037" s="264">
        <v>0.55437429974453911</v>
      </c>
      <c r="AE1037" s="264">
        <v>0.41328549658737884</v>
      </c>
      <c r="AF1037" s="264">
        <v>0.34019469205543768</v>
      </c>
      <c r="AG1037" s="264">
        <v>0.420049063145982</v>
      </c>
      <c r="AH1037" s="264">
        <v>0.35792232798485529</v>
      </c>
      <c r="AI1037" s="264">
        <v>0.34564983100134683</v>
      </c>
      <c r="AJ1037" s="264">
        <v>0.32635901737804035</v>
      </c>
      <c r="AK1037" s="264">
        <v>0.39330333847176019</v>
      </c>
      <c r="AL1037" s="264">
        <v>0.55081134994564396</v>
      </c>
      <c r="AM1037" s="244"/>
      <c r="AN1037" s="244"/>
      <c r="AO1037" s="244"/>
      <c r="AP1037" s="244"/>
      <c r="AQ1037" s="244"/>
      <c r="AR1037" s="244"/>
      <c r="AS1037" s="244"/>
      <c r="AT1037" s="244"/>
      <c r="AU1037" s="244"/>
      <c r="AV1037" s="244"/>
      <c r="AW1037" s="244"/>
      <c r="AX1037" s="244"/>
      <c r="AY1037" s="244"/>
      <c r="AZ1037" s="244"/>
      <c r="BA1037" s="244"/>
      <c r="BB1037" s="244"/>
      <c r="BC1037" s="244"/>
      <c r="BD1037" s="244"/>
      <c r="BE1037" s="244"/>
      <c r="BF1037" s="244"/>
      <c r="BG1037" s="244"/>
      <c r="BH1037" s="244"/>
      <c r="BI1037" s="244"/>
      <c r="BJ1037" s="244"/>
      <c r="BK1037" s="244"/>
      <c r="BL1037" s="244"/>
      <c r="BM1037" s="244"/>
      <c r="BN1037" s="244"/>
      <c r="BO1037" s="244"/>
      <c r="BP1037" s="244"/>
      <c r="BQ1037" s="244"/>
      <c r="BR1037" s="244"/>
      <c r="BS1037" s="244"/>
      <c r="BT1037" s="244"/>
      <c r="BU1037" s="244"/>
      <c r="BV1037" s="244"/>
      <c r="BW1037" s="244"/>
      <c r="BX1037" s="244"/>
      <c r="BY1037" s="244"/>
      <c r="BZ1037" s="244"/>
      <c r="CA1037" s="244"/>
      <c r="CB1037" s="244"/>
      <c r="CC1037" s="244"/>
      <c r="CD1037" s="244"/>
      <c r="CE1037" s="244"/>
      <c r="CF1037" s="244"/>
      <c r="CG1037" s="244"/>
      <c r="CH1037" s="244"/>
      <c r="CI1037" s="244"/>
      <c r="CJ1037" s="244"/>
      <c r="CK1037" s="244"/>
      <c r="CL1037" s="244"/>
      <c r="CM1037" s="244"/>
      <c r="CN1037" s="244"/>
      <c r="CO1037" s="244"/>
      <c r="CP1037" s="244"/>
      <c r="CQ1037" s="244"/>
      <c r="CR1037" s="244"/>
      <c r="CS1037" s="244"/>
      <c r="CT1037" s="244"/>
      <c r="CU1037" s="244"/>
      <c r="CV1037" s="244"/>
      <c r="CW1037" s="244"/>
    </row>
    <row r="1038" spans="1:101">
      <c r="A1038" s="221" t="s">
        <v>488</v>
      </c>
      <c r="C1038" s="264">
        <v>3.5006663799285889</v>
      </c>
      <c r="D1038" s="264">
        <v>8.1096944808959961</v>
      </c>
      <c r="E1038" s="264">
        <v>1.621938943862915</v>
      </c>
      <c r="F1038" s="264">
        <v>9.731633186340332</v>
      </c>
      <c r="G1038" s="264">
        <v>15.866598129272461</v>
      </c>
      <c r="H1038" s="264">
        <v>130.00239562988281</v>
      </c>
      <c r="I1038" s="264">
        <v>24352.251953125</v>
      </c>
      <c r="J1038" s="264">
        <v>102.05606842041016</v>
      </c>
      <c r="K1038" s="264">
        <v>-2560.63427734375</v>
      </c>
      <c r="L1038" s="228">
        <v>8.1934638277275393</v>
      </c>
      <c r="M1038" s="264">
        <v>0.31662620825949078</v>
      </c>
      <c r="N1038" s="264">
        <v>0.22637732306179731</v>
      </c>
      <c r="O1038" s="264">
        <v>0.20485683284657291</v>
      </c>
      <c r="P1038" s="264">
        <v>0.22237839889065275</v>
      </c>
      <c r="Q1038" s="264">
        <v>0.21520490215224461</v>
      </c>
      <c r="R1038" s="264">
        <v>0.22637732306179731</v>
      </c>
      <c r="S1038" s="264">
        <v>0.21520490215224461</v>
      </c>
      <c r="T1038" s="264">
        <v>0.22637732306179731</v>
      </c>
      <c r="U1038" s="264">
        <v>0.22237839889065275</v>
      </c>
      <c r="V1038" s="264">
        <v>0.22637732306179731</v>
      </c>
      <c r="W1038" s="264">
        <v>0.22237839889065275</v>
      </c>
      <c r="X1038" s="264">
        <v>0.21920382632338917</v>
      </c>
      <c r="Y1038" s="264">
        <v>0.22637732306179731</v>
      </c>
      <c r="Z1038" s="264"/>
      <c r="AA1038" s="264">
        <v>7.0127208792406345E-2</v>
      </c>
      <c r="AB1038" s="264">
        <v>6.295371205399819E-2</v>
      </c>
      <c r="AC1038" s="264">
        <v>7.4126132963550917E-2</v>
      </c>
      <c r="AD1038" s="264">
        <v>7.1734967384081527E-2</v>
      </c>
      <c r="AE1038" s="264">
        <v>7.0127208792406345E-2</v>
      </c>
      <c r="AF1038" s="264">
        <v>7.1734967384081527E-2</v>
      </c>
      <c r="AG1038" s="264">
        <v>7.0127208792406345E-2</v>
      </c>
      <c r="AH1038" s="264">
        <v>7.4126132963550917E-2</v>
      </c>
      <c r="AI1038" s="264">
        <v>7.0127208792406345E-2</v>
      </c>
      <c r="AJ1038" s="264">
        <v>7.4126132963550917E-2</v>
      </c>
      <c r="AK1038" s="264">
        <v>6.7736043212936956E-2</v>
      </c>
      <c r="AL1038" s="264">
        <v>7.0127208792406345E-2</v>
      </c>
      <c r="AM1038" s="244"/>
      <c r="AN1038" s="244"/>
      <c r="AO1038" s="244"/>
      <c r="AP1038" s="244"/>
      <c r="AQ1038" s="244"/>
      <c r="AR1038" s="244"/>
      <c r="AS1038" s="244"/>
      <c r="AT1038" s="244"/>
      <c r="AU1038" s="244"/>
      <c r="AV1038" s="244"/>
      <c r="AW1038" s="244"/>
      <c r="AX1038" s="244"/>
      <c r="AY1038" s="244"/>
      <c r="AZ1038" s="244"/>
      <c r="BA1038" s="244"/>
      <c r="BB1038" s="244"/>
      <c r="BC1038" s="244"/>
      <c r="BD1038" s="244"/>
      <c r="BE1038" s="244"/>
      <c r="BF1038" s="244"/>
      <c r="BG1038" s="244"/>
      <c r="BH1038" s="244"/>
      <c r="BI1038" s="244"/>
      <c r="BJ1038" s="244"/>
      <c r="BK1038" s="244"/>
      <c r="BL1038" s="244"/>
      <c r="BM1038" s="244"/>
      <c r="BN1038" s="244"/>
      <c r="BO1038" s="244"/>
      <c r="BP1038" s="244"/>
      <c r="BQ1038" s="244"/>
      <c r="BR1038" s="244"/>
      <c r="BS1038" s="244"/>
      <c r="BT1038" s="244"/>
      <c r="BU1038" s="244"/>
      <c r="BV1038" s="244"/>
      <c r="BW1038" s="244"/>
      <c r="BX1038" s="244"/>
      <c r="BY1038" s="244"/>
      <c r="BZ1038" s="244"/>
      <c r="CA1038" s="244"/>
      <c r="CB1038" s="244"/>
      <c r="CC1038" s="244"/>
      <c r="CD1038" s="244"/>
      <c r="CE1038" s="244"/>
      <c r="CF1038" s="244"/>
      <c r="CG1038" s="244"/>
      <c r="CH1038" s="244"/>
      <c r="CI1038" s="244"/>
      <c r="CJ1038" s="244"/>
      <c r="CK1038" s="244"/>
      <c r="CL1038" s="244"/>
      <c r="CM1038" s="244"/>
      <c r="CN1038" s="244"/>
      <c r="CO1038" s="244"/>
      <c r="CP1038" s="244"/>
      <c r="CQ1038" s="244"/>
      <c r="CR1038" s="244"/>
      <c r="CS1038" s="244"/>
      <c r="CT1038" s="244"/>
      <c r="CU1038" s="244"/>
      <c r="CV1038" s="244"/>
      <c r="CW1038" s="244"/>
    </row>
    <row r="1039" spans="1:101">
      <c r="A1039" s="221" t="s">
        <v>516</v>
      </c>
      <c r="C1039" s="264">
        <v>30.166986465454102</v>
      </c>
      <c r="D1039" s="264">
        <v>8.1096944808959961</v>
      </c>
      <c r="E1039" s="264">
        <v>1.621938943862915</v>
      </c>
      <c r="F1039" s="264">
        <v>9.731633186340332</v>
      </c>
      <c r="G1039" s="264">
        <v>15.866598129272461</v>
      </c>
      <c r="H1039" s="264">
        <v>129.05120849609375</v>
      </c>
      <c r="I1039" s="264">
        <v>2825.907470703125</v>
      </c>
      <c r="J1039" s="264">
        <v>-44.106781005859375</v>
      </c>
      <c r="K1039" s="264">
        <v>-244.59217834472656</v>
      </c>
      <c r="L1039" s="228">
        <v>8.1335140874506386</v>
      </c>
      <c r="M1039" s="264">
        <v>0.33858265732506254</v>
      </c>
      <c r="N1039" s="264">
        <v>2.2943477625805446</v>
      </c>
      <c r="O1039" s="264">
        <v>2.1180678915408602</v>
      </c>
      <c r="P1039" s="264">
        <v>2.2780053773856492</v>
      </c>
      <c r="Q1039" s="264">
        <v>2.0404037269901778</v>
      </c>
      <c r="R1039" s="264">
        <v>1.9660264448788143</v>
      </c>
      <c r="S1039" s="264">
        <v>1.805507174488127</v>
      </c>
      <c r="T1039" s="264">
        <v>1.8245546575764426</v>
      </c>
      <c r="U1039" s="264">
        <v>1.8268972254214835</v>
      </c>
      <c r="V1039" s="264">
        <v>1.8619245636563142</v>
      </c>
      <c r="W1039" s="264">
        <v>1.9176527116154578</v>
      </c>
      <c r="X1039" s="264">
        <v>2.0487382751679579</v>
      </c>
      <c r="Y1039" s="264">
        <v>2.2489700194835573</v>
      </c>
      <c r="Z1039" s="264"/>
      <c r="AA1039" s="264">
        <v>0.45560036765273637</v>
      </c>
      <c r="AB1039" s="264">
        <v>0.64508335817008478</v>
      </c>
      <c r="AC1039" s="264">
        <v>0.58939102909865704</v>
      </c>
      <c r="AD1039" s="264">
        <v>0.64098515024638425</v>
      </c>
      <c r="AE1039" s="264">
        <v>0.47428532069267215</v>
      </c>
      <c r="AF1039" s="264">
        <v>0.38740364470439742</v>
      </c>
      <c r="AG1039" s="264">
        <v>0.48229315770978753</v>
      </c>
      <c r="AH1039" s="264">
        <v>0.40788005671070854</v>
      </c>
      <c r="AI1039" s="264">
        <v>0.39420695052151844</v>
      </c>
      <c r="AJ1039" s="264">
        <v>0.37051015063083681</v>
      </c>
      <c r="AK1039" s="264">
        <v>0.45113962968065602</v>
      </c>
      <c r="AL1039" s="264">
        <v>0.63711134004068481</v>
      </c>
      <c r="AM1039" s="244"/>
      <c r="AN1039" s="244"/>
      <c r="AO1039" s="244"/>
      <c r="AP1039" s="244"/>
      <c r="AQ1039" s="244"/>
      <c r="AR1039" s="244"/>
      <c r="AS1039" s="244"/>
      <c r="AT1039" s="244"/>
      <c r="AU1039" s="244"/>
      <c r="AV1039" s="244"/>
      <c r="AW1039" s="244"/>
      <c r="AX1039" s="244"/>
      <c r="AY1039" s="244"/>
      <c r="AZ1039" s="244"/>
      <c r="BA1039" s="244"/>
      <c r="BB1039" s="244"/>
      <c r="BC1039" s="244"/>
      <c r="BD1039" s="244"/>
      <c r="BE1039" s="244"/>
      <c r="BF1039" s="244"/>
      <c r="BG1039" s="244"/>
      <c r="BH1039" s="244"/>
      <c r="BI1039" s="244"/>
      <c r="BJ1039" s="244"/>
      <c r="BK1039" s="244"/>
      <c r="BL1039" s="244"/>
      <c r="BM1039" s="244"/>
      <c r="BN1039" s="244"/>
      <c r="BO1039" s="244"/>
      <c r="BP1039" s="244"/>
      <c r="BQ1039" s="244"/>
      <c r="BR1039" s="244"/>
      <c r="BS1039" s="244"/>
      <c r="BT1039" s="244"/>
      <c r="BU1039" s="244"/>
      <c r="BV1039" s="244"/>
      <c r="BW1039" s="244"/>
      <c r="BX1039" s="244"/>
      <c r="BY1039" s="244"/>
      <c r="BZ1039" s="244"/>
      <c r="CA1039" s="244"/>
      <c r="CB1039" s="244"/>
      <c r="CC1039" s="244"/>
      <c r="CD1039" s="244"/>
      <c r="CE1039" s="244"/>
      <c r="CF1039" s="244"/>
      <c r="CG1039" s="244"/>
      <c r="CH1039" s="244"/>
      <c r="CI1039" s="244"/>
      <c r="CJ1039" s="244"/>
      <c r="CK1039" s="244"/>
      <c r="CL1039" s="244"/>
      <c r="CM1039" s="244"/>
      <c r="CN1039" s="244"/>
      <c r="CO1039" s="244"/>
      <c r="CP1039" s="244"/>
      <c r="CQ1039" s="244"/>
      <c r="CR1039" s="244"/>
      <c r="CS1039" s="244"/>
      <c r="CT1039" s="244"/>
      <c r="CU1039" s="244"/>
      <c r="CV1039" s="244"/>
      <c r="CW1039" s="244"/>
    </row>
    <row r="1040" spans="1:101">
      <c r="A1040" s="221" t="s">
        <v>536</v>
      </c>
      <c r="C1040" s="264">
        <v>4.8075451850891113</v>
      </c>
      <c r="D1040" s="264">
        <v>11.336667060852051</v>
      </c>
      <c r="E1040" s="264">
        <v>2.2673335075378418</v>
      </c>
      <c r="F1040" s="264">
        <v>13.604000091552734</v>
      </c>
      <c r="G1040" s="264">
        <v>22.18016242980957</v>
      </c>
      <c r="H1040" s="264">
        <v>176.72824096679687</v>
      </c>
      <c r="I1040" s="264">
        <v>24788.3359375</v>
      </c>
      <c r="J1040" s="264">
        <v>104.88191223144531</v>
      </c>
      <c r="K1040" s="264">
        <v>-2523.96044921875</v>
      </c>
      <c r="L1040" s="228">
        <v>7.9678516240739139</v>
      </c>
      <c r="M1040" s="264">
        <v>0.41436781719033378</v>
      </c>
      <c r="N1040" s="264">
        <v>0.31088914839727977</v>
      </c>
      <c r="O1040" s="264">
        <v>0.28133456763975079</v>
      </c>
      <c r="P1040" s="264">
        <v>0.30539733449446649</v>
      </c>
      <c r="Q1040" s="264">
        <v>0.29554580757529014</v>
      </c>
      <c r="R1040" s="264">
        <v>0.31088914839727977</v>
      </c>
      <c r="S1040" s="264">
        <v>0.29554580757529014</v>
      </c>
      <c r="T1040" s="264">
        <v>0.31088914839727977</v>
      </c>
      <c r="U1040" s="264">
        <v>0.30539733449446649</v>
      </c>
      <c r="V1040" s="264">
        <v>0.31088914839727977</v>
      </c>
      <c r="W1040" s="264">
        <v>0.30539733449446649</v>
      </c>
      <c r="X1040" s="264">
        <v>0.30103762147810342</v>
      </c>
      <c r="Y1040" s="264">
        <v>0.31088914839727977</v>
      </c>
      <c r="Z1040" s="264"/>
      <c r="AA1040" s="264">
        <v>9.6307297595342206E-2</v>
      </c>
      <c r="AB1040" s="264">
        <v>8.6455770676165861E-2</v>
      </c>
      <c r="AC1040" s="264">
        <v>0.1017991114981555</v>
      </c>
      <c r="AD1040" s="264">
        <v>9.8515269191763385E-2</v>
      </c>
      <c r="AE1040" s="264">
        <v>9.6307297595342206E-2</v>
      </c>
      <c r="AF1040" s="264">
        <v>9.8515269191763385E-2</v>
      </c>
      <c r="AG1040" s="264">
        <v>9.6307297595342206E-2</v>
      </c>
      <c r="AH1040" s="264">
        <v>0.1017991114981555</v>
      </c>
      <c r="AI1040" s="264">
        <v>9.6307297595342206E-2</v>
      </c>
      <c r="AJ1040" s="264">
        <v>0.1017991114981555</v>
      </c>
      <c r="AK1040" s="264">
        <v>9.3023455288950077E-2</v>
      </c>
      <c r="AL1040" s="264">
        <v>9.6307297595342206E-2</v>
      </c>
      <c r="AM1040" s="244"/>
      <c r="AN1040" s="244"/>
      <c r="AO1040" s="244"/>
      <c r="AP1040" s="244"/>
      <c r="AQ1040" s="244"/>
      <c r="AR1040" s="244"/>
      <c r="AS1040" s="244"/>
      <c r="AT1040" s="244"/>
      <c r="AU1040" s="244"/>
      <c r="AV1040" s="244"/>
      <c r="AW1040" s="244"/>
      <c r="AX1040" s="244"/>
      <c r="AY1040" s="244"/>
      <c r="AZ1040" s="244"/>
      <c r="BA1040" s="244"/>
      <c r="BB1040" s="244"/>
      <c r="BC1040" s="244"/>
      <c r="BD1040" s="244"/>
      <c r="BE1040" s="244"/>
      <c r="BF1040" s="244"/>
      <c r="BG1040" s="244"/>
      <c r="BH1040" s="244"/>
      <c r="BI1040" s="244"/>
      <c r="BJ1040" s="244"/>
      <c r="BK1040" s="244"/>
      <c r="BL1040" s="244"/>
      <c r="BM1040" s="244"/>
      <c r="BN1040" s="244"/>
      <c r="BO1040" s="244"/>
      <c r="BP1040" s="244"/>
      <c r="BQ1040" s="244"/>
      <c r="BR1040" s="244"/>
      <c r="BS1040" s="244"/>
      <c r="BT1040" s="244"/>
      <c r="BU1040" s="244"/>
      <c r="BV1040" s="244"/>
      <c r="BW1040" s="244"/>
      <c r="BX1040" s="244"/>
      <c r="BY1040" s="244"/>
      <c r="BZ1040" s="244"/>
      <c r="CA1040" s="244"/>
      <c r="CB1040" s="244"/>
      <c r="CC1040" s="244"/>
      <c r="CD1040" s="244"/>
      <c r="CE1040" s="244"/>
      <c r="CF1040" s="244"/>
      <c r="CG1040" s="244"/>
      <c r="CH1040" s="244"/>
      <c r="CI1040" s="244"/>
      <c r="CJ1040" s="244"/>
      <c r="CK1040" s="244"/>
      <c r="CL1040" s="244"/>
      <c r="CM1040" s="244"/>
      <c r="CN1040" s="244"/>
      <c r="CO1040" s="244"/>
      <c r="CP1040" s="244"/>
      <c r="CQ1040" s="244"/>
      <c r="CR1040" s="244"/>
      <c r="CS1040" s="244"/>
      <c r="CT1040" s="244"/>
      <c r="CU1040" s="244"/>
      <c r="CV1040" s="244"/>
      <c r="CW1040" s="244"/>
    </row>
    <row r="1041" spans="1:101">
      <c r="A1041" s="221" t="s">
        <v>545</v>
      </c>
      <c r="C1041" s="264">
        <v>3.2050302028656006</v>
      </c>
      <c r="D1041" s="264">
        <v>8.1096944808959961</v>
      </c>
      <c r="E1041" s="264">
        <v>1.621938943862915</v>
      </c>
      <c r="F1041" s="264">
        <v>9.731633186340332</v>
      </c>
      <c r="G1041" s="264">
        <v>15.866598129272461</v>
      </c>
      <c r="H1041" s="264">
        <v>117.81882476806641</v>
      </c>
      <c r="I1041" s="264">
        <v>26598.53515625</v>
      </c>
      <c r="J1041" s="264">
        <v>116.61211395263672</v>
      </c>
      <c r="K1041" s="264">
        <v>-2496.925537109375</v>
      </c>
      <c r="L1041" s="228">
        <v>7.4255880744161287</v>
      </c>
      <c r="M1041" s="264">
        <v>0.2762452114602259</v>
      </c>
      <c r="N1041" s="264">
        <v>0.20725943226485311</v>
      </c>
      <c r="O1041" s="264">
        <v>0.18755637842650047</v>
      </c>
      <c r="P1041" s="264">
        <v>0.20359822299631092</v>
      </c>
      <c r="Q1041" s="264">
        <v>0.19703053838352669</v>
      </c>
      <c r="R1041" s="264">
        <v>0.20725943226485311</v>
      </c>
      <c r="S1041" s="264">
        <v>0.19703053838352669</v>
      </c>
      <c r="T1041" s="264">
        <v>0.20725943226485311</v>
      </c>
      <c r="U1041" s="264">
        <v>0.20359822299631092</v>
      </c>
      <c r="V1041" s="264">
        <v>0.20725943226485311</v>
      </c>
      <c r="W1041" s="264">
        <v>0.20359822299631092</v>
      </c>
      <c r="X1041" s="264">
        <v>0.20069174765206887</v>
      </c>
      <c r="Y1041" s="264">
        <v>0.20725943226485311</v>
      </c>
      <c r="Z1041" s="264"/>
      <c r="AA1041" s="264">
        <v>6.4204865063561448E-2</v>
      </c>
      <c r="AB1041" s="264">
        <v>5.7637180450777224E-2</v>
      </c>
      <c r="AC1041" s="264">
        <v>6.7866074332103649E-2</v>
      </c>
      <c r="AD1041" s="264">
        <v>6.567684612784222E-2</v>
      </c>
      <c r="AE1041" s="264">
        <v>6.4204865063561448E-2</v>
      </c>
      <c r="AF1041" s="264">
        <v>6.567684612784222E-2</v>
      </c>
      <c r="AG1041" s="264">
        <v>6.4204865063561448E-2</v>
      </c>
      <c r="AH1041" s="264">
        <v>6.7866074332103649E-2</v>
      </c>
      <c r="AI1041" s="264">
        <v>6.4204865063561448E-2</v>
      </c>
      <c r="AJ1041" s="264">
        <v>6.7866074332103649E-2</v>
      </c>
      <c r="AK1041" s="264">
        <v>6.2015636859300033E-2</v>
      </c>
      <c r="AL1041" s="264">
        <v>6.4204865063561448E-2</v>
      </c>
      <c r="AM1041" s="244"/>
      <c r="AN1041" s="244"/>
      <c r="AO1041" s="244"/>
      <c r="AP1041" s="244"/>
      <c r="AQ1041" s="244"/>
      <c r="AR1041" s="244"/>
      <c r="AS1041" s="244"/>
      <c r="AT1041" s="244"/>
      <c r="AU1041" s="244"/>
      <c r="AV1041" s="244"/>
      <c r="AW1041" s="244"/>
      <c r="AX1041" s="244"/>
      <c r="AY1041" s="244"/>
      <c r="AZ1041" s="244"/>
      <c r="BA1041" s="244"/>
      <c r="BB1041" s="244"/>
      <c r="BC1041" s="244"/>
      <c r="BD1041" s="244"/>
      <c r="BE1041" s="244"/>
      <c r="BF1041" s="244"/>
      <c r="BG1041" s="244"/>
      <c r="BH1041" s="244"/>
      <c r="BI1041" s="244"/>
      <c r="BJ1041" s="244"/>
      <c r="BK1041" s="244"/>
      <c r="BL1041" s="244"/>
      <c r="BM1041" s="244"/>
      <c r="BN1041" s="244"/>
      <c r="BO1041" s="244"/>
      <c r="BP1041" s="244"/>
      <c r="BQ1041" s="244"/>
      <c r="BR1041" s="244"/>
      <c r="BS1041" s="244"/>
      <c r="BT1041" s="244"/>
      <c r="BU1041" s="244"/>
      <c r="BV1041" s="244"/>
      <c r="BW1041" s="244"/>
      <c r="BX1041" s="244"/>
      <c r="BY1041" s="244"/>
      <c r="BZ1041" s="244"/>
      <c r="CA1041" s="244"/>
      <c r="CB1041" s="244"/>
      <c r="CC1041" s="244"/>
      <c r="CD1041" s="244"/>
      <c r="CE1041" s="244"/>
      <c r="CF1041" s="244"/>
      <c r="CG1041" s="244"/>
      <c r="CH1041" s="244"/>
      <c r="CI1041" s="244"/>
      <c r="CJ1041" s="244"/>
      <c r="CK1041" s="244"/>
      <c r="CL1041" s="244"/>
      <c r="CM1041" s="244"/>
      <c r="CN1041" s="244"/>
      <c r="CO1041" s="244"/>
      <c r="CP1041" s="244"/>
      <c r="CQ1041" s="244"/>
      <c r="CR1041" s="244"/>
      <c r="CS1041" s="244"/>
      <c r="CT1041" s="244"/>
      <c r="CU1041" s="244"/>
      <c r="CV1041" s="244"/>
      <c r="CW1041" s="244"/>
    </row>
    <row r="1042" spans="1:101">
      <c r="A1042" s="221" t="s">
        <v>509</v>
      </c>
      <c r="C1042" s="264">
        <v>4.4257993698120117</v>
      </c>
      <c r="D1042" s="264">
        <v>11.336667060852051</v>
      </c>
      <c r="E1042" s="264">
        <v>2.2673335075378418</v>
      </c>
      <c r="F1042" s="264">
        <v>13.604000091552734</v>
      </c>
      <c r="G1042" s="264">
        <v>22.18016242980957</v>
      </c>
      <c r="H1042" s="264">
        <v>162.69502258300781</v>
      </c>
      <c r="I1042" s="264">
        <v>26926.4453125</v>
      </c>
      <c r="J1042" s="264">
        <v>118.73697662353516</v>
      </c>
      <c r="K1042" s="264">
        <v>-2492.0283203125</v>
      </c>
      <c r="L1042" s="228">
        <v>7.335159778007263</v>
      </c>
      <c r="M1042" s="264">
        <v>0.38146471324586168</v>
      </c>
      <c r="N1042" s="264">
        <v>0.28620282494126109</v>
      </c>
      <c r="O1042" s="264">
        <v>0.25899504188943734</v>
      </c>
      <c r="P1042" s="264">
        <v>0.28114709153551248</v>
      </c>
      <c r="Q1042" s="264">
        <v>0.27207783051823786</v>
      </c>
      <c r="R1042" s="264">
        <v>0.28620282494126109</v>
      </c>
      <c r="S1042" s="264">
        <v>0.27207783051823786</v>
      </c>
      <c r="T1042" s="264">
        <v>0.28620282494126109</v>
      </c>
      <c r="U1042" s="264">
        <v>0.28114709153551248</v>
      </c>
      <c r="V1042" s="264">
        <v>0.28620282494126109</v>
      </c>
      <c r="W1042" s="264">
        <v>0.28114709153551248</v>
      </c>
      <c r="X1042" s="264">
        <v>0.27713356392398647</v>
      </c>
      <c r="Y1042" s="264">
        <v>0.28620282494126109</v>
      </c>
      <c r="Z1042" s="264"/>
      <c r="AA1042" s="264">
        <v>8.8659963772755576E-2</v>
      </c>
      <c r="AB1042" s="264">
        <v>7.9590702755480983E-2</v>
      </c>
      <c r="AC1042" s="264">
        <v>9.371569717850417E-2</v>
      </c>
      <c r="AD1042" s="264">
        <v>9.0692610172745963E-2</v>
      </c>
      <c r="AE1042" s="264">
        <v>8.8659963772755576E-2</v>
      </c>
      <c r="AF1042" s="264">
        <v>9.0692610172745963E-2</v>
      </c>
      <c r="AG1042" s="264">
        <v>8.8659963772755576E-2</v>
      </c>
      <c r="AH1042" s="264">
        <v>9.371569717850417E-2</v>
      </c>
      <c r="AI1042" s="264">
        <v>8.8659963772755576E-2</v>
      </c>
      <c r="AJ1042" s="264">
        <v>9.371569717850417E-2</v>
      </c>
      <c r="AK1042" s="264">
        <v>8.5636876766997369E-2</v>
      </c>
      <c r="AL1042" s="264">
        <v>8.8659963772755576E-2</v>
      </c>
      <c r="AM1042" s="244"/>
      <c r="AN1042" s="244"/>
      <c r="AO1042" s="244"/>
      <c r="AP1042" s="244"/>
      <c r="AQ1042" s="244"/>
      <c r="AR1042" s="244"/>
      <c r="AS1042" s="244"/>
      <c r="AT1042" s="244"/>
      <c r="AU1042" s="244"/>
      <c r="AV1042" s="244"/>
      <c r="AW1042" s="244"/>
      <c r="AX1042" s="244"/>
      <c r="AY1042" s="244"/>
      <c r="AZ1042" s="244"/>
      <c r="BA1042" s="244"/>
      <c r="BB1042" s="244"/>
      <c r="BC1042" s="244"/>
      <c r="BD1042" s="244"/>
      <c r="BE1042" s="244"/>
      <c r="BF1042" s="244"/>
      <c r="BG1042" s="244"/>
      <c r="BH1042" s="244"/>
      <c r="BI1042" s="244"/>
      <c r="BJ1042" s="244"/>
      <c r="BK1042" s="244"/>
      <c r="BL1042" s="244"/>
      <c r="BM1042" s="244"/>
      <c r="BN1042" s="244"/>
      <c r="BO1042" s="244"/>
      <c r="BP1042" s="244"/>
      <c r="BQ1042" s="244"/>
      <c r="BR1042" s="244"/>
      <c r="BS1042" s="244"/>
      <c r="BT1042" s="244"/>
      <c r="BU1042" s="244"/>
      <c r="BV1042" s="244"/>
      <c r="BW1042" s="244"/>
      <c r="BX1042" s="244"/>
      <c r="BY1042" s="244"/>
      <c r="BZ1042" s="244"/>
      <c r="CA1042" s="244"/>
      <c r="CB1042" s="244"/>
      <c r="CC1042" s="244"/>
      <c r="CD1042" s="244"/>
      <c r="CE1042" s="244"/>
      <c r="CF1042" s="244"/>
      <c r="CG1042" s="244"/>
      <c r="CH1042" s="244"/>
      <c r="CI1042" s="244"/>
      <c r="CJ1042" s="244"/>
      <c r="CK1042" s="244"/>
      <c r="CL1042" s="244"/>
      <c r="CM1042" s="244"/>
      <c r="CN1042" s="244"/>
      <c r="CO1042" s="244"/>
      <c r="CP1042" s="244"/>
      <c r="CQ1042" s="244"/>
      <c r="CR1042" s="244"/>
      <c r="CS1042" s="244"/>
      <c r="CT1042" s="244"/>
      <c r="CU1042" s="244"/>
      <c r="CV1042" s="244"/>
      <c r="CW1042" s="244"/>
    </row>
    <row r="1043" spans="1:101">
      <c r="A1043" s="221" t="s">
        <v>533</v>
      </c>
      <c r="C1043" s="264">
        <v>4.2733736038208008</v>
      </c>
      <c r="D1043" s="264">
        <v>11.336667060852051</v>
      </c>
      <c r="E1043" s="264">
        <v>2.2673335075378418</v>
      </c>
      <c r="F1043" s="264">
        <v>13.604000091552734</v>
      </c>
      <c r="G1043" s="264">
        <v>22.18016242980957</v>
      </c>
      <c r="H1043" s="264">
        <v>158.697998046875</v>
      </c>
      <c r="I1043" s="264">
        <v>27886.876953125</v>
      </c>
      <c r="J1043" s="264">
        <v>124.96061706542969</v>
      </c>
      <c r="K1043" s="264">
        <v>-2507.844970703125</v>
      </c>
      <c r="L1043" s="228">
        <v>7.1549521609836946</v>
      </c>
      <c r="M1043" s="264">
        <v>0.38651555892885336</v>
      </c>
      <c r="N1043" s="264">
        <v>0.27634590968647077</v>
      </c>
      <c r="O1043" s="264">
        <v>0.25007517123533396</v>
      </c>
      <c r="P1043" s="264">
        <v>0.27146429732841454</v>
      </c>
      <c r="Q1043" s="264">
        <v>0.26270738451136888</v>
      </c>
      <c r="R1043" s="264">
        <v>0.27634590968647077</v>
      </c>
      <c r="S1043" s="264">
        <v>0.26270738451136888</v>
      </c>
      <c r="T1043" s="264">
        <v>0.27634590968647077</v>
      </c>
      <c r="U1043" s="264">
        <v>0.27146429732841454</v>
      </c>
      <c r="V1043" s="264">
        <v>0.27634590968647077</v>
      </c>
      <c r="W1043" s="264">
        <v>0.27146429732841454</v>
      </c>
      <c r="X1043" s="264">
        <v>0.26758899686942517</v>
      </c>
      <c r="Y1043" s="264">
        <v>0.27634590968647077</v>
      </c>
      <c r="Z1043" s="264"/>
      <c r="AA1043" s="264">
        <v>8.5606486751415259E-2</v>
      </c>
      <c r="AB1043" s="264">
        <v>7.6849573934369614E-2</v>
      </c>
      <c r="AC1043" s="264">
        <v>9.0488099109471518E-2</v>
      </c>
      <c r="AD1043" s="264">
        <v>8.7569128170456284E-2</v>
      </c>
      <c r="AE1043" s="264">
        <v>8.5606486751415259E-2</v>
      </c>
      <c r="AF1043" s="264">
        <v>8.7569128170456284E-2</v>
      </c>
      <c r="AG1043" s="264">
        <v>8.5606486751415259E-2</v>
      </c>
      <c r="AH1043" s="264">
        <v>9.0488099109471518E-2</v>
      </c>
      <c r="AI1043" s="264">
        <v>8.5606486751415259E-2</v>
      </c>
      <c r="AJ1043" s="264">
        <v>9.0488099109471518E-2</v>
      </c>
      <c r="AK1043" s="264">
        <v>8.2687515812400039E-2</v>
      </c>
      <c r="AL1043" s="264">
        <v>8.5606486751415259E-2</v>
      </c>
      <c r="AM1043" s="244"/>
      <c r="AN1043" s="244"/>
      <c r="AO1043" s="244"/>
      <c r="AP1043" s="244"/>
      <c r="AQ1043" s="244"/>
      <c r="AR1043" s="244"/>
      <c r="AS1043" s="244"/>
      <c r="AT1043" s="244"/>
      <c r="AU1043" s="244"/>
      <c r="AV1043" s="244"/>
      <c r="AW1043" s="244"/>
      <c r="AX1043" s="244"/>
      <c r="AY1043" s="244"/>
      <c r="AZ1043" s="244"/>
      <c r="BA1043" s="244"/>
      <c r="BB1043" s="244"/>
      <c r="BC1043" s="244"/>
      <c r="BD1043" s="244"/>
      <c r="BE1043" s="244"/>
      <c r="BF1043" s="244"/>
      <c r="BG1043" s="244"/>
      <c r="BH1043" s="244"/>
      <c r="BI1043" s="244"/>
      <c r="BJ1043" s="244"/>
      <c r="BK1043" s="244"/>
      <c r="BL1043" s="244"/>
      <c r="BM1043" s="244"/>
      <c r="BN1043" s="244"/>
      <c r="BO1043" s="244"/>
      <c r="BP1043" s="244"/>
      <c r="BQ1043" s="244"/>
      <c r="BR1043" s="244"/>
      <c r="BS1043" s="244"/>
      <c r="BT1043" s="244"/>
      <c r="BU1043" s="244"/>
      <c r="BV1043" s="244"/>
      <c r="BW1043" s="244"/>
      <c r="BX1043" s="244"/>
      <c r="BY1043" s="244"/>
      <c r="BZ1043" s="244"/>
      <c r="CA1043" s="244"/>
      <c r="CB1043" s="244"/>
      <c r="CC1043" s="244"/>
      <c r="CD1043" s="244"/>
      <c r="CE1043" s="244"/>
      <c r="CF1043" s="244"/>
      <c r="CG1043" s="244"/>
      <c r="CH1043" s="244"/>
      <c r="CI1043" s="244"/>
      <c r="CJ1043" s="244"/>
      <c r="CK1043" s="244"/>
      <c r="CL1043" s="244"/>
      <c r="CM1043" s="244"/>
      <c r="CN1043" s="244"/>
      <c r="CO1043" s="244"/>
      <c r="CP1043" s="244"/>
      <c r="CQ1043" s="244"/>
      <c r="CR1043" s="244"/>
      <c r="CS1043" s="244"/>
      <c r="CT1043" s="244"/>
      <c r="CU1043" s="244"/>
      <c r="CV1043" s="244"/>
      <c r="CW1043" s="244"/>
    </row>
    <row r="1044" spans="1:101">
      <c r="A1044" s="221" t="s">
        <v>518</v>
      </c>
      <c r="C1044" s="264">
        <v>2.9505329132080078</v>
      </c>
      <c r="D1044" s="264">
        <v>8.1096944808959961</v>
      </c>
      <c r="E1044" s="264">
        <v>1.621938943862915</v>
      </c>
      <c r="F1044" s="264">
        <v>9.731633186340332</v>
      </c>
      <c r="G1044" s="264">
        <v>15.866598129272461</v>
      </c>
      <c r="H1044" s="264">
        <v>108.46335601806641</v>
      </c>
      <c r="I1044" s="264">
        <v>28892.783203125</v>
      </c>
      <c r="J1044" s="264">
        <v>131.47894287109375</v>
      </c>
      <c r="K1044" s="264">
        <v>-2462.6611328125</v>
      </c>
      <c r="L1044" s="228">
        <v>6.8359550693194731</v>
      </c>
      <c r="M1044" s="264">
        <v>0.2543098088305753</v>
      </c>
      <c r="N1044" s="264">
        <v>0.190801883294174</v>
      </c>
      <c r="O1044" s="264">
        <v>0.17266336125962484</v>
      </c>
      <c r="P1044" s="264">
        <v>0.18743139435700829</v>
      </c>
      <c r="Q1044" s="264">
        <v>0.18138522034549187</v>
      </c>
      <c r="R1044" s="264">
        <v>0.190801883294174</v>
      </c>
      <c r="S1044" s="264">
        <v>0.18138522034549187</v>
      </c>
      <c r="T1044" s="264">
        <v>0.190801883294174</v>
      </c>
      <c r="U1044" s="264">
        <v>0.18743139435700829</v>
      </c>
      <c r="V1044" s="264">
        <v>0.190801883294174</v>
      </c>
      <c r="W1044" s="264">
        <v>0.18743139435700829</v>
      </c>
      <c r="X1044" s="264">
        <v>0.18475570928265758</v>
      </c>
      <c r="Y1044" s="264">
        <v>0.190801883294174</v>
      </c>
      <c r="Z1044" s="264"/>
      <c r="AA1044" s="264">
        <v>5.9106642515170366E-2</v>
      </c>
      <c r="AB1044" s="264">
        <v>5.3060468503653965E-2</v>
      </c>
      <c r="AC1044" s="264">
        <v>6.247713145233609E-2</v>
      </c>
      <c r="AD1044" s="264">
        <v>6.0461740115163948E-2</v>
      </c>
      <c r="AE1044" s="264">
        <v>5.9106642515170366E-2</v>
      </c>
      <c r="AF1044" s="264">
        <v>6.0461740115163948E-2</v>
      </c>
      <c r="AG1044" s="264">
        <v>5.9106642515170366E-2</v>
      </c>
      <c r="AH1044" s="264">
        <v>6.247713145233609E-2</v>
      </c>
      <c r="AI1044" s="264">
        <v>5.9106642515170366E-2</v>
      </c>
      <c r="AJ1044" s="264">
        <v>6.247713145233609E-2</v>
      </c>
      <c r="AK1044" s="264">
        <v>5.709125117799823E-2</v>
      </c>
      <c r="AL1044" s="264">
        <v>5.9106642515170366E-2</v>
      </c>
      <c r="AM1044" s="244"/>
      <c r="AN1044" s="244"/>
      <c r="AO1044" s="244"/>
      <c r="AP1044" s="244"/>
      <c r="AQ1044" s="244"/>
      <c r="AR1044" s="244"/>
      <c r="AS1044" s="244"/>
      <c r="AT1044" s="244"/>
      <c r="AU1044" s="244"/>
      <c r="AV1044" s="244"/>
      <c r="AW1044" s="244"/>
      <c r="AX1044" s="244"/>
      <c r="AY1044" s="244"/>
      <c r="AZ1044" s="244"/>
      <c r="BA1044" s="244"/>
      <c r="BB1044" s="244"/>
      <c r="BC1044" s="244"/>
      <c r="BD1044" s="244"/>
      <c r="BE1044" s="244"/>
      <c r="BF1044" s="244"/>
      <c r="BG1044" s="244"/>
      <c r="BH1044" s="244"/>
      <c r="BI1044" s="244"/>
      <c r="BJ1044" s="244"/>
      <c r="BK1044" s="244"/>
      <c r="BL1044" s="244"/>
      <c r="BM1044" s="244"/>
      <c r="BN1044" s="244"/>
      <c r="BO1044" s="244"/>
      <c r="BP1044" s="244"/>
      <c r="BQ1044" s="244"/>
      <c r="BR1044" s="244"/>
      <c r="BS1044" s="244"/>
      <c r="BT1044" s="244"/>
      <c r="BU1044" s="244"/>
      <c r="BV1044" s="244"/>
      <c r="BW1044" s="244"/>
      <c r="BX1044" s="244"/>
      <c r="BY1044" s="244"/>
      <c r="BZ1044" s="244"/>
      <c r="CA1044" s="244"/>
      <c r="CB1044" s="244"/>
      <c r="CC1044" s="244"/>
      <c r="CD1044" s="244"/>
      <c r="CE1044" s="244"/>
      <c r="CF1044" s="244"/>
      <c r="CG1044" s="244"/>
      <c r="CH1044" s="244"/>
      <c r="CI1044" s="244"/>
      <c r="CJ1044" s="244"/>
      <c r="CK1044" s="244"/>
      <c r="CL1044" s="244"/>
      <c r="CM1044" s="244"/>
      <c r="CN1044" s="244"/>
      <c r="CO1044" s="244"/>
      <c r="CP1044" s="244"/>
      <c r="CQ1044" s="244"/>
      <c r="CR1044" s="244"/>
      <c r="CS1044" s="244"/>
      <c r="CT1044" s="244"/>
      <c r="CU1044" s="244"/>
      <c r="CV1044" s="244"/>
      <c r="CW1044" s="244"/>
    </row>
    <row r="1045" spans="1:101">
      <c r="A1045" s="221" t="s">
        <v>542</v>
      </c>
      <c r="C1045" s="264">
        <v>2.8489155769348145</v>
      </c>
      <c r="D1045" s="264">
        <v>8.1096944808959961</v>
      </c>
      <c r="E1045" s="264">
        <v>1.621938943862915</v>
      </c>
      <c r="F1045" s="264">
        <v>9.731633186340332</v>
      </c>
      <c r="G1045" s="264">
        <v>15.866598129272461</v>
      </c>
      <c r="H1045" s="264">
        <v>105.79867553710937</v>
      </c>
      <c r="I1045" s="264">
        <v>29923.353515625</v>
      </c>
      <c r="J1045" s="264">
        <v>138.15711975097656</v>
      </c>
      <c r="K1045" s="264">
        <v>-2477.43115234375</v>
      </c>
      <c r="L1045" s="228">
        <v>6.6680122203922183</v>
      </c>
      <c r="M1045" s="264">
        <v>0.25767703928590163</v>
      </c>
      <c r="N1045" s="264">
        <v>0.18423060645764719</v>
      </c>
      <c r="O1045" s="264">
        <v>0.16671678082355595</v>
      </c>
      <c r="P1045" s="264">
        <v>0.18097619821894301</v>
      </c>
      <c r="Q1045" s="264">
        <v>0.1751382563409126</v>
      </c>
      <c r="R1045" s="264">
        <v>0.18423060645764719</v>
      </c>
      <c r="S1045" s="264">
        <v>0.1751382563409126</v>
      </c>
      <c r="T1045" s="264">
        <v>0.18423060645764719</v>
      </c>
      <c r="U1045" s="264">
        <v>0.18097619821894301</v>
      </c>
      <c r="V1045" s="264">
        <v>0.18423060645764719</v>
      </c>
      <c r="W1045" s="264">
        <v>0.18097619821894301</v>
      </c>
      <c r="X1045" s="264">
        <v>0.17839266457961678</v>
      </c>
      <c r="Y1045" s="264">
        <v>0.18423060645764719</v>
      </c>
      <c r="Z1045" s="264"/>
      <c r="AA1045" s="264">
        <v>5.707099116761017E-2</v>
      </c>
      <c r="AB1045" s="264">
        <v>5.1233049289579745E-2</v>
      </c>
      <c r="AC1045" s="264">
        <v>6.0325399406314345E-2</v>
      </c>
      <c r="AD1045" s="264">
        <v>5.8379418780304199E-2</v>
      </c>
      <c r="AE1045" s="264">
        <v>5.707099116761017E-2</v>
      </c>
      <c r="AF1045" s="264">
        <v>5.8379418780304199E-2</v>
      </c>
      <c r="AG1045" s="264">
        <v>5.707099116761017E-2</v>
      </c>
      <c r="AH1045" s="264">
        <v>6.0325399406314345E-2</v>
      </c>
      <c r="AI1045" s="264">
        <v>5.707099116761017E-2</v>
      </c>
      <c r="AJ1045" s="264">
        <v>6.0325399406314345E-2</v>
      </c>
      <c r="AK1045" s="264">
        <v>5.5125010541600031E-2</v>
      </c>
      <c r="AL1045" s="264">
        <v>5.707099116761017E-2</v>
      </c>
      <c r="AM1045" s="244"/>
      <c r="AN1045" s="244"/>
      <c r="AO1045" s="244"/>
      <c r="AP1045" s="244"/>
      <c r="AQ1045" s="244"/>
      <c r="AR1045" s="244"/>
      <c r="AS1045" s="244"/>
      <c r="AT1045" s="244"/>
      <c r="AU1045" s="244"/>
      <c r="AV1045" s="244"/>
      <c r="AW1045" s="244"/>
      <c r="AX1045" s="244"/>
      <c r="AY1045" s="244"/>
      <c r="AZ1045" s="244"/>
      <c r="BA1045" s="244"/>
      <c r="BB1045" s="244"/>
      <c r="BC1045" s="244"/>
      <c r="BD1045" s="244"/>
      <c r="BE1045" s="244"/>
      <c r="BF1045" s="244"/>
      <c r="BG1045" s="244"/>
      <c r="BH1045" s="244"/>
      <c r="BI1045" s="244"/>
      <c r="BJ1045" s="244"/>
      <c r="BK1045" s="244"/>
      <c r="BL1045" s="244"/>
      <c r="BM1045" s="244"/>
      <c r="BN1045" s="244"/>
      <c r="BO1045" s="244"/>
      <c r="BP1045" s="244"/>
      <c r="BQ1045" s="244"/>
      <c r="BR1045" s="244"/>
      <c r="BS1045" s="244"/>
      <c r="BT1045" s="244"/>
      <c r="BU1045" s="244"/>
      <c r="BV1045" s="244"/>
      <c r="BW1045" s="244"/>
      <c r="BX1045" s="244"/>
      <c r="BY1045" s="244"/>
      <c r="BZ1045" s="244"/>
      <c r="CA1045" s="244"/>
      <c r="CB1045" s="244"/>
      <c r="CC1045" s="244"/>
      <c r="CD1045" s="244"/>
      <c r="CE1045" s="244"/>
      <c r="CF1045" s="244"/>
      <c r="CG1045" s="244"/>
      <c r="CH1045" s="244"/>
      <c r="CI1045" s="244"/>
      <c r="CJ1045" s="244"/>
      <c r="CK1045" s="244"/>
      <c r="CL1045" s="244"/>
      <c r="CM1045" s="244"/>
      <c r="CN1045" s="244"/>
      <c r="CO1045" s="244"/>
      <c r="CP1045" s="244"/>
      <c r="CQ1045" s="244"/>
      <c r="CR1045" s="244"/>
      <c r="CS1045" s="244"/>
      <c r="CT1045" s="244"/>
      <c r="CU1045" s="244"/>
      <c r="CV1045" s="244"/>
      <c r="CW1045" s="244"/>
    </row>
    <row r="1046" spans="1:101">
      <c r="A1046" s="221" t="s">
        <v>506</v>
      </c>
      <c r="C1046" s="264">
        <v>3.9340438842773438</v>
      </c>
      <c r="D1046" s="264">
        <v>11.336667060852051</v>
      </c>
      <c r="E1046" s="264">
        <v>2.2673335075378418</v>
      </c>
      <c r="F1046" s="264">
        <v>13.604000091552734</v>
      </c>
      <c r="G1046" s="264">
        <v>22.18016242980957</v>
      </c>
      <c r="H1046" s="264">
        <v>146.09649658203125</v>
      </c>
      <c r="I1046" s="264">
        <v>30292.251953125</v>
      </c>
      <c r="J1046" s="264">
        <v>140.54756164550781</v>
      </c>
      <c r="K1046" s="264">
        <v>-2471.921630859375</v>
      </c>
      <c r="L1046" s="228">
        <v>6.5868093157908554</v>
      </c>
      <c r="M1046" s="264">
        <v>0.3558240788379845</v>
      </c>
      <c r="N1046" s="264">
        <v>0.25440251105889877</v>
      </c>
      <c r="O1046" s="264">
        <v>0.23021781501283317</v>
      </c>
      <c r="P1046" s="264">
        <v>0.24990852580934445</v>
      </c>
      <c r="Q1046" s="264">
        <v>0.24184696046065593</v>
      </c>
      <c r="R1046" s="264">
        <v>0.25440251105889877</v>
      </c>
      <c r="S1046" s="264">
        <v>0.24184696046065593</v>
      </c>
      <c r="T1046" s="264">
        <v>0.25440251105889877</v>
      </c>
      <c r="U1046" s="264">
        <v>0.24990852580934445</v>
      </c>
      <c r="V1046" s="264">
        <v>0.25440251105889877</v>
      </c>
      <c r="W1046" s="264">
        <v>0.24990852580934445</v>
      </c>
      <c r="X1046" s="264">
        <v>0.24634094571021023</v>
      </c>
      <c r="Y1046" s="264">
        <v>0.25440251105889877</v>
      </c>
      <c r="Z1046" s="264"/>
      <c r="AA1046" s="264">
        <v>7.8808856686893858E-2</v>
      </c>
      <c r="AB1046" s="264">
        <v>7.0747291338205315E-2</v>
      </c>
      <c r="AC1046" s="264">
        <v>8.3302841936448158E-2</v>
      </c>
      <c r="AD1046" s="264">
        <v>8.0615653486885305E-2</v>
      </c>
      <c r="AE1046" s="264">
        <v>7.8808856686893858E-2</v>
      </c>
      <c r="AF1046" s="264">
        <v>8.0615653486885305E-2</v>
      </c>
      <c r="AG1046" s="264">
        <v>7.8808856686893858E-2</v>
      </c>
      <c r="AH1046" s="264">
        <v>8.3302841936448158E-2</v>
      </c>
      <c r="AI1046" s="264">
        <v>7.8808856686893858E-2</v>
      </c>
      <c r="AJ1046" s="264">
        <v>8.3302841936448158E-2</v>
      </c>
      <c r="AK1046" s="264">
        <v>7.6121668237331006E-2</v>
      </c>
      <c r="AL1046" s="264">
        <v>7.8808856686893858E-2</v>
      </c>
      <c r="AM1046" s="244"/>
      <c r="AN1046" s="244"/>
      <c r="AO1046" s="244"/>
      <c r="AP1046" s="244"/>
      <c r="AQ1046" s="244"/>
      <c r="AR1046" s="244"/>
      <c r="AS1046" s="244"/>
      <c r="AT1046" s="244"/>
      <c r="AU1046" s="244"/>
      <c r="AV1046" s="244"/>
      <c r="AW1046" s="244"/>
      <c r="AX1046" s="244"/>
      <c r="AY1046" s="244"/>
      <c r="AZ1046" s="244"/>
      <c r="BA1046" s="244"/>
      <c r="BB1046" s="244"/>
      <c r="BC1046" s="244"/>
      <c r="BD1046" s="244"/>
      <c r="BE1046" s="244"/>
      <c r="BF1046" s="244"/>
      <c r="BG1046" s="244"/>
      <c r="BH1046" s="244"/>
      <c r="BI1046" s="244"/>
      <c r="BJ1046" s="244"/>
      <c r="BK1046" s="244"/>
      <c r="BL1046" s="244"/>
      <c r="BM1046" s="244"/>
      <c r="BN1046" s="244"/>
      <c r="BO1046" s="244"/>
      <c r="BP1046" s="244"/>
      <c r="BQ1046" s="244"/>
      <c r="BR1046" s="244"/>
      <c r="BS1046" s="244"/>
      <c r="BT1046" s="244"/>
      <c r="BU1046" s="244"/>
      <c r="BV1046" s="244"/>
      <c r="BW1046" s="244"/>
      <c r="BX1046" s="244"/>
      <c r="BY1046" s="244"/>
      <c r="BZ1046" s="244"/>
      <c r="CA1046" s="244"/>
      <c r="CB1046" s="244"/>
      <c r="CC1046" s="244"/>
      <c r="CD1046" s="244"/>
      <c r="CE1046" s="244"/>
      <c r="CF1046" s="244"/>
      <c r="CG1046" s="244"/>
      <c r="CH1046" s="244"/>
      <c r="CI1046" s="244"/>
      <c r="CJ1046" s="244"/>
      <c r="CK1046" s="244"/>
      <c r="CL1046" s="244"/>
      <c r="CM1046" s="244"/>
      <c r="CN1046" s="244"/>
      <c r="CO1046" s="244"/>
      <c r="CP1046" s="244"/>
      <c r="CQ1046" s="244"/>
      <c r="CR1046" s="244"/>
      <c r="CS1046" s="244"/>
      <c r="CT1046" s="244"/>
      <c r="CU1046" s="244"/>
      <c r="CV1046" s="244"/>
      <c r="CW1046" s="244"/>
    </row>
    <row r="1047" spans="1:101">
      <c r="A1047" s="221" t="s">
        <v>515</v>
      </c>
      <c r="C1047" s="264">
        <v>2.6226959228515625</v>
      </c>
      <c r="D1047" s="264">
        <v>8.1096944808959961</v>
      </c>
      <c r="E1047" s="264">
        <v>1.621938943862915</v>
      </c>
      <c r="F1047" s="264">
        <v>9.731633186340332</v>
      </c>
      <c r="G1047" s="264">
        <v>15.866598129272461</v>
      </c>
      <c r="H1047" s="264">
        <v>97.397674560546875</v>
      </c>
      <c r="I1047" s="264">
        <v>32504.380859375</v>
      </c>
      <c r="J1047" s="264">
        <v>154.88230895996094</v>
      </c>
      <c r="K1047" s="264">
        <v>-2438.884033203125</v>
      </c>
      <c r="L1047" s="228">
        <v>6.1385351968269797</v>
      </c>
      <c r="M1047" s="264">
        <v>0.23721605255865733</v>
      </c>
      <c r="N1047" s="264">
        <v>0.16960167403926579</v>
      </c>
      <c r="O1047" s="264">
        <v>0.15347854334188876</v>
      </c>
      <c r="P1047" s="264">
        <v>0.16660568387289626</v>
      </c>
      <c r="Q1047" s="264">
        <v>0.16123130697377058</v>
      </c>
      <c r="R1047" s="264">
        <v>0.16960167403926579</v>
      </c>
      <c r="S1047" s="264">
        <v>0.16123130697377058</v>
      </c>
      <c r="T1047" s="264">
        <v>0.16960167403926579</v>
      </c>
      <c r="U1047" s="264">
        <v>0.16660568387289626</v>
      </c>
      <c r="V1047" s="264">
        <v>0.16960167403926579</v>
      </c>
      <c r="W1047" s="264">
        <v>0.16660568387289626</v>
      </c>
      <c r="X1047" s="264">
        <v>0.16422729714014012</v>
      </c>
      <c r="Y1047" s="264">
        <v>0.16960167403926579</v>
      </c>
      <c r="Z1047" s="264"/>
      <c r="AA1047" s="264">
        <v>5.2539237791262565E-2</v>
      </c>
      <c r="AB1047" s="264">
        <v>4.7164860892136867E-2</v>
      </c>
      <c r="AC1047" s="264">
        <v>5.5535227957632091E-2</v>
      </c>
      <c r="AD1047" s="264">
        <v>5.3743768991256866E-2</v>
      </c>
      <c r="AE1047" s="264">
        <v>5.2539237791262565E-2</v>
      </c>
      <c r="AF1047" s="264">
        <v>5.3743768991256866E-2</v>
      </c>
      <c r="AG1047" s="264">
        <v>5.2539237791262565E-2</v>
      </c>
      <c r="AH1047" s="264">
        <v>5.5535227957632091E-2</v>
      </c>
      <c r="AI1047" s="264">
        <v>5.2539237791262565E-2</v>
      </c>
      <c r="AJ1047" s="264">
        <v>5.5535227957632091E-2</v>
      </c>
      <c r="AK1047" s="264">
        <v>5.0747778824887325E-2</v>
      </c>
      <c r="AL1047" s="264">
        <v>5.2539237791262565E-2</v>
      </c>
      <c r="AM1047" s="244"/>
      <c r="AN1047" s="244"/>
      <c r="AO1047" s="244"/>
      <c r="AP1047" s="244"/>
      <c r="AQ1047" s="244"/>
      <c r="AR1047" s="244"/>
      <c r="AS1047" s="244"/>
      <c r="AT1047" s="244"/>
      <c r="AU1047" s="244"/>
      <c r="AV1047" s="244"/>
      <c r="AW1047" s="244"/>
      <c r="AX1047" s="244"/>
      <c r="AY1047" s="244"/>
      <c r="AZ1047" s="244"/>
      <c r="BA1047" s="244"/>
      <c r="BB1047" s="244"/>
      <c r="BC1047" s="244"/>
      <c r="BD1047" s="244"/>
      <c r="BE1047" s="244"/>
      <c r="BF1047" s="244"/>
      <c r="BG1047" s="244"/>
      <c r="BH1047" s="244"/>
      <c r="BI1047" s="244"/>
      <c r="BJ1047" s="244"/>
      <c r="BK1047" s="244"/>
      <c r="BL1047" s="244"/>
      <c r="BM1047" s="244"/>
      <c r="BN1047" s="244"/>
      <c r="BO1047" s="244"/>
      <c r="BP1047" s="244"/>
      <c r="BQ1047" s="244"/>
      <c r="BR1047" s="244"/>
      <c r="BS1047" s="244"/>
      <c r="BT1047" s="244"/>
      <c r="BU1047" s="244"/>
      <c r="BV1047" s="244"/>
      <c r="BW1047" s="244"/>
      <c r="BX1047" s="244"/>
      <c r="BY1047" s="244"/>
      <c r="BZ1047" s="244"/>
      <c r="CA1047" s="244"/>
      <c r="CB1047" s="244"/>
      <c r="CC1047" s="244"/>
      <c r="CD1047" s="244"/>
      <c r="CE1047" s="244"/>
      <c r="CF1047" s="244"/>
      <c r="CG1047" s="244"/>
      <c r="CH1047" s="244"/>
      <c r="CI1047" s="244"/>
      <c r="CJ1047" s="244"/>
      <c r="CK1047" s="244"/>
      <c r="CL1047" s="244"/>
      <c r="CM1047" s="244"/>
      <c r="CN1047" s="244"/>
      <c r="CO1047" s="244"/>
      <c r="CP1047" s="244"/>
      <c r="CQ1047" s="244"/>
      <c r="CR1047" s="244"/>
      <c r="CS1047" s="244"/>
      <c r="CT1047" s="244"/>
      <c r="CU1047" s="244"/>
      <c r="CV1047" s="244"/>
      <c r="CW1047" s="244"/>
    </row>
    <row r="1048" spans="1:101">
      <c r="C1048" s="244"/>
      <c r="D1048" s="244"/>
      <c r="E1048" s="244"/>
      <c r="F1048" s="244"/>
      <c r="G1048" s="244"/>
      <c r="H1048" s="244"/>
      <c r="I1048" s="244"/>
      <c r="J1048" s="244"/>
      <c r="K1048" s="244"/>
      <c r="L1048" s="244"/>
      <c r="M1048" s="244"/>
      <c r="N1048" s="244"/>
      <c r="O1048" s="244"/>
      <c r="P1048" s="244"/>
      <c r="Q1048" s="244"/>
      <c r="R1048" s="244"/>
      <c r="S1048" s="244"/>
      <c r="T1048" s="244"/>
      <c r="U1048" s="244"/>
      <c r="V1048" s="244"/>
      <c r="W1048" s="244"/>
      <c r="X1048" s="244"/>
      <c r="Y1048" s="244"/>
      <c r="Z1048" s="244"/>
      <c r="AA1048" s="244"/>
      <c r="AB1048" s="244"/>
      <c r="AC1048" s="244"/>
      <c r="AD1048" s="244"/>
      <c r="AE1048" s="244"/>
      <c r="AF1048" s="244"/>
      <c r="AG1048" s="244"/>
      <c r="AH1048" s="244"/>
      <c r="AI1048" s="244"/>
      <c r="AJ1048" s="244"/>
      <c r="AK1048" s="244"/>
      <c r="AL1048" s="244"/>
      <c r="AM1048" s="244"/>
      <c r="AN1048" s="244"/>
      <c r="AO1048" s="244"/>
      <c r="AP1048" s="244"/>
      <c r="AQ1048" s="244"/>
      <c r="AR1048" s="244"/>
      <c r="AS1048" s="244"/>
      <c r="AT1048" s="244"/>
      <c r="AU1048" s="244"/>
      <c r="AV1048" s="244"/>
      <c r="AW1048" s="244"/>
      <c r="AX1048" s="244"/>
      <c r="AY1048" s="244"/>
      <c r="AZ1048" s="244"/>
      <c r="BA1048" s="244"/>
      <c r="BB1048" s="244"/>
      <c r="BC1048" s="244"/>
      <c r="BD1048" s="244"/>
      <c r="BE1048" s="244"/>
      <c r="BF1048" s="244"/>
      <c r="BG1048" s="244"/>
      <c r="BH1048" s="244"/>
      <c r="BI1048" s="244"/>
      <c r="BJ1048" s="244"/>
      <c r="BK1048" s="244"/>
      <c r="BL1048" s="244"/>
      <c r="BM1048" s="244"/>
      <c r="BN1048" s="244"/>
      <c r="BO1048" s="244"/>
      <c r="BP1048" s="244"/>
      <c r="BQ1048" s="244"/>
      <c r="BR1048" s="244"/>
      <c r="BS1048" s="244"/>
      <c r="BT1048" s="244"/>
      <c r="BU1048" s="244"/>
      <c r="BV1048" s="244"/>
      <c r="BW1048" s="244"/>
      <c r="BX1048" s="244"/>
      <c r="BY1048" s="244"/>
      <c r="BZ1048" s="244"/>
      <c r="CA1048" s="244"/>
      <c r="CB1048" s="244"/>
      <c r="CC1048" s="244"/>
      <c r="CD1048" s="244"/>
      <c r="CE1048" s="244"/>
      <c r="CF1048" s="244"/>
      <c r="CG1048" s="244"/>
      <c r="CH1048" s="244"/>
      <c r="CI1048" s="244"/>
      <c r="CJ1048" s="244"/>
      <c r="CK1048" s="244"/>
      <c r="CL1048" s="244"/>
      <c r="CM1048" s="244"/>
      <c r="CN1048" s="244"/>
      <c r="CO1048" s="244"/>
      <c r="CP1048" s="244"/>
      <c r="CQ1048" s="244"/>
      <c r="CR1048" s="244"/>
      <c r="CS1048" s="244"/>
      <c r="CT1048" s="244"/>
      <c r="CU1048" s="244"/>
      <c r="CV1048" s="244"/>
      <c r="CW1048" s="244"/>
    </row>
    <row r="1049" spans="1:101">
      <c r="C1049" s="244"/>
      <c r="D1049" s="244"/>
      <c r="E1049" s="244"/>
      <c r="F1049" s="244"/>
      <c r="G1049" s="244"/>
      <c r="H1049" s="244"/>
      <c r="I1049" s="244"/>
      <c r="J1049" s="244"/>
      <c r="K1049" s="244"/>
      <c r="L1049" s="244"/>
      <c r="M1049" s="244"/>
      <c r="N1049" s="244"/>
      <c r="O1049" s="244"/>
      <c r="P1049" s="244"/>
      <c r="Q1049" s="244"/>
      <c r="R1049" s="244"/>
      <c r="S1049" s="244"/>
      <c r="T1049" s="244"/>
      <c r="U1049" s="244"/>
      <c r="V1049" s="244"/>
      <c r="W1049" s="244"/>
      <c r="X1049" s="244"/>
      <c r="Y1049" s="244"/>
      <c r="Z1049" s="244"/>
      <c r="AA1049" s="244"/>
      <c r="AB1049" s="244"/>
      <c r="AC1049" s="244"/>
      <c r="AD1049" s="244"/>
      <c r="AE1049" s="244"/>
      <c r="AF1049" s="244"/>
      <c r="AG1049" s="244"/>
      <c r="AH1049" s="244"/>
      <c r="AI1049" s="244"/>
      <c r="AJ1049" s="244"/>
      <c r="AK1049" s="244"/>
      <c r="AL1049" s="244"/>
      <c r="AM1049" s="244"/>
      <c r="AN1049" s="244"/>
      <c r="AO1049" s="244"/>
      <c r="AP1049" s="244"/>
      <c r="AQ1049" s="244"/>
      <c r="AR1049" s="244"/>
      <c r="AS1049" s="244"/>
      <c r="AT1049" s="244"/>
      <c r="AU1049" s="244"/>
      <c r="AV1049" s="244"/>
      <c r="AW1049" s="244"/>
      <c r="AX1049" s="244"/>
      <c r="AY1049" s="244"/>
      <c r="AZ1049" s="244"/>
      <c r="BA1049" s="244"/>
      <c r="BB1049" s="244"/>
      <c r="BC1049" s="244"/>
      <c r="BD1049" s="244"/>
      <c r="BE1049" s="244"/>
      <c r="BF1049" s="244"/>
      <c r="BG1049" s="244"/>
      <c r="BH1049" s="244"/>
      <c r="BI1049" s="244"/>
      <c r="BJ1049" s="244"/>
      <c r="BK1049" s="244"/>
      <c r="BL1049" s="244"/>
      <c r="BM1049" s="244"/>
      <c r="BN1049" s="244"/>
      <c r="BO1049" s="244"/>
      <c r="BP1049" s="244"/>
      <c r="BQ1049" s="244"/>
      <c r="BR1049" s="244"/>
      <c r="BS1049" s="244"/>
      <c r="BT1049" s="244"/>
      <c r="BU1049" s="244"/>
      <c r="BV1049" s="244"/>
      <c r="BW1049" s="244"/>
      <c r="BX1049" s="244"/>
      <c r="BY1049" s="244"/>
      <c r="BZ1049" s="244"/>
      <c r="CA1049" s="244"/>
      <c r="CB1049" s="244"/>
      <c r="CC1049" s="244"/>
      <c r="CD1049" s="244"/>
      <c r="CE1049" s="244"/>
      <c r="CF1049" s="244"/>
      <c r="CG1049" s="244"/>
      <c r="CH1049" s="244"/>
      <c r="CI1049" s="244"/>
      <c r="CJ1049" s="244"/>
      <c r="CK1049" s="244"/>
      <c r="CL1049" s="244"/>
      <c r="CM1049" s="244"/>
      <c r="CN1049" s="244"/>
      <c r="CO1049" s="244"/>
      <c r="CP1049" s="244"/>
      <c r="CQ1049" s="244"/>
      <c r="CR1049" s="244"/>
      <c r="CS1049" s="244"/>
      <c r="CT1049" s="244"/>
      <c r="CU1049" s="244"/>
      <c r="CV1049" s="244"/>
      <c r="CW1049" s="244"/>
    </row>
    <row r="1050" spans="1:101">
      <c r="C1050" s="244"/>
      <c r="D1050" s="244"/>
      <c r="E1050" s="244"/>
      <c r="F1050" s="244"/>
      <c r="G1050" s="244"/>
      <c r="H1050" s="244"/>
      <c r="I1050" s="244"/>
      <c r="J1050" s="244"/>
      <c r="K1050" s="244"/>
      <c r="L1050" s="244"/>
      <c r="M1050" s="244"/>
      <c r="N1050" s="244"/>
      <c r="O1050" s="244"/>
      <c r="P1050" s="244"/>
      <c r="Q1050" s="244"/>
      <c r="R1050" s="244"/>
      <c r="S1050" s="244"/>
      <c r="T1050" s="244"/>
      <c r="U1050" s="244"/>
      <c r="V1050" s="244"/>
      <c r="W1050" s="244"/>
      <c r="X1050" s="244"/>
      <c r="Y1050" s="244"/>
      <c r="Z1050" s="244"/>
      <c r="AA1050" s="244"/>
      <c r="AB1050" s="244"/>
      <c r="AC1050" s="244"/>
      <c r="AD1050" s="244"/>
      <c r="AE1050" s="244"/>
      <c r="AF1050" s="244"/>
      <c r="AG1050" s="244"/>
      <c r="AH1050" s="244"/>
      <c r="AI1050" s="244"/>
      <c r="AJ1050" s="244"/>
      <c r="AK1050" s="244"/>
      <c r="AL1050" s="244"/>
      <c r="AM1050" s="244"/>
      <c r="AN1050" s="244"/>
      <c r="AO1050" s="244"/>
      <c r="AP1050" s="244"/>
      <c r="AQ1050" s="244"/>
      <c r="AR1050" s="244"/>
      <c r="AS1050" s="244"/>
      <c r="AT1050" s="244"/>
      <c r="AU1050" s="244"/>
      <c r="AV1050" s="244"/>
      <c r="AW1050" s="244"/>
      <c r="AX1050" s="244"/>
      <c r="AY1050" s="244"/>
      <c r="AZ1050" s="244"/>
      <c r="BA1050" s="244"/>
      <c r="BB1050" s="244"/>
      <c r="BC1050" s="244"/>
      <c r="BD1050" s="244"/>
      <c r="BE1050" s="244"/>
      <c r="BF1050" s="244"/>
      <c r="BG1050" s="244"/>
      <c r="BH1050" s="244"/>
      <c r="BI1050" s="244"/>
      <c r="BJ1050" s="244"/>
      <c r="BK1050" s="244"/>
      <c r="BL1050" s="244"/>
      <c r="BM1050" s="244"/>
      <c r="BN1050" s="244"/>
      <c r="BO1050" s="244"/>
      <c r="BP1050" s="244"/>
      <c r="BQ1050" s="244"/>
      <c r="BR1050" s="244"/>
      <c r="BS1050" s="244"/>
      <c r="BT1050" s="244"/>
      <c r="BU1050" s="244"/>
      <c r="BV1050" s="244"/>
      <c r="BW1050" s="244"/>
      <c r="BX1050" s="244"/>
      <c r="BY1050" s="244"/>
      <c r="BZ1050" s="244"/>
      <c r="CA1050" s="244"/>
      <c r="CB1050" s="244"/>
      <c r="CC1050" s="244"/>
      <c r="CD1050" s="244"/>
      <c r="CE1050" s="244"/>
      <c r="CF1050" s="244"/>
      <c r="CG1050" s="244"/>
      <c r="CH1050" s="244"/>
      <c r="CI1050" s="244"/>
      <c r="CJ1050" s="244"/>
      <c r="CK1050" s="244"/>
      <c r="CL1050" s="244"/>
      <c r="CM1050" s="244"/>
      <c r="CN1050" s="244"/>
      <c r="CO1050" s="244"/>
      <c r="CP1050" s="244"/>
      <c r="CQ1050" s="244"/>
      <c r="CR1050" s="244"/>
      <c r="CS1050" s="244"/>
      <c r="CT1050" s="244"/>
      <c r="CU1050" s="244"/>
      <c r="CV1050" s="244"/>
      <c r="CW1050" s="244"/>
    </row>
    <row r="1051" spans="1:101">
      <c r="C1051" s="244"/>
      <c r="D1051" s="244"/>
      <c r="E1051" s="244"/>
      <c r="F1051" s="244"/>
      <c r="G1051" s="244"/>
      <c r="H1051" s="244"/>
      <c r="I1051" s="244"/>
      <c r="J1051" s="244"/>
      <c r="K1051" s="244"/>
      <c r="L1051" s="244"/>
      <c r="M1051" s="244"/>
      <c r="N1051" s="244"/>
      <c r="O1051" s="244"/>
      <c r="P1051" s="244"/>
      <c r="Q1051" s="244"/>
      <c r="R1051" s="244"/>
      <c r="S1051" s="244"/>
      <c r="T1051" s="244"/>
      <c r="U1051" s="244"/>
      <c r="V1051" s="244"/>
      <c r="W1051" s="244"/>
      <c r="X1051" s="244"/>
      <c r="Y1051" s="244"/>
      <c r="Z1051" s="244"/>
      <c r="AA1051" s="244"/>
      <c r="AB1051" s="244"/>
      <c r="AC1051" s="244"/>
      <c r="AD1051" s="244"/>
      <c r="AE1051" s="244"/>
      <c r="AF1051" s="244"/>
      <c r="AG1051" s="244"/>
      <c r="AH1051" s="244"/>
      <c r="AI1051" s="244"/>
      <c r="AJ1051" s="244"/>
      <c r="AK1051" s="244"/>
      <c r="AL1051" s="244"/>
      <c r="AM1051" s="244"/>
      <c r="AN1051" s="244"/>
      <c r="AO1051" s="244"/>
      <c r="AP1051" s="244"/>
      <c r="AQ1051" s="244"/>
      <c r="AR1051" s="244"/>
      <c r="AS1051" s="244"/>
      <c r="AT1051" s="244"/>
      <c r="AU1051" s="244"/>
      <c r="AV1051" s="244"/>
      <c r="AW1051" s="244"/>
      <c r="AX1051" s="244"/>
      <c r="AY1051" s="244"/>
      <c r="AZ1051" s="244"/>
      <c r="BA1051" s="244"/>
      <c r="BB1051" s="244"/>
      <c r="BC1051" s="244"/>
      <c r="BD1051" s="244"/>
      <c r="BE1051" s="244"/>
      <c r="BF1051" s="244"/>
      <c r="BG1051" s="244"/>
      <c r="BH1051" s="244"/>
      <c r="BI1051" s="244"/>
      <c r="BJ1051" s="244"/>
      <c r="BK1051" s="244"/>
      <c r="BL1051" s="244"/>
      <c r="BM1051" s="244"/>
      <c r="BN1051" s="244"/>
      <c r="BO1051" s="244"/>
      <c r="BP1051" s="244"/>
      <c r="BQ1051" s="244"/>
      <c r="BR1051" s="244"/>
      <c r="BS1051" s="244"/>
      <c r="BT1051" s="244"/>
      <c r="BU1051" s="244"/>
      <c r="BV1051" s="244"/>
      <c r="BW1051" s="244"/>
      <c r="BX1051" s="244"/>
      <c r="BY1051" s="244"/>
      <c r="BZ1051" s="244"/>
      <c r="CA1051" s="244"/>
      <c r="CB1051" s="244"/>
      <c r="CC1051" s="244"/>
      <c r="CD1051" s="244"/>
      <c r="CE1051" s="244"/>
      <c r="CF1051" s="244"/>
      <c r="CG1051" s="244"/>
      <c r="CH1051" s="244"/>
      <c r="CI1051" s="244"/>
      <c r="CJ1051" s="244"/>
      <c r="CK1051" s="244"/>
      <c r="CL1051" s="244"/>
      <c r="CM1051" s="244"/>
      <c r="CN1051" s="244"/>
      <c r="CO1051" s="244"/>
      <c r="CP1051" s="244"/>
      <c r="CQ1051" s="244"/>
      <c r="CR1051" s="244"/>
      <c r="CS1051" s="244"/>
      <c r="CT1051" s="244"/>
      <c r="CU1051" s="244"/>
      <c r="CV1051" s="244"/>
      <c r="CW1051" s="244"/>
    </row>
    <row r="1052" spans="1:101">
      <c r="C1052" s="244"/>
      <c r="D1052" s="244"/>
      <c r="E1052" s="244"/>
      <c r="F1052" s="244"/>
      <c r="G1052" s="244"/>
      <c r="H1052" s="244"/>
      <c r="I1052" s="244"/>
      <c r="J1052" s="244"/>
      <c r="K1052" s="244"/>
      <c r="L1052" s="244"/>
      <c r="M1052" s="244"/>
      <c r="N1052" s="244"/>
      <c r="O1052" s="244"/>
      <c r="P1052" s="244"/>
      <c r="Q1052" s="244"/>
      <c r="R1052" s="244"/>
      <c r="S1052" s="244"/>
      <c r="T1052" s="244"/>
      <c r="U1052" s="244"/>
      <c r="V1052" s="244"/>
      <c r="W1052" s="244"/>
      <c r="X1052" s="244"/>
      <c r="Y1052" s="244"/>
      <c r="Z1052" s="244"/>
      <c r="AA1052" s="244"/>
      <c r="AB1052" s="244"/>
      <c r="AC1052" s="244"/>
      <c r="AD1052" s="244"/>
      <c r="AE1052" s="244"/>
      <c r="AF1052" s="244"/>
      <c r="AG1052" s="244"/>
      <c r="AH1052" s="244"/>
      <c r="AI1052" s="244"/>
      <c r="AJ1052" s="244"/>
      <c r="AK1052" s="244"/>
      <c r="AL1052" s="244"/>
      <c r="AM1052" s="244"/>
      <c r="AN1052" s="244"/>
      <c r="AO1052" s="244"/>
      <c r="AP1052" s="244"/>
      <c r="AQ1052" s="244"/>
      <c r="AR1052" s="244"/>
      <c r="AS1052" s="244"/>
      <c r="AT1052" s="244"/>
      <c r="AU1052" s="244"/>
      <c r="AV1052" s="244"/>
      <c r="AW1052" s="244"/>
      <c r="AX1052" s="244"/>
      <c r="AY1052" s="244"/>
      <c r="AZ1052" s="244"/>
      <c r="BA1052" s="244"/>
      <c r="BB1052" s="244"/>
      <c r="BC1052" s="244"/>
      <c r="BD1052" s="244"/>
      <c r="BE1052" s="244"/>
      <c r="BF1052" s="244"/>
      <c r="BG1052" s="244"/>
      <c r="BH1052" s="244"/>
      <c r="BI1052" s="244"/>
      <c r="BJ1052" s="244"/>
      <c r="BK1052" s="244"/>
      <c r="BL1052" s="244"/>
      <c r="BM1052" s="244"/>
      <c r="BN1052" s="244"/>
      <c r="BO1052" s="244"/>
      <c r="BP1052" s="244"/>
      <c r="BQ1052" s="244"/>
      <c r="BR1052" s="244"/>
      <c r="BS1052" s="244"/>
      <c r="BT1052" s="244"/>
      <c r="BU1052" s="244"/>
      <c r="BV1052" s="244"/>
      <c r="BW1052" s="244"/>
      <c r="BX1052" s="244"/>
      <c r="BY1052" s="244"/>
      <c r="BZ1052" s="244"/>
      <c r="CA1052" s="244"/>
      <c r="CB1052" s="244"/>
      <c r="CC1052" s="244"/>
      <c r="CD1052" s="244"/>
      <c r="CE1052" s="244"/>
      <c r="CF1052" s="244"/>
      <c r="CG1052" s="244"/>
      <c r="CH1052" s="244"/>
      <c r="CI1052" s="244"/>
      <c r="CJ1052" s="244"/>
      <c r="CK1052" s="244"/>
      <c r="CL1052" s="244"/>
      <c r="CM1052" s="244"/>
      <c r="CN1052" s="244"/>
      <c r="CO1052" s="244"/>
      <c r="CP1052" s="244"/>
      <c r="CQ1052" s="244"/>
      <c r="CR1052" s="244"/>
      <c r="CS1052" s="244"/>
      <c r="CT1052" s="244"/>
      <c r="CU1052" s="244"/>
      <c r="CV1052" s="244"/>
      <c r="CW1052" s="244"/>
    </row>
    <row r="1053" spans="1:101">
      <c r="C1053" s="244"/>
      <c r="D1053" s="244"/>
      <c r="E1053" s="244"/>
      <c r="F1053" s="244"/>
      <c r="G1053" s="244"/>
      <c r="H1053" s="244"/>
      <c r="I1053" s="244"/>
      <c r="J1053" s="244"/>
      <c r="K1053" s="244"/>
      <c r="L1053" s="244"/>
      <c r="M1053" s="244"/>
      <c r="N1053" s="244"/>
      <c r="O1053" s="244"/>
      <c r="P1053" s="244"/>
      <c r="Q1053" s="244"/>
      <c r="R1053" s="244"/>
      <c r="S1053" s="244"/>
      <c r="T1053" s="244"/>
      <c r="U1053" s="244"/>
      <c r="V1053" s="244"/>
      <c r="W1053" s="244"/>
      <c r="X1053" s="244"/>
      <c r="Y1053" s="244"/>
      <c r="Z1053" s="244"/>
      <c r="AA1053" s="244"/>
      <c r="AB1053" s="244"/>
      <c r="AC1053" s="244"/>
      <c r="AD1053" s="244"/>
      <c r="AE1053" s="244"/>
      <c r="AF1053" s="244"/>
      <c r="AG1053" s="244"/>
      <c r="AH1053" s="244"/>
      <c r="AI1053" s="244"/>
      <c r="AJ1053" s="244"/>
      <c r="AK1053" s="244"/>
      <c r="AL1053" s="244"/>
      <c r="AM1053" s="244"/>
      <c r="AN1053" s="244"/>
      <c r="AO1053" s="244"/>
      <c r="AP1053" s="244"/>
      <c r="AQ1053" s="244"/>
      <c r="AR1053" s="244"/>
      <c r="AS1053" s="244"/>
      <c r="AT1053" s="244"/>
      <c r="AU1053" s="244"/>
      <c r="AV1053" s="244"/>
      <c r="AW1053" s="244"/>
      <c r="AX1053" s="244"/>
      <c r="AY1053" s="244"/>
      <c r="AZ1053" s="244"/>
      <c r="BA1053" s="244"/>
      <c r="BB1053" s="244"/>
      <c r="BC1053" s="244"/>
      <c r="BD1053" s="244"/>
      <c r="BE1053" s="244"/>
      <c r="BF1053" s="244"/>
      <c r="BG1053" s="244"/>
      <c r="BH1053" s="244"/>
      <c r="BI1053" s="244"/>
      <c r="BJ1053" s="244"/>
      <c r="BK1053" s="244"/>
      <c r="BL1053" s="244"/>
      <c r="BM1053" s="244"/>
      <c r="BN1053" s="244"/>
      <c r="BO1053" s="244"/>
      <c r="BP1053" s="244"/>
      <c r="BQ1053" s="244"/>
      <c r="BR1053" s="244"/>
      <c r="BS1053" s="244"/>
      <c r="BT1053" s="244"/>
      <c r="BU1053" s="244"/>
      <c r="BV1053" s="244"/>
      <c r="BW1053" s="244"/>
      <c r="BX1053" s="244"/>
      <c r="BY1053" s="244"/>
      <c r="BZ1053" s="244"/>
      <c r="CA1053" s="244"/>
      <c r="CB1053" s="244"/>
      <c r="CC1053" s="244"/>
      <c r="CD1053" s="244"/>
      <c r="CE1053" s="244"/>
      <c r="CF1053" s="244"/>
      <c r="CG1053" s="244"/>
      <c r="CH1053" s="244"/>
      <c r="CI1053" s="244"/>
      <c r="CJ1053" s="244"/>
      <c r="CK1053" s="244"/>
      <c r="CL1053" s="244"/>
      <c r="CM1053" s="244"/>
      <c r="CN1053" s="244"/>
      <c r="CO1053" s="244"/>
      <c r="CP1053" s="244"/>
      <c r="CQ1053" s="244"/>
      <c r="CR1053" s="244"/>
      <c r="CS1053" s="244"/>
      <c r="CT1053" s="244"/>
      <c r="CU1053" s="244"/>
      <c r="CV1053" s="244"/>
      <c r="CW1053" s="244"/>
    </row>
    <row r="1054" spans="1:101">
      <c r="C1054" s="244"/>
      <c r="D1054" s="244"/>
      <c r="E1054" s="244"/>
      <c r="F1054" s="244"/>
      <c r="G1054" s="244"/>
      <c r="H1054" s="244"/>
      <c r="I1054" s="244"/>
      <c r="J1054" s="244"/>
      <c r="K1054" s="244"/>
      <c r="L1054" s="244"/>
      <c r="M1054" s="244"/>
      <c r="N1054" s="244"/>
      <c r="O1054" s="244"/>
      <c r="P1054" s="244"/>
      <c r="Q1054" s="244"/>
      <c r="R1054" s="244"/>
      <c r="S1054" s="244"/>
      <c r="T1054" s="244"/>
      <c r="U1054" s="244"/>
      <c r="V1054" s="244"/>
      <c r="W1054" s="244"/>
      <c r="X1054" s="244"/>
      <c r="Y1054" s="244"/>
      <c r="Z1054" s="244"/>
      <c r="AA1054" s="244"/>
      <c r="AB1054" s="244"/>
      <c r="AC1054" s="244"/>
      <c r="AD1054" s="244"/>
      <c r="AE1054" s="244"/>
      <c r="AF1054" s="244"/>
      <c r="AG1054" s="244"/>
      <c r="AH1054" s="244"/>
      <c r="AI1054" s="244"/>
      <c r="AJ1054" s="244"/>
      <c r="AK1054" s="244"/>
      <c r="AL1054" s="244"/>
      <c r="AM1054" s="244"/>
      <c r="AN1054" s="244"/>
      <c r="AO1054" s="244"/>
      <c r="AP1054" s="244"/>
      <c r="AQ1054" s="244"/>
      <c r="AR1054" s="244"/>
      <c r="AS1054" s="244"/>
      <c r="AT1054" s="244"/>
      <c r="AU1054" s="244"/>
      <c r="AV1054" s="244"/>
      <c r="AW1054" s="244"/>
      <c r="AX1054" s="244"/>
      <c r="AY1054" s="244"/>
      <c r="AZ1054" s="244"/>
      <c r="BA1054" s="244"/>
      <c r="BB1054" s="244"/>
      <c r="BC1054" s="244"/>
      <c r="BD1054" s="244"/>
      <c r="BE1054" s="244"/>
      <c r="BF1054" s="244"/>
      <c r="BG1054" s="244"/>
      <c r="BH1054" s="244"/>
      <c r="BI1054" s="244"/>
      <c r="BJ1054" s="244"/>
      <c r="BK1054" s="244"/>
      <c r="BL1054" s="244"/>
      <c r="BM1054" s="244"/>
      <c r="BN1054" s="244"/>
      <c r="BO1054" s="244"/>
      <c r="BP1054" s="244"/>
      <c r="BQ1054" s="244"/>
      <c r="BR1054" s="244"/>
      <c r="BS1054" s="244"/>
      <c r="BT1054" s="244"/>
      <c r="BU1054" s="244"/>
      <c r="BV1054" s="244"/>
      <c r="BW1054" s="244"/>
      <c r="BX1054" s="244"/>
      <c r="BY1054" s="244"/>
      <c r="BZ1054" s="244"/>
      <c r="CA1054" s="244"/>
      <c r="CB1054" s="244"/>
      <c r="CC1054" s="244"/>
      <c r="CD1054" s="244"/>
      <c r="CE1054" s="244"/>
      <c r="CF1054" s="244"/>
      <c r="CG1054" s="244"/>
      <c r="CH1054" s="244"/>
      <c r="CI1054" s="244"/>
      <c r="CJ1054" s="244"/>
      <c r="CK1054" s="244"/>
      <c r="CL1054" s="244"/>
      <c r="CM1054" s="244"/>
      <c r="CN1054" s="244"/>
      <c r="CO1054" s="244"/>
      <c r="CP1054" s="244"/>
      <c r="CQ1054" s="244"/>
      <c r="CR1054" s="244"/>
      <c r="CS1054" s="244"/>
      <c r="CT1054" s="244"/>
      <c r="CU1054" s="244"/>
      <c r="CV1054" s="244"/>
      <c r="CW1054" s="244"/>
    </row>
    <row r="1055" spans="1:101">
      <c r="C1055" s="244"/>
      <c r="D1055" s="244"/>
      <c r="E1055" s="244"/>
      <c r="F1055" s="244"/>
      <c r="G1055" s="244"/>
      <c r="H1055" s="244"/>
      <c r="I1055" s="244"/>
      <c r="J1055" s="244"/>
      <c r="K1055" s="244"/>
      <c r="L1055" s="244"/>
      <c r="M1055" s="244"/>
      <c r="N1055" s="244"/>
      <c r="O1055" s="244"/>
      <c r="P1055" s="244"/>
      <c r="Q1055" s="244"/>
      <c r="R1055" s="244"/>
      <c r="S1055" s="244"/>
      <c r="T1055" s="244"/>
      <c r="U1055" s="244"/>
      <c r="V1055" s="244"/>
      <c r="W1055" s="244"/>
      <c r="X1055" s="244"/>
      <c r="Y1055" s="244"/>
      <c r="Z1055" s="244"/>
      <c r="AA1055" s="244"/>
      <c r="AB1055" s="244"/>
      <c r="AC1055" s="244"/>
      <c r="AD1055" s="244"/>
      <c r="AE1055" s="244"/>
      <c r="AF1055" s="244"/>
      <c r="AG1055" s="244"/>
      <c r="AH1055" s="244"/>
      <c r="AI1055" s="244"/>
      <c r="AJ1055" s="244"/>
      <c r="AK1055" s="244"/>
      <c r="AL1055" s="244"/>
      <c r="AM1055" s="244"/>
      <c r="AN1055" s="244"/>
      <c r="AO1055" s="244"/>
      <c r="AP1055" s="244"/>
      <c r="AQ1055" s="244"/>
      <c r="AR1055" s="244"/>
      <c r="AS1055" s="244"/>
      <c r="AT1055" s="244"/>
      <c r="AU1055" s="244"/>
      <c r="AV1055" s="244"/>
      <c r="AW1055" s="244"/>
      <c r="AX1055" s="244"/>
      <c r="AY1055" s="244"/>
      <c r="AZ1055" s="244"/>
      <c r="BA1055" s="244"/>
      <c r="BB1055" s="244"/>
      <c r="BC1055" s="244"/>
      <c r="BD1055" s="244"/>
      <c r="BE1055" s="244"/>
      <c r="BF1055" s="244"/>
      <c r="BG1055" s="244"/>
      <c r="BH1055" s="244"/>
      <c r="BI1055" s="244"/>
      <c r="BJ1055" s="244"/>
      <c r="BK1055" s="244"/>
      <c r="BL1055" s="244"/>
      <c r="BM1055" s="244"/>
      <c r="BN1055" s="244"/>
      <c r="BO1055" s="244"/>
      <c r="BP1055" s="244"/>
      <c r="BQ1055" s="244"/>
      <c r="BR1055" s="244"/>
      <c r="BS1055" s="244"/>
      <c r="BT1055" s="244"/>
      <c r="BU1055" s="244"/>
      <c r="BV1055" s="244"/>
      <c r="BW1055" s="244"/>
      <c r="BX1055" s="244"/>
      <c r="BY1055" s="244"/>
      <c r="BZ1055" s="244"/>
      <c r="CA1055" s="244"/>
      <c r="CB1055" s="244"/>
      <c r="CC1055" s="244"/>
      <c r="CD1055" s="244"/>
      <c r="CE1055" s="244"/>
      <c r="CF1055" s="244"/>
      <c r="CG1055" s="244"/>
      <c r="CH1055" s="244"/>
      <c r="CI1055" s="244"/>
      <c r="CJ1055" s="244"/>
      <c r="CK1055" s="244"/>
      <c r="CL1055" s="244"/>
      <c r="CM1055" s="244"/>
      <c r="CN1055" s="244"/>
      <c r="CO1055" s="244"/>
      <c r="CP1055" s="244"/>
      <c r="CQ1055" s="244"/>
      <c r="CR1055" s="244"/>
      <c r="CS1055" s="244"/>
      <c r="CT1055" s="244"/>
      <c r="CU1055" s="244"/>
      <c r="CV1055" s="244"/>
      <c r="CW1055" s="244"/>
    </row>
    <row r="1056" spans="1:101">
      <c r="C1056" s="244"/>
      <c r="D1056" s="244"/>
      <c r="E1056" s="244"/>
      <c r="F1056" s="244"/>
      <c r="G1056" s="244"/>
      <c r="H1056" s="244"/>
      <c r="I1056" s="244"/>
      <c r="J1056" s="244"/>
      <c r="K1056" s="244"/>
      <c r="L1056" s="244"/>
      <c r="M1056" s="244"/>
      <c r="N1056" s="244"/>
      <c r="O1056" s="244"/>
      <c r="P1056" s="244"/>
      <c r="Q1056" s="244"/>
      <c r="R1056" s="244"/>
      <c r="S1056" s="244"/>
      <c r="T1056" s="244"/>
      <c r="U1056" s="244"/>
      <c r="V1056" s="244"/>
      <c r="W1056" s="244"/>
      <c r="X1056" s="244"/>
      <c r="Y1056" s="244"/>
      <c r="Z1056" s="244"/>
      <c r="AA1056" s="244"/>
      <c r="AB1056" s="244"/>
      <c r="AC1056" s="244"/>
      <c r="AD1056" s="244"/>
      <c r="AE1056" s="244"/>
      <c r="AF1056" s="244"/>
      <c r="AG1056" s="244"/>
      <c r="AH1056" s="244"/>
      <c r="AI1056" s="244"/>
      <c r="AJ1056" s="244"/>
      <c r="AK1056" s="244"/>
      <c r="AL1056" s="244"/>
      <c r="AM1056" s="244"/>
      <c r="AN1056" s="244"/>
      <c r="AO1056" s="244"/>
      <c r="AP1056" s="244"/>
      <c r="AQ1056" s="244"/>
      <c r="AR1056" s="244"/>
      <c r="AS1056" s="244"/>
      <c r="AT1056" s="244"/>
      <c r="AU1056" s="244"/>
      <c r="AV1056" s="244"/>
      <c r="AW1056" s="244"/>
      <c r="AX1056" s="244"/>
      <c r="AY1056" s="244"/>
      <c r="AZ1056" s="244"/>
      <c r="BA1056" s="244"/>
      <c r="BB1056" s="244"/>
      <c r="BC1056" s="244"/>
      <c r="BD1056" s="244"/>
      <c r="BE1056" s="244"/>
      <c r="BF1056" s="244"/>
      <c r="BG1056" s="244"/>
      <c r="BH1056" s="244"/>
      <c r="BI1056" s="244"/>
      <c r="BJ1056" s="244"/>
      <c r="BK1056" s="244"/>
      <c r="BL1056" s="244"/>
      <c r="BM1056" s="244"/>
      <c r="BN1056" s="244"/>
      <c r="BO1056" s="244"/>
      <c r="BP1056" s="244"/>
      <c r="BQ1056" s="244"/>
      <c r="BR1056" s="244"/>
      <c r="BS1056" s="244"/>
      <c r="BT1056" s="244"/>
      <c r="BU1056" s="244"/>
      <c r="BV1056" s="244"/>
      <c r="BW1056" s="244"/>
      <c r="BX1056" s="244"/>
      <c r="BY1056" s="244"/>
      <c r="BZ1056" s="244"/>
      <c r="CA1056" s="244"/>
      <c r="CB1056" s="244"/>
      <c r="CC1056" s="244"/>
      <c r="CD1056" s="244"/>
      <c r="CE1056" s="244"/>
      <c r="CF1056" s="244"/>
      <c r="CG1056" s="244"/>
      <c r="CH1056" s="244"/>
      <c r="CI1056" s="244"/>
      <c r="CJ1056" s="244"/>
      <c r="CK1056" s="244"/>
      <c r="CL1056" s="244"/>
      <c r="CM1056" s="244"/>
      <c r="CN1056" s="244"/>
      <c r="CO1056" s="244"/>
      <c r="CP1056" s="244"/>
      <c r="CQ1056" s="244"/>
      <c r="CR1056" s="244"/>
      <c r="CS1056" s="244"/>
      <c r="CT1056" s="244"/>
      <c r="CU1056" s="244"/>
      <c r="CV1056" s="244"/>
      <c r="CW1056" s="244"/>
    </row>
    <row r="1057" spans="3:101">
      <c r="C1057" s="244"/>
      <c r="D1057" s="244"/>
      <c r="E1057" s="244"/>
      <c r="F1057" s="244"/>
      <c r="G1057" s="244"/>
      <c r="H1057" s="244"/>
      <c r="I1057" s="244"/>
      <c r="J1057" s="244"/>
      <c r="K1057" s="244"/>
      <c r="L1057" s="244"/>
      <c r="M1057" s="244"/>
      <c r="N1057" s="244"/>
      <c r="O1057" s="244"/>
      <c r="P1057" s="244"/>
      <c r="Q1057" s="244"/>
      <c r="R1057" s="244"/>
      <c r="S1057" s="244"/>
      <c r="T1057" s="244"/>
      <c r="U1057" s="244"/>
      <c r="V1057" s="244"/>
      <c r="W1057" s="244"/>
      <c r="X1057" s="244"/>
      <c r="Y1057" s="244"/>
      <c r="Z1057" s="244"/>
      <c r="AA1057" s="244"/>
      <c r="AB1057" s="244"/>
      <c r="AC1057" s="244"/>
      <c r="AD1057" s="244"/>
      <c r="AE1057" s="244"/>
      <c r="AF1057" s="244"/>
      <c r="AG1057" s="244"/>
      <c r="AH1057" s="244"/>
      <c r="AI1057" s="244"/>
      <c r="AJ1057" s="244"/>
      <c r="AK1057" s="244"/>
      <c r="AL1057" s="244"/>
      <c r="AM1057" s="244"/>
      <c r="AN1057" s="244"/>
      <c r="AO1057" s="244"/>
      <c r="AP1057" s="244"/>
      <c r="AQ1057" s="244"/>
      <c r="AR1057" s="244"/>
      <c r="AS1057" s="244"/>
      <c r="AT1057" s="244"/>
      <c r="AU1057" s="244"/>
      <c r="AV1057" s="244"/>
      <c r="AW1057" s="244"/>
      <c r="AX1057" s="244"/>
      <c r="AY1057" s="244"/>
      <c r="AZ1057" s="244"/>
      <c r="BA1057" s="244"/>
      <c r="BB1057" s="244"/>
      <c r="BC1057" s="244"/>
      <c r="BD1057" s="244"/>
      <c r="BE1057" s="244"/>
      <c r="BF1057" s="244"/>
      <c r="BG1057" s="244"/>
      <c r="BH1057" s="244"/>
      <c r="BI1057" s="244"/>
      <c r="BJ1057" s="244"/>
      <c r="BK1057" s="244"/>
      <c r="BL1057" s="244"/>
      <c r="BM1057" s="244"/>
      <c r="BN1057" s="244"/>
      <c r="BO1057" s="244"/>
      <c r="BP1057" s="244"/>
      <c r="BQ1057" s="244"/>
      <c r="BR1057" s="244"/>
      <c r="BS1057" s="244"/>
      <c r="BT1057" s="244"/>
      <c r="BU1057" s="244"/>
      <c r="BV1057" s="244"/>
      <c r="BW1057" s="244"/>
      <c r="BX1057" s="244"/>
      <c r="BY1057" s="244"/>
      <c r="BZ1057" s="244"/>
      <c r="CA1057" s="244"/>
      <c r="CB1057" s="244"/>
      <c r="CC1057" s="244"/>
      <c r="CD1057" s="244"/>
      <c r="CE1057" s="244"/>
      <c r="CF1057" s="244"/>
      <c r="CG1057" s="244"/>
      <c r="CH1057" s="244"/>
      <c r="CI1057" s="244"/>
      <c r="CJ1057" s="244"/>
      <c r="CK1057" s="244"/>
      <c r="CL1057" s="244"/>
      <c r="CM1057" s="244"/>
      <c r="CN1057" s="244"/>
      <c r="CO1057" s="244"/>
      <c r="CP1057" s="244"/>
      <c r="CQ1057" s="244"/>
      <c r="CR1057" s="244"/>
      <c r="CS1057" s="244"/>
      <c r="CT1057" s="244"/>
      <c r="CU1057" s="244"/>
      <c r="CV1057" s="244"/>
      <c r="CW1057" s="244"/>
    </row>
    <row r="1058" spans="3:101">
      <c r="C1058" s="244"/>
      <c r="D1058" s="244"/>
      <c r="E1058" s="244"/>
      <c r="F1058" s="244"/>
      <c r="G1058" s="244"/>
      <c r="H1058" s="244"/>
      <c r="I1058" s="244"/>
      <c r="J1058" s="244"/>
      <c r="K1058" s="244"/>
      <c r="L1058" s="244"/>
      <c r="M1058" s="244"/>
      <c r="N1058" s="244"/>
      <c r="O1058" s="244"/>
      <c r="P1058" s="244"/>
      <c r="Q1058" s="244"/>
      <c r="R1058" s="244"/>
      <c r="S1058" s="244"/>
      <c r="T1058" s="244"/>
      <c r="U1058" s="244"/>
      <c r="V1058" s="244"/>
      <c r="W1058" s="244"/>
      <c r="X1058" s="244"/>
      <c r="Y1058" s="244"/>
      <c r="Z1058" s="244"/>
      <c r="AA1058" s="244"/>
      <c r="AB1058" s="244"/>
      <c r="AC1058" s="244"/>
      <c r="AD1058" s="244"/>
      <c r="AE1058" s="244"/>
      <c r="AF1058" s="244"/>
      <c r="AG1058" s="244"/>
      <c r="AH1058" s="244"/>
      <c r="AI1058" s="244"/>
      <c r="AJ1058" s="244"/>
      <c r="AK1058" s="244"/>
      <c r="AL1058" s="244"/>
      <c r="AM1058" s="244"/>
      <c r="AN1058" s="244"/>
      <c r="AO1058" s="244"/>
      <c r="AP1058" s="244"/>
      <c r="AQ1058" s="244"/>
      <c r="AR1058" s="244"/>
      <c r="AS1058" s="244"/>
      <c r="AT1058" s="244"/>
      <c r="AU1058" s="244"/>
      <c r="AV1058" s="244"/>
      <c r="AW1058" s="244"/>
      <c r="AX1058" s="244"/>
      <c r="AY1058" s="244"/>
      <c r="AZ1058" s="244"/>
      <c r="BA1058" s="244"/>
      <c r="BB1058" s="244"/>
      <c r="BC1058" s="244"/>
      <c r="BD1058" s="244"/>
      <c r="BE1058" s="244"/>
      <c r="BF1058" s="244"/>
      <c r="BG1058" s="244"/>
      <c r="BH1058" s="244"/>
      <c r="BI1058" s="244"/>
      <c r="BJ1058" s="244"/>
      <c r="BK1058" s="244"/>
      <c r="BL1058" s="244"/>
      <c r="BM1058" s="244"/>
      <c r="BN1058" s="244"/>
      <c r="BO1058" s="244"/>
      <c r="BP1058" s="244"/>
      <c r="BQ1058" s="244"/>
      <c r="BR1058" s="244"/>
      <c r="BS1058" s="244"/>
      <c r="BT1058" s="244"/>
      <c r="BU1058" s="244"/>
      <c r="BV1058" s="244"/>
      <c r="BW1058" s="244"/>
      <c r="BX1058" s="244"/>
      <c r="BY1058" s="244"/>
      <c r="BZ1058" s="244"/>
      <c r="CA1058" s="244"/>
      <c r="CB1058" s="244"/>
      <c r="CC1058" s="244"/>
      <c r="CD1058" s="244"/>
      <c r="CE1058" s="244"/>
      <c r="CF1058" s="244"/>
      <c r="CG1058" s="244"/>
      <c r="CH1058" s="244"/>
      <c r="CI1058" s="244"/>
      <c r="CJ1058" s="244"/>
      <c r="CK1058" s="244"/>
      <c r="CL1058" s="244"/>
      <c r="CM1058" s="244"/>
      <c r="CN1058" s="244"/>
      <c r="CO1058" s="244"/>
      <c r="CP1058" s="244"/>
      <c r="CQ1058" s="244"/>
      <c r="CR1058" s="244"/>
      <c r="CS1058" s="244"/>
      <c r="CT1058" s="244"/>
      <c r="CU1058" s="244"/>
      <c r="CV1058" s="244"/>
      <c r="CW1058" s="244"/>
    </row>
    <row r="1059" spans="3:101">
      <c r="C1059" s="244"/>
      <c r="D1059" s="244"/>
      <c r="E1059" s="244"/>
      <c r="F1059" s="244"/>
      <c r="G1059" s="244"/>
      <c r="H1059" s="244"/>
      <c r="I1059" s="244"/>
      <c r="J1059" s="244"/>
      <c r="K1059" s="244"/>
      <c r="L1059" s="244"/>
      <c r="M1059" s="244"/>
      <c r="N1059" s="244"/>
      <c r="O1059" s="244"/>
      <c r="P1059" s="244"/>
      <c r="Q1059" s="244"/>
      <c r="R1059" s="244"/>
      <c r="S1059" s="244"/>
      <c r="T1059" s="244"/>
      <c r="U1059" s="244"/>
      <c r="V1059" s="244"/>
      <c r="W1059" s="244"/>
      <c r="X1059" s="244"/>
      <c r="Y1059" s="244"/>
      <c r="Z1059" s="244"/>
      <c r="AA1059" s="244"/>
      <c r="AB1059" s="244"/>
      <c r="AC1059" s="244"/>
      <c r="AD1059" s="244"/>
      <c r="AE1059" s="244"/>
      <c r="AF1059" s="244"/>
      <c r="AG1059" s="244"/>
      <c r="AH1059" s="244"/>
      <c r="AI1059" s="244"/>
      <c r="AJ1059" s="244"/>
      <c r="AK1059" s="244"/>
      <c r="AL1059" s="244"/>
      <c r="AM1059" s="244"/>
      <c r="AN1059" s="244"/>
      <c r="AO1059" s="244"/>
      <c r="AP1059" s="244"/>
      <c r="AQ1059" s="244"/>
      <c r="AR1059" s="244"/>
      <c r="AS1059" s="244"/>
      <c r="AT1059" s="244"/>
      <c r="AU1059" s="244"/>
      <c r="AV1059" s="244"/>
      <c r="AW1059" s="244"/>
      <c r="AX1059" s="244"/>
      <c r="AY1059" s="244"/>
      <c r="AZ1059" s="244"/>
      <c r="BA1059" s="244"/>
      <c r="BB1059" s="244"/>
      <c r="BC1059" s="244"/>
      <c r="BD1059" s="244"/>
      <c r="BE1059" s="244"/>
      <c r="BF1059" s="244"/>
      <c r="BG1059" s="244"/>
      <c r="BH1059" s="244"/>
      <c r="BI1059" s="244"/>
      <c r="BJ1059" s="244"/>
      <c r="BK1059" s="244"/>
      <c r="BL1059" s="244"/>
      <c r="BM1059" s="244"/>
      <c r="BN1059" s="244"/>
      <c r="BO1059" s="244"/>
      <c r="BP1059" s="244"/>
      <c r="BQ1059" s="244"/>
      <c r="BR1059" s="244"/>
      <c r="BS1059" s="244"/>
      <c r="BT1059" s="244"/>
      <c r="BU1059" s="244"/>
      <c r="BV1059" s="244"/>
      <c r="BW1059" s="244"/>
      <c r="BX1059" s="244"/>
      <c r="BY1059" s="244"/>
      <c r="BZ1059" s="244"/>
      <c r="CA1059" s="244"/>
      <c r="CB1059" s="244"/>
      <c r="CC1059" s="244"/>
      <c r="CD1059" s="244"/>
      <c r="CE1059" s="244"/>
      <c r="CF1059" s="244"/>
      <c r="CG1059" s="244"/>
      <c r="CH1059" s="244"/>
      <c r="CI1059" s="244"/>
      <c r="CJ1059" s="244"/>
      <c r="CK1059" s="244"/>
      <c r="CL1059" s="244"/>
      <c r="CM1059" s="244"/>
      <c r="CN1059" s="244"/>
      <c r="CO1059" s="244"/>
      <c r="CP1059" s="244"/>
      <c r="CQ1059" s="244"/>
      <c r="CR1059" s="244"/>
      <c r="CS1059" s="244"/>
      <c r="CT1059" s="244"/>
      <c r="CU1059" s="244"/>
      <c r="CV1059" s="244"/>
      <c r="CW1059" s="244"/>
    </row>
    <row r="1060" spans="3:101">
      <c r="C1060" s="244"/>
      <c r="D1060" s="244"/>
      <c r="E1060" s="244"/>
      <c r="F1060" s="244"/>
      <c r="G1060" s="244"/>
      <c r="H1060" s="244"/>
      <c r="I1060" s="244"/>
      <c r="J1060" s="244"/>
      <c r="K1060" s="244"/>
      <c r="L1060" s="244"/>
      <c r="M1060" s="244"/>
      <c r="N1060" s="244"/>
      <c r="O1060" s="244"/>
      <c r="P1060" s="244"/>
      <c r="Q1060" s="244"/>
      <c r="R1060" s="244"/>
      <c r="S1060" s="244"/>
      <c r="T1060" s="244"/>
      <c r="U1060" s="244"/>
      <c r="V1060" s="244"/>
      <c r="W1060" s="244"/>
      <c r="X1060" s="244"/>
      <c r="Y1060" s="244"/>
      <c r="Z1060" s="244"/>
      <c r="AA1060" s="244"/>
      <c r="AB1060" s="244"/>
      <c r="AC1060" s="244"/>
      <c r="AD1060" s="244"/>
      <c r="AE1060" s="244"/>
      <c r="AF1060" s="244"/>
      <c r="AG1060" s="244"/>
      <c r="AH1060" s="244"/>
      <c r="AI1060" s="244"/>
      <c r="AJ1060" s="244"/>
      <c r="AK1060" s="244"/>
      <c r="AL1060" s="244"/>
      <c r="AM1060" s="244"/>
      <c r="AN1060" s="244"/>
      <c r="AO1060" s="244"/>
      <c r="AP1060" s="244"/>
      <c r="AQ1060" s="244"/>
      <c r="AR1060" s="244"/>
      <c r="AS1060" s="244"/>
      <c r="AT1060" s="244"/>
      <c r="AU1060" s="244"/>
      <c r="AV1060" s="244"/>
      <c r="AW1060" s="244"/>
      <c r="AX1060" s="244"/>
      <c r="AY1060" s="244"/>
      <c r="AZ1060" s="244"/>
      <c r="BA1060" s="244"/>
      <c r="BB1060" s="244"/>
      <c r="BC1060" s="244"/>
      <c r="BD1060" s="244"/>
      <c r="BE1060" s="244"/>
      <c r="BF1060" s="244"/>
      <c r="BG1060" s="244"/>
      <c r="BH1060" s="244"/>
      <c r="BI1060" s="244"/>
      <c r="BJ1060" s="244"/>
      <c r="BK1060" s="244"/>
      <c r="BL1060" s="244"/>
      <c r="BM1060" s="244"/>
      <c r="BN1060" s="244"/>
      <c r="BO1060" s="244"/>
      <c r="BP1060" s="244"/>
      <c r="BQ1060" s="244"/>
      <c r="BR1060" s="244"/>
      <c r="BS1060" s="244"/>
      <c r="BT1060" s="244"/>
      <c r="BU1060" s="244"/>
      <c r="BV1060" s="244"/>
      <c r="BW1060" s="244"/>
      <c r="BX1060" s="244"/>
      <c r="BY1060" s="244"/>
      <c r="BZ1060" s="244"/>
      <c r="CA1060" s="244"/>
      <c r="CB1060" s="244"/>
      <c r="CC1060" s="244"/>
      <c r="CD1060" s="244"/>
      <c r="CE1060" s="244"/>
      <c r="CF1060" s="244"/>
      <c r="CG1060" s="244"/>
      <c r="CH1060" s="244"/>
      <c r="CI1060" s="244"/>
      <c r="CJ1060" s="244"/>
      <c r="CK1060" s="244"/>
      <c r="CL1060" s="244"/>
      <c r="CM1060" s="244"/>
      <c r="CN1060" s="244"/>
      <c r="CO1060" s="244"/>
      <c r="CP1060" s="244"/>
      <c r="CQ1060" s="244"/>
      <c r="CR1060" s="244"/>
      <c r="CS1060" s="244"/>
      <c r="CT1060" s="244"/>
      <c r="CU1060" s="244"/>
      <c r="CV1060" s="244"/>
      <c r="CW1060" s="244"/>
    </row>
    <row r="1061" spans="3:101">
      <c r="C1061" s="244"/>
      <c r="D1061" s="244"/>
      <c r="E1061" s="244"/>
      <c r="F1061" s="244"/>
      <c r="G1061" s="244"/>
      <c r="H1061" s="244"/>
      <c r="I1061" s="244"/>
      <c r="J1061" s="244"/>
      <c r="K1061" s="244"/>
      <c r="L1061" s="244"/>
      <c r="M1061" s="244"/>
      <c r="N1061" s="244"/>
      <c r="O1061" s="244"/>
      <c r="P1061" s="244"/>
      <c r="Q1061" s="244"/>
      <c r="R1061" s="244"/>
      <c r="S1061" s="244"/>
      <c r="T1061" s="244"/>
      <c r="U1061" s="244"/>
      <c r="V1061" s="244"/>
      <c r="W1061" s="244"/>
      <c r="X1061" s="244"/>
      <c r="Y1061" s="244"/>
      <c r="Z1061" s="244"/>
      <c r="AA1061" s="244"/>
      <c r="AB1061" s="244"/>
      <c r="AC1061" s="244"/>
      <c r="AD1061" s="244"/>
      <c r="AE1061" s="244"/>
      <c r="AF1061" s="244"/>
      <c r="AG1061" s="244"/>
      <c r="AH1061" s="244"/>
      <c r="AI1061" s="244"/>
      <c r="AJ1061" s="244"/>
      <c r="AK1061" s="244"/>
      <c r="AL1061" s="244"/>
      <c r="AM1061" s="244"/>
      <c r="AN1061" s="244"/>
      <c r="AO1061" s="244"/>
      <c r="AP1061" s="244"/>
      <c r="AQ1061" s="244"/>
      <c r="AR1061" s="244"/>
      <c r="AS1061" s="244"/>
      <c r="AT1061" s="244"/>
      <c r="AU1061" s="244"/>
      <c r="AV1061" s="244"/>
      <c r="AW1061" s="244"/>
      <c r="AX1061" s="244"/>
      <c r="AY1061" s="244"/>
      <c r="AZ1061" s="244"/>
      <c r="BA1061" s="244"/>
      <c r="BB1061" s="244"/>
      <c r="BC1061" s="244"/>
      <c r="BD1061" s="244"/>
      <c r="BE1061" s="244"/>
      <c r="BF1061" s="244"/>
      <c r="BG1061" s="244"/>
      <c r="BH1061" s="244"/>
      <c r="BI1061" s="244"/>
      <c r="BJ1061" s="244"/>
      <c r="BK1061" s="244"/>
      <c r="BL1061" s="244"/>
      <c r="BM1061" s="244"/>
      <c r="BN1061" s="244"/>
      <c r="BO1061" s="244"/>
      <c r="BP1061" s="244"/>
      <c r="BQ1061" s="244"/>
      <c r="BR1061" s="244"/>
      <c r="BS1061" s="244"/>
      <c r="BT1061" s="244"/>
      <c r="BU1061" s="244"/>
      <c r="BV1061" s="244"/>
      <c r="BW1061" s="244"/>
      <c r="BX1061" s="244"/>
      <c r="BY1061" s="244"/>
      <c r="BZ1061" s="244"/>
      <c r="CA1061" s="244"/>
      <c r="CB1061" s="244"/>
      <c r="CC1061" s="244"/>
      <c r="CD1061" s="244"/>
      <c r="CE1061" s="244"/>
      <c r="CF1061" s="244"/>
      <c r="CG1061" s="244"/>
      <c r="CH1061" s="244"/>
      <c r="CI1061" s="244"/>
      <c r="CJ1061" s="244"/>
      <c r="CK1061" s="244"/>
      <c r="CL1061" s="244"/>
      <c r="CM1061" s="244"/>
      <c r="CN1061" s="244"/>
      <c r="CO1061" s="244"/>
      <c r="CP1061" s="244"/>
      <c r="CQ1061" s="244"/>
      <c r="CR1061" s="244"/>
      <c r="CS1061" s="244"/>
      <c r="CT1061" s="244"/>
      <c r="CU1061" s="244"/>
      <c r="CV1061" s="244"/>
      <c r="CW1061" s="244"/>
    </row>
    <row r="1062" spans="3:101">
      <c r="C1062" s="244"/>
      <c r="D1062" s="244"/>
      <c r="E1062" s="244"/>
      <c r="F1062" s="244"/>
      <c r="G1062" s="244"/>
      <c r="H1062" s="244"/>
      <c r="I1062" s="244"/>
      <c r="J1062" s="244"/>
      <c r="K1062" s="244"/>
      <c r="L1062" s="244"/>
      <c r="M1062" s="244"/>
      <c r="N1062" s="244"/>
      <c r="O1062" s="244"/>
      <c r="P1062" s="244"/>
      <c r="Q1062" s="244"/>
      <c r="R1062" s="244"/>
      <c r="S1062" s="244"/>
      <c r="T1062" s="244"/>
      <c r="U1062" s="244"/>
      <c r="V1062" s="244"/>
      <c r="W1062" s="244"/>
      <c r="X1062" s="244"/>
      <c r="Y1062" s="244"/>
      <c r="Z1062" s="244"/>
      <c r="AA1062" s="244"/>
      <c r="AB1062" s="244"/>
      <c r="AC1062" s="244"/>
      <c r="AD1062" s="244"/>
      <c r="AE1062" s="244"/>
      <c r="AF1062" s="244"/>
      <c r="AG1062" s="244"/>
      <c r="AH1062" s="244"/>
      <c r="AI1062" s="244"/>
      <c r="AJ1062" s="244"/>
      <c r="AK1062" s="244"/>
      <c r="AL1062" s="244"/>
      <c r="AM1062" s="244"/>
      <c r="AN1062" s="244"/>
      <c r="AO1062" s="244"/>
      <c r="AP1062" s="244"/>
      <c r="AQ1062" s="244"/>
      <c r="AR1062" s="244"/>
      <c r="AS1062" s="244"/>
      <c r="AT1062" s="244"/>
      <c r="AU1062" s="244"/>
      <c r="AV1062" s="244"/>
      <c r="AW1062" s="244"/>
      <c r="AX1062" s="244"/>
      <c r="AY1062" s="244"/>
      <c r="AZ1062" s="244"/>
      <c r="BA1062" s="244"/>
      <c r="BB1062" s="244"/>
      <c r="BC1062" s="244"/>
      <c r="BD1062" s="244"/>
      <c r="BE1062" s="244"/>
      <c r="BF1062" s="244"/>
      <c r="BG1062" s="244"/>
      <c r="BH1062" s="244"/>
      <c r="BI1062" s="244"/>
      <c r="BJ1062" s="244"/>
      <c r="BK1062" s="244"/>
      <c r="BL1062" s="244"/>
      <c r="BM1062" s="244"/>
      <c r="BN1062" s="244"/>
      <c r="BO1062" s="244"/>
      <c r="BP1062" s="244"/>
      <c r="BQ1062" s="244"/>
      <c r="BR1062" s="244"/>
      <c r="BS1062" s="244"/>
      <c r="BT1062" s="244"/>
      <c r="BU1062" s="244"/>
      <c r="BV1062" s="244"/>
      <c r="BW1062" s="244"/>
      <c r="BX1062" s="244"/>
      <c r="BY1062" s="244"/>
      <c r="BZ1062" s="244"/>
      <c r="CA1062" s="244"/>
      <c r="CB1062" s="244"/>
      <c r="CC1062" s="244"/>
      <c r="CD1062" s="244"/>
      <c r="CE1062" s="244"/>
      <c r="CF1062" s="244"/>
      <c r="CG1062" s="244"/>
      <c r="CH1062" s="244"/>
      <c r="CI1062" s="244"/>
      <c r="CJ1062" s="244"/>
      <c r="CK1062" s="244"/>
      <c r="CL1062" s="244"/>
      <c r="CM1062" s="244"/>
      <c r="CN1062" s="244"/>
      <c r="CO1062" s="244"/>
      <c r="CP1062" s="244"/>
      <c r="CQ1062" s="244"/>
      <c r="CR1062" s="244"/>
      <c r="CS1062" s="244"/>
      <c r="CT1062" s="244"/>
      <c r="CU1062" s="244"/>
      <c r="CV1062" s="244"/>
      <c r="CW1062" s="244"/>
    </row>
    <row r="1063" spans="3:101">
      <c r="C1063" s="244"/>
      <c r="D1063" s="244"/>
      <c r="E1063" s="244"/>
      <c r="F1063" s="244"/>
      <c r="G1063" s="244"/>
      <c r="H1063" s="244"/>
      <c r="I1063" s="244"/>
      <c r="J1063" s="244"/>
      <c r="K1063" s="244"/>
      <c r="L1063" s="244"/>
      <c r="M1063" s="244"/>
      <c r="N1063" s="244"/>
      <c r="O1063" s="244"/>
      <c r="P1063" s="244"/>
      <c r="Q1063" s="244"/>
      <c r="R1063" s="244"/>
      <c r="S1063" s="244"/>
      <c r="T1063" s="244"/>
      <c r="U1063" s="244"/>
      <c r="V1063" s="244"/>
      <c r="W1063" s="244"/>
      <c r="X1063" s="244"/>
      <c r="Y1063" s="244"/>
      <c r="Z1063" s="244"/>
      <c r="AA1063" s="244"/>
      <c r="AB1063" s="244"/>
      <c r="AC1063" s="244"/>
      <c r="AD1063" s="244"/>
      <c r="AE1063" s="244"/>
      <c r="AF1063" s="244"/>
      <c r="AG1063" s="244"/>
      <c r="AH1063" s="244"/>
      <c r="AI1063" s="244"/>
      <c r="AJ1063" s="244"/>
      <c r="AK1063" s="244"/>
      <c r="AL1063" s="244"/>
      <c r="AM1063" s="244"/>
      <c r="AN1063" s="244"/>
      <c r="AO1063" s="244"/>
      <c r="AP1063" s="244"/>
      <c r="AQ1063" s="244"/>
      <c r="AR1063" s="244"/>
      <c r="AS1063" s="244"/>
      <c r="AT1063" s="244"/>
      <c r="AU1063" s="244"/>
      <c r="AV1063" s="244"/>
      <c r="AW1063" s="244"/>
      <c r="AX1063" s="244"/>
      <c r="AY1063" s="244"/>
      <c r="AZ1063" s="244"/>
      <c r="BA1063" s="244"/>
      <c r="BB1063" s="244"/>
      <c r="BC1063" s="244"/>
      <c r="BD1063" s="244"/>
      <c r="BE1063" s="244"/>
      <c r="BF1063" s="244"/>
      <c r="BG1063" s="244"/>
      <c r="BH1063" s="244"/>
      <c r="BI1063" s="244"/>
      <c r="BJ1063" s="244"/>
      <c r="BK1063" s="244"/>
      <c r="BL1063" s="244"/>
      <c r="BM1063" s="244"/>
      <c r="BN1063" s="244"/>
      <c r="BO1063" s="244"/>
      <c r="BP1063" s="244"/>
      <c r="BQ1063" s="244"/>
      <c r="BR1063" s="244"/>
      <c r="BS1063" s="244"/>
      <c r="BT1063" s="244"/>
      <c r="BU1063" s="244"/>
      <c r="BV1063" s="244"/>
      <c r="BW1063" s="244"/>
      <c r="BX1063" s="244"/>
      <c r="BY1063" s="244"/>
      <c r="BZ1063" s="244"/>
      <c r="CA1063" s="244"/>
      <c r="CB1063" s="244"/>
      <c r="CC1063" s="244"/>
      <c r="CD1063" s="244"/>
      <c r="CE1063" s="244"/>
      <c r="CF1063" s="244"/>
      <c r="CG1063" s="244"/>
      <c r="CH1063" s="244"/>
      <c r="CI1063" s="244"/>
      <c r="CJ1063" s="244"/>
      <c r="CK1063" s="244"/>
      <c r="CL1063" s="244"/>
      <c r="CM1063" s="244"/>
      <c r="CN1063" s="244"/>
      <c r="CO1063" s="244"/>
      <c r="CP1063" s="244"/>
      <c r="CQ1063" s="244"/>
      <c r="CR1063" s="244"/>
      <c r="CS1063" s="244"/>
      <c r="CT1063" s="244"/>
      <c r="CU1063" s="244"/>
      <c r="CV1063" s="244"/>
      <c r="CW1063" s="244"/>
    </row>
    <row r="1064" spans="3:101">
      <c r="C1064" s="244"/>
      <c r="D1064" s="244"/>
      <c r="E1064" s="244"/>
      <c r="F1064" s="244"/>
      <c r="G1064" s="244"/>
      <c r="H1064" s="244"/>
      <c r="I1064" s="244"/>
      <c r="J1064" s="244"/>
      <c r="K1064" s="244"/>
      <c r="L1064" s="244"/>
      <c r="M1064" s="244"/>
      <c r="N1064" s="244"/>
      <c r="O1064" s="244"/>
      <c r="P1064" s="244"/>
      <c r="Q1064" s="244"/>
      <c r="R1064" s="244"/>
      <c r="S1064" s="244"/>
      <c r="T1064" s="244"/>
      <c r="U1064" s="244"/>
      <c r="V1064" s="244"/>
      <c r="W1064" s="244"/>
      <c r="X1064" s="244"/>
      <c r="Y1064" s="244"/>
      <c r="Z1064" s="244"/>
      <c r="AA1064" s="244"/>
      <c r="AB1064" s="244"/>
      <c r="AC1064" s="244"/>
      <c r="AD1064" s="244"/>
      <c r="AE1064" s="244"/>
      <c r="AF1064" s="244"/>
      <c r="AG1064" s="244"/>
      <c r="AH1064" s="244"/>
      <c r="AI1064" s="244"/>
      <c r="AJ1064" s="244"/>
      <c r="AK1064" s="244"/>
      <c r="AL1064" s="244"/>
      <c r="AM1064" s="244"/>
      <c r="AN1064" s="244"/>
      <c r="AO1064" s="244"/>
      <c r="AP1064" s="244"/>
      <c r="AQ1064" s="244"/>
      <c r="AR1064" s="244"/>
      <c r="AS1064" s="244"/>
      <c r="AT1064" s="244"/>
      <c r="AU1064" s="244"/>
      <c r="AV1064" s="244"/>
      <c r="AW1064" s="244"/>
      <c r="AX1064" s="244"/>
      <c r="AY1064" s="244"/>
      <c r="AZ1064" s="244"/>
      <c r="BA1064" s="244"/>
      <c r="BB1064" s="244"/>
      <c r="BC1064" s="244"/>
      <c r="BD1064" s="244"/>
      <c r="BE1064" s="244"/>
      <c r="BF1064" s="244"/>
      <c r="BG1064" s="244"/>
      <c r="BH1064" s="244"/>
      <c r="BI1064" s="244"/>
      <c r="BJ1064" s="244"/>
      <c r="BK1064" s="244"/>
      <c r="BL1064" s="244"/>
      <c r="BM1064" s="244"/>
      <c r="BN1064" s="244"/>
      <c r="BO1064" s="244"/>
      <c r="BP1064" s="244"/>
      <c r="BQ1064" s="244"/>
      <c r="BR1064" s="244"/>
      <c r="BS1064" s="244"/>
      <c r="BT1064" s="244"/>
      <c r="BU1064" s="244"/>
      <c r="BV1064" s="244"/>
      <c r="BW1064" s="244"/>
      <c r="BX1064" s="244"/>
      <c r="BY1064" s="244"/>
      <c r="BZ1064" s="244"/>
      <c r="CA1064" s="244"/>
      <c r="CB1064" s="244"/>
      <c r="CC1064" s="244"/>
      <c r="CD1064" s="244"/>
      <c r="CE1064" s="244"/>
      <c r="CF1064" s="244"/>
      <c r="CG1064" s="244"/>
      <c r="CH1064" s="244"/>
      <c r="CI1064" s="244"/>
      <c r="CJ1064" s="244"/>
      <c r="CK1064" s="244"/>
      <c r="CL1064" s="244"/>
      <c r="CM1064" s="244"/>
      <c r="CN1064" s="244"/>
      <c r="CO1064" s="244"/>
      <c r="CP1064" s="244"/>
      <c r="CQ1064" s="244"/>
      <c r="CR1064" s="244"/>
      <c r="CS1064" s="244"/>
      <c r="CT1064" s="244"/>
      <c r="CU1064" s="244"/>
      <c r="CV1064" s="244"/>
      <c r="CW1064" s="244"/>
    </row>
    <row r="1065" spans="3:101">
      <c r="C1065" s="244"/>
      <c r="D1065" s="244"/>
      <c r="E1065" s="244"/>
      <c r="F1065" s="244"/>
      <c r="G1065" s="244"/>
      <c r="H1065" s="244"/>
      <c r="I1065" s="244"/>
      <c r="J1065" s="244"/>
      <c r="K1065" s="244"/>
      <c r="L1065" s="244"/>
      <c r="M1065" s="244"/>
      <c r="N1065" s="244"/>
      <c r="O1065" s="244"/>
      <c r="P1065" s="244"/>
      <c r="Q1065" s="244"/>
      <c r="R1065" s="244"/>
      <c r="S1065" s="244"/>
      <c r="T1065" s="244"/>
      <c r="U1065" s="244"/>
      <c r="V1065" s="244"/>
      <c r="W1065" s="244"/>
      <c r="X1065" s="244"/>
      <c r="Y1065" s="244"/>
      <c r="Z1065" s="244"/>
      <c r="AA1065" s="244"/>
      <c r="AB1065" s="244"/>
      <c r="AC1065" s="244"/>
      <c r="AD1065" s="244"/>
      <c r="AE1065" s="244"/>
      <c r="AF1065" s="244"/>
      <c r="AG1065" s="244"/>
      <c r="AH1065" s="244"/>
      <c r="AI1065" s="244"/>
      <c r="AJ1065" s="244"/>
      <c r="AK1065" s="244"/>
      <c r="AL1065" s="244"/>
      <c r="AM1065" s="244"/>
      <c r="AN1065" s="244"/>
      <c r="AO1065" s="244"/>
      <c r="AP1065" s="244"/>
      <c r="AQ1065" s="244"/>
      <c r="AR1065" s="244"/>
      <c r="AS1065" s="244"/>
      <c r="AT1065" s="244"/>
      <c r="AU1065" s="244"/>
      <c r="AV1065" s="244"/>
      <c r="AW1065" s="244"/>
      <c r="AX1065" s="244"/>
      <c r="AY1065" s="244"/>
      <c r="AZ1065" s="244"/>
      <c r="BA1065" s="244"/>
      <c r="BB1065" s="244"/>
      <c r="BC1065" s="244"/>
      <c r="BD1065" s="244"/>
      <c r="BE1065" s="244"/>
      <c r="BF1065" s="244"/>
      <c r="BG1065" s="244"/>
      <c r="BH1065" s="244"/>
      <c r="BI1065" s="244"/>
      <c r="BJ1065" s="244"/>
      <c r="BK1065" s="244"/>
      <c r="BL1065" s="244"/>
      <c r="BM1065" s="244"/>
      <c r="BN1065" s="244"/>
      <c r="BO1065" s="244"/>
      <c r="BP1065" s="244"/>
      <c r="BQ1065" s="244"/>
      <c r="BR1065" s="244"/>
      <c r="BS1065" s="244"/>
      <c r="BT1065" s="244"/>
      <c r="BU1065" s="244"/>
      <c r="BV1065" s="244"/>
      <c r="BW1065" s="244"/>
      <c r="BX1065" s="244"/>
      <c r="BY1065" s="244"/>
      <c r="BZ1065" s="244"/>
      <c r="CA1065" s="244"/>
      <c r="CB1065" s="244"/>
      <c r="CC1065" s="244"/>
      <c r="CD1065" s="244"/>
      <c r="CE1065" s="244"/>
      <c r="CF1065" s="244"/>
      <c r="CG1065" s="244"/>
      <c r="CH1065" s="244"/>
      <c r="CI1065" s="244"/>
      <c r="CJ1065" s="244"/>
      <c r="CK1065" s="244"/>
      <c r="CL1065" s="244"/>
      <c r="CM1065" s="244"/>
      <c r="CN1065" s="244"/>
      <c r="CO1065" s="244"/>
      <c r="CP1065" s="244"/>
      <c r="CQ1065" s="244"/>
      <c r="CR1065" s="244"/>
      <c r="CS1065" s="244"/>
      <c r="CT1065" s="244"/>
      <c r="CU1065" s="244"/>
      <c r="CV1065" s="244"/>
      <c r="CW1065" s="244"/>
    </row>
    <row r="1066" spans="3:101">
      <c r="C1066" s="244"/>
      <c r="D1066" s="244"/>
      <c r="E1066" s="244"/>
      <c r="F1066" s="244"/>
      <c r="G1066" s="244"/>
      <c r="H1066" s="244"/>
      <c r="I1066" s="244"/>
      <c r="J1066" s="244"/>
      <c r="K1066" s="244"/>
      <c r="L1066" s="244"/>
      <c r="M1066" s="244"/>
      <c r="N1066" s="244"/>
      <c r="O1066" s="244"/>
      <c r="P1066" s="244"/>
      <c r="Q1066" s="244"/>
      <c r="R1066" s="244"/>
      <c r="S1066" s="244"/>
      <c r="T1066" s="244"/>
      <c r="U1066" s="244"/>
      <c r="V1066" s="244"/>
      <c r="W1066" s="244"/>
      <c r="X1066" s="244"/>
      <c r="Y1066" s="244"/>
      <c r="Z1066" s="244"/>
      <c r="AA1066" s="244"/>
      <c r="AB1066" s="244"/>
      <c r="AC1066" s="244"/>
      <c r="AD1066" s="244"/>
      <c r="AE1066" s="244"/>
      <c r="AF1066" s="244"/>
      <c r="AG1066" s="244"/>
      <c r="AH1066" s="244"/>
      <c r="AI1066" s="244"/>
      <c r="AJ1066" s="244"/>
      <c r="AK1066" s="244"/>
      <c r="AL1066" s="244"/>
      <c r="AM1066" s="244"/>
      <c r="AN1066" s="244"/>
      <c r="AO1066" s="244"/>
      <c r="AP1066" s="244"/>
      <c r="AQ1066" s="244"/>
      <c r="AR1066" s="244"/>
      <c r="AS1066" s="244"/>
      <c r="AT1066" s="244"/>
      <c r="AU1066" s="244"/>
      <c r="AV1066" s="244"/>
      <c r="AW1066" s="244"/>
      <c r="AX1066" s="244"/>
      <c r="AY1066" s="244"/>
      <c r="AZ1066" s="244"/>
      <c r="BA1066" s="244"/>
      <c r="BB1066" s="244"/>
      <c r="BC1066" s="244"/>
      <c r="BD1066" s="244"/>
      <c r="BE1066" s="244"/>
      <c r="BF1066" s="244"/>
      <c r="BG1066" s="244"/>
      <c r="BH1066" s="244"/>
      <c r="BI1066" s="244"/>
      <c r="BJ1066" s="244"/>
      <c r="BK1066" s="244"/>
      <c r="BL1066" s="244"/>
      <c r="BM1066" s="244"/>
      <c r="BN1066" s="244"/>
      <c r="BO1066" s="244"/>
      <c r="BP1066" s="244"/>
      <c r="BQ1066" s="244"/>
      <c r="BR1066" s="244"/>
      <c r="BS1066" s="244"/>
      <c r="BT1066" s="244"/>
      <c r="BU1066" s="244"/>
      <c r="BV1066" s="244"/>
      <c r="BW1066" s="244"/>
      <c r="BX1066" s="244"/>
      <c r="BY1066" s="244"/>
      <c r="BZ1066" s="244"/>
      <c r="CA1066" s="244"/>
      <c r="CB1066" s="244"/>
      <c r="CC1066" s="244"/>
      <c r="CD1066" s="244"/>
      <c r="CE1066" s="244"/>
      <c r="CF1066" s="244"/>
      <c r="CG1066" s="244"/>
      <c r="CH1066" s="244"/>
      <c r="CI1066" s="244"/>
      <c r="CJ1066" s="244"/>
      <c r="CK1066" s="244"/>
      <c r="CL1066" s="244"/>
      <c r="CM1066" s="244"/>
      <c r="CN1066" s="244"/>
      <c r="CO1066" s="244"/>
      <c r="CP1066" s="244"/>
      <c r="CQ1066" s="244"/>
      <c r="CR1066" s="244"/>
      <c r="CS1066" s="244"/>
      <c r="CT1066" s="244"/>
      <c r="CU1066" s="244"/>
      <c r="CV1066" s="244"/>
      <c r="CW1066" s="244"/>
    </row>
    <row r="1067" spans="3:101">
      <c r="C1067" s="244"/>
      <c r="D1067" s="244"/>
      <c r="E1067" s="244"/>
      <c r="F1067" s="244"/>
      <c r="G1067" s="244"/>
      <c r="H1067" s="244"/>
      <c r="I1067" s="244"/>
      <c r="J1067" s="244"/>
      <c r="K1067" s="244"/>
      <c r="L1067" s="244"/>
      <c r="M1067" s="244"/>
      <c r="N1067" s="244"/>
      <c r="O1067" s="244"/>
      <c r="P1067" s="244"/>
      <c r="Q1067" s="244"/>
      <c r="R1067" s="244"/>
      <c r="S1067" s="244"/>
      <c r="T1067" s="244"/>
      <c r="U1067" s="244"/>
      <c r="V1067" s="244"/>
      <c r="W1067" s="244"/>
      <c r="X1067" s="244"/>
      <c r="Y1067" s="244"/>
      <c r="Z1067" s="244"/>
      <c r="AA1067" s="244"/>
      <c r="AB1067" s="244"/>
      <c r="AC1067" s="244"/>
      <c r="AD1067" s="244"/>
      <c r="AE1067" s="244"/>
      <c r="AF1067" s="244"/>
      <c r="AG1067" s="244"/>
      <c r="AH1067" s="244"/>
      <c r="AI1067" s="244"/>
      <c r="AJ1067" s="244"/>
      <c r="AK1067" s="244"/>
      <c r="AL1067" s="244"/>
      <c r="AM1067" s="244"/>
      <c r="AN1067" s="244"/>
      <c r="AO1067" s="244"/>
      <c r="AP1067" s="244"/>
      <c r="AQ1067" s="244"/>
      <c r="AR1067" s="244"/>
      <c r="AS1067" s="244"/>
      <c r="AT1067" s="244"/>
      <c r="AU1067" s="244"/>
      <c r="AV1067" s="244"/>
      <c r="AW1067" s="244"/>
      <c r="AX1067" s="244"/>
      <c r="AY1067" s="244"/>
      <c r="AZ1067" s="244"/>
      <c r="BA1067" s="244"/>
      <c r="BB1067" s="244"/>
      <c r="BC1067" s="244"/>
      <c r="BD1067" s="244"/>
      <c r="BE1067" s="244"/>
      <c r="BF1067" s="244"/>
      <c r="BG1067" s="244"/>
      <c r="BH1067" s="244"/>
      <c r="BI1067" s="244"/>
      <c r="BJ1067" s="244"/>
      <c r="BK1067" s="244"/>
      <c r="BL1067" s="244"/>
      <c r="BM1067" s="244"/>
      <c r="BN1067" s="244"/>
      <c r="BO1067" s="244"/>
      <c r="BP1067" s="244"/>
      <c r="BQ1067" s="244"/>
      <c r="BR1067" s="244"/>
      <c r="BS1067" s="244"/>
      <c r="BT1067" s="244"/>
      <c r="BU1067" s="244"/>
      <c r="BV1067" s="244"/>
      <c r="BW1067" s="244"/>
      <c r="BX1067" s="244"/>
      <c r="BY1067" s="244"/>
      <c r="BZ1067" s="244"/>
      <c r="CA1067" s="244"/>
      <c r="CB1067" s="244"/>
      <c r="CC1067" s="244"/>
      <c r="CD1067" s="244"/>
      <c r="CE1067" s="244"/>
      <c r="CF1067" s="244"/>
      <c r="CG1067" s="244"/>
      <c r="CH1067" s="244"/>
      <c r="CI1067" s="244"/>
      <c r="CJ1067" s="244"/>
      <c r="CK1067" s="244"/>
      <c r="CL1067" s="244"/>
      <c r="CM1067" s="244"/>
      <c r="CN1067" s="244"/>
      <c r="CO1067" s="244"/>
      <c r="CP1067" s="244"/>
      <c r="CQ1067" s="244"/>
      <c r="CR1067" s="244"/>
      <c r="CS1067" s="244"/>
      <c r="CT1067" s="244"/>
      <c r="CU1067" s="244"/>
      <c r="CV1067" s="244"/>
      <c r="CW1067" s="244"/>
    </row>
    <row r="1068" spans="3:101">
      <c r="C1068" s="244"/>
      <c r="D1068" s="244"/>
      <c r="E1068" s="244"/>
      <c r="F1068" s="244"/>
      <c r="G1068" s="244"/>
      <c r="H1068" s="244"/>
      <c r="I1068" s="244"/>
      <c r="J1068" s="244"/>
      <c r="K1068" s="244"/>
      <c r="L1068" s="244"/>
      <c r="M1068" s="244"/>
      <c r="N1068" s="244"/>
      <c r="O1068" s="244"/>
      <c r="P1068" s="244"/>
      <c r="Q1068" s="244"/>
      <c r="R1068" s="244"/>
      <c r="S1068" s="244"/>
      <c r="T1068" s="244"/>
      <c r="U1068" s="244"/>
      <c r="V1068" s="244"/>
      <c r="W1068" s="244"/>
      <c r="X1068" s="244"/>
      <c r="Y1068" s="244"/>
      <c r="Z1068" s="244"/>
      <c r="AA1068" s="244"/>
      <c r="AB1068" s="244"/>
      <c r="AC1068" s="244"/>
      <c r="AD1068" s="244"/>
      <c r="AE1068" s="244"/>
      <c r="AF1068" s="244"/>
      <c r="AG1068" s="244"/>
      <c r="AH1068" s="244"/>
      <c r="AI1068" s="244"/>
      <c r="AJ1068" s="244"/>
      <c r="AK1068" s="244"/>
      <c r="AL1068" s="244"/>
      <c r="AM1068" s="244"/>
      <c r="AN1068" s="244"/>
      <c r="AO1068" s="244"/>
      <c r="AP1068" s="244"/>
      <c r="AQ1068" s="244"/>
      <c r="AR1068" s="244"/>
      <c r="AS1068" s="244"/>
      <c r="AT1068" s="244"/>
      <c r="AU1068" s="244"/>
      <c r="AV1068" s="244"/>
      <c r="AW1068" s="244"/>
      <c r="AX1068" s="244"/>
      <c r="AY1068" s="244"/>
      <c r="AZ1068" s="244"/>
      <c r="BA1068" s="244"/>
      <c r="BB1068" s="244"/>
      <c r="BC1068" s="244"/>
      <c r="BD1068" s="244"/>
      <c r="BE1068" s="244"/>
      <c r="BF1068" s="244"/>
      <c r="BG1068" s="244"/>
      <c r="BH1068" s="244"/>
      <c r="BI1068" s="244"/>
      <c r="BJ1068" s="244"/>
      <c r="BK1068" s="244"/>
      <c r="BL1068" s="244"/>
      <c r="BM1068" s="244"/>
      <c r="BN1068" s="244"/>
      <c r="BO1068" s="244"/>
      <c r="BP1068" s="244"/>
      <c r="BQ1068" s="244"/>
      <c r="BR1068" s="244"/>
      <c r="BS1068" s="244"/>
      <c r="BT1068" s="244"/>
      <c r="BU1068" s="244"/>
      <c r="BV1068" s="244"/>
      <c r="BW1068" s="244"/>
      <c r="BX1068" s="244"/>
      <c r="BY1068" s="244"/>
      <c r="BZ1068" s="244"/>
      <c r="CA1068" s="244"/>
      <c r="CB1068" s="244"/>
      <c r="CC1068" s="244"/>
      <c r="CD1068" s="244"/>
      <c r="CE1068" s="244"/>
      <c r="CF1068" s="244"/>
      <c r="CG1068" s="244"/>
      <c r="CH1068" s="244"/>
      <c r="CI1068" s="244"/>
      <c r="CJ1068" s="244"/>
      <c r="CK1068" s="244"/>
      <c r="CL1068" s="244"/>
      <c r="CM1068" s="244"/>
      <c r="CN1068" s="244"/>
      <c r="CO1068" s="244"/>
      <c r="CP1068" s="244"/>
      <c r="CQ1068" s="244"/>
      <c r="CR1068" s="244"/>
      <c r="CS1068" s="244"/>
      <c r="CT1068" s="244"/>
      <c r="CU1068" s="244"/>
      <c r="CV1068" s="244"/>
      <c r="CW1068" s="244"/>
    </row>
    <row r="1069" spans="3:101">
      <c r="C1069" s="244"/>
      <c r="D1069" s="244"/>
      <c r="E1069" s="244"/>
      <c r="F1069" s="244"/>
      <c r="G1069" s="244"/>
      <c r="H1069" s="244"/>
      <c r="I1069" s="244"/>
      <c r="J1069" s="244"/>
      <c r="K1069" s="244"/>
      <c r="L1069" s="244"/>
      <c r="M1069" s="244"/>
      <c r="N1069" s="244"/>
      <c r="O1069" s="244"/>
      <c r="P1069" s="244"/>
      <c r="Q1069" s="244"/>
      <c r="R1069" s="244"/>
      <c r="S1069" s="244"/>
      <c r="T1069" s="244"/>
      <c r="U1069" s="244"/>
      <c r="V1069" s="244"/>
      <c r="W1069" s="244"/>
      <c r="X1069" s="244"/>
      <c r="Y1069" s="244"/>
      <c r="Z1069" s="244"/>
      <c r="AA1069" s="244"/>
      <c r="AB1069" s="244"/>
      <c r="AC1069" s="244"/>
      <c r="AD1069" s="244"/>
      <c r="AE1069" s="244"/>
      <c r="AF1069" s="244"/>
      <c r="AG1069" s="244"/>
      <c r="AH1069" s="244"/>
      <c r="AI1069" s="244"/>
      <c r="AJ1069" s="244"/>
      <c r="AK1069" s="244"/>
      <c r="AL1069" s="244"/>
      <c r="AM1069" s="244"/>
      <c r="AN1069" s="244"/>
      <c r="AO1069" s="244"/>
      <c r="AP1069" s="244"/>
      <c r="AQ1069" s="244"/>
      <c r="AR1069" s="244"/>
      <c r="AS1069" s="244"/>
      <c r="AT1069" s="244"/>
      <c r="AU1069" s="244"/>
      <c r="AV1069" s="244"/>
      <c r="AW1069" s="244"/>
      <c r="AX1069" s="244"/>
      <c r="AY1069" s="244"/>
      <c r="AZ1069" s="244"/>
      <c r="BA1069" s="244"/>
      <c r="BB1069" s="244"/>
      <c r="BC1069" s="244"/>
      <c r="BD1069" s="244"/>
      <c r="BE1069" s="244"/>
      <c r="BF1069" s="244"/>
      <c r="BG1069" s="244"/>
      <c r="BH1069" s="244"/>
      <c r="BI1069" s="244"/>
      <c r="BJ1069" s="244"/>
      <c r="BK1069" s="244"/>
      <c r="BL1069" s="244"/>
      <c r="BM1069" s="244"/>
      <c r="BN1069" s="244"/>
      <c r="BO1069" s="244"/>
      <c r="BP1069" s="244"/>
      <c r="BQ1069" s="244"/>
      <c r="BR1069" s="244"/>
      <c r="BS1069" s="244"/>
      <c r="BT1069" s="244"/>
      <c r="BU1069" s="244"/>
      <c r="BV1069" s="244"/>
      <c r="BW1069" s="244"/>
      <c r="BX1069" s="244"/>
      <c r="BY1069" s="244"/>
      <c r="BZ1069" s="244"/>
      <c r="CA1069" s="244"/>
      <c r="CB1069" s="244"/>
      <c r="CC1069" s="244"/>
      <c r="CD1069" s="244"/>
      <c r="CE1069" s="244"/>
      <c r="CF1069" s="244"/>
      <c r="CG1069" s="244"/>
      <c r="CH1069" s="244"/>
      <c r="CI1069" s="244"/>
      <c r="CJ1069" s="244"/>
      <c r="CK1069" s="244"/>
      <c r="CL1069" s="244"/>
      <c r="CM1069" s="244"/>
      <c r="CN1069" s="244"/>
      <c r="CO1069" s="244"/>
      <c r="CP1069" s="244"/>
      <c r="CQ1069" s="244"/>
      <c r="CR1069" s="244"/>
      <c r="CS1069" s="244"/>
      <c r="CT1069" s="244"/>
      <c r="CU1069" s="244"/>
      <c r="CV1069" s="244"/>
      <c r="CW1069" s="244"/>
    </row>
    <row r="1070" spans="3:101">
      <c r="C1070" s="244"/>
      <c r="D1070" s="244"/>
      <c r="E1070" s="244"/>
      <c r="F1070" s="244"/>
      <c r="G1070" s="244"/>
      <c r="H1070" s="244"/>
      <c r="I1070" s="244"/>
      <c r="J1070" s="244"/>
      <c r="K1070" s="244"/>
      <c r="L1070" s="244"/>
      <c r="M1070" s="244"/>
      <c r="N1070" s="244"/>
      <c r="O1070" s="244"/>
      <c r="P1070" s="244"/>
      <c r="Q1070" s="244"/>
      <c r="R1070" s="244"/>
      <c r="S1070" s="244"/>
      <c r="T1070" s="244"/>
      <c r="U1070" s="244"/>
      <c r="V1070" s="244"/>
      <c r="W1070" s="244"/>
      <c r="X1070" s="244"/>
      <c r="Y1070" s="244"/>
      <c r="Z1070" s="244"/>
      <c r="AA1070" s="244"/>
      <c r="AB1070" s="244"/>
      <c r="AC1070" s="244"/>
      <c r="AD1070" s="244"/>
      <c r="AE1070" s="244"/>
      <c r="AF1070" s="244"/>
      <c r="AG1070" s="244"/>
      <c r="AH1070" s="244"/>
      <c r="AI1070" s="244"/>
      <c r="AJ1070" s="244"/>
      <c r="AK1070" s="244"/>
      <c r="AL1070" s="244"/>
      <c r="AM1070" s="244"/>
      <c r="AN1070" s="244"/>
      <c r="AO1070" s="244"/>
      <c r="AP1070" s="244"/>
      <c r="AQ1070" s="244"/>
      <c r="AR1070" s="244"/>
      <c r="AS1070" s="244"/>
      <c r="AT1070" s="244"/>
      <c r="AU1070" s="244"/>
      <c r="AV1070" s="244"/>
      <c r="AW1070" s="244"/>
      <c r="AX1070" s="244"/>
      <c r="AY1070" s="244"/>
      <c r="AZ1070" s="244"/>
      <c r="BA1070" s="244"/>
      <c r="BB1070" s="244"/>
      <c r="BC1070" s="244"/>
      <c r="BD1070" s="244"/>
      <c r="BE1070" s="244"/>
      <c r="BF1070" s="244"/>
      <c r="BG1070" s="244"/>
      <c r="BH1070" s="244"/>
      <c r="BI1070" s="244"/>
      <c r="BJ1070" s="244"/>
      <c r="BK1070" s="244"/>
      <c r="BL1070" s="244"/>
      <c r="BM1070" s="244"/>
      <c r="BN1070" s="244"/>
      <c r="BO1070" s="244"/>
      <c r="BP1070" s="244"/>
      <c r="BQ1070" s="244"/>
      <c r="BR1070" s="244"/>
      <c r="BS1070" s="244"/>
      <c r="BT1070" s="244"/>
      <c r="BU1070" s="244"/>
      <c r="BV1070" s="244"/>
      <c r="BW1070" s="244"/>
      <c r="BX1070" s="244"/>
      <c r="BY1070" s="244"/>
      <c r="BZ1070" s="244"/>
      <c r="CA1070" s="244"/>
      <c r="CB1070" s="244"/>
      <c r="CC1070" s="244"/>
      <c r="CD1070" s="244"/>
      <c r="CE1070" s="244"/>
      <c r="CF1070" s="244"/>
      <c r="CG1070" s="244"/>
      <c r="CH1070" s="244"/>
      <c r="CI1070" s="244"/>
      <c r="CJ1070" s="244"/>
      <c r="CK1070" s="244"/>
      <c r="CL1070" s="244"/>
      <c r="CM1070" s="244"/>
      <c r="CN1070" s="244"/>
      <c r="CO1070" s="244"/>
      <c r="CP1070" s="244"/>
      <c r="CQ1070" s="244"/>
      <c r="CR1070" s="244"/>
      <c r="CS1070" s="244"/>
      <c r="CT1070" s="244"/>
      <c r="CU1070" s="244"/>
      <c r="CV1070" s="244"/>
      <c r="CW1070" s="244"/>
    </row>
    <row r="1071" spans="3:101">
      <c r="C1071" s="244"/>
      <c r="D1071" s="244"/>
      <c r="E1071" s="244"/>
      <c r="F1071" s="244"/>
      <c r="G1071" s="244"/>
      <c r="H1071" s="244"/>
      <c r="I1071" s="244"/>
      <c r="J1071" s="244"/>
      <c r="K1071" s="244"/>
      <c r="L1071" s="244"/>
      <c r="M1071" s="244"/>
      <c r="N1071" s="244"/>
      <c r="O1071" s="244"/>
      <c r="P1071" s="244"/>
      <c r="Q1071" s="244"/>
      <c r="R1071" s="244"/>
      <c r="S1071" s="244"/>
      <c r="T1071" s="244"/>
      <c r="U1071" s="244"/>
      <c r="V1071" s="244"/>
      <c r="W1071" s="244"/>
      <c r="X1071" s="244"/>
      <c r="Y1071" s="244"/>
      <c r="Z1071" s="244"/>
      <c r="AA1071" s="244"/>
      <c r="AB1071" s="244"/>
      <c r="AC1071" s="244"/>
      <c r="AD1071" s="244"/>
      <c r="AE1071" s="244"/>
      <c r="AF1071" s="244"/>
      <c r="AG1071" s="244"/>
      <c r="AH1071" s="244"/>
      <c r="AI1071" s="244"/>
      <c r="AJ1071" s="244"/>
      <c r="AK1071" s="244"/>
      <c r="AL1071" s="244"/>
      <c r="AM1071" s="244"/>
      <c r="AN1071" s="244"/>
      <c r="AO1071" s="244"/>
      <c r="AP1071" s="244"/>
      <c r="AQ1071" s="244"/>
      <c r="AR1071" s="244"/>
      <c r="AS1071" s="244"/>
      <c r="AT1071" s="244"/>
      <c r="AU1071" s="244"/>
      <c r="AV1071" s="244"/>
      <c r="AW1071" s="244"/>
      <c r="AX1071" s="244"/>
      <c r="AY1071" s="244"/>
      <c r="AZ1071" s="244"/>
      <c r="BA1071" s="244"/>
      <c r="BB1071" s="244"/>
      <c r="BC1071" s="244"/>
      <c r="BD1071" s="244"/>
      <c r="BE1071" s="244"/>
      <c r="BF1071" s="244"/>
      <c r="BG1071" s="244"/>
      <c r="BH1071" s="244"/>
      <c r="BI1071" s="244"/>
      <c r="BJ1071" s="244"/>
      <c r="BK1071" s="244"/>
      <c r="BL1071" s="244"/>
      <c r="BM1071" s="244"/>
      <c r="BN1071" s="244"/>
      <c r="BO1071" s="244"/>
      <c r="BP1071" s="244"/>
      <c r="BQ1071" s="244"/>
      <c r="BR1071" s="244"/>
      <c r="BS1071" s="244"/>
      <c r="BT1071" s="244"/>
      <c r="BU1071" s="244"/>
      <c r="BV1071" s="244"/>
      <c r="BW1071" s="244"/>
      <c r="BX1071" s="244"/>
      <c r="BY1071" s="244"/>
      <c r="BZ1071" s="244"/>
      <c r="CA1071" s="244"/>
      <c r="CB1071" s="244"/>
      <c r="CC1071" s="244"/>
      <c r="CD1071" s="244"/>
      <c r="CE1071" s="244"/>
      <c r="CF1071" s="244"/>
      <c r="CG1071" s="244"/>
      <c r="CH1071" s="244"/>
      <c r="CI1071" s="244"/>
      <c r="CJ1071" s="244"/>
      <c r="CK1071" s="244"/>
      <c r="CL1071" s="244"/>
      <c r="CM1071" s="244"/>
      <c r="CN1071" s="244"/>
      <c r="CO1071" s="244"/>
      <c r="CP1071" s="244"/>
      <c r="CQ1071" s="244"/>
      <c r="CR1071" s="244"/>
      <c r="CS1071" s="244"/>
      <c r="CT1071" s="244"/>
      <c r="CU1071" s="244"/>
      <c r="CV1071" s="244"/>
      <c r="CW1071" s="244"/>
    </row>
    <row r="1072" spans="3:101">
      <c r="C1072" s="244"/>
      <c r="D1072" s="244"/>
      <c r="E1072" s="244"/>
      <c r="F1072" s="244"/>
      <c r="G1072" s="244"/>
      <c r="H1072" s="244"/>
      <c r="I1072" s="244"/>
      <c r="J1072" s="244"/>
      <c r="K1072" s="244"/>
      <c r="L1072" s="244"/>
      <c r="M1072" s="244"/>
      <c r="N1072" s="244"/>
      <c r="O1072" s="244"/>
      <c r="P1072" s="244"/>
      <c r="Q1072" s="244"/>
      <c r="R1072" s="244"/>
      <c r="S1072" s="244"/>
      <c r="T1072" s="244"/>
      <c r="U1072" s="244"/>
      <c r="V1072" s="244"/>
      <c r="W1072" s="244"/>
      <c r="X1072" s="244"/>
      <c r="Y1072" s="244"/>
      <c r="Z1072" s="244"/>
      <c r="AA1072" s="244"/>
      <c r="AB1072" s="244"/>
      <c r="AC1072" s="244"/>
      <c r="AD1072" s="244"/>
      <c r="AE1072" s="244"/>
      <c r="AF1072" s="244"/>
      <c r="AG1072" s="244"/>
      <c r="AH1072" s="244"/>
      <c r="AI1072" s="244"/>
      <c r="AJ1072" s="244"/>
      <c r="AK1072" s="244"/>
      <c r="AL1072" s="244"/>
      <c r="AM1072" s="244"/>
      <c r="AN1072" s="244"/>
      <c r="AO1072" s="244"/>
      <c r="AP1072" s="244"/>
      <c r="AQ1072" s="244"/>
      <c r="AR1072" s="244"/>
      <c r="AS1072" s="244"/>
      <c r="AT1072" s="244"/>
      <c r="AU1072" s="244"/>
      <c r="AV1072" s="244"/>
      <c r="AW1072" s="244"/>
      <c r="AX1072" s="244"/>
      <c r="AY1072" s="244"/>
      <c r="AZ1072" s="244"/>
      <c r="BA1072" s="244"/>
      <c r="BB1072" s="244"/>
      <c r="BC1072" s="244"/>
      <c r="BD1072" s="244"/>
      <c r="BE1072" s="244"/>
      <c r="BF1072" s="244"/>
      <c r="BG1072" s="244"/>
      <c r="BH1072" s="244"/>
      <c r="BI1072" s="244"/>
      <c r="BJ1072" s="244"/>
      <c r="BK1072" s="244"/>
      <c r="BL1072" s="244"/>
      <c r="BM1072" s="244"/>
      <c r="BN1072" s="244"/>
      <c r="BO1072" s="244"/>
      <c r="BP1072" s="244"/>
      <c r="BQ1072" s="244"/>
      <c r="BR1072" s="244"/>
      <c r="BS1072" s="244"/>
      <c r="BT1072" s="244"/>
      <c r="BU1072" s="244"/>
      <c r="BV1072" s="244"/>
      <c r="BW1072" s="244"/>
      <c r="BX1072" s="244"/>
      <c r="BY1072" s="244"/>
      <c r="BZ1072" s="244"/>
      <c r="CA1072" s="244"/>
      <c r="CB1072" s="244"/>
      <c r="CC1072" s="244"/>
      <c r="CD1072" s="244"/>
      <c r="CE1072" s="244"/>
      <c r="CF1072" s="244"/>
      <c r="CG1072" s="244"/>
      <c r="CH1072" s="244"/>
      <c r="CI1072" s="244"/>
      <c r="CJ1072" s="244"/>
      <c r="CK1072" s="244"/>
      <c r="CL1072" s="244"/>
      <c r="CM1072" s="244"/>
      <c r="CN1072" s="244"/>
      <c r="CO1072" s="244"/>
      <c r="CP1072" s="244"/>
      <c r="CQ1072" s="244"/>
      <c r="CR1072" s="244"/>
      <c r="CS1072" s="244"/>
      <c r="CT1072" s="244"/>
      <c r="CU1072" s="244"/>
      <c r="CV1072" s="244"/>
      <c r="CW1072" s="244"/>
    </row>
    <row r="1073" spans="3:101">
      <c r="C1073" s="244"/>
      <c r="D1073" s="244"/>
      <c r="E1073" s="244"/>
      <c r="F1073" s="244"/>
      <c r="G1073" s="244"/>
      <c r="H1073" s="244"/>
      <c r="I1073" s="244"/>
      <c r="J1073" s="244"/>
      <c r="K1073" s="244"/>
      <c r="L1073" s="244"/>
      <c r="M1073" s="244"/>
      <c r="N1073" s="244"/>
      <c r="O1073" s="244"/>
      <c r="P1073" s="244"/>
      <c r="Q1073" s="244"/>
      <c r="R1073" s="244"/>
      <c r="S1073" s="244"/>
      <c r="T1073" s="244"/>
      <c r="U1073" s="244"/>
      <c r="V1073" s="244"/>
      <c r="W1073" s="244"/>
      <c r="X1073" s="244"/>
      <c r="Y1073" s="244"/>
      <c r="Z1073" s="244"/>
      <c r="AA1073" s="244"/>
      <c r="AB1073" s="244"/>
      <c r="AC1073" s="244"/>
      <c r="AD1073" s="244"/>
      <c r="AE1073" s="244"/>
      <c r="AF1073" s="244"/>
      <c r="AG1073" s="244"/>
      <c r="AH1073" s="244"/>
      <c r="AI1073" s="244"/>
      <c r="AJ1073" s="244"/>
      <c r="AK1073" s="244"/>
      <c r="AL1073" s="244"/>
      <c r="AM1073" s="244"/>
      <c r="AN1073" s="244"/>
      <c r="AO1073" s="244"/>
      <c r="AP1073" s="244"/>
      <c r="AQ1073" s="244"/>
      <c r="AR1073" s="244"/>
      <c r="AS1073" s="244"/>
      <c r="AT1073" s="244"/>
      <c r="AU1073" s="244"/>
      <c r="AV1073" s="244"/>
      <c r="AW1073" s="244"/>
      <c r="AX1073" s="244"/>
      <c r="AY1073" s="244"/>
      <c r="AZ1073" s="244"/>
      <c r="BA1073" s="244"/>
      <c r="BB1073" s="244"/>
      <c r="BC1073" s="244"/>
      <c r="BD1073" s="244"/>
      <c r="BE1073" s="244"/>
      <c r="BF1073" s="244"/>
      <c r="BG1073" s="244"/>
      <c r="BH1073" s="244"/>
      <c r="BI1073" s="244"/>
      <c r="BJ1073" s="244"/>
      <c r="BK1073" s="244"/>
      <c r="BL1073" s="244"/>
      <c r="BM1073" s="244"/>
      <c r="BN1073" s="244"/>
      <c r="BO1073" s="244"/>
      <c r="BP1073" s="244"/>
      <c r="BQ1073" s="244"/>
      <c r="BR1073" s="244"/>
      <c r="BS1073" s="244"/>
      <c r="BT1073" s="244"/>
      <c r="BU1073" s="244"/>
      <c r="BV1073" s="244"/>
      <c r="BW1073" s="244"/>
      <c r="BX1073" s="244"/>
      <c r="BY1073" s="244"/>
      <c r="BZ1073" s="244"/>
      <c r="CA1073" s="244"/>
      <c r="CB1073" s="244"/>
      <c r="CC1073" s="244"/>
      <c r="CD1073" s="244"/>
      <c r="CE1073" s="244"/>
      <c r="CF1073" s="244"/>
      <c r="CG1073" s="244"/>
      <c r="CH1073" s="244"/>
      <c r="CI1073" s="244"/>
      <c r="CJ1073" s="244"/>
      <c r="CK1073" s="244"/>
      <c r="CL1073" s="244"/>
      <c r="CM1073" s="244"/>
      <c r="CN1073" s="244"/>
      <c r="CO1073" s="244"/>
      <c r="CP1073" s="244"/>
      <c r="CQ1073" s="244"/>
      <c r="CR1073" s="244"/>
      <c r="CS1073" s="244"/>
      <c r="CT1073" s="244"/>
      <c r="CU1073" s="244"/>
      <c r="CV1073" s="244"/>
      <c r="CW1073" s="244"/>
    </row>
    <row r="1074" spans="3:101">
      <c r="C1074" s="244"/>
      <c r="D1074" s="244"/>
      <c r="E1074" s="244"/>
      <c r="F1074" s="244"/>
      <c r="G1074" s="244"/>
      <c r="H1074" s="244"/>
      <c r="I1074" s="244"/>
      <c r="J1074" s="244"/>
      <c r="K1074" s="244"/>
      <c r="L1074" s="244"/>
      <c r="M1074" s="244"/>
      <c r="N1074" s="244"/>
      <c r="O1074" s="244"/>
      <c r="P1074" s="244"/>
      <c r="Q1074" s="244"/>
      <c r="R1074" s="244"/>
      <c r="S1074" s="244"/>
      <c r="T1074" s="244"/>
      <c r="U1074" s="244"/>
      <c r="V1074" s="244"/>
      <c r="W1074" s="244"/>
      <c r="X1074" s="244"/>
      <c r="Y1074" s="244"/>
      <c r="Z1074" s="244"/>
      <c r="AA1074" s="244"/>
      <c r="AB1074" s="244"/>
      <c r="AC1074" s="244"/>
      <c r="AD1074" s="244"/>
      <c r="AE1074" s="244"/>
      <c r="AF1074" s="244"/>
      <c r="AG1074" s="244"/>
      <c r="AH1074" s="244"/>
      <c r="AI1074" s="244"/>
      <c r="AJ1074" s="244"/>
      <c r="AK1074" s="244"/>
      <c r="AL1074" s="244"/>
      <c r="AM1074" s="244"/>
      <c r="AN1074" s="244"/>
      <c r="AO1074" s="244"/>
      <c r="AP1074" s="244"/>
      <c r="AQ1074" s="244"/>
      <c r="AR1074" s="244"/>
      <c r="AS1074" s="244"/>
      <c r="AT1074" s="244"/>
      <c r="AU1074" s="244"/>
      <c r="AV1074" s="244"/>
      <c r="AW1074" s="244"/>
      <c r="AX1074" s="244"/>
      <c r="AY1074" s="244"/>
      <c r="AZ1074" s="244"/>
      <c r="BA1074" s="244"/>
      <c r="BB1074" s="244"/>
      <c r="BC1074" s="244"/>
      <c r="BD1074" s="244"/>
      <c r="BE1074" s="244"/>
      <c r="BF1074" s="244"/>
      <c r="BG1074" s="244"/>
      <c r="BH1074" s="244"/>
      <c r="BI1074" s="244"/>
      <c r="BJ1074" s="244"/>
      <c r="BK1074" s="244"/>
      <c r="BL1074" s="244"/>
      <c r="BM1074" s="244"/>
      <c r="BN1074" s="244"/>
      <c r="BO1074" s="244"/>
      <c r="BP1074" s="244"/>
      <c r="BQ1074" s="244"/>
      <c r="BR1074" s="244"/>
      <c r="BS1074" s="244"/>
      <c r="BT1074" s="244"/>
      <c r="BU1074" s="244"/>
      <c r="BV1074" s="244"/>
      <c r="BW1074" s="244"/>
      <c r="BX1074" s="244"/>
      <c r="BY1074" s="244"/>
      <c r="BZ1074" s="244"/>
      <c r="CA1074" s="244"/>
      <c r="CB1074" s="244"/>
      <c r="CC1074" s="244"/>
      <c r="CD1074" s="244"/>
      <c r="CE1074" s="244"/>
      <c r="CF1074" s="244"/>
      <c r="CG1074" s="244"/>
      <c r="CH1074" s="244"/>
      <c r="CI1074" s="244"/>
      <c r="CJ1074" s="244"/>
      <c r="CK1074" s="244"/>
      <c r="CL1074" s="244"/>
      <c r="CM1074" s="244"/>
      <c r="CN1074" s="244"/>
      <c r="CO1074" s="244"/>
      <c r="CP1074" s="244"/>
      <c r="CQ1074" s="244"/>
      <c r="CR1074" s="244"/>
      <c r="CS1074" s="244"/>
      <c r="CT1074" s="244"/>
      <c r="CU1074" s="244"/>
      <c r="CV1074" s="244"/>
      <c r="CW1074" s="244"/>
    </row>
    <row r="1075" spans="3:101">
      <c r="C1075" s="244"/>
      <c r="D1075" s="244"/>
      <c r="E1075" s="244"/>
      <c r="F1075" s="244"/>
      <c r="G1075" s="244"/>
      <c r="H1075" s="244"/>
      <c r="I1075" s="244"/>
      <c r="J1075" s="244"/>
      <c r="K1075" s="244"/>
      <c r="L1075" s="244"/>
      <c r="M1075" s="244"/>
      <c r="N1075" s="244"/>
      <c r="O1075" s="244"/>
      <c r="P1075" s="244"/>
      <c r="Q1075" s="244"/>
      <c r="R1075" s="244"/>
      <c r="S1075" s="244"/>
      <c r="T1075" s="244"/>
      <c r="U1075" s="244"/>
      <c r="V1075" s="244"/>
      <c r="W1075" s="244"/>
      <c r="X1075" s="244"/>
      <c r="Y1075" s="244"/>
      <c r="Z1075" s="244"/>
      <c r="AA1075" s="244"/>
      <c r="AB1075" s="244"/>
      <c r="AC1075" s="244"/>
      <c r="AD1075" s="244"/>
      <c r="AE1075" s="244"/>
      <c r="AF1075" s="244"/>
      <c r="AG1075" s="244"/>
      <c r="AH1075" s="244"/>
      <c r="AI1075" s="244"/>
      <c r="AJ1075" s="244"/>
      <c r="AK1075" s="244"/>
      <c r="AL1075" s="244"/>
      <c r="AM1075" s="244"/>
      <c r="AN1075" s="244"/>
      <c r="AO1075" s="244"/>
      <c r="AP1075" s="244"/>
      <c r="AQ1075" s="244"/>
      <c r="AR1075" s="244"/>
      <c r="AS1075" s="244"/>
      <c r="AT1075" s="244"/>
      <c r="AU1075" s="244"/>
      <c r="AV1075" s="244"/>
      <c r="AW1075" s="244"/>
      <c r="AX1075" s="244"/>
      <c r="AY1075" s="244"/>
      <c r="AZ1075" s="244"/>
      <c r="BA1075" s="244"/>
      <c r="BB1075" s="244"/>
      <c r="BC1075" s="244"/>
      <c r="BD1075" s="244"/>
      <c r="BE1075" s="244"/>
      <c r="BF1075" s="244"/>
      <c r="BG1075" s="244"/>
      <c r="BH1075" s="244"/>
      <c r="BI1075" s="244"/>
      <c r="BJ1075" s="244"/>
      <c r="BK1075" s="244"/>
      <c r="BL1075" s="244"/>
      <c r="BM1075" s="244"/>
      <c r="BN1075" s="244"/>
      <c r="BO1075" s="244"/>
      <c r="BP1075" s="244"/>
      <c r="BQ1075" s="244"/>
      <c r="BR1075" s="244"/>
      <c r="BS1075" s="244"/>
      <c r="BT1075" s="244"/>
      <c r="BU1075" s="244"/>
      <c r="BV1075" s="244"/>
      <c r="BW1075" s="244"/>
      <c r="BX1075" s="244"/>
      <c r="BY1075" s="244"/>
      <c r="BZ1075" s="244"/>
      <c r="CA1075" s="244"/>
      <c r="CB1075" s="244"/>
      <c r="CC1075" s="244"/>
      <c r="CD1075" s="244"/>
      <c r="CE1075" s="244"/>
      <c r="CF1075" s="244"/>
      <c r="CG1075" s="244"/>
      <c r="CH1075" s="244"/>
      <c r="CI1075" s="244"/>
      <c r="CJ1075" s="244"/>
      <c r="CK1075" s="244"/>
      <c r="CL1075" s="244"/>
      <c r="CM1075" s="244"/>
      <c r="CN1075" s="244"/>
      <c r="CO1075" s="244"/>
      <c r="CP1075" s="244"/>
      <c r="CQ1075" s="244"/>
      <c r="CR1075" s="244"/>
      <c r="CS1075" s="244"/>
      <c r="CT1075" s="244"/>
      <c r="CU1075" s="244"/>
      <c r="CV1075" s="244"/>
      <c r="CW1075" s="244"/>
    </row>
    <row r="1076" spans="3:101">
      <c r="C1076" s="244"/>
      <c r="D1076" s="244"/>
      <c r="E1076" s="244"/>
      <c r="F1076" s="244"/>
      <c r="G1076" s="244"/>
      <c r="H1076" s="244"/>
      <c r="I1076" s="244"/>
      <c r="J1076" s="244"/>
      <c r="K1076" s="244"/>
      <c r="L1076" s="244"/>
      <c r="M1076" s="244"/>
      <c r="N1076" s="244"/>
      <c r="O1076" s="244"/>
      <c r="P1076" s="244"/>
      <c r="Q1076" s="244"/>
      <c r="R1076" s="244"/>
      <c r="S1076" s="244"/>
      <c r="T1076" s="244"/>
      <c r="U1076" s="244"/>
      <c r="V1076" s="244"/>
      <c r="W1076" s="244"/>
      <c r="X1076" s="244"/>
      <c r="Y1076" s="244"/>
      <c r="Z1076" s="244"/>
      <c r="AA1076" s="244"/>
      <c r="AB1076" s="244"/>
      <c r="AC1076" s="244"/>
      <c r="AD1076" s="244"/>
      <c r="AE1076" s="244"/>
      <c r="AF1076" s="244"/>
      <c r="AG1076" s="244"/>
      <c r="AH1076" s="244"/>
      <c r="AI1076" s="244"/>
      <c r="AJ1076" s="244"/>
      <c r="AK1076" s="244"/>
      <c r="AL1076" s="244"/>
      <c r="AM1076" s="244"/>
      <c r="AN1076" s="244"/>
      <c r="AO1076" s="244"/>
      <c r="AP1076" s="244"/>
      <c r="AQ1076" s="244"/>
      <c r="AR1076" s="244"/>
      <c r="AS1076" s="244"/>
      <c r="AT1076" s="244"/>
      <c r="AU1076" s="244"/>
      <c r="AV1076" s="244"/>
      <c r="AW1076" s="244"/>
      <c r="AX1076" s="244"/>
      <c r="AY1076" s="244"/>
      <c r="AZ1076" s="244"/>
      <c r="BA1076" s="244"/>
      <c r="BB1076" s="244"/>
      <c r="BC1076" s="244"/>
      <c r="BD1076" s="244"/>
      <c r="BE1076" s="244"/>
      <c r="BF1076" s="244"/>
      <c r="BG1076" s="244"/>
      <c r="BH1076" s="244"/>
      <c r="BI1076" s="244"/>
      <c r="BJ1076" s="244"/>
      <c r="BK1076" s="244"/>
      <c r="BL1076" s="244"/>
      <c r="BM1076" s="244"/>
      <c r="BN1076" s="244"/>
      <c r="BO1076" s="244"/>
      <c r="BP1076" s="244"/>
      <c r="BQ1076" s="244"/>
      <c r="BR1076" s="244"/>
      <c r="BS1076" s="244"/>
      <c r="BT1076" s="244"/>
      <c r="BU1076" s="244"/>
      <c r="BV1076" s="244"/>
      <c r="BW1076" s="244"/>
      <c r="BX1076" s="244"/>
      <c r="BY1076" s="244"/>
      <c r="BZ1076" s="244"/>
      <c r="CA1076" s="244"/>
      <c r="CB1076" s="244"/>
      <c r="CC1076" s="244"/>
      <c r="CD1076" s="244"/>
      <c r="CE1076" s="244"/>
      <c r="CF1076" s="244"/>
      <c r="CG1076" s="244"/>
      <c r="CH1076" s="244"/>
      <c r="CI1076" s="244"/>
      <c r="CJ1076" s="244"/>
      <c r="CK1076" s="244"/>
      <c r="CL1076" s="244"/>
      <c r="CM1076" s="244"/>
      <c r="CN1076" s="244"/>
      <c r="CO1076" s="244"/>
      <c r="CP1076" s="244"/>
      <c r="CQ1076" s="244"/>
      <c r="CR1076" s="244"/>
      <c r="CS1076" s="244"/>
      <c r="CT1076" s="244"/>
      <c r="CU1076" s="244"/>
      <c r="CV1076" s="244"/>
      <c r="CW1076" s="244"/>
    </row>
    <row r="1077" spans="3:101">
      <c r="C1077" s="244"/>
      <c r="D1077" s="244"/>
      <c r="E1077" s="244"/>
      <c r="F1077" s="244"/>
      <c r="G1077" s="244"/>
      <c r="H1077" s="244"/>
      <c r="I1077" s="244"/>
      <c r="J1077" s="244"/>
      <c r="K1077" s="244"/>
      <c r="L1077" s="244"/>
      <c r="M1077" s="244"/>
      <c r="N1077" s="244"/>
      <c r="O1077" s="244"/>
      <c r="P1077" s="244"/>
      <c r="Q1077" s="244"/>
      <c r="R1077" s="244"/>
      <c r="S1077" s="244"/>
      <c r="T1077" s="244"/>
      <c r="U1077" s="244"/>
      <c r="V1077" s="244"/>
      <c r="W1077" s="244"/>
      <c r="X1077" s="244"/>
      <c r="Y1077" s="244"/>
      <c r="Z1077" s="244"/>
      <c r="AA1077" s="244"/>
      <c r="AB1077" s="244"/>
      <c r="AC1077" s="244"/>
      <c r="AD1077" s="244"/>
      <c r="AE1077" s="244"/>
      <c r="AF1077" s="244"/>
      <c r="AG1077" s="244"/>
      <c r="AH1077" s="244"/>
      <c r="AI1077" s="244"/>
      <c r="AJ1077" s="244"/>
      <c r="AK1077" s="244"/>
      <c r="AL1077" s="244"/>
      <c r="AM1077" s="244"/>
      <c r="AN1077" s="244"/>
      <c r="AO1077" s="244"/>
      <c r="AP1077" s="244"/>
      <c r="AQ1077" s="244"/>
      <c r="AR1077" s="244"/>
      <c r="AS1077" s="244"/>
      <c r="AT1077" s="244"/>
      <c r="AU1077" s="244"/>
      <c r="AV1077" s="244"/>
      <c r="AW1077" s="244"/>
      <c r="AX1077" s="244"/>
      <c r="AY1077" s="244"/>
      <c r="AZ1077" s="244"/>
      <c r="BA1077" s="244"/>
      <c r="BB1077" s="244"/>
      <c r="BC1077" s="244"/>
      <c r="BD1077" s="244"/>
      <c r="BE1077" s="244"/>
      <c r="BF1077" s="244"/>
      <c r="BG1077" s="244"/>
      <c r="BH1077" s="244"/>
      <c r="BI1077" s="244"/>
      <c r="BJ1077" s="244"/>
      <c r="BK1077" s="244"/>
      <c r="BL1077" s="244"/>
      <c r="BM1077" s="244"/>
      <c r="BN1077" s="244"/>
      <c r="BO1077" s="244"/>
      <c r="BP1077" s="244"/>
      <c r="BQ1077" s="244"/>
      <c r="BR1077" s="244"/>
      <c r="BS1077" s="244"/>
      <c r="BT1077" s="244"/>
      <c r="BU1077" s="244"/>
      <c r="BV1077" s="244"/>
      <c r="BW1077" s="244"/>
      <c r="BX1077" s="244"/>
      <c r="BY1077" s="244"/>
      <c r="BZ1077" s="244"/>
      <c r="CA1077" s="244"/>
      <c r="CB1077" s="244"/>
      <c r="CC1077" s="244"/>
      <c r="CD1077" s="244"/>
      <c r="CE1077" s="244"/>
      <c r="CF1077" s="244"/>
      <c r="CG1077" s="244"/>
      <c r="CH1077" s="244"/>
      <c r="CI1077" s="244"/>
      <c r="CJ1077" s="244"/>
      <c r="CK1077" s="244"/>
      <c r="CL1077" s="244"/>
      <c r="CM1077" s="244"/>
      <c r="CN1077" s="244"/>
      <c r="CO1077" s="244"/>
      <c r="CP1077" s="244"/>
      <c r="CQ1077" s="244"/>
      <c r="CR1077" s="244"/>
      <c r="CS1077" s="244"/>
      <c r="CT1077" s="244"/>
      <c r="CU1077" s="244"/>
      <c r="CV1077" s="244"/>
      <c r="CW1077" s="244"/>
    </row>
    <row r="1078" spans="3:101">
      <c r="C1078" s="244"/>
      <c r="D1078" s="244"/>
      <c r="E1078" s="244"/>
      <c r="F1078" s="244"/>
      <c r="G1078" s="244"/>
      <c r="H1078" s="244"/>
      <c r="I1078" s="244"/>
      <c r="J1078" s="244"/>
      <c r="K1078" s="244"/>
      <c r="L1078" s="244"/>
      <c r="M1078" s="244"/>
      <c r="N1078" s="244"/>
      <c r="O1078" s="244"/>
      <c r="P1078" s="244"/>
      <c r="Q1078" s="244"/>
      <c r="R1078" s="244"/>
      <c r="S1078" s="244"/>
      <c r="T1078" s="244"/>
      <c r="U1078" s="244"/>
      <c r="V1078" s="244"/>
      <c r="W1078" s="244"/>
      <c r="X1078" s="244"/>
      <c r="Y1078" s="244"/>
      <c r="Z1078" s="244"/>
      <c r="AA1078" s="244"/>
      <c r="AB1078" s="244"/>
      <c r="AC1078" s="244"/>
      <c r="AD1078" s="244"/>
      <c r="AE1078" s="244"/>
      <c r="AF1078" s="244"/>
      <c r="AG1078" s="244"/>
      <c r="AH1078" s="244"/>
      <c r="AI1078" s="244"/>
      <c r="AJ1078" s="244"/>
      <c r="AK1078" s="244"/>
      <c r="AL1078" s="244"/>
      <c r="AM1078" s="244"/>
      <c r="AN1078" s="244"/>
      <c r="AO1078" s="244"/>
      <c r="AP1078" s="244"/>
      <c r="AQ1078" s="244"/>
      <c r="AR1078" s="244"/>
      <c r="AS1078" s="244"/>
      <c r="AT1078" s="244"/>
      <c r="AU1078" s="244"/>
      <c r="AV1078" s="244"/>
      <c r="AW1078" s="244"/>
      <c r="AX1078" s="244"/>
      <c r="AY1078" s="244"/>
      <c r="AZ1078" s="244"/>
      <c r="BA1078" s="244"/>
      <c r="BB1078" s="244"/>
      <c r="BC1078" s="244"/>
      <c r="BD1078" s="244"/>
      <c r="BE1078" s="244"/>
      <c r="BF1078" s="244"/>
      <c r="BG1078" s="244"/>
      <c r="BH1078" s="244"/>
      <c r="BI1078" s="244"/>
      <c r="BJ1078" s="244"/>
      <c r="BK1078" s="244"/>
      <c r="BL1078" s="244"/>
      <c r="BM1078" s="244"/>
      <c r="BN1078" s="244"/>
      <c r="BO1078" s="244"/>
      <c r="BP1078" s="244"/>
      <c r="BQ1078" s="244"/>
      <c r="BR1078" s="244"/>
      <c r="BS1078" s="244"/>
      <c r="BT1078" s="244"/>
      <c r="BU1078" s="244"/>
      <c r="BV1078" s="244"/>
      <c r="BW1078" s="244"/>
      <c r="BX1078" s="244"/>
      <c r="BY1078" s="244"/>
      <c r="BZ1078" s="244"/>
      <c r="CA1078" s="244"/>
      <c r="CB1078" s="244"/>
      <c r="CC1078" s="244"/>
      <c r="CD1078" s="244"/>
      <c r="CE1078" s="244"/>
      <c r="CF1078" s="244"/>
      <c r="CG1078" s="244"/>
      <c r="CH1078" s="244"/>
      <c r="CI1078" s="244"/>
      <c r="CJ1078" s="244"/>
      <c r="CK1078" s="244"/>
      <c r="CL1078" s="244"/>
      <c r="CM1078" s="244"/>
      <c r="CN1078" s="244"/>
      <c r="CO1078" s="244"/>
      <c r="CP1078" s="244"/>
      <c r="CQ1078" s="244"/>
      <c r="CR1078" s="244"/>
      <c r="CS1078" s="244"/>
      <c r="CT1078" s="244"/>
      <c r="CU1078" s="244"/>
      <c r="CV1078" s="244"/>
      <c r="CW1078" s="244"/>
    </row>
    <row r="1079" spans="3:101">
      <c r="C1079" s="244"/>
      <c r="D1079" s="244"/>
      <c r="E1079" s="244"/>
      <c r="F1079" s="244"/>
      <c r="G1079" s="244"/>
      <c r="H1079" s="244"/>
      <c r="I1079" s="244"/>
      <c r="J1079" s="244"/>
      <c r="K1079" s="244"/>
      <c r="L1079" s="244"/>
      <c r="M1079" s="244"/>
      <c r="N1079" s="244"/>
      <c r="O1079" s="244"/>
      <c r="P1079" s="244"/>
      <c r="Q1079" s="244"/>
      <c r="R1079" s="244"/>
      <c r="S1079" s="244"/>
      <c r="T1079" s="244"/>
      <c r="U1079" s="244"/>
      <c r="V1079" s="244"/>
      <c r="W1079" s="244"/>
      <c r="X1079" s="244"/>
      <c r="Y1079" s="244"/>
      <c r="Z1079" s="244"/>
      <c r="AA1079" s="244"/>
      <c r="AB1079" s="244"/>
      <c r="AC1079" s="244"/>
      <c r="AD1079" s="244"/>
      <c r="AE1079" s="244"/>
      <c r="AF1079" s="244"/>
      <c r="AG1079" s="244"/>
      <c r="AH1079" s="244"/>
      <c r="AI1079" s="244"/>
      <c r="AJ1079" s="244"/>
      <c r="AK1079" s="244"/>
      <c r="AL1079" s="244"/>
      <c r="AM1079" s="244"/>
      <c r="AN1079" s="244"/>
      <c r="AO1079" s="244"/>
      <c r="AP1079" s="244"/>
      <c r="AQ1079" s="244"/>
      <c r="AR1079" s="244"/>
      <c r="AS1079" s="244"/>
      <c r="AT1079" s="244"/>
      <c r="AU1079" s="244"/>
      <c r="AV1079" s="244"/>
      <c r="AW1079" s="244"/>
      <c r="AX1079" s="244"/>
      <c r="AY1079" s="244"/>
      <c r="AZ1079" s="244"/>
      <c r="BA1079" s="244"/>
      <c r="BB1079" s="244"/>
      <c r="BC1079" s="244"/>
      <c r="BD1079" s="244"/>
      <c r="BE1079" s="244"/>
      <c r="BF1079" s="244"/>
      <c r="BG1079" s="244"/>
      <c r="BH1079" s="244"/>
      <c r="BI1079" s="244"/>
      <c r="BJ1079" s="244"/>
      <c r="BK1079" s="244"/>
      <c r="BL1079" s="244"/>
      <c r="BM1079" s="244"/>
      <c r="BN1079" s="244"/>
      <c r="BO1079" s="244"/>
      <c r="BP1079" s="244"/>
      <c r="BQ1079" s="244"/>
      <c r="BR1079" s="244"/>
      <c r="BS1079" s="244"/>
      <c r="BT1079" s="244"/>
      <c r="BU1079" s="244"/>
      <c r="BV1079" s="244"/>
      <c r="BW1079" s="244"/>
      <c r="BX1079" s="244"/>
      <c r="BY1079" s="244"/>
      <c r="BZ1079" s="244"/>
      <c r="CA1079" s="244"/>
      <c r="CB1079" s="244"/>
      <c r="CC1079" s="244"/>
      <c r="CD1079" s="244"/>
      <c r="CE1079" s="244"/>
      <c r="CF1079" s="244"/>
      <c r="CG1079" s="244"/>
      <c r="CH1079" s="244"/>
      <c r="CI1079" s="244"/>
      <c r="CJ1079" s="244"/>
      <c r="CK1079" s="244"/>
      <c r="CL1079" s="244"/>
      <c r="CM1079" s="244"/>
      <c r="CN1079" s="244"/>
      <c r="CO1079" s="244"/>
      <c r="CP1079" s="244"/>
      <c r="CQ1079" s="244"/>
      <c r="CR1079" s="244"/>
      <c r="CS1079" s="244"/>
      <c r="CT1079" s="244"/>
      <c r="CU1079" s="244"/>
      <c r="CV1079" s="244"/>
      <c r="CW1079" s="244"/>
    </row>
    <row r="1080" spans="3:101">
      <c r="C1080" s="244"/>
      <c r="D1080" s="244"/>
      <c r="E1080" s="244"/>
      <c r="F1080" s="244"/>
      <c r="G1080" s="244"/>
      <c r="H1080" s="244"/>
      <c r="I1080" s="244"/>
      <c r="J1080" s="244"/>
      <c r="K1080" s="244"/>
      <c r="L1080" s="244"/>
      <c r="M1080" s="244"/>
      <c r="N1080" s="244"/>
      <c r="O1080" s="244"/>
      <c r="P1080" s="244"/>
      <c r="Q1080" s="244"/>
      <c r="R1080" s="244"/>
      <c r="S1080" s="244"/>
      <c r="T1080" s="244"/>
      <c r="U1080" s="244"/>
      <c r="V1080" s="244"/>
      <c r="W1080" s="244"/>
      <c r="X1080" s="244"/>
      <c r="Y1080" s="244"/>
      <c r="Z1080" s="244"/>
      <c r="AA1080" s="244"/>
      <c r="AB1080" s="244"/>
      <c r="AC1080" s="244"/>
      <c r="AD1080" s="244"/>
      <c r="AE1080" s="244"/>
      <c r="AF1080" s="244"/>
      <c r="AG1080" s="244"/>
      <c r="AH1080" s="244"/>
      <c r="AI1080" s="244"/>
      <c r="AJ1080" s="244"/>
      <c r="AK1080" s="244"/>
      <c r="AL1080" s="244"/>
      <c r="AM1080" s="244"/>
      <c r="AN1080" s="244"/>
      <c r="AO1080" s="244"/>
      <c r="AP1080" s="244"/>
      <c r="AQ1080" s="244"/>
      <c r="AR1080" s="244"/>
      <c r="AS1080" s="244"/>
      <c r="AT1080" s="244"/>
      <c r="AU1080" s="244"/>
      <c r="AV1080" s="244"/>
      <c r="AW1080" s="244"/>
      <c r="AX1080" s="244"/>
      <c r="AY1080" s="244"/>
      <c r="AZ1080" s="244"/>
      <c r="BA1080" s="244"/>
      <c r="BB1080" s="244"/>
      <c r="BC1080" s="244"/>
      <c r="BD1080" s="244"/>
      <c r="BE1080" s="244"/>
      <c r="BF1080" s="244"/>
      <c r="BG1080" s="244"/>
      <c r="BH1080" s="244"/>
      <c r="BI1080" s="244"/>
      <c r="BJ1080" s="244"/>
      <c r="BK1080" s="244"/>
      <c r="BL1080" s="244"/>
      <c r="BM1080" s="244"/>
      <c r="BN1080" s="244"/>
      <c r="BO1080" s="244"/>
      <c r="BP1080" s="244"/>
      <c r="BQ1080" s="244"/>
      <c r="BR1080" s="244"/>
      <c r="BS1080" s="244"/>
      <c r="BT1080" s="244"/>
      <c r="BU1080" s="244"/>
      <c r="BV1080" s="244"/>
      <c r="BW1080" s="244"/>
      <c r="BX1080" s="244"/>
      <c r="BY1080" s="244"/>
      <c r="BZ1080" s="244"/>
      <c r="CA1080" s="244"/>
      <c r="CB1080" s="244"/>
      <c r="CC1080" s="244"/>
      <c r="CD1080" s="244"/>
      <c r="CE1080" s="244"/>
      <c r="CF1080" s="244"/>
      <c r="CG1080" s="244"/>
      <c r="CH1080" s="244"/>
      <c r="CI1080" s="244"/>
      <c r="CJ1080" s="244"/>
      <c r="CK1080" s="244"/>
      <c r="CL1080" s="244"/>
      <c r="CM1080" s="244"/>
      <c r="CN1080" s="244"/>
      <c r="CO1080" s="244"/>
      <c r="CP1080" s="244"/>
      <c r="CQ1080" s="244"/>
      <c r="CR1080" s="244"/>
      <c r="CS1080" s="244"/>
      <c r="CT1080" s="244"/>
      <c r="CU1080" s="244"/>
      <c r="CV1080" s="244"/>
      <c r="CW1080" s="244"/>
    </row>
    <row r="1081" spans="3:101">
      <c r="C1081" s="244"/>
      <c r="D1081" s="244"/>
      <c r="E1081" s="244"/>
      <c r="F1081" s="244"/>
      <c r="G1081" s="244"/>
      <c r="H1081" s="244"/>
      <c r="I1081" s="244"/>
      <c r="J1081" s="244"/>
      <c r="K1081" s="244"/>
      <c r="L1081" s="244"/>
      <c r="M1081" s="244"/>
      <c r="N1081" s="244"/>
      <c r="O1081" s="244"/>
      <c r="P1081" s="244"/>
      <c r="Q1081" s="244"/>
      <c r="R1081" s="244"/>
      <c r="S1081" s="244"/>
      <c r="T1081" s="244"/>
      <c r="U1081" s="244"/>
      <c r="V1081" s="244"/>
      <c r="W1081" s="244"/>
      <c r="X1081" s="244"/>
      <c r="Y1081" s="244"/>
      <c r="Z1081" s="244"/>
      <c r="AA1081" s="244"/>
      <c r="AB1081" s="244"/>
      <c r="AC1081" s="244"/>
      <c r="AD1081" s="244"/>
      <c r="AE1081" s="244"/>
      <c r="AF1081" s="244"/>
      <c r="AG1081" s="244"/>
      <c r="AH1081" s="244"/>
      <c r="AI1081" s="244"/>
      <c r="AJ1081" s="244"/>
      <c r="AK1081" s="244"/>
      <c r="AL1081" s="244"/>
      <c r="AM1081" s="244"/>
      <c r="AN1081" s="244"/>
      <c r="AO1081" s="244"/>
      <c r="AP1081" s="244"/>
      <c r="AQ1081" s="244"/>
      <c r="AR1081" s="244"/>
      <c r="AS1081" s="244"/>
      <c r="AT1081" s="244"/>
      <c r="AU1081" s="244"/>
      <c r="AV1081" s="244"/>
      <c r="AW1081" s="244"/>
      <c r="AX1081" s="244"/>
      <c r="AY1081" s="244"/>
      <c r="AZ1081" s="244"/>
      <c r="BA1081" s="244"/>
      <c r="BB1081" s="244"/>
      <c r="BC1081" s="244"/>
      <c r="BD1081" s="244"/>
      <c r="BE1081" s="244"/>
      <c r="BF1081" s="244"/>
      <c r="BG1081" s="244"/>
      <c r="BH1081" s="244"/>
      <c r="BI1081" s="244"/>
      <c r="BJ1081" s="244"/>
      <c r="BK1081" s="244"/>
      <c r="BL1081" s="244"/>
      <c r="BM1081" s="244"/>
      <c r="BN1081" s="244"/>
      <c r="BO1081" s="244"/>
      <c r="BP1081" s="244"/>
      <c r="BQ1081" s="244"/>
      <c r="BR1081" s="244"/>
      <c r="BS1081" s="244"/>
      <c r="BT1081" s="244"/>
      <c r="BU1081" s="244"/>
      <c r="BV1081" s="244"/>
      <c r="BW1081" s="244"/>
      <c r="BX1081" s="244"/>
      <c r="BY1081" s="244"/>
      <c r="BZ1081" s="244"/>
      <c r="CA1081" s="244"/>
      <c r="CB1081" s="244"/>
      <c r="CC1081" s="244"/>
      <c r="CD1081" s="244"/>
      <c r="CE1081" s="244"/>
      <c r="CF1081" s="244"/>
      <c r="CG1081" s="244"/>
      <c r="CH1081" s="244"/>
      <c r="CI1081" s="244"/>
      <c r="CJ1081" s="244"/>
      <c r="CK1081" s="244"/>
      <c r="CL1081" s="244"/>
      <c r="CM1081" s="244"/>
      <c r="CN1081" s="244"/>
      <c r="CO1081" s="244"/>
      <c r="CP1081" s="244"/>
      <c r="CQ1081" s="244"/>
      <c r="CR1081" s="244"/>
      <c r="CS1081" s="244"/>
      <c r="CT1081" s="244"/>
      <c r="CU1081" s="244"/>
      <c r="CV1081" s="244"/>
      <c r="CW1081" s="244"/>
    </row>
    <row r="1082" spans="3:101">
      <c r="C1082" s="244"/>
      <c r="D1082" s="244"/>
      <c r="E1082" s="244"/>
      <c r="F1082" s="244"/>
      <c r="G1082" s="244"/>
      <c r="H1082" s="244"/>
      <c r="I1082" s="244"/>
      <c r="J1082" s="244"/>
      <c r="K1082" s="244"/>
      <c r="L1082" s="244"/>
      <c r="M1082" s="244"/>
      <c r="N1082" s="244"/>
      <c r="O1082" s="244"/>
      <c r="P1082" s="244"/>
      <c r="Q1082" s="244"/>
      <c r="R1082" s="244"/>
      <c r="S1082" s="244"/>
      <c r="T1082" s="244"/>
      <c r="U1082" s="244"/>
      <c r="V1082" s="244"/>
      <c r="W1082" s="244"/>
      <c r="X1082" s="244"/>
      <c r="Y1082" s="244"/>
      <c r="Z1082" s="244"/>
      <c r="AA1082" s="244"/>
      <c r="AB1082" s="244"/>
      <c r="AC1082" s="244"/>
      <c r="AD1082" s="244"/>
      <c r="AE1082" s="244"/>
      <c r="AF1082" s="244"/>
      <c r="AG1082" s="244"/>
      <c r="AH1082" s="244"/>
      <c r="AI1082" s="244"/>
      <c r="AJ1082" s="244"/>
      <c r="AK1082" s="244"/>
      <c r="AL1082" s="244"/>
      <c r="AM1082" s="244"/>
      <c r="AN1082" s="244"/>
      <c r="AO1082" s="244"/>
      <c r="AP1082" s="244"/>
      <c r="AQ1082" s="244"/>
      <c r="AR1082" s="244"/>
      <c r="AS1082" s="244"/>
      <c r="AT1082" s="244"/>
      <c r="AU1082" s="244"/>
      <c r="AV1082" s="244"/>
      <c r="AW1082" s="244"/>
      <c r="AX1082" s="244"/>
      <c r="AY1082" s="244"/>
      <c r="AZ1082" s="244"/>
      <c r="BA1082" s="244"/>
      <c r="BB1082" s="244"/>
      <c r="BC1082" s="244"/>
      <c r="BD1082" s="244"/>
      <c r="BE1082" s="244"/>
      <c r="BF1082" s="244"/>
      <c r="BG1082" s="244"/>
      <c r="BH1082" s="244"/>
      <c r="BI1082" s="244"/>
      <c r="BJ1082" s="244"/>
      <c r="BK1082" s="244"/>
      <c r="BL1082" s="244"/>
      <c r="BM1082" s="244"/>
      <c r="BN1082" s="244"/>
      <c r="BO1082" s="244"/>
      <c r="BP1082" s="244"/>
      <c r="BQ1082" s="244"/>
      <c r="BR1082" s="244"/>
      <c r="BS1082" s="244"/>
      <c r="BT1082" s="244"/>
      <c r="BU1082" s="244"/>
      <c r="BV1082" s="244"/>
      <c r="BW1082" s="244"/>
      <c r="BX1082" s="244"/>
      <c r="BY1082" s="244"/>
      <c r="BZ1082" s="244"/>
      <c r="CA1082" s="244"/>
      <c r="CB1082" s="244"/>
      <c r="CC1082" s="244"/>
      <c r="CD1082" s="244"/>
      <c r="CE1082" s="244"/>
      <c r="CF1082" s="244"/>
      <c r="CG1082" s="244"/>
      <c r="CH1082" s="244"/>
      <c r="CI1082" s="244"/>
      <c r="CJ1082" s="244"/>
      <c r="CK1082" s="244"/>
      <c r="CL1082" s="244"/>
      <c r="CM1082" s="244"/>
      <c r="CN1082" s="244"/>
      <c r="CO1082" s="244"/>
      <c r="CP1082" s="244"/>
      <c r="CQ1082" s="244"/>
      <c r="CR1082" s="244"/>
      <c r="CS1082" s="244"/>
      <c r="CT1082" s="244"/>
      <c r="CU1082" s="244"/>
      <c r="CV1082" s="244"/>
      <c r="CW1082" s="244"/>
    </row>
    <row r="1083" spans="3:101">
      <c r="C1083" s="244"/>
      <c r="D1083" s="244"/>
      <c r="E1083" s="244"/>
      <c r="F1083" s="244"/>
      <c r="G1083" s="244"/>
      <c r="H1083" s="244"/>
      <c r="I1083" s="244"/>
      <c r="J1083" s="244"/>
      <c r="K1083" s="244"/>
      <c r="L1083" s="244"/>
      <c r="M1083" s="244"/>
      <c r="N1083" s="244"/>
      <c r="O1083" s="244"/>
      <c r="P1083" s="244"/>
      <c r="Q1083" s="244"/>
      <c r="R1083" s="244"/>
      <c r="S1083" s="244"/>
      <c r="T1083" s="244"/>
      <c r="U1083" s="244"/>
      <c r="V1083" s="244"/>
      <c r="W1083" s="244"/>
      <c r="X1083" s="244"/>
      <c r="Y1083" s="244"/>
      <c r="Z1083" s="244"/>
      <c r="AA1083" s="244"/>
      <c r="AB1083" s="244"/>
      <c r="AC1083" s="244"/>
      <c r="AD1083" s="244"/>
      <c r="AE1083" s="244"/>
      <c r="AF1083" s="244"/>
      <c r="AG1083" s="244"/>
      <c r="AH1083" s="244"/>
      <c r="AI1083" s="244"/>
      <c r="AJ1083" s="244"/>
      <c r="AK1083" s="244"/>
      <c r="AL1083" s="244"/>
      <c r="AM1083" s="244"/>
      <c r="AN1083" s="244"/>
      <c r="AO1083" s="244"/>
      <c r="AP1083" s="244"/>
      <c r="AQ1083" s="244"/>
      <c r="AR1083" s="244"/>
      <c r="AS1083" s="244"/>
      <c r="AT1083" s="244"/>
      <c r="AU1083" s="244"/>
      <c r="AV1083" s="244"/>
      <c r="AW1083" s="244"/>
      <c r="AX1083" s="244"/>
      <c r="AY1083" s="244"/>
      <c r="AZ1083" s="244"/>
      <c r="BA1083" s="244"/>
      <c r="BB1083" s="244"/>
      <c r="BC1083" s="244"/>
      <c r="BD1083" s="244"/>
      <c r="BE1083" s="244"/>
      <c r="BF1083" s="244"/>
      <c r="BG1083" s="244"/>
      <c r="BH1083" s="244"/>
      <c r="BI1083" s="244"/>
      <c r="BJ1083" s="244"/>
      <c r="BK1083" s="244"/>
      <c r="BL1083" s="244"/>
      <c r="BM1083" s="244"/>
      <c r="BN1083" s="244"/>
      <c r="BO1083" s="244"/>
      <c r="BP1083" s="244"/>
      <c r="BQ1083" s="244"/>
      <c r="BR1083" s="244"/>
      <c r="BS1083" s="244"/>
      <c r="BT1083" s="244"/>
      <c r="BU1083" s="244"/>
      <c r="BV1083" s="244"/>
      <c r="BW1083" s="244"/>
      <c r="BX1083" s="244"/>
      <c r="BY1083" s="244"/>
      <c r="BZ1083" s="244"/>
      <c r="CA1083" s="244"/>
      <c r="CB1083" s="244"/>
      <c r="CC1083" s="244"/>
      <c r="CD1083" s="244"/>
      <c r="CE1083" s="244"/>
      <c r="CF1083" s="244"/>
      <c r="CG1083" s="244"/>
      <c r="CH1083" s="244"/>
      <c r="CI1083" s="244"/>
      <c r="CJ1083" s="244"/>
      <c r="CK1083" s="244"/>
      <c r="CL1083" s="244"/>
      <c r="CM1083" s="244"/>
      <c r="CN1083" s="244"/>
      <c r="CO1083" s="244"/>
      <c r="CP1083" s="244"/>
      <c r="CQ1083" s="244"/>
      <c r="CR1083" s="244"/>
      <c r="CS1083" s="244"/>
      <c r="CT1083" s="244"/>
      <c r="CU1083" s="244"/>
      <c r="CV1083" s="244"/>
      <c r="CW1083" s="244"/>
    </row>
    <row r="1084" spans="3:101">
      <c r="C1084" s="244"/>
      <c r="D1084" s="244"/>
      <c r="E1084" s="244"/>
      <c r="F1084" s="244"/>
      <c r="G1084" s="244"/>
      <c r="H1084" s="244"/>
      <c r="I1084" s="244"/>
      <c r="J1084" s="244"/>
      <c r="K1084" s="244"/>
      <c r="L1084" s="244"/>
      <c r="M1084" s="244"/>
      <c r="N1084" s="244"/>
      <c r="O1084" s="244"/>
      <c r="P1084" s="244"/>
      <c r="Q1084" s="244"/>
      <c r="R1084" s="244"/>
      <c r="S1084" s="244"/>
      <c r="T1084" s="244"/>
      <c r="U1084" s="244"/>
      <c r="V1084" s="244"/>
      <c r="W1084" s="244"/>
      <c r="X1084" s="244"/>
      <c r="Y1084" s="244"/>
      <c r="Z1084" s="244"/>
      <c r="AA1084" s="244"/>
      <c r="AB1084" s="244"/>
      <c r="AC1084" s="244"/>
      <c r="AD1084" s="244"/>
      <c r="AE1084" s="244"/>
      <c r="AF1084" s="244"/>
      <c r="AG1084" s="244"/>
      <c r="AH1084" s="244"/>
      <c r="AI1084" s="244"/>
      <c r="AJ1084" s="244"/>
      <c r="AK1084" s="244"/>
      <c r="AL1084" s="244"/>
      <c r="AM1084" s="244"/>
      <c r="AN1084" s="244"/>
      <c r="AO1084" s="244"/>
      <c r="AP1084" s="244"/>
      <c r="AQ1084" s="244"/>
      <c r="AR1084" s="244"/>
      <c r="AS1084" s="244"/>
      <c r="AT1084" s="244"/>
      <c r="AU1084" s="244"/>
      <c r="AV1084" s="244"/>
      <c r="AW1084" s="244"/>
      <c r="AX1084" s="244"/>
      <c r="AY1084" s="244"/>
      <c r="AZ1084" s="244"/>
      <c r="BA1084" s="244"/>
      <c r="BB1084" s="244"/>
      <c r="BC1084" s="244"/>
      <c r="BD1084" s="244"/>
      <c r="BE1084" s="244"/>
      <c r="BF1084" s="244"/>
      <c r="BG1084" s="244"/>
      <c r="BH1084" s="244"/>
      <c r="BI1084" s="244"/>
      <c r="BJ1084" s="244"/>
      <c r="BK1084" s="244"/>
      <c r="BL1084" s="244"/>
      <c r="BM1084" s="244"/>
      <c r="BN1084" s="244"/>
      <c r="BO1084" s="244"/>
      <c r="BP1084" s="244"/>
      <c r="BQ1084" s="244"/>
      <c r="BR1084" s="244"/>
      <c r="BS1084" s="244"/>
      <c r="BT1084" s="244"/>
      <c r="BU1084" s="244"/>
      <c r="BV1084" s="244"/>
      <c r="BW1084" s="244"/>
      <c r="BX1084" s="244"/>
      <c r="BY1084" s="244"/>
      <c r="BZ1084" s="244"/>
      <c r="CA1084" s="244"/>
      <c r="CB1084" s="244"/>
      <c r="CC1084" s="244"/>
      <c r="CD1084" s="244"/>
      <c r="CE1084" s="244"/>
      <c r="CF1084" s="244"/>
      <c r="CG1084" s="244"/>
      <c r="CH1084" s="244"/>
      <c r="CI1084" s="244"/>
      <c r="CJ1084" s="244"/>
      <c r="CK1084" s="244"/>
      <c r="CL1084" s="244"/>
      <c r="CM1084" s="244"/>
      <c r="CN1084" s="244"/>
      <c r="CO1084" s="244"/>
      <c r="CP1084" s="244"/>
      <c r="CQ1084" s="244"/>
      <c r="CR1084" s="244"/>
      <c r="CS1084" s="244"/>
      <c r="CT1084" s="244"/>
      <c r="CU1084" s="244"/>
      <c r="CV1084" s="244"/>
      <c r="CW1084" s="244"/>
    </row>
    <row r="1085" spans="3:101">
      <c r="C1085" s="244"/>
      <c r="D1085" s="244"/>
      <c r="E1085" s="244"/>
      <c r="F1085" s="244"/>
      <c r="G1085" s="244"/>
      <c r="H1085" s="244"/>
      <c r="I1085" s="244"/>
      <c r="J1085" s="244"/>
      <c r="K1085" s="244"/>
      <c r="L1085" s="244"/>
      <c r="M1085" s="244"/>
      <c r="N1085" s="244"/>
      <c r="O1085" s="244"/>
      <c r="P1085" s="244"/>
      <c r="Q1085" s="244"/>
      <c r="R1085" s="244"/>
      <c r="S1085" s="244"/>
      <c r="T1085" s="244"/>
      <c r="U1085" s="244"/>
      <c r="V1085" s="244"/>
      <c r="W1085" s="244"/>
      <c r="X1085" s="244"/>
      <c r="Y1085" s="244"/>
      <c r="Z1085" s="244"/>
      <c r="AA1085" s="244"/>
      <c r="AB1085" s="244"/>
      <c r="AC1085" s="244"/>
      <c r="AD1085" s="244"/>
      <c r="AE1085" s="244"/>
      <c r="AF1085" s="244"/>
      <c r="AG1085" s="244"/>
      <c r="AH1085" s="244"/>
      <c r="AI1085" s="244"/>
      <c r="AJ1085" s="244"/>
      <c r="AK1085" s="244"/>
      <c r="AL1085" s="244"/>
      <c r="AM1085" s="244"/>
      <c r="AN1085" s="244"/>
      <c r="AO1085" s="244"/>
      <c r="AP1085" s="244"/>
      <c r="AQ1085" s="244"/>
      <c r="AR1085" s="244"/>
      <c r="AS1085" s="244"/>
      <c r="AT1085" s="244"/>
      <c r="AU1085" s="244"/>
      <c r="AV1085" s="244"/>
      <c r="AW1085" s="244"/>
      <c r="AX1085" s="244"/>
      <c r="AY1085" s="244"/>
      <c r="AZ1085" s="244"/>
      <c r="BA1085" s="244"/>
      <c r="BB1085" s="244"/>
      <c r="BC1085" s="244"/>
      <c r="BD1085" s="244"/>
      <c r="BE1085" s="244"/>
      <c r="BF1085" s="244"/>
      <c r="BG1085" s="244"/>
      <c r="BH1085" s="244"/>
      <c r="BI1085" s="244"/>
      <c r="BJ1085" s="244"/>
      <c r="BK1085" s="244"/>
      <c r="BL1085" s="244"/>
      <c r="BM1085" s="244"/>
      <c r="BN1085" s="244"/>
      <c r="BO1085" s="244"/>
      <c r="BP1085" s="244"/>
      <c r="BQ1085" s="244"/>
      <c r="BR1085" s="244"/>
      <c r="BS1085" s="244"/>
      <c r="BT1085" s="244"/>
      <c r="BU1085" s="244"/>
      <c r="BV1085" s="244"/>
      <c r="BW1085" s="244"/>
      <c r="BX1085" s="244"/>
      <c r="BY1085" s="244"/>
      <c r="BZ1085" s="244"/>
      <c r="CA1085" s="244"/>
      <c r="CB1085" s="244"/>
      <c r="CC1085" s="244"/>
      <c r="CD1085" s="244"/>
      <c r="CE1085" s="244"/>
      <c r="CF1085" s="244"/>
      <c r="CG1085" s="244"/>
      <c r="CH1085" s="244"/>
      <c r="CI1085" s="244"/>
      <c r="CJ1085" s="244"/>
      <c r="CK1085" s="244"/>
      <c r="CL1085" s="244"/>
      <c r="CM1085" s="244"/>
      <c r="CN1085" s="244"/>
      <c r="CO1085" s="244"/>
      <c r="CP1085" s="244"/>
      <c r="CQ1085" s="244"/>
      <c r="CR1085" s="244"/>
      <c r="CS1085" s="244"/>
      <c r="CT1085" s="244"/>
      <c r="CU1085" s="244"/>
      <c r="CV1085" s="244"/>
      <c r="CW1085" s="244"/>
    </row>
    <row r="1086" spans="3:101">
      <c r="C1086" s="244"/>
      <c r="D1086" s="244"/>
      <c r="E1086" s="244"/>
      <c r="F1086" s="244"/>
      <c r="G1086" s="244"/>
      <c r="H1086" s="244"/>
      <c r="I1086" s="244"/>
      <c r="J1086" s="244"/>
      <c r="K1086" s="244"/>
      <c r="L1086" s="244"/>
      <c r="M1086" s="244"/>
      <c r="N1086" s="244"/>
      <c r="O1086" s="244"/>
      <c r="P1086" s="244"/>
      <c r="Q1086" s="244"/>
      <c r="R1086" s="244"/>
      <c r="S1086" s="244"/>
      <c r="T1086" s="244"/>
      <c r="U1086" s="244"/>
      <c r="V1086" s="244"/>
      <c r="W1086" s="244"/>
      <c r="X1086" s="244"/>
      <c r="Y1086" s="244"/>
      <c r="Z1086" s="244"/>
      <c r="AA1086" s="244"/>
      <c r="AB1086" s="244"/>
      <c r="AC1086" s="244"/>
      <c r="AD1086" s="244"/>
      <c r="AE1086" s="244"/>
      <c r="AF1086" s="244"/>
      <c r="AG1086" s="244"/>
      <c r="AH1086" s="244"/>
      <c r="AI1086" s="244"/>
      <c r="AJ1086" s="244"/>
      <c r="AK1086" s="244"/>
      <c r="AL1086" s="244"/>
      <c r="AM1086" s="244"/>
      <c r="AN1086" s="244"/>
      <c r="AO1086" s="244"/>
      <c r="AP1086" s="244"/>
      <c r="AQ1086" s="244"/>
      <c r="AR1086" s="244"/>
      <c r="AS1086" s="244"/>
      <c r="AT1086" s="244"/>
      <c r="AU1086" s="244"/>
      <c r="AV1086" s="244"/>
      <c r="AW1086" s="244"/>
      <c r="AX1086" s="244"/>
      <c r="AY1086" s="244"/>
      <c r="AZ1086" s="244"/>
      <c r="BA1086" s="244"/>
      <c r="BB1086" s="244"/>
      <c r="BC1086" s="244"/>
      <c r="BD1086" s="244"/>
      <c r="BE1086" s="244"/>
      <c r="BF1086" s="244"/>
      <c r="BG1086" s="244"/>
      <c r="BH1086" s="244"/>
      <c r="BI1086" s="244"/>
      <c r="BJ1086" s="244"/>
      <c r="BK1086" s="244"/>
      <c r="BL1086" s="244"/>
      <c r="BM1086" s="244"/>
      <c r="BN1086" s="244"/>
      <c r="BO1086" s="244"/>
      <c r="BP1086" s="244"/>
      <c r="BQ1086" s="244"/>
      <c r="BR1086" s="244"/>
      <c r="BS1086" s="244"/>
      <c r="BT1086" s="244"/>
      <c r="BU1086" s="244"/>
      <c r="BV1086" s="244"/>
      <c r="BW1086" s="244"/>
      <c r="BX1086" s="244"/>
      <c r="BY1086" s="244"/>
      <c r="BZ1086" s="244"/>
      <c r="CA1086" s="244"/>
      <c r="CB1086" s="244"/>
      <c r="CC1086" s="244"/>
      <c r="CD1086" s="244"/>
      <c r="CE1086" s="244"/>
      <c r="CF1086" s="244"/>
      <c r="CG1086" s="244"/>
      <c r="CH1086" s="244"/>
      <c r="CI1086" s="244"/>
      <c r="CJ1086" s="244"/>
      <c r="CK1086" s="244"/>
      <c r="CL1086" s="244"/>
      <c r="CM1086" s="244"/>
      <c r="CN1086" s="244"/>
      <c r="CO1086" s="244"/>
      <c r="CP1086" s="244"/>
      <c r="CQ1086" s="244"/>
      <c r="CR1086" s="244"/>
      <c r="CS1086" s="244"/>
      <c r="CT1086" s="244"/>
      <c r="CU1086" s="244"/>
      <c r="CV1086" s="244"/>
      <c r="CW1086" s="244"/>
    </row>
    <row r="1087" spans="3:101">
      <c r="C1087" s="244"/>
      <c r="D1087" s="244"/>
      <c r="E1087" s="244"/>
      <c r="F1087" s="244"/>
      <c r="G1087" s="244"/>
      <c r="H1087" s="244"/>
      <c r="I1087" s="244"/>
      <c r="J1087" s="244"/>
      <c r="K1087" s="244"/>
      <c r="L1087" s="244"/>
      <c r="M1087" s="244"/>
      <c r="N1087" s="244"/>
      <c r="O1087" s="244"/>
      <c r="P1087" s="244"/>
      <c r="Q1087" s="244"/>
      <c r="R1087" s="244"/>
      <c r="S1087" s="244"/>
      <c r="T1087" s="244"/>
      <c r="U1087" s="244"/>
      <c r="V1087" s="244"/>
      <c r="W1087" s="244"/>
      <c r="X1087" s="244"/>
      <c r="Y1087" s="244"/>
      <c r="Z1087" s="244"/>
      <c r="AA1087" s="244"/>
      <c r="AB1087" s="244"/>
      <c r="AC1087" s="244"/>
      <c r="AD1087" s="244"/>
      <c r="AE1087" s="244"/>
      <c r="AF1087" s="244"/>
      <c r="AG1087" s="244"/>
      <c r="AH1087" s="244"/>
      <c r="AI1087" s="244"/>
      <c r="AJ1087" s="244"/>
      <c r="AK1087" s="244"/>
      <c r="AL1087" s="244"/>
      <c r="AM1087" s="244"/>
      <c r="AN1087" s="244"/>
      <c r="AO1087" s="244"/>
      <c r="AP1087" s="244"/>
      <c r="AQ1087" s="244"/>
      <c r="AR1087" s="244"/>
      <c r="AS1087" s="244"/>
      <c r="AT1087" s="244"/>
      <c r="AU1087" s="244"/>
      <c r="AV1087" s="244"/>
      <c r="AW1087" s="244"/>
      <c r="AX1087" s="244"/>
      <c r="AY1087" s="244"/>
      <c r="AZ1087" s="244"/>
      <c r="BA1087" s="244"/>
      <c r="BB1087" s="244"/>
      <c r="BC1087" s="244"/>
      <c r="BD1087" s="244"/>
      <c r="BE1087" s="244"/>
      <c r="BF1087" s="244"/>
      <c r="BG1087" s="244"/>
      <c r="BH1087" s="244"/>
      <c r="BI1087" s="244"/>
      <c r="BJ1087" s="244"/>
      <c r="BK1087" s="244"/>
      <c r="BL1087" s="244"/>
      <c r="BM1087" s="244"/>
      <c r="BN1087" s="244"/>
      <c r="BO1087" s="244"/>
      <c r="BP1087" s="244"/>
      <c r="BQ1087" s="244"/>
      <c r="BR1087" s="244"/>
      <c r="BS1087" s="244"/>
      <c r="BT1087" s="244"/>
      <c r="BU1087" s="244"/>
      <c r="BV1087" s="244"/>
      <c r="BW1087" s="244"/>
      <c r="BX1087" s="244"/>
      <c r="BY1087" s="244"/>
      <c r="BZ1087" s="244"/>
      <c r="CA1087" s="244"/>
      <c r="CB1087" s="244"/>
      <c r="CC1087" s="244"/>
      <c r="CD1087" s="244"/>
      <c r="CE1087" s="244"/>
      <c r="CF1087" s="244"/>
      <c r="CG1087" s="244"/>
      <c r="CH1087" s="244"/>
      <c r="CI1087" s="244"/>
      <c r="CJ1087" s="244"/>
      <c r="CK1087" s="244"/>
      <c r="CL1087" s="244"/>
      <c r="CM1087" s="244"/>
      <c r="CN1087" s="244"/>
      <c r="CO1087" s="244"/>
      <c r="CP1087" s="244"/>
      <c r="CQ1087" s="244"/>
      <c r="CR1087" s="244"/>
      <c r="CS1087" s="244"/>
      <c r="CT1087" s="244"/>
      <c r="CU1087" s="244"/>
      <c r="CV1087" s="244"/>
      <c r="CW1087" s="244"/>
    </row>
    <row r="1088" spans="3:101">
      <c r="C1088" s="244"/>
      <c r="D1088" s="244"/>
      <c r="E1088" s="244"/>
      <c r="F1088" s="244"/>
      <c r="G1088" s="244"/>
      <c r="H1088" s="244"/>
      <c r="I1088" s="244"/>
      <c r="J1088" s="244"/>
      <c r="K1088" s="244"/>
      <c r="L1088" s="244"/>
      <c r="M1088" s="244"/>
      <c r="N1088" s="244"/>
      <c r="O1088" s="244"/>
      <c r="P1088" s="244"/>
      <c r="Q1088" s="244"/>
      <c r="R1088" s="244"/>
      <c r="S1088" s="244"/>
      <c r="T1088" s="244"/>
      <c r="U1088" s="244"/>
      <c r="V1088" s="244"/>
      <c r="W1088" s="244"/>
      <c r="X1088" s="244"/>
      <c r="Y1088" s="244"/>
      <c r="Z1088" s="244"/>
      <c r="AA1088" s="244"/>
      <c r="AB1088" s="244"/>
      <c r="AC1088" s="244"/>
      <c r="AD1088" s="244"/>
      <c r="AE1088" s="244"/>
      <c r="AF1088" s="244"/>
      <c r="AG1088" s="244"/>
      <c r="AH1088" s="244"/>
      <c r="AI1088" s="244"/>
      <c r="AJ1088" s="244"/>
      <c r="AK1088" s="244"/>
      <c r="AL1088" s="244"/>
      <c r="AM1088" s="244"/>
      <c r="AN1088" s="244"/>
      <c r="AO1088" s="244"/>
      <c r="AP1088" s="244"/>
      <c r="AQ1088" s="244"/>
      <c r="AR1088" s="244"/>
      <c r="AS1088" s="244"/>
      <c r="AT1088" s="244"/>
      <c r="AU1088" s="244"/>
      <c r="AV1088" s="244"/>
      <c r="AW1088" s="244"/>
      <c r="AX1088" s="244"/>
      <c r="AY1088" s="244"/>
      <c r="AZ1088" s="244"/>
      <c r="BA1088" s="244"/>
      <c r="BB1088" s="244"/>
      <c r="BC1088" s="244"/>
      <c r="BD1088" s="244"/>
      <c r="BE1088" s="244"/>
      <c r="BF1088" s="244"/>
      <c r="BG1088" s="244"/>
      <c r="BH1088" s="244"/>
      <c r="BI1088" s="244"/>
      <c r="BJ1088" s="244"/>
      <c r="BK1088" s="244"/>
      <c r="BL1088" s="244"/>
      <c r="BM1088" s="244"/>
      <c r="BN1088" s="244"/>
      <c r="BO1088" s="244"/>
      <c r="BP1088" s="244"/>
      <c r="BQ1088" s="244"/>
      <c r="BR1088" s="244"/>
      <c r="BS1088" s="244"/>
      <c r="BT1088" s="244"/>
      <c r="BU1088" s="244"/>
      <c r="BV1088" s="244"/>
      <c r="BW1088" s="244"/>
      <c r="BX1088" s="244"/>
      <c r="BY1088" s="244"/>
      <c r="BZ1088" s="244"/>
      <c r="CA1088" s="244"/>
      <c r="CB1088" s="244"/>
      <c r="CC1088" s="244"/>
      <c r="CD1088" s="244"/>
      <c r="CE1088" s="244"/>
      <c r="CF1088" s="244"/>
      <c r="CG1088" s="244"/>
      <c r="CH1088" s="244"/>
      <c r="CI1088" s="244"/>
      <c r="CJ1088" s="244"/>
      <c r="CK1088" s="244"/>
      <c r="CL1088" s="244"/>
      <c r="CM1088" s="244"/>
      <c r="CN1088" s="244"/>
      <c r="CO1088" s="244"/>
      <c r="CP1088" s="244"/>
      <c r="CQ1088" s="244"/>
      <c r="CR1088" s="244"/>
      <c r="CS1088" s="244"/>
      <c r="CT1088" s="244"/>
      <c r="CU1088" s="244"/>
      <c r="CV1088" s="244"/>
      <c r="CW1088" s="244"/>
    </row>
    <row r="1089" spans="3:101">
      <c r="C1089" s="244"/>
      <c r="D1089" s="244"/>
      <c r="E1089" s="244"/>
      <c r="F1089" s="244"/>
      <c r="G1089" s="244"/>
      <c r="H1089" s="244"/>
      <c r="I1089" s="244"/>
      <c r="J1089" s="244"/>
      <c r="K1089" s="244"/>
      <c r="L1089" s="244"/>
      <c r="M1089" s="244"/>
      <c r="N1089" s="244"/>
      <c r="O1089" s="244"/>
      <c r="P1089" s="244"/>
      <c r="Q1089" s="244"/>
      <c r="R1089" s="244"/>
      <c r="S1089" s="244"/>
      <c r="T1089" s="244"/>
      <c r="U1089" s="244"/>
      <c r="V1089" s="244"/>
      <c r="W1089" s="244"/>
      <c r="X1089" s="244"/>
      <c r="Y1089" s="244"/>
      <c r="Z1089" s="244"/>
      <c r="AA1089" s="244"/>
      <c r="AB1089" s="244"/>
      <c r="AC1089" s="244"/>
      <c r="AD1089" s="244"/>
      <c r="AE1089" s="244"/>
      <c r="AF1089" s="244"/>
      <c r="AG1089" s="244"/>
      <c r="AH1089" s="244"/>
      <c r="AI1089" s="244"/>
      <c r="AJ1089" s="244"/>
      <c r="AK1089" s="244"/>
      <c r="AL1089" s="244"/>
      <c r="AM1089" s="244"/>
      <c r="AN1089" s="244"/>
      <c r="AO1089" s="244"/>
      <c r="AP1089" s="244"/>
      <c r="AQ1089" s="244"/>
      <c r="AR1089" s="244"/>
      <c r="AS1089" s="244"/>
      <c r="AT1089" s="244"/>
      <c r="AU1089" s="244"/>
      <c r="AV1089" s="244"/>
      <c r="AW1089" s="244"/>
      <c r="AX1089" s="244"/>
      <c r="AY1089" s="244"/>
      <c r="AZ1089" s="244"/>
      <c r="BA1089" s="244"/>
      <c r="BB1089" s="244"/>
      <c r="BC1089" s="244"/>
      <c r="BD1089" s="244"/>
      <c r="BE1089" s="244"/>
      <c r="BF1089" s="244"/>
      <c r="BG1089" s="244"/>
      <c r="BH1089" s="244"/>
      <c r="BI1089" s="244"/>
      <c r="BJ1089" s="244"/>
      <c r="BK1089" s="244"/>
      <c r="BL1089" s="244"/>
      <c r="BM1089" s="244"/>
      <c r="BN1089" s="244"/>
      <c r="BO1089" s="244"/>
      <c r="BP1089" s="244"/>
      <c r="BQ1089" s="244"/>
      <c r="BR1089" s="244"/>
      <c r="BS1089" s="244"/>
      <c r="BT1089" s="244"/>
      <c r="BU1089" s="244"/>
      <c r="BV1089" s="244"/>
      <c r="BW1089" s="244"/>
      <c r="BX1089" s="244"/>
      <c r="BY1089" s="244"/>
      <c r="BZ1089" s="244"/>
      <c r="CA1089" s="244"/>
      <c r="CB1089" s="244"/>
      <c r="CC1089" s="244"/>
      <c r="CD1089" s="244"/>
      <c r="CE1089" s="244"/>
      <c r="CF1089" s="244"/>
      <c r="CG1089" s="244"/>
      <c r="CH1089" s="244"/>
      <c r="CI1089" s="244"/>
      <c r="CJ1089" s="244"/>
      <c r="CK1089" s="244"/>
      <c r="CL1089" s="244"/>
      <c r="CM1089" s="244"/>
      <c r="CN1089" s="244"/>
      <c r="CO1089" s="244"/>
      <c r="CP1089" s="244"/>
      <c r="CQ1089" s="244"/>
      <c r="CR1089" s="244"/>
      <c r="CS1089" s="244"/>
      <c r="CT1089" s="244"/>
      <c r="CU1089" s="244"/>
      <c r="CV1089" s="244"/>
      <c r="CW1089" s="244"/>
    </row>
    <row r="1090" spans="3:101">
      <c r="C1090" s="244"/>
      <c r="D1090" s="244"/>
      <c r="E1090" s="244"/>
      <c r="F1090" s="244"/>
      <c r="G1090" s="244"/>
      <c r="H1090" s="244"/>
      <c r="I1090" s="244"/>
      <c r="J1090" s="244"/>
      <c r="K1090" s="244"/>
      <c r="L1090" s="244"/>
      <c r="M1090" s="244"/>
      <c r="N1090" s="244"/>
      <c r="O1090" s="244"/>
      <c r="P1090" s="244"/>
      <c r="Q1090" s="244"/>
      <c r="R1090" s="244"/>
      <c r="S1090" s="244"/>
      <c r="T1090" s="244"/>
      <c r="U1090" s="244"/>
      <c r="V1090" s="244"/>
      <c r="W1090" s="244"/>
      <c r="X1090" s="244"/>
      <c r="Y1090" s="244"/>
      <c r="Z1090" s="244"/>
      <c r="AA1090" s="244"/>
      <c r="AB1090" s="244"/>
      <c r="AC1090" s="244"/>
      <c r="AD1090" s="244"/>
      <c r="AE1090" s="244"/>
      <c r="AF1090" s="244"/>
      <c r="AG1090" s="244"/>
      <c r="AH1090" s="244"/>
      <c r="AI1090" s="244"/>
      <c r="AJ1090" s="244"/>
      <c r="AK1090" s="244"/>
      <c r="AL1090" s="244"/>
      <c r="AM1090" s="244"/>
      <c r="AN1090" s="244"/>
      <c r="AO1090" s="244"/>
      <c r="AP1090" s="244"/>
      <c r="AQ1090" s="244"/>
      <c r="AR1090" s="244"/>
      <c r="AS1090" s="244"/>
      <c r="AT1090" s="244"/>
      <c r="AU1090" s="244"/>
      <c r="AV1090" s="244"/>
      <c r="AW1090" s="244"/>
      <c r="AX1090" s="244"/>
      <c r="AY1090" s="244"/>
      <c r="AZ1090" s="244"/>
      <c r="BA1090" s="244"/>
      <c r="BB1090" s="244"/>
      <c r="BC1090" s="244"/>
      <c r="BD1090" s="244"/>
      <c r="BE1090" s="244"/>
      <c r="BF1090" s="244"/>
      <c r="BG1090" s="244"/>
      <c r="BH1090" s="244"/>
      <c r="BI1090" s="244"/>
      <c r="BJ1090" s="244"/>
      <c r="BK1090" s="244"/>
      <c r="BL1090" s="244"/>
      <c r="BM1090" s="244"/>
      <c r="BN1090" s="244"/>
      <c r="BO1090" s="244"/>
      <c r="BP1090" s="244"/>
      <c r="BQ1090" s="244"/>
      <c r="BR1090" s="244"/>
      <c r="BS1090" s="244"/>
      <c r="BT1090" s="244"/>
      <c r="BU1090" s="244"/>
      <c r="BV1090" s="244"/>
      <c r="BW1090" s="244"/>
      <c r="BX1090" s="244"/>
      <c r="BY1090" s="244"/>
      <c r="BZ1090" s="244"/>
      <c r="CA1090" s="244"/>
      <c r="CB1090" s="244"/>
      <c r="CC1090" s="244"/>
      <c r="CD1090" s="244"/>
      <c r="CE1090" s="244"/>
      <c r="CF1090" s="244"/>
      <c r="CG1090" s="244"/>
      <c r="CH1090" s="244"/>
      <c r="CI1090" s="244"/>
      <c r="CJ1090" s="244"/>
      <c r="CK1090" s="244"/>
      <c r="CL1090" s="244"/>
      <c r="CM1090" s="244"/>
      <c r="CN1090" s="244"/>
      <c r="CO1090" s="244"/>
      <c r="CP1090" s="244"/>
      <c r="CQ1090" s="244"/>
      <c r="CR1090" s="244"/>
      <c r="CS1090" s="244"/>
      <c r="CT1090" s="244"/>
      <c r="CU1090" s="244"/>
      <c r="CV1090" s="244"/>
      <c r="CW1090" s="244"/>
    </row>
    <row r="1091" spans="3:101">
      <c r="C1091" s="244"/>
      <c r="D1091" s="244"/>
      <c r="E1091" s="244"/>
      <c r="F1091" s="244"/>
      <c r="G1091" s="244"/>
      <c r="H1091" s="244"/>
      <c r="I1091" s="244"/>
      <c r="J1091" s="244"/>
      <c r="K1091" s="244"/>
      <c r="L1091" s="244"/>
      <c r="M1091" s="244"/>
      <c r="N1091" s="244"/>
      <c r="O1091" s="244"/>
      <c r="P1091" s="244"/>
      <c r="Q1091" s="244"/>
      <c r="R1091" s="244"/>
      <c r="S1091" s="244"/>
      <c r="T1091" s="244"/>
      <c r="U1091" s="244"/>
      <c r="V1091" s="244"/>
      <c r="W1091" s="244"/>
      <c r="X1091" s="244"/>
      <c r="Y1091" s="244"/>
      <c r="Z1091" s="244"/>
      <c r="AA1091" s="244"/>
      <c r="AB1091" s="244"/>
      <c r="AC1091" s="244"/>
      <c r="AD1091" s="244"/>
      <c r="AE1091" s="244"/>
      <c r="AF1091" s="244"/>
      <c r="AG1091" s="244"/>
      <c r="AH1091" s="244"/>
      <c r="AI1091" s="244"/>
      <c r="AJ1091" s="244"/>
      <c r="AK1091" s="244"/>
      <c r="AL1091" s="244"/>
      <c r="AM1091" s="244"/>
      <c r="AN1091" s="244"/>
      <c r="AO1091" s="244"/>
      <c r="AP1091" s="244"/>
      <c r="AQ1091" s="244"/>
      <c r="AR1091" s="244"/>
      <c r="AS1091" s="244"/>
      <c r="AT1091" s="244"/>
      <c r="AU1091" s="244"/>
      <c r="AV1091" s="244"/>
      <c r="AW1091" s="244"/>
      <c r="AX1091" s="244"/>
      <c r="AY1091" s="244"/>
      <c r="AZ1091" s="244"/>
      <c r="BA1091" s="244"/>
      <c r="BB1091" s="244"/>
      <c r="BC1091" s="244"/>
      <c r="BD1091" s="244"/>
      <c r="BE1091" s="244"/>
      <c r="BF1091" s="244"/>
      <c r="BG1091" s="244"/>
      <c r="BH1091" s="244"/>
      <c r="BI1091" s="244"/>
      <c r="BJ1091" s="244"/>
      <c r="BK1091" s="244"/>
      <c r="BL1091" s="244"/>
      <c r="BM1091" s="244"/>
      <c r="BN1091" s="244"/>
      <c r="BO1091" s="244"/>
      <c r="BP1091" s="244"/>
      <c r="BQ1091" s="244"/>
      <c r="BR1091" s="244"/>
      <c r="BS1091" s="244"/>
      <c r="BT1091" s="244"/>
      <c r="BU1091" s="244"/>
      <c r="BV1091" s="244"/>
      <c r="BW1091" s="244"/>
      <c r="BX1091" s="244"/>
      <c r="BY1091" s="244"/>
      <c r="BZ1091" s="244"/>
      <c r="CA1091" s="244"/>
      <c r="CB1091" s="244"/>
      <c r="CC1091" s="244"/>
      <c r="CD1091" s="244"/>
      <c r="CE1091" s="244"/>
      <c r="CF1091" s="244"/>
      <c r="CG1091" s="244"/>
      <c r="CH1091" s="244"/>
      <c r="CI1091" s="244"/>
      <c r="CJ1091" s="244"/>
      <c r="CK1091" s="244"/>
      <c r="CL1091" s="244"/>
      <c r="CM1091" s="244"/>
      <c r="CN1091" s="244"/>
      <c r="CO1091" s="244"/>
      <c r="CP1091" s="244"/>
      <c r="CQ1091" s="244"/>
      <c r="CR1091" s="244"/>
      <c r="CS1091" s="244"/>
      <c r="CT1091" s="244"/>
      <c r="CU1091" s="244"/>
      <c r="CV1091" s="244"/>
      <c r="CW1091" s="244"/>
    </row>
    <row r="1092" spans="3:101">
      <c r="C1092" s="244"/>
      <c r="D1092" s="244"/>
      <c r="E1092" s="244"/>
      <c r="F1092" s="244"/>
      <c r="G1092" s="244"/>
      <c r="H1092" s="244"/>
      <c r="I1092" s="244"/>
      <c r="J1092" s="244"/>
      <c r="K1092" s="244"/>
      <c r="L1092" s="244"/>
      <c r="M1092" s="244"/>
      <c r="N1092" s="244"/>
      <c r="O1092" s="244"/>
      <c r="P1092" s="244"/>
      <c r="Q1092" s="244"/>
      <c r="R1092" s="244"/>
      <c r="S1092" s="244"/>
      <c r="T1092" s="244"/>
      <c r="U1092" s="244"/>
      <c r="V1092" s="244"/>
      <c r="W1092" s="244"/>
      <c r="X1092" s="244"/>
      <c r="Y1092" s="244"/>
      <c r="Z1092" s="244"/>
      <c r="AA1092" s="244"/>
      <c r="AB1092" s="244"/>
      <c r="AC1092" s="244"/>
      <c r="AD1092" s="244"/>
      <c r="AE1092" s="244"/>
      <c r="AF1092" s="244"/>
      <c r="AG1092" s="244"/>
      <c r="AH1092" s="244"/>
      <c r="AI1092" s="244"/>
      <c r="AJ1092" s="244"/>
      <c r="AK1092" s="244"/>
      <c r="AL1092" s="244"/>
      <c r="AM1092" s="244"/>
      <c r="AN1092" s="244"/>
      <c r="AO1092" s="244"/>
      <c r="AP1092" s="244"/>
      <c r="AQ1092" s="244"/>
      <c r="AR1092" s="244"/>
      <c r="AS1092" s="244"/>
      <c r="AT1092" s="244"/>
      <c r="AU1092" s="244"/>
      <c r="AV1092" s="244"/>
      <c r="AW1092" s="244"/>
      <c r="AX1092" s="244"/>
      <c r="AY1092" s="244"/>
      <c r="AZ1092" s="244"/>
      <c r="BA1092" s="244"/>
      <c r="BB1092" s="244"/>
      <c r="BC1092" s="244"/>
      <c r="BD1092" s="244"/>
      <c r="BE1092" s="244"/>
      <c r="BF1092" s="244"/>
      <c r="BG1092" s="244"/>
      <c r="BH1092" s="244"/>
      <c r="BI1092" s="244"/>
      <c r="BJ1092" s="244"/>
      <c r="BK1092" s="244"/>
      <c r="BL1092" s="244"/>
      <c r="BM1092" s="244"/>
      <c r="BN1092" s="244"/>
      <c r="BO1092" s="244"/>
      <c r="BP1092" s="244"/>
      <c r="BQ1092" s="244"/>
      <c r="BR1092" s="244"/>
      <c r="BS1092" s="244"/>
      <c r="BT1092" s="244"/>
      <c r="BU1092" s="244"/>
      <c r="BV1092" s="244"/>
      <c r="BW1092" s="244"/>
      <c r="BX1092" s="244"/>
      <c r="BY1092" s="244"/>
      <c r="BZ1092" s="244"/>
      <c r="CA1092" s="244"/>
      <c r="CB1092" s="244"/>
      <c r="CC1092" s="244"/>
      <c r="CD1092" s="244"/>
      <c r="CE1092" s="244"/>
      <c r="CF1092" s="244"/>
      <c r="CG1092" s="244"/>
      <c r="CH1092" s="244"/>
      <c r="CI1092" s="244"/>
      <c r="CJ1092" s="244"/>
      <c r="CK1092" s="244"/>
      <c r="CL1092" s="244"/>
      <c r="CM1092" s="244"/>
      <c r="CN1092" s="244"/>
      <c r="CO1092" s="244"/>
      <c r="CP1092" s="244"/>
      <c r="CQ1092" s="244"/>
      <c r="CR1092" s="244"/>
      <c r="CS1092" s="244"/>
      <c r="CT1092" s="244"/>
      <c r="CU1092" s="244"/>
      <c r="CV1092" s="244"/>
      <c r="CW1092" s="244"/>
    </row>
    <row r="1093" spans="3:101">
      <c r="C1093" s="244"/>
      <c r="D1093" s="244"/>
      <c r="E1093" s="244"/>
      <c r="F1093" s="244"/>
      <c r="G1093" s="244"/>
      <c r="H1093" s="244"/>
      <c r="I1093" s="244"/>
      <c r="J1093" s="244"/>
      <c r="K1093" s="244"/>
      <c r="L1093" s="244"/>
      <c r="M1093" s="244"/>
      <c r="N1093" s="244"/>
      <c r="O1093" s="244"/>
      <c r="P1093" s="244"/>
      <c r="Q1093" s="244"/>
      <c r="R1093" s="244"/>
      <c r="S1093" s="244"/>
      <c r="T1093" s="244"/>
      <c r="U1093" s="244"/>
      <c r="V1093" s="244"/>
      <c r="W1093" s="244"/>
      <c r="X1093" s="244"/>
      <c r="Y1093" s="244"/>
      <c r="Z1093" s="244"/>
      <c r="AA1093" s="244"/>
      <c r="AB1093" s="244"/>
      <c r="AC1093" s="244"/>
      <c r="AD1093" s="244"/>
      <c r="AE1093" s="244"/>
      <c r="AF1093" s="244"/>
      <c r="AG1093" s="244"/>
      <c r="AH1093" s="244"/>
      <c r="AI1093" s="244"/>
      <c r="AJ1093" s="244"/>
      <c r="AK1093" s="244"/>
      <c r="AL1093" s="244"/>
      <c r="AM1093" s="244"/>
      <c r="AN1093" s="244"/>
      <c r="AO1093" s="244"/>
      <c r="AP1093" s="244"/>
      <c r="AQ1093" s="244"/>
      <c r="AR1093" s="244"/>
      <c r="AS1093" s="244"/>
      <c r="AT1093" s="244"/>
      <c r="AU1093" s="244"/>
      <c r="AV1093" s="244"/>
      <c r="AW1093" s="244"/>
      <c r="AX1093" s="244"/>
      <c r="AY1093" s="244"/>
      <c r="AZ1093" s="244"/>
      <c r="BA1093" s="244"/>
      <c r="BB1093" s="244"/>
      <c r="BC1093" s="244"/>
      <c r="BD1093" s="244"/>
      <c r="BE1093" s="244"/>
      <c r="BF1093" s="244"/>
      <c r="BG1093" s="244"/>
      <c r="BH1093" s="244"/>
      <c r="BI1093" s="244"/>
      <c r="BJ1093" s="244"/>
      <c r="BK1093" s="244"/>
      <c r="BL1093" s="244"/>
      <c r="BM1093" s="244"/>
      <c r="BN1093" s="244"/>
      <c r="BO1093" s="244"/>
      <c r="BP1093" s="244"/>
      <c r="BQ1093" s="244"/>
      <c r="BR1093" s="244"/>
      <c r="BS1093" s="244"/>
      <c r="BT1093" s="244"/>
      <c r="BU1093" s="244"/>
      <c r="BV1093" s="244"/>
      <c r="BW1093" s="244"/>
      <c r="BX1093" s="244"/>
      <c r="BY1093" s="244"/>
      <c r="BZ1093" s="244"/>
      <c r="CA1093" s="244"/>
      <c r="CB1093" s="244"/>
      <c r="CC1093" s="244"/>
      <c r="CD1093" s="244"/>
      <c r="CE1093" s="244"/>
      <c r="CF1093" s="244"/>
      <c r="CG1093" s="244"/>
      <c r="CH1093" s="244"/>
      <c r="CI1093" s="244"/>
      <c r="CJ1093" s="244"/>
      <c r="CK1093" s="244"/>
      <c r="CL1093" s="244"/>
      <c r="CM1093" s="244"/>
      <c r="CN1093" s="244"/>
      <c r="CO1093" s="244"/>
      <c r="CP1093" s="244"/>
      <c r="CQ1093" s="244"/>
      <c r="CR1093" s="244"/>
      <c r="CS1093" s="244"/>
      <c r="CT1093" s="244"/>
      <c r="CU1093" s="244"/>
      <c r="CV1093" s="244"/>
      <c r="CW1093" s="244"/>
    </row>
    <row r="1094" spans="3:101">
      <c r="C1094" s="244"/>
      <c r="D1094" s="244"/>
      <c r="E1094" s="244"/>
      <c r="F1094" s="244"/>
      <c r="G1094" s="244"/>
      <c r="H1094" s="244"/>
      <c r="I1094" s="244"/>
      <c r="J1094" s="244"/>
      <c r="K1094" s="244"/>
      <c r="L1094" s="244"/>
      <c r="M1094" s="244"/>
      <c r="N1094" s="244"/>
      <c r="O1094" s="244"/>
      <c r="P1094" s="244"/>
      <c r="Q1094" s="244"/>
      <c r="R1094" s="244"/>
      <c r="S1094" s="244"/>
      <c r="T1094" s="244"/>
      <c r="U1094" s="244"/>
      <c r="V1094" s="244"/>
      <c r="W1094" s="244"/>
      <c r="X1094" s="244"/>
      <c r="Y1094" s="244"/>
      <c r="Z1094" s="244"/>
      <c r="AA1094" s="244"/>
      <c r="AB1094" s="244"/>
      <c r="AC1094" s="244"/>
      <c r="AD1094" s="244"/>
      <c r="AE1094" s="244"/>
      <c r="AF1094" s="244"/>
      <c r="AG1094" s="244"/>
      <c r="AH1094" s="244"/>
      <c r="AI1094" s="244"/>
      <c r="AJ1094" s="244"/>
      <c r="AK1094" s="244"/>
      <c r="AL1094" s="244"/>
      <c r="AM1094" s="244"/>
      <c r="AN1094" s="244"/>
      <c r="AO1094" s="244"/>
      <c r="AP1094" s="244"/>
      <c r="AQ1094" s="244"/>
      <c r="AR1094" s="244"/>
      <c r="AS1094" s="244"/>
      <c r="AT1094" s="244"/>
      <c r="AU1094" s="244"/>
      <c r="AV1094" s="244"/>
      <c r="AW1094" s="244"/>
      <c r="AX1094" s="244"/>
      <c r="AY1094" s="244"/>
      <c r="AZ1094" s="244"/>
      <c r="BA1094" s="244"/>
      <c r="BB1094" s="244"/>
      <c r="BC1094" s="244"/>
      <c r="BD1094" s="244"/>
      <c r="BE1094" s="244"/>
      <c r="BF1094" s="244"/>
      <c r="BG1094" s="244"/>
      <c r="BH1094" s="244"/>
      <c r="BI1094" s="244"/>
      <c r="BJ1094" s="244"/>
      <c r="BK1094" s="244"/>
      <c r="BL1094" s="244"/>
      <c r="BM1094" s="244"/>
      <c r="BN1094" s="244"/>
      <c r="BO1094" s="244"/>
      <c r="BP1094" s="244"/>
      <c r="BQ1094" s="244"/>
      <c r="BR1094" s="244"/>
      <c r="BS1094" s="244"/>
      <c r="BT1094" s="244"/>
      <c r="BU1094" s="244"/>
      <c r="BV1094" s="244"/>
      <c r="BW1094" s="244"/>
      <c r="BX1094" s="244"/>
      <c r="BY1094" s="244"/>
      <c r="BZ1094" s="244"/>
      <c r="CA1094" s="244"/>
      <c r="CB1094" s="244"/>
      <c r="CC1094" s="244"/>
      <c r="CD1094" s="244"/>
      <c r="CE1094" s="244"/>
      <c r="CF1094" s="244"/>
      <c r="CG1094" s="244"/>
      <c r="CH1094" s="244"/>
      <c r="CI1094" s="244"/>
      <c r="CJ1094" s="244"/>
      <c r="CK1094" s="244"/>
      <c r="CL1094" s="244"/>
      <c r="CM1094" s="244"/>
      <c r="CN1094" s="244"/>
      <c r="CO1094" s="244"/>
      <c r="CP1094" s="244"/>
      <c r="CQ1094" s="244"/>
      <c r="CR1094" s="244"/>
      <c r="CS1094" s="244"/>
      <c r="CT1094" s="244"/>
      <c r="CU1094" s="244"/>
      <c r="CV1094" s="244"/>
      <c r="CW1094" s="244"/>
    </row>
    <row r="1095" spans="3:101">
      <c r="C1095" s="244"/>
      <c r="D1095" s="244"/>
      <c r="E1095" s="244"/>
      <c r="F1095" s="244"/>
      <c r="G1095" s="244"/>
      <c r="H1095" s="244"/>
      <c r="I1095" s="244"/>
      <c r="J1095" s="244"/>
      <c r="K1095" s="244"/>
      <c r="L1095" s="244"/>
      <c r="M1095" s="244"/>
      <c r="N1095" s="244"/>
      <c r="O1095" s="244"/>
      <c r="P1095" s="244"/>
      <c r="Q1095" s="244"/>
      <c r="R1095" s="244"/>
      <c r="S1095" s="244"/>
      <c r="T1095" s="244"/>
      <c r="U1095" s="244"/>
      <c r="V1095" s="244"/>
      <c r="W1095" s="244"/>
      <c r="X1095" s="244"/>
      <c r="Y1095" s="244"/>
      <c r="Z1095" s="244"/>
      <c r="AA1095" s="244"/>
      <c r="AB1095" s="244"/>
      <c r="AC1095" s="244"/>
      <c r="AD1095" s="244"/>
      <c r="AE1095" s="244"/>
      <c r="AF1095" s="244"/>
      <c r="AG1095" s="244"/>
      <c r="AH1095" s="244"/>
      <c r="AI1095" s="244"/>
      <c r="AJ1095" s="244"/>
      <c r="AK1095" s="244"/>
      <c r="AL1095" s="244"/>
      <c r="AM1095" s="244"/>
      <c r="AN1095" s="244"/>
      <c r="AO1095" s="244"/>
      <c r="AP1095" s="244"/>
      <c r="AQ1095" s="244"/>
      <c r="AR1095" s="244"/>
      <c r="AS1095" s="244"/>
      <c r="AT1095" s="244"/>
      <c r="AU1095" s="244"/>
      <c r="AV1095" s="244"/>
      <c r="AW1095" s="244"/>
      <c r="AX1095" s="244"/>
      <c r="AY1095" s="244"/>
      <c r="AZ1095" s="244"/>
      <c r="BA1095" s="244"/>
      <c r="BB1095" s="244"/>
      <c r="BC1095" s="244"/>
      <c r="BD1095" s="244"/>
      <c r="BE1095" s="244"/>
      <c r="BF1095" s="244"/>
      <c r="BG1095" s="244"/>
      <c r="BH1095" s="244"/>
      <c r="BI1095" s="244"/>
      <c r="BJ1095" s="244"/>
      <c r="BK1095" s="244"/>
      <c r="BL1095" s="244"/>
      <c r="BM1095" s="244"/>
      <c r="BN1095" s="244"/>
      <c r="BO1095" s="244"/>
      <c r="BP1095" s="244"/>
      <c r="BQ1095" s="244"/>
      <c r="BR1095" s="244"/>
      <c r="BS1095" s="244"/>
      <c r="BT1095" s="244"/>
      <c r="BU1095" s="244"/>
      <c r="BV1095" s="244"/>
      <c r="BW1095" s="244"/>
      <c r="BX1095" s="244"/>
      <c r="BY1095" s="244"/>
      <c r="BZ1095" s="244"/>
      <c r="CA1095" s="244"/>
      <c r="CB1095" s="244"/>
      <c r="CC1095" s="244"/>
      <c r="CD1095" s="244"/>
      <c r="CE1095" s="244"/>
      <c r="CF1095" s="244"/>
      <c r="CG1095" s="244"/>
      <c r="CH1095" s="244"/>
      <c r="CI1095" s="244"/>
      <c r="CJ1095" s="244"/>
      <c r="CK1095" s="244"/>
      <c r="CL1095" s="244"/>
      <c r="CM1095" s="244"/>
      <c r="CN1095" s="244"/>
      <c r="CO1095" s="244"/>
      <c r="CP1095" s="244"/>
      <c r="CQ1095" s="244"/>
      <c r="CR1095" s="244"/>
      <c r="CS1095" s="244"/>
      <c r="CT1095" s="244"/>
      <c r="CU1095" s="244"/>
      <c r="CV1095" s="244"/>
      <c r="CW1095" s="244"/>
    </row>
    <row r="1096" spans="3:101">
      <c r="C1096" s="244"/>
      <c r="D1096" s="244"/>
      <c r="E1096" s="244"/>
      <c r="F1096" s="244"/>
      <c r="G1096" s="244"/>
      <c r="H1096" s="244"/>
      <c r="I1096" s="244"/>
      <c r="J1096" s="244"/>
      <c r="K1096" s="244"/>
      <c r="L1096" s="244"/>
      <c r="M1096" s="244"/>
      <c r="N1096" s="244"/>
      <c r="O1096" s="244"/>
      <c r="P1096" s="244"/>
      <c r="Q1096" s="244"/>
      <c r="R1096" s="244"/>
      <c r="S1096" s="244"/>
      <c r="T1096" s="244"/>
      <c r="U1096" s="244"/>
      <c r="V1096" s="244"/>
      <c r="W1096" s="244"/>
      <c r="X1096" s="244"/>
      <c r="Y1096" s="244"/>
      <c r="Z1096" s="244"/>
      <c r="AA1096" s="244"/>
      <c r="AB1096" s="244"/>
      <c r="AC1096" s="244"/>
      <c r="AD1096" s="244"/>
      <c r="AE1096" s="244"/>
      <c r="AF1096" s="244"/>
      <c r="AG1096" s="244"/>
      <c r="AH1096" s="244"/>
      <c r="AI1096" s="244"/>
      <c r="AJ1096" s="244"/>
      <c r="AK1096" s="244"/>
      <c r="AL1096" s="244"/>
      <c r="AM1096" s="244"/>
      <c r="AN1096" s="244"/>
      <c r="AO1096" s="244"/>
      <c r="AP1096" s="244"/>
      <c r="AQ1096" s="244"/>
      <c r="AR1096" s="244"/>
      <c r="AS1096" s="244"/>
      <c r="AT1096" s="244"/>
      <c r="AU1096" s="244"/>
      <c r="AV1096" s="244"/>
      <c r="AW1096" s="244"/>
      <c r="AX1096" s="244"/>
      <c r="AY1096" s="244"/>
      <c r="AZ1096" s="244"/>
      <c r="BA1096" s="244"/>
      <c r="BB1096" s="244"/>
      <c r="BC1096" s="244"/>
      <c r="BD1096" s="244"/>
      <c r="BE1096" s="244"/>
      <c r="BF1096" s="244"/>
      <c r="BG1096" s="244"/>
      <c r="BH1096" s="244"/>
      <c r="BI1096" s="244"/>
      <c r="BJ1096" s="244"/>
      <c r="BK1096" s="244"/>
      <c r="BL1096" s="244"/>
      <c r="BM1096" s="244"/>
      <c r="BN1096" s="244"/>
      <c r="BO1096" s="244"/>
      <c r="BP1096" s="244"/>
      <c r="BQ1096" s="244"/>
      <c r="BR1096" s="244"/>
      <c r="BS1096" s="244"/>
      <c r="BT1096" s="244"/>
      <c r="BU1096" s="244"/>
      <c r="BV1096" s="244"/>
      <c r="BW1096" s="244"/>
      <c r="BX1096" s="244"/>
      <c r="BY1096" s="244"/>
      <c r="BZ1096" s="244"/>
      <c r="CA1096" s="244"/>
      <c r="CB1096" s="244"/>
      <c r="CC1096" s="244"/>
      <c r="CD1096" s="244"/>
      <c r="CE1096" s="244"/>
      <c r="CF1096" s="244"/>
      <c r="CG1096" s="244"/>
      <c r="CH1096" s="244"/>
      <c r="CI1096" s="244"/>
      <c r="CJ1096" s="244"/>
      <c r="CK1096" s="244"/>
      <c r="CL1096" s="244"/>
      <c r="CM1096" s="244"/>
      <c r="CN1096" s="244"/>
      <c r="CO1096" s="244"/>
      <c r="CP1096" s="244"/>
      <c r="CQ1096" s="244"/>
      <c r="CR1096" s="244"/>
      <c r="CS1096" s="244"/>
      <c r="CT1096" s="244"/>
      <c r="CU1096" s="244"/>
      <c r="CV1096" s="244"/>
      <c r="CW1096" s="244"/>
    </row>
    <row r="1097" spans="3:101">
      <c r="C1097" s="244"/>
      <c r="D1097" s="244"/>
      <c r="E1097" s="244"/>
      <c r="F1097" s="244"/>
      <c r="G1097" s="244"/>
      <c r="H1097" s="244"/>
      <c r="I1097" s="244"/>
      <c r="J1097" s="244"/>
      <c r="K1097" s="244"/>
      <c r="L1097" s="244"/>
      <c r="M1097" s="244"/>
      <c r="N1097" s="244"/>
      <c r="O1097" s="244"/>
      <c r="P1097" s="244"/>
      <c r="Q1097" s="244"/>
      <c r="R1097" s="244"/>
      <c r="S1097" s="244"/>
      <c r="T1097" s="244"/>
      <c r="U1097" s="244"/>
      <c r="V1097" s="244"/>
      <c r="W1097" s="244"/>
      <c r="X1097" s="244"/>
      <c r="Y1097" s="244"/>
      <c r="Z1097" s="244"/>
      <c r="AA1097" s="244"/>
      <c r="AB1097" s="244"/>
      <c r="AC1097" s="244"/>
      <c r="AD1097" s="244"/>
      <c r="AE1097" s="244"/>
      <c r="AF1097" s="244"/>
      <c r="AG1097" s="244"/>
      <c r="AH1097" s="244"/>
      <c r="AI1097" s="244"/>
      <c r="AJ1097" s="244"/>
      <c r="AK1097" s="244"/>
      <c r="AL1097" s="244"/>
      <c r="AM1097" s="244"/>
      <c r="AN1097" s="244"/>
      <c r="AO1097" s="244"/>
      <c r="AP1097" s="244"/>
      <c r="AQ1097" s="244"/>
      <c r="AR1097" s="244"/>
      <c r="AS1097" s="244"/>
      <c r="AT1097" s="244"/>
      <c r="AU1097" s="244"/>
      <c r="AV1097" s="244"/>
      <c r="AW1097" s="244"/>
      <c r="AX1097" s="244"/>
      <c r="AY1097" s="244"/>
      <c r="AZ1097" s="244"/>
      <c r="BA1097" s="244"/>
      <c r="BB1097" s="244"/>
      <c r="BC1097" s="244"/>
      <c r="BD1097" s="244"/>
      <c r="BE1097" s="244"/>
      <c r="BF1097" s="244"/>
      <c r="BG1097" s="244"/>
      <c r="BH1097" s="244"/>
      <c r="BI1097" s="244"/>
      <c r="BJ1097" s="244"/>
      <c r="BK1097" s="244"/>
      <c r="BL1097" s="244"/>
      <c r="BM1097" s="244"/>
      <c r="BN1097" s="244"/>
      <c r="BO1097" s="244"/>
      <c r="BP1097" s="244"/>
      <c r="BQ1097" s="244"/>
      <c r="BR1097" s="244"/>
      <c r="BS1097" s="244"/>
      <c r="BT1097" s="244"/>
      <c r="BU1097" s="244"/>
      <c r="BV1097" s="244"/>
      <c r="BW1097" s="244"/>
      <c r="BX1097" s="244"/>
      <c r="BY1097" s="244"/>
      <c r="BZ1097" s="244"/>
      <c r="CA1097" s="244"/>
      <c r="CB1097" s="244"/>
      <c r="CC1097" s="244"/>
      <c r="CD1097" s="244"/>
      <c r="CE1097" s="244"/>
      <c r="CF1097" s="244"/>
      <c r="CG1097" s="244"/>
      <c r="CH1097" s="244"/>
      <c r="CI1097" s="244"/>
      <c r="CJ1097" s="244"/>
      <c r="CK1097" s="244"/>
      <c r="CL1097" s="244"/>
      <c r="CM1097" s="244"/>
      <c r="CN1097" s="244"/>
      <c r="CO1097" s="244"/>
      <c r="CP1097" s="244"/>
      <c r="CQ1097" s="244"/>
      <c r="CR1097" s="244"/>
      <c r="CS1097" s="244"/>
      <c r="CT1097" s="244"/>
      <c r="CU1097" s="244"/>
      <c r="CV1097" s="244"/>
      <c r="CW1097" s="244"/>
    </row>
    <row r="1098" spans="3:101">
      <c r="C1098" s="244"/>
      <c r="D1098" s="244"/>
      <c r="E1098" s="244"/>
      <c r="F1098" s="244"/>
      <c r="G1098" s="244"/>
      <c r="H1098" s="244"/>
      <c r="I1098" s="244"/>
      <c r="J1098" s="244"/>
      <c r="K1098" s="244"/>
      <c r="L1098" s="244"/>
      <c r="M1098" s="244"/>
      <c r="N1098" s="244"/>
      <c r="O1098" s="244"/>
      <c r="P1098" s="244"/>
      <c r="Q1098" s="244"/>
      <c r="R1098" s="244"/>
      <c r="S1098" s="244"/>
      <c r="T1098" s="244"/>
      <c r="U1098" s="244"/>
      <c r="V1098" s="244"/>
      <c r="W1098" s="244"/>
      <c r="X1098" s="244"/>
      <c r="Y1098" s="244"/>
      <c r="Z1098" s="244"/>
      <c r="AA1098" s="244"/>
      <c r="AB1098" s="244"/>
      <c r="AC1098" s="244"/>
      <c r="AD1098" s="244"/>
      <c r="AE1098" s="244"/>
      <c r="AF1098" s="244"/>
      <c r="AG1098" s="244"/>
      <c r="AH1098" s="244"/>
      <c r="AI1098" s="244"/>
      <c r="AJ1098" s="244"/>
      <c r="AK1098" s="244"/>
      <c r="AL1098" s="244"/>
      <c r="AM1098" s="244"/>
      <c r="AN1098" s="244"/>
      <c r="AO1098" s="244"/>
      <c r="AP1098" s="244"/>
      <c r="AQ1098" s="244"/>
      <c r="AR1098" s="244"/>
      <c r="AS1098" s="244"/>
      <c r="AT1098" s="244"/>
      <c r="AU1098" s="244"/>
      <c r="AV1098" s="244"/>
      <c r="AW1098" s="244"/>
      <c r="AX1098" s="244"/>
      <c r="AY1098" s="244"/>
      <c r="AZ1098" s="244"/>
      <c r="BA1098" s="244"/>
      <c r="BB1098" s="244"/>
      <c r="BC1098" s="244"/>
      <c r="BD1098" s="244"/>
      <c r="BE1098" s="244"/>
      <c r="BF1098" s="244"/>
      <c r="BG1098" s="244"/>
      <c r="BH1098" s="244"/>
      <c r="BI1098" s="244"/>
      <c r="BJ1098" s="244"/>
      <c r="BK1098" s="244"/>
      <c r="BL1098" s="244"/>
      <c r="BM1098" s="244"/>
      <c r="BN1098" s="244"/>
      <c r="BO1098" s="244"/>
      <c r="BP1098" s="244"/>
      <c r="BQ1098" s="244"/>
      <c r="BR1098" s="244"/>
      <c r="BS1098" s="244"/>
      <c r="BT1098" s="244"/>
      <c r="BU1098" s="244"/>
      <c r="BV1098" s="244"/>
      <c r="BW1098" s="244"/>
      <c r="BX1098" s="244"/>
      <c r="BY1098" s="244"/>
      <c r="BZ1098" s="244"/>
      <c r="CA1098" s="244"/>
      <c r="CB1098" s="244"/>
      <c r="CC1098" s="244"/>
      <c r="CD1098" s="244"/>
      <c r="CE1098" s="244"/>
      <c r="CF1098" s="244"/>
      <c r="CG1098" s="244"/>
      <c r="CH1098" s="244"/>
      <c r="CI1098" s="244"/>
      <c r="CJ1098" s="244"/>
      <c r="CK1098" s="244"/>
      <c r="CL1098" s="244"/>
      <c r="CM1098" s="244"/>
      <c r="CN1098" s="244"/>
      <c r="CO1098" s="244"/>
      <c r="CP1098" s="244"/>
      <c r="CQ1098" s="244"/>
      <c r="CR1098" s="244"/>
      <c r="CS1098" s="244"/>
      <c r="CT1098" s="244"/>
      <c r="CU1098" s="244"/>
      <c r="CV1098" s="244"/>
      <c r="CW1098" s="244"/>
    </row>
    <row r="1099" spans="3:101">
      <c r="C1099" s="244"/>
      <c r="D1099" s="244"/>
      <c r="E1099" s="244"/>
      <c r="F1099" s="244"/>
      <c r="G1099" s="244"/>
      <c r="H1099" s="244"/>
      <c r="I1099" s="244"/>
      <c r="J1099" s="244"/>
      <c r="K1099" s="244"/>
      <c r="L1099" s="244"/>
      <c r="M1099" s="244"/>
      <c r="N1099" s="244"/>
      <c r="O1099" s="244"/>
      <c r="P1099" s="244"/>
      <c r="Q1099" s="244"/>
      <c r="R1099" s="244"/>
      <c r="S1099" s="244"/>
      <c r="T1099" s="244"/>
      <c r="U1099" s="244"/>
      <c r="V1099" s="244"/>
      <c r="W1099" s="244"/>
      <c r="X1099" s="244"/>
      <c r="Y1099" s="244"/>
      <c r="Z1099" s="244"/>
      <c r="AA1099" s="244"/>
      <c r="AB1099" s="244"/>
      <c r="AC1099" s="244"/>
      <c r="AD1099" s="244"/>
      <c r="AE1099" s="244"/>
      <c r="AF1099" s="244"/>
      <c r="AG1099" s="244"/>
      <c r="AH1099" s="244"/>
      <c r="AI1099" s="244"/>
      <c r="AJ1099" s="244"/>
      <c r="AK1099" s="244"/>
      <c r="AL1099" s="244"/>
      <c r="AM1099" s="244"/>
      <c r="AN1099" s="244"/>
      <c r="AO1099" s="244"/>
      <c r="AP1099" s="244"/>
      <c r="AQ1099" s="244"/>
      <c r="AR1099" s="244"/>
      <c r="AS1099" s="244"/>
      <c r="AT1099" s="244"/>
      <c r="AU1099" s="244"/>
      <c r="AV1099" s="244"/>
      <c r="AW1099" s="244"/>
      <c r="AX1099" s="244"/>
      <c r="AY1099" s="244"/>
      <c r="AZ1099" s="244"/>
      <c r="BA1099" s="244"/>
      <c r="BB1099" s="244"/>
      <c r="BC1099" s="244"/>
      <c r="BD1099" s="244"/>
      <c r="BE1099" s="244"/>
      <c r="BF1099" s="244"/>
      <c r="BG1099" s="244"/>
      <c r="BH1099" s="244"/>
      <c r="BI1099" s="244"/>
      <c r="BJ1099" s="244"/>
      <c r="BK1099" s="244"/>
      <c r="BL1099" s="244"/>
      <c r="BM1099" s="244"/>
      <c r="BN1099" s="244"/>
      <c r="BO1099" s="244"/>
      <c r="BP1099" s="244"/>
      <c r="BQ1099" s="244"/>
      <c r="BR1099" s="244"/>
      <c r="BS1099" s="244"/>
      <c r="BT1099" s="244"/>
      <c r="BU1099" s="244"/>
      <c r="BV1099" s="244"/>
      <c r="BW1099" s="244"/>
      <c r="BX1099" s="244"/>
      <c r="BY1099" s="244"/>
      <c r="BZ1099" s="244"/>
      <c r="CA1099" s="244"/>
      <c r="CB1099" s="244"/>
      <c r="CC1099" s="244"/>
      <c r="CD1099" s="244"/>
      <c r="CE1099" s="244"/>
      <c r="CF1099" s="244"/>
      <c r="CG1099" s="244"/>
      <c r="CH1099" s="244"/>
      <c r="CI1099" s="244"/>
      <c r="CJ1099" s="244"/>
      <c r="CK1099" s="244"/>
      <c r="CL1099" s="244"/>
      <c r="CM1099" s="244"/>
      <c r="CN1099" s="244"/>
      <c r="CO1099" s="244"/>
      <c r="CP1099" s="244"/>
      <c r="CQ1099" s="244"/>
      <c r="CR1099" s="244"/>
      <c r="CS1099" s="244"/>
      <c r="CT1099" s="244"/>
      <c r="CU1099" s="244"/>
      <c r="CV1099" s="244"/>
      <c r="CW1099" s="244"/>
    </row>
    <row r="1100" spans="3:101">
      <c r="C1100" s="244"/>
      <c r="D1100" s="244"/>
      <c r="E1100" s="244"/>
      <c r="F1100" s="244"/>
      <c r="G1100" s="244"/>
      <c r="H1100" s="244"/>
      <c r="I1100" s="244"/>
      <c r="J1100" s="244"/>
      <c r="K1100" s="244"/>
      <c r="L1100" s="244"/>
      <c r="M1100" s="244"/>
      <c r="N1100" s="244"/>
      <c r="O1100" s="244"/>
      <c r="P1100" s="244"/>
      <c r="Q1100" s="244"/>
      <c r="R1100" s="244"/>
      <c r="S1100" s="244"/>
      <c r="T1100" s="244"/>
      <c r="U1100" s="244"/>
      <c r="V1100" s="244"/>
      <c r="W1100" s="244"/>
      <c r="X1100" s="244"/>
      <c r="Y1100" s="244"/>
      <c r="Z1100" s="244"/>
      <c r="AA1100" s="244"/>
      <c r="AB1100" s="244"/>
      <c r="AC1100" s="244"/>
      <c r="AD1100" s="244"/>
      <c r="AE1100" s="244"/>
      <c r="AF1100" s="244"/>
      <c r="AG1100" s="244"/>
      <c r="AH1100" s="244"/>
      <c r="AI1100" s="244"/>
      <c r="AJ1100" s="244"/>
      <c r="AK1100" s="244"/>
      <c r="AL1100" s="244"/>
      <c r="AM1100" s="244"/>
      <c r="AN1100" s="244"/>
      <c r="AO1100" s="244"/>
      <c r="AP1100" s="244"/>
      <c r="AQ1100" s="244"/>
      <c r="AR1100" s="244"/>
      <c r="AS1100" s="244"/>
      <c r="AT1100" s="244"/>
      <c r="AU1100" s="244"/>
      <c r="AV1100" s="244"/>
      <c r="AW1100" s="244"/>
      <c r="AX1100" s="244"/>
      <c r="AY1100" s="244"/>
      <c r="AZ1100" s="244"/>
      <c r="BA1100" s="244"/>
      <c r="BB1100" s="244"/>
      <c r="BC1100" s="244"/>
      <c r="BD1100" s="244"/>
      <c r="BE1100" s="244"/>
      <c r="BF1100" s="244"/>
      <c r="BG1100" s="244"/>
      <c r="BH1100" s="244"/>
      <c r="BI1100" s="244"/>
      <c r="BJ1100" s="244"/>
      <c r="BK1100" s="244"/>
      <c r="BL1100" s="244"/>
      <c r="BM1100" s="244"/>
      <c r="BN1100" s="244"/>
      <c r="BO1100" s="244"/>
      <c r="BP1100" s="244"/>
      <c r="BQ1100" s="244"/>
      <c r="BR1100" s="244"/>
      <c r="BS1100" s="244"/>
      <c r="BT1100" s="244"/>
      <c r="BU1100" s="244"/>
      <c r="BV1100" s="244"/>
      <c r="BW1100" s="244"/>
      <c r="BX1100" s="244"/>
      <c r="BY1100" s="244"/>
      <c r="BZ1100" s="244"/>
      <c r="CA1100" s="244"/>
      <c r="CB1100" s="244"/>
      <c r="CC1100" s="244"/>
      <c r="CD1100" s="244"/>
      <c r="CE1100" s="244"/>
      <c r="CF1100" s="244"/>
      <c r="CG1100" s="244"/>
      <c r="CH1100" s="244"/>
      <c r="CI1100" s="244"/>
      <c r="CJ1100" s="244"/>
      <c r="CK1100" s="244"/>
      <c r="CL1100" s="244"/>
      <c r="CM1100" s="244"/>
      <c r="CN1100" s="244"/>
      <c r="CO1100" s="244"/>
      <c r="CP1100" s="244"/>
      <c r="CQ1100" s="244"/>
      <c r="CR1100" s="244"/>
      <c r="CS1100" s="244"/>
      <c r="CT1100" s="244"/>
      <c r="CU1100" s="244"/>
      <c r="CV1100" s="244"/>
      <c r="CW1100" s="244"/>
    </row>
    <row r="1101" spans="3:101">
      <c r="C1101" s="244"/>
      <c r="D1101" s="244"/>
      <c r="E1101" s="244"/>
      <c r="F1101" s="244"/>
      <c r="G1101" s="244"/>
      <c r="H1101" s="244"/>
      <c r="I1101" s="244"/>
      <c r="J1101" s="244"/>
      <c r="K1101" s="244"/>
      <c r="L1101" s="244"/>
      <c r="M1101" s="244"/>
      <c r="N1101" s="244"/>
      <c r="O1101" s="244"/>
      <c r="P1101" s="244"/>
      <c r="Q1101" s="244"/>
      <c r="R1101" s="244"/>
      <c r="S1101" s="244"/>
      <c r="T1101" s="244"/>
      <c r="U1101" s="244"/>
      <c r="V1101" s="244"/>
      <c r="W1101" s="244"/>
      <c r="X1101" s="244"/>
      <c r="Y1101" s="244"/>
      <c r="Z1101" s="244"/>
      <c r="AA1101" s="244"/>
      <c r="AB1101" s="244"/>
      <c r="AC1101" s="244"/>
      <c r="AD1101" s="244"/>
      <c r="AE1101" s="244"/>
      <c r="AF1101" s="244"/>
      <c r="AG1101" s="244"/>
      <c r="AH1101" s="244"/>
      <c r="AI1101" s="244"/>
      <c r="AJ1101" s="244"/>
      <c r="AK1101" s="244"/>
      <c r="AL1101" s="244"/>
      <c r="AM1101" s="244"/>
      <c r="AN1101" s="244"/>
      <c r="AO1101" s="244"/>
      <c r="AP1101" s="244"/>
      <c r="AQ1101" s="244"/>
      <c r="AR1101" s="244"/>
      <c r="AS1101" s="244"/>
      <c r="AT1101" s="244"/>
      <c r="AU1101" s="244"/>
      <c r="AV1101" s="244"/>
      <c r="AW1101" s="244"/>
      <c r="AX1101" s="244"/>
      <c r="AY1101" s="244"/>
      <c r="AZ1101" s="244"/>
      <c r="BA1101" s="244"/>
      <c r="BB1101" s="244"/>
      <c r="BC1101" s="244"/>
      <c r="BD1101" s="244"/>
      <c r="BE1101" s="244"/>
      <c r="BF1101" s="244"/>
      <c r="BG1101" s="244"/>
      <c r="BH1101" s="244"/>
      <c r="BI1101" s="244"/>
      <c r="BJ1101" s="244"/>
      <c r="BK1101" s="244"/>
      <c r="BL1101" s="244"/>
      <c r="BM1101" s="244"/>
      <c r="BN1101" s="244"/>
      <c r="BO1101" s="244"/>
      <c r="BP1101" s="244"/>
      <c r="BQ1101" s="244"/>
      <c r="BR1101" s="244"/>
      <c r="BS1101" s="244"/>
      <c r="BT1101" s="244"/>
      <c r="BU1101" s="244"/>
      <c r="BV1101" s="244"/>
      <c r="BW1101" s="244"/>
      <c r="BX1101" s="244"/>
      <c r="BY1101" s="244"/>
      <c r="BZ1101" s="244"/>
      <c r="CA1101" s="244"/>
      <c r="CB1101" s="244"/>
      <c r="CC1101" s="244"/>
      <c r="CD1101" s="244"/>
      <c r="CE1101" s="244"/>
      <c r="CF1101" s="244"/>
      <c r="CG1101" s="244"/>
      <c r="CH1101" s="244"/>
      <c r="CI1101" s="244"/>
      <c r="CJ1101" s="244"/>
      <c r="CK1101" s="244"/>
      <c r="CL1101" s="244"/>
      <c r="CM1101" s="244"/>
      <c r="CN1101" s="244"/>
      <c r="CO1101" s="244"/>
      <c r="CP1101" s="244"/>
      <c r="CQ1101" s="244"/>
      <c r="CR1101" s="244"/>
      <c r="CS1101" s="244"/>
      <c r="CT1101" s="244"/>
      <c r="CU1101" s="244"/>
      <c r="CV1101" s="244"/>
      <c r="CW1101" s="244"/>
    </row>
    <row r="1102" spans="3:101">
      <c r="C1102" s="244"/>
      <c r="D1102" s="244"/>
      <c r="E1102" s="244"/>
      <c r="F1102" s="244"/>
      <c r="G1102" s="244"/>
      <c r="H1102" s="244"/>
      <c r="I1102" s="244"/>
      <c r="J1102" s="244"/>
      <c r="K1102" s="244"/>
      <c r="L1102" s="244"/>
      <c r="M1102" s="244"/>
      <c r="N1102" s="244"/>
      <c r="O1102" s="244"/>
      <c r="P1102" s="244"/>
      <c r="Q1102" s="244"/>
      <c r="R1102" s="244"/>
      <c r="S1102" s="244"/>
      <c r="T1102" s="244"/>
      <c r="U1102" s="244"/>
      <c r="V1102" s="244"/>
      <c r="W1102" s="244"/>
      <c r="X1102" s="244"/>
      <c r="Y1102" s="244"/>
      <c r="Z1102" s="244"/>
      <c r="AA1102" s="244"/>
      <c r="AB1102" s="244"/>
      <c r="AC1102" s="244"/>
      <c r="AD1102" s="244"/>
      <c r="AE1102" s="244"/>
      <c r="AF1102" s="244"/>
      <c r="AG1102" s="244"/>
      <c r="AH1102" s="244"/>
      <c r="AI1102" s="244"/>
      <c r="AJ1102" s="244"/>
      <c r="AK1102" s="244"/>
      <c r="AL1102" s="244"/>
      <c r="AM1102" s="244"/>
      <c r="AN1102" s="244"/>
      <c r="AO1102" s="244"/>
      <c r="AP1102" s="244"/>
      <c r="AQ1102" s="244"/>
      <c r="AR1102" s="244"/>
      <c r="AS1102" s="244"/>
      <c r="AT1102" s="244"/>
      <c r="AU1102" s="244"/>
      <c r="AV1102" s="244"/>
      <c r="AW1102" s="244"/>
      <c r="AX1102" s="244"/>
      <c r="AY1102" s="244"/>
      <c r="AZ1102" s="244"/>
      <c r="BA1102" s="244"/>
      <c r="BB1102" s="244"/>
      <c r="BC1102" s="244"/>
      <c r="BD1102" s="244"/>
      <c r="BE1102" s="244"/>
      <c r="BF1102" s="244"/>
      <c r="BG1102" s="244"/>
      <c r="BH1102" s="244"/>
      <c r="BI1102" s="244"/>
      <c r="BJ1102" s="244"/>
      <c r="BK1102" s="244"/>
      <c r="BL1102" s="244"/>
      <c r="BM1102" s="244"/>
      <c r="BN1102" s="244"/>
      <c r="BO1102" s="244"/>
      <c r="BP1102" s="244"/>
      <c r="BQ1102" s="244"/>
      <c r="BR1102" s="244"/>
      <c r="BS1102" s="244"/>
      <c r="BT1102" s="244"/>
      <c r="BU1102" s="244"/>
      <c r="BV1102" s="244"/>
      <c r="BW1102" s="244"/>
      <c r="BX1102" s="244"/>
      <c r="BY1102" s="244"/>
      <c r="BZ1102" s="244"/>
      <c r="CA1102" s="244"/>
      <c r="CB1102" s="244"/>
      <c r="CC1102" s="244"/>
      <c r="CD1102" s="244"/>
      <c r="CE1102" s="244"/>
      <c r="CF1102" s="244"/>
      <c r="CG1102" s="244"/>
      <c r="CH1102" s="244"/>
      <c r="CI1102" s="244"/>
      <c r="CJ1102" s="244"/>
      <c r="CK1102" s="244"/>
      <c r="CL1102" s="244"/>
      <c r="CM1102" s="244"/>
      <c r="CN1102" s="244"/>
      <c r="CO1102" s="244"/>
      <c r="CP1102" s="244"/>
      <c r="CQ1102" s="244"/>
      <c r="CR1102" s="244"/>
      <c r="CS1102" s="244"/>
      <c r="CT1102" s="244"/>
      <c r="CU1102" s="244"/>
      <c r="CV1102" s="244"/>
      <c r="CW1102" s="244"/>
    </row>
    <row r="1103" spans="3:101">
      <c r="C1103" s="244"/>
      <c r="D1103" s="244"/>
      <c r="E1103" s="244"/>
      <c r="F1103" s="244"/>
      <c r="G1103" s="244"/>
      <c r="H1103" s="244"/>
      <c r="I1103" s="244"/>
      <c r="J1103" s="244"/>
      <c r="K1103" s="244"/>
      <c r="L1103" s="244"/>
      <c r="M1103" s="244"/>
      <c r="N1103" s="244"/>
      <c r="O1103" s="244"/>
      <c r="P1103" s="244"/>
      <c r="Q1103" s="244"/>
      <c r="R1103" s="244"/>
      <c r="S1103" s="244"/>
      <c r="T1103" s="244"/>
      <c r="U1103" s="244"/>
      <c r="V1103" s="244"/>
      <c r="W1103" s="244"/>
      <c r="X1103" s="244"/>
      <c r="Y1103" s="244"/>
      <c r="Z1103" s="244"/>
      <c r="AA1103" s="244"/>
      <c r="AB1103" s="244"/>
      <c r="AC1103" s="244"/>
      <c r="AD1103" s="244"/>
      <c r="AE1103" s="244"/>
      <c r="AF1103" s="244"/>
      <c r="AG1103" s="244"/>
      <c r="AH1103" s="244"/>
      <c r="AI1103" s="244"/>
      <c r="AJ1103" s="244"/>
      <c r="AK1103" s="244"/>
      <c r="AL1103" s="244"/>
      <c r="AM1103" s="244"/>
      <c r="AN1103" s="244"/>
      <c r="AO1103" s="244"/>
      <c r="AP1103" s="244"/>
      <c r="AQ1103" s="244"/>
      <c r="AR1103" s="244"/>
      <c r="AS1103" s="244"/>
      <c r="AT1103" s="244"/>
      <c r="AU1103" s="244"/>
      <c r="AV1103" s="244"/>
      <c r="AW1103" s="244"/>
      <c r="AX1103" s="244"/>
      <c r="AY1103" s="244"/>
      <c r="AZ1103" s="244"/>
      <c r="BA1103" s="244"/>
      <c r="BB1103" s="244"/>
      <c r="BC1103" s="244"/>
      <c r="BD1103" s="244"/>
      <c r="BE1103" s="244"/>
      <c r="BF1103" s="244"/>
      <c r="BG1103" s="244"/>
      <c r="BH1103" s="244"/>
      <c r="BI1103" s="244"/>
      <c r="BJ1103" s="244"/>
      <c r="BK1103" s="244"/>
      <c r="BL1103" s="244"/>
      <c r="BM1103" s="244"/>
      <c r="BN1103" s="244"/>
      <c r="BO1103" s="244"/>
      <c r="BP1103" s="244"/>
      <c r="BQ1103" s="244"/>
      <c r="BR1103" s="244"/>
      <c r="BS1103" s="244"/>
      <c r="BT1103" s="244"/>
      <c r="BU1103" s="244"/>
      <c r="BV1103" s="244"/>
      <c r="BW1103" s="244"/>
      <c r="BX1103" s="244"/>
      <c r="BY1103" s="244"/>
      <c r="BZ1103" s="244"/>
      <c r="CA1103" s="244"/>
      <c r="CB1103" s="244"/>
      <c r="CC1103" s="244"/>
      <c r="CD1103" s="244"/>
      <c r="CE1103" s="244"/>
      <c r="CF1103" s="244"/>
      <c r="CG1103" s="244"/>
      <c r="CH1103" s="244"/>
      <c r="CI1103" s="244"/>
      <c r="CJ1103" s="244"/>
      <c r="CK1103" s="244"/>
      <c r="CL1103" s="244"/>
      <c r="CM1103" s="244"/>
      <c r="CN1103" s="244"/>
      <c r="CO1103" s="244"/>
      <c r="CP1103" s="244"/>
      <c r="CQ1103" s="244"/>
      <c r="CR1103" s="244"/>
      <c r="CS1103" s="244"/>
      <c r="CT1103" s="244"/>
      <c r="CU1103" s="244"/>
      <c r="CV1103" s="244"/>
      <c r="CW1103" s="244"/>
    </row>
    <row r="1104" spans="3:101">
      <c r="C1104" s="244"/>
      <c r="D1104" s="244"/>
      <c r="E1104" s="244"/>
      <c r="F1104" s="244"/>
      <c r="G1104" s="244"/>
      <c r="H1104" s="244"/>
      <c r="I1104" s="244"/>
      <c r="J1104" s="244"/>
      <c r="K1104" s="244"/>
      <c r="L1104" s="244"/>
      <c r="M1104" s="244"/>
      <c r="N1104" s="244"/>
      <c r="O1104" s="244"/>
      <c r="P1104" s="244"/>
      <c r="Q1104" s="244"/>
      <c r="R1104" s="244"/>
      <c r="S1104" s="244"/>
      <c r="T1104" s="244"/>
      <c r="U1104" s="244"/>
      <c r="V1104" s="244"/>
      <c r="W1104" s="244"/>
      <c r="X1104" s="244"/>
      <c r="Y1104" s="244"/>
      <c r="Z1104" s="244"/>
      <c r="AA1104" s="244"/>
      <c r="AB1104" s="244"/>
      <c r="AC1104" s="244"/>
      <c r="AD1104" s="244"/>
      <c r="AE1104" s="244"/>
      <c r="AF1104" s="244"/>
      <c r="AG1104" s="244"/>
      <c r="AH1104" s="244"/>
      <c r="AI1104" s="244"/>
      <c r="AJ1104" s="244"/>
      <c r="AK1104" s="244"/>
      <c r="AL1104" s="244"/>
      <c r="AM1104" s="244"/>
      <c r="AN1104" s="244"/>
      <c r="AO1104" s="244"/>
      <c r="AP1104" s="244"/>
      <c r="AQ1104" s="244"/>
      <c r="AR1104" s="244"/>
      <c r="AS1104" s="244"/>
      <c r="AT1104" s="244"/>
      <c r="AU1104" s="244"/>
      <c r="AV1104" s="244"/>
      <c r="AW1104" s="244"/>
      <c r="AX1104" s="244"/>
      <c r="AY1104" s="244"/>
      <c r="AZ1104" s="244"/>
      <c r="BA1104" s="244"/>
      <c r="BB1104" s="244"/>
      <c r="BC1104" s="244"/>
      <c r="BD1104" s="244"/>
      <c r="BE1104" s="244"/>
      <c r="BF1104" s="244"/>
      <c r="BG1104" s="244"/>
      <c r="BH1104" s="244"/>
      <c r="BI1104" s="244"/>
      <c r="BJ1104" s="244"/>
      <c r="BK1104" s="244"/>
      <c r="BL1104" s="244"/>
      <c r="BM1104" s="244"/>
      <c r="BN1104" s="244"/>
      <c r="BO1104" s="244"/>
      <c r="BP1104" s="244"/>
      <c r="BQ1104" s="244"/>
      <c r="BR1104" s="244"/>
      <c r="BS1104" s="244"/>
      <c r="BT1104" s="244"/>
      <c r="BU1104" s="244"/>
      <c r="BV1104" s="244"/>
      <c r="BW1104" s="244"/>
      <c r="BX1104" s="244"/>
      <c r="BY1104" s="244"/>
      <c r="BZ1104" s="244"/>
      <c r="CA1104" s="244"/>
      <c r="CB1104" s="244"/>
      <c r="CC1104" s="244"/>
      <c r="CD1104" s="244"/>
      <c r="CE1104" s="244"/>
      <c r="CF1104" s="244"/>
      <c r="CG1104" s="244"/>
      <c r="CH1104" s="244"/>
      <c r="CI1104" s="244"/>
      <c r="CJ1104" s="244"/>
      <c r="CK1104" s="244"/>
      <c r="CL1104" s="244"/>
      <c r="CM1104" s="244"/>
      <c r="CN1104" s="244"/>
      <c r="CO1104" s="244"/>
      <c r="CP1104" s="244"/>
      <c r="CQ1104" s="244"/>
      <c r="CR1104" s="244"/>
      <c r="CS1104" s="244"/>
      <c r="CT1104" s="244"/>
      <c r="CU1104" s="244"/>
      <c r="CV1104" s="244"/>
      <c r="CW1104" s="244"/>
    </row>
    <row r="1105" spans="3:101">
      <c r="C1105" s="244"/>
      <c r="D1105" s="244"/>
      <c r="E1105" s="244"/>
      <c r="F1105" s="244"/>
      <c r="G1105" s="244"/>
      <c r="H1105" s="244"/>
      <c r="I1105" s="244"/>
      <c r="J1105" s="244"/>
      <c r="K1105" s="244"/>
      <c r="L1105" s="244"/>
      <c r="M1105" s="244"/>
      <c r="N1105" s="244"/>
      <c r="O1105" s="244"/>
      <c r="P1105" s="244"/>
      <c r="Q1105" s="244"/>
      <c r="R1105" s="244"/>
      <c r="S1105" s="244"/>
      <c r="T1105" s="244"/>
      <c r="U1105" s="244"/>
      <c r="V1105" s="244"/>
      <c r="W1105" s="244"/>
      <c r="X1105" s="244"/>
      <c r="Y1105" s="244"/>
      <c r="Z1105" s="244"/>
      <c r="AA1105" s="244"/>
      <c r="AB1105" s="244"/>
      <c r="AC1105" s="244"/>
      <c r="AD1105" s="244"/>
      <c r="AE1105" s="244"/>
      <c r="AF1105" s="244"/>
      <c r="AG1105" s="244"/>
      <c r="AH1105" s="244"/>
      <c r="AI1105" s="244"/>
      <c r="AJ1105" s="244"/>
      <c r="AK1105" s="244"/>
      <c r="AL1105" s="244"/>
      <c r="AM1105" s="244"/>
      <c r="AN1105" s="244"/>
      <c r="AO1105" s="244"/>
      <c r="AP1105" s="244"/>
      <c r="AQ1105" s="244"/>
      <c r="AR1105" s="244"/>
      <c r="AS1105" s="244"/>
      <c r="AT1105" s="244"/>
      <c r="AU1105" s="244"/>
      <c r="AV1105" s="244"/>
      <c r="AW1105" s="244"/>
      <c r="AX1105" s="244"/>
      <c r="AY1105" s="244"/>
      <c r="AZ1105" s="244"/>
      <c r="BA1105" s="244"/>
      <c r="BB1105" s="244"/>
      <c r="BC1105" s="244"/>
      <c r="BD1105" s="244"/>
      <c r="BE1105" s="244"/>
      <c r="BF1105" s="244"/>
      <c r="BG1105" s="244"/>
      <c r="BH1105" s="244"/>
      <c r="BI1105" s="244"/>
      <c r="BJ1105" s="244"/>
      <c r="BK1105" s="244"/>
      <c r="BL1105" s="244"/>
      <c r="BM1105" s="244"/>
      <c r="BN1105" s="244"/>
      <c r="BO1105" s="244"/>
      <c r="BP1105" s="244"/>
      <c r="BQ1105" s="244"/>
      <c r="BR1105" s="244"/>
      <c r="BS1105" s="244"/>
      <c r="BT1105" s="244"/>
      <c r="BU1105" s="244"/>
      <c r="BV1105" s="244"/>
      <c r="BW1105" s="244"/>
      <c r="BX1105" s="244"/>
      <c r="BY1105" s="244"/>
      <c r="BZ1105" s="244"/>
      <c r="CA1105" s="244"/>
      <c r="CB1105" s="244"/>
      <c r="CC1105" s="244"/>
      <c r="CD1105" s="244"/>
      <c r="CE1105" s="244"/>
      <c r="CF1105" s="244"/>
      <c r="CG1105" s="244"/>
      <c r="CH1105" s="244"/>
      <c r="CI1105" s="244"/>
      <c r="CJ1105" s="244"/>
      <c r="CK1105" s="244"/>
      <c r="CL1105" s="244"/>
      <c r="CM1105" s="244"/>
      <c r="CN1105" s="244"/>
      <c r="CO1105" s="244"/>
      <c r="CP1105" s="244"/>
      <c r="CQ1105" s="244"/>
      <c r="CR1105" s="244"/>
      <c r="CS1105" s="244"/>
      <c r="CT1105" s="244"/>
      <c r="CU1105" s="244"/>
      <c r="CV1105" s="244"/>
      <c r="CW1105" s="244"/>
    </row>
  </sheetData>
  <dataConsolidate/>
  <mergeCells count="2">
    <mergeCell ref="I6:N6"/>
    <mergeCell ref="O6:P6"/>
  </mergeCells>
  <pageMargins left="0.75" right="0.75" top="1" bottom="1" header="0.5" footer="0.5"/>
  <pageSetup orientation="portrait" r:id="rId1"/>
  <headerFooter alignWithMargins="0"/>
  <legacyDrawing r:id="rId2"/>
</worksheet>
</file>

<file path=xl/worksheets/sheet13.xml><?xml version="1.0" encoding="utf-8"?>
<worksheet xmlns="http://schemas.openxmlformats.org/spreadsheetml/2006/main" xmlns:r="http://schemas.openxmlformats.org/officeDocument/2006/relationships">
  <sheetPr codeName="Sheet12"/>
  <dimension ref="A1:S160"/>
  <sheetViews>
    <sheetView workbookViewId="0">
      <selection activeCell="K3" sqref="K3"/>
    </sheetView>
  </sheetViews>
  <sheetFormatPr defaultRowHeight="12.75"/>
  <cols>
    <col min="1" max="1" width="18.140625" style="277" bestFit="1" customWidth="1"/>
    <col min="2" max="2" width="16.5703125" style="277" customWidth="1"/>
    <col min="3" max="3" width="11.28515625" style="277" bestFit="1" customWidth="1"/>
    <col min="4" max="4" width="9.140625" style="277"/>
    <col min="5" max="5" width="24.140625" style="277" customWidth="1"/>
    <col min="6" max="6" width="14.42578125" style="277" customWidth="1"/>
    <col min="7" max="7" width="12.28515625" style="277" bestFit="1" customWidth="1"/>
    <col min="8" max="8" width="9.140625" style="277"/>
    <col min="9" max="9" width="13.140625" style="277" customWidth="1"/>
    <col min="10" max="10" width="15" style="277" bestFit="1" customWidth="1"/>
    <col min="11" max="11" width="12.42578125" style="277" customWidth="1"/>
    <col min="12" max="12" width="9.140625" style="277"/>
    <col min="13" max="13" width="9.5703125" style="277" bestFit="1" customWidth="1"/>
    <col min="14" max="14" width="12.85546875" style="277" bestFit="1" customWidth="1"/>
    <col min="15" max="15" width="28.5703125" style="277" bestFit="1" customWidth="1"/>
    <col min="16" max="16" width="14.7109375" style="277" customWidth="1"/>
    <col min="17" max="17" width="11.28515625" style="277" bestFit="1" customWidth="1"/>
    <col min="18" max="16384" width="9.140625" style="277"/>
  </cols>
  <sheetData>
    <row r="1" spans="1:19">
      <c r="B1" s="278" t="s">
        <v>629</v>
      </c>
      <c r="C1" s="278"/>
      <c r="D1" s="278"/>
      <c r="E1" s="278"/>
      <c r="F1" s="278"/>
      <c r="G1" s="278"/>
      <c r="H1" s="278"/>
      <c r="I1" s="278"/>
      <c r="J1" s="278"/>
      <c r="K1" s="278"/>
      <c r="L1" s="278"/>
      <c r="M1" s="278"/>
      <c r="N1" s="278"/>
      <c r="O1" s="278"/>
      <c r="P1" s="278"/>
      <c r="Q1" s="278"/>
      <c r="R1" s="278"/>
      <c r="S1" s="278"/>
    </row>
    <row r="2" spans="1:19" ht="51">
      <c r="A2" s="277" t="s">
        <v>630</v>
      </c>
      <c r="C2" s="279" t="s">
        <v>631</v>
      </c>
      <c r="D2" s="279" t="s">
        <v>632</v>
      </c>
      <c r="E2" s="279" t="s">
        <v>633</v>
      </c>
      <c r="F2" s="279" t="s">
        <v>634</v>
      </c>
      <c r="G2" s="279" t="s">
        <v>635</v>
      </c>
      <c r="H2" s="279" t="s">
        <v>636</v>
      </c>
      <c r="I2" s="279" t="s">
        <v>637</v>
      </c>
      <c r="J2" s="279" t="s">
        <v>638</v>
      </c>
      <c r="K2" s="279" t="s">
        <v>639</v>
      </c>
      <c r="L2" s="279" t="s">
        <v>640</v>
      </c>
      <c r="M2" s="277" t="s">
        <v>641</v>
      </c>
      <c r="O2" s="280" t="s">
        <v>642</v>
      </c>
      <c r="P2" s="280" t="s">
        <v>630</v>
      </c>
    </row>
    <row r="3" spans="1:19">
      <c r="A3" s="277" t="str">
        <f>VLOOKUP(B3,$O$5:$P$11,2,FALSE)</f>
        <v>Lodging</v>
      </c>
      <c r="B3" s="281" t="s">
        <v>643</v>
      </c>
      <c r="C3" s="275">
        <f>Usage!D5</f>
        <v>3508.9289910000002</v>
      </c>
      <c r="D3" s="277">
        <f>FlowRates!$E$5</f>
        <v>2.2000000000000002</v>
      </c>
      <c r="E3" s="277">
        <v>1.75</v>
      </c>
      <c r="F3" s="282">
        <f>Impacts!U6</f>
        <v>169.86544051140947</v>
      </c>
      <c r="G3" s="283">
        <f>Impacts!V6</f>
        <v>8.3530054630755046</v>
      </c>
      <c r="H3" s="284">
        <f>EnergyPerGallon!B21</f>
        <v>0.13</v>
      </c>
      <c r="I3" s="275">
        <f>B27</f>
        <v>201888.75756610386</v>
      </c>
      <c r="J3" s="285">
        <v>0.2</v>
      </c>
      <c r="K3" s="275">
        <f>((F3+G3)*(H3) + (G3)*(1-H3))*I3*(1-J3)</f>
        <v>4915670.2806863617</v>
      </c>
      <c r="L3" s="286">
        <f>K3/(8760*1000)</f>
        <v>0.56114957542081756</v>
      </c>
      <c r="M3" s="287">
        <f>(F3+G3)*(H3) + (G3)*(1-H3)</f>
        <v>30.435512729558738</v>
      </c>
      <c r="N3" s="288"/>
      <c r="O3" s="289"/>
      <c r="P3" s="290" t="s">
        <v>381</v>
      </c>
    </row>
    <row r="4" spans="1:19">
      <c r="A4" s="277" t="str">
        <f t="shared" ref="A4" si="0">VLOOKUP(B4,$O$5:$P$11,2,FALSE)</f>
        <v>Lodging</v>
      </c>
      <c r="B4" s="281" t="s">
        <v>643</v>
      </c>
      <c r="C4" s="291">
        <f>C3</f>
        <v>3508.9289910000002</v>
      </c>
      <c r="D4" s="277">
        <f>FlowRates!$E$5</f>
        <v>2.2000000000000002</v>
      </c>
      <c r="E4" s="277">
        <v>1.5</v>
      </c>
      <c r="F4" s="282">
        <f>Impacts!U7</f>
        <v>280.84164013110251</v>
      </c>
      <c r="G4" s="283">
        <f>Impacts!V7</f>
        <v>12.993564053673005</v>
      </c>
      <c r="H4" s="285">
        <f>H3</f>
        <v>0.13</v>
      </c>
      <c r="I4" s="291">
        <f>I3</f>
        <v>201888.75756610386</v>
      </c>
      <c r="J4" s="285">
        <v>0.2</v>
      </c>
      <c r="K4" s="275">
        <f t="shared" ref="K4:K12" si="1">((F4+G4)*(H4) + (G4)*(1-H4))*I4*(1-J4)</f>
        <v>7995275.6616064003</v>
      </c>
      <c r="L4" s="286">
        <f t="shared" ref="L4:L12" si="2">K4/(8760*1000)</f>
        <v>0.91270270109662099</v>
      </c>
      <c r="M4" s="287">
        <f t="shared" ref="M4:M11" si="3">(F4+G4)*(H4) + (G4)*(1-H4)</f>
        <v>49.502977270716336</v>
      </c>
      <c r="N4" s="288"/>
      <c r="O4" s="289"/>
      <c r="P4" s="290" t="s">
        <v>411</v>
      </c>
    </row>
    <row r="5" spans="1:19">
      <c r="A5" s="277" t="str">
        <f>VLOOKUP(B5,$O$5:$P$11,2,FALSE)</f>
        <v>Hospital</v>
      </c>
      <c r="B5" s="281" t="s">
        <v>644</v>
      </c>
      <c r="C5" s="275">
        <f>Usage!D6</f>
        <v>2528.0945230330522</v>
      </c>
      <c r="D5" s="277">
        <f>FlowRates!$E$5</f>
        <v>2.2000000000000002</v>
      </c>
      <c r="E5" s="277">
        <v>1.75</v>
      </c>
      <c r="F5" s="282">
        <f>Impacts!U9</f>
        <v>122.38375040103244</v>
      </c>
      <c r="G5" s="283">
        <f>Impacts!V9</f>
        <v>6.0181290120801822</v>
      </c>
      <c r="H5" s="284">
        <f>EnergyPerGallon!B22</f>
        <v>0.29449999999999998</v>
      </c>
      <c r="I5" s="275">
        <f>Usage!H89/Usage!D21</f>
        <v>36256.51485</v>
      </c>
      <c r="J5" s="285">
        <v>0.2</v>
      </c>
      <c r="K5" s="275">
        <f t="shared" si="1"/>
        <v>1219963.3740710746</v>
      </c>
      <c r="L5" s="286">
        <f t="shared" si="2"/>
        <v>0.13926522535057931</v>
      </c>
      <c r="M5" s="287">
        <f t="shared" si="3"/>
        <v>42.060143505184236</v>
      </c>
      <c r="N5" s="288"/>
      <c r="O5" s="290" t="s">
        <v>643</v>
      </c>
      <c r="P5" s="290" t="s">
        <v>379</v>
      </c>
    </row>
    <row r="6" spans="1:19">
      <c r="A6" s="277" t="str">
        <f t="shared" ref="A6:A12" si="4">VLOOKUP(B6,$O$5:$P$11,2,FALSE)</f>
        <v>Hospital</v>
      </c>
      <c r="B6" s="281" t="s">
        <v>644</v>
      </c>
      <c r="C6" s="291">
        <f>C5</f>
        <v>2528.0945230330522</v>
      </c>
      <c r="D6" s="277">
        <f>FlowRates!$E$5</f>
        <v>2.2000000000000002</v>
      </c>
      <c r="E6" s="277">
        <v>1.5</v>
      </c>
      <c r="F6" s="282">
        <f>Impacts!U10</f>
        <v>202.33929329322802</v>
      </c>
      <c r="G6" s="283">
        <f>Impacts!V10</f>
        <v>9.3615340187913976</v>
      </c>
      <c r="H6" s="285">
        <f>H5</f>
        <v>0.29449999999999998</v>
      </c>
      <c r="I6" s="291">
        <f>I5</f>
        <v>36256.51485</v>
      </c>
      <c r="J6" s="285">
        <v>0.2</v>
      </c>
      <c r="K6" s="275">
        <f t="shared" si="1"/>
        <v>1999922.5824178276</v>
      </c>
      <c r="L6" s="286">
        <f t="shared" si="2"/>
        <v>0.22830166465956936</v>
      </c>
      <c r="M6" s="287">
        <f t="shared" si="3"/>
        <v>68.950455893647046</v>
      </c>
      <c r="N6" s="288"/>
      <c r="O6" s="290" t="s">
        <v>420</v>
      </c>
      <c r="P6" s="290" t="s">
        <v>402</v>
      </c>
    </row>
    <row r="7" spans="1:19">
      <c r="A7" s="277" t="str">
        <f t="shared" si="4"/>
        <v>Office</v>
      </c>
      <c r="B7" s="292" t="s">
        <v>420</v>
      </c>
      <c r="C7" s="293">
        <f>Usage!D7</f>
        <v>1894.046</v>
      </c>
      <c r="D7" s="277">
        <f>FlowRates!$E$5</f>
        <v>2.2000000000000002</v>
      </c>
      <c r="E7" s="277">
        <v>1.75</v>
      </c>
      <c r="F7" s="294">
        <f>Impacts!U12</f>
        <v>91.689788811366952</v>
      </c>
      <c r="G7" s="295">
        <f>Impacts!V12</f>
        <v>4.5087765030000009</v>
      </c>
      <c r="H7" s="296">
        <f>EnergyPerGallon!B23</f>
        <v>0.49</v>
      </c>
      <c r="I7" s="293">
        <f>B38</f>
        <v>65000</v>
      </c>
      <c r="J7" s="285">
        <v>0.2</v>
      </c>
      <c r="K7" s="275">
        <f t="shared" si="1"/>
        <v>2570712.19706963</v>
      </c>
      <c r="L7" s="286">
        <f t="shared" si="2"/>
        <v>0.29346029646913585</v>
      </c>
      <c r="M7" s="287">
        <f t="shared" si="3"/>
        <v>49.436773020569809</v>
      </c>
      <c r="N7" s="288"/>
      <c r="O7" s="290" t="s">
        <v>645</v>
      </c>
      <c r="P7" s="290" t="s">
        <v>382</v>
      </c>
    </row>
    <row r="8" spans="1:19">
      <c r="A8" s="277" t="str">
        <f t="shared" si="4"/>
        <v>Office</v>
      </c>
      <c r="B8" s="292" t="s">
        <v>420</v>
      </c>
      <c r="C8" s="291">
        <f>C7</f>
        <v>1894.046</v>
      </c>
      <c r="D8" s="277">
        <f>FlowRates!$E$5</f>
        <v>2.2000000000000002</v>
      </c>
      <c r="E8" s="277">
        <v>1.5</v>
      </c>
      <c r="F8" s="294">
        <f>Impacts!U13</f>
        <v>151.59240511508943</v>
      </c>
      <c r="G8" s="295">
        <f>Impacts!V13</f>
        <v>7.0136523380000018</v>
      </c>
      <c r="H8" s="285">
        <f>H7</f>
        <v>0.49</v>
      </c>
      <c r="I8" s="291">
        <f>I7</f>
        <v>65000</v>
      </c>
      <c r="J8" s="285">
        <v>0.2</v>
      </c>
      <c r="K8" s="275">
        <f t="shared" si="1"/>
        <v>4227284.40390848</v>
      </c>
      <c r="L8" s="286">
        <f t="shared" si="2"/>
        <v>0.48256671277494062</v>
      </c>
      <c r="M8" s="287">
        <f t="shared" si="3"/>
        <v>81.293930844393842</v>
      </c>
      <c r="N8" s="288"/>
      <c r="O8" s="290" t="s">
        <v>644</v>
      </c>
      <c r="P8" s="290" t="s">
        <v>380</v>
      </c>
    </row>
    <row r="9" spans="1:19">
      <c r="A9" s="277" t="str">
        <f t="shared" si="4"/>
        <v>School</v>
      </c>
      <c r="B9" s="292" t="s">
        <v>403</v>
      </c>
      <c r="C9" s="293">
        <f>Usage!D8</f>
        <v>2057.4162679425835</v>
      </c>
      <c r="D9" s="277">
        <f>FlowRates!$E$5</f>
        <v>2.2000000000000002</v>
      </c>
      <c r="E9" s="277">
        <v>1.75</v>
      </c>
      <c r="F9" s="297">
        <f>C9*F3/C3</f>
        <v>99.598459121228473</v>
      </c>
      <c r="G9" s="298">
        <f>C9*G3/C3</f>
        <v>4.8976794258373229</v>
      </c>
      <c r="H9" s="296">
        <f>EnergyPerGallon!B21</f>
        <v>0.13</v>
      </c>
      <c r="I9" s="293">
        <f>B47</f>
        <v>5075.2854951796671</v>
      </c>
      <c r="J9" s="285">
        <v>0.2</v>
      </c>
      <c r="K9" s="275">
        <f t="shared" si="1"/>
        <v>72456.721031696099</v>
      </c>
      <c r="L9" s="286">
        <f t="shared" si="2"/>
        <v>8.2713151862666787E-3</v>
      </c>
      <c r="M9" s="287">
        <f t="shared" si="3"/>
        <v>17.845479111597026</v>
      </c>
      <c r="N9" s="288"/>
      <c r="O9" s="290" t="s">
        <v>646</v>
      </c>
      <c r="P9" s="290" t="s">
        <v>402</v>
      </c>
    </row>
    <row r="10" spans="1:19">
      <c r="A10" s="277" t="str">
        <f t="shared" si="4"/>
        <v>School</v>
      </c>
      <c r="B10" s="292" t="s">
        <v>403</v>
      </c>
      <c r="C10" s="291">
        <f>C9</f>
        <v>2057.4162679425835</v>
      </c>
      <c r="D10" s="277">
        <f>FlowRates!$E$5</f>
        <v>2.2000000000000002</v>
      </c>
      <c r="E10" s="277">
        <v>1.5</v>
      </c>
      <c r="F10" s="297">
        <f>C10*F4/C4</f>
        <v>164.66795441099509</v>
      </c>
      <c r="G10" s="298">
        <f>C10*G4/C4</f>
        <v>7.6186124401913897</v>
      </c>
      <c r="H10" s="285">
        <f>H9</f>
        <v>0.13</v>
      </c>
      <c r="I10" s="291">
        <f>I9</f>
        <v>5075.2854951796671</v>
      </c>
      <c r="J10" s="285">
        <v>0.2</v>
      </c>
      <c r="K10" s="275">
        <f t="shared" si="1"/>
        <v>117849.94214535411</v>
      </c>
      <c r="L10" s="286">
        <f t="shared" si="2"/>
        <v>1.3453189742620332E-2</v>
      </c>
      <c r="M10" s="287">
        <f t="shared" si="3"/>
        <v>29.02544651362075</v>
      </c>
      <c r="N10" s="288"/>
      <c r="O10" s="290"/>
      <c r="P10" s="290"/>
    </row>
    <row r="11" spans="1:19">
      <c r="A11" s="277" t="str">
        <f t="shared" si="4"/>
        <v>Other</v>
      </c>
      <c r="B11" s="292" t="s">
        <v>645</v>
      </c>
      <c r="C11" s="299">
        <f>Usage!D10</f>
        <v>56892.698785085886</v>
      </c>
      <c r="D11" s="277">
        <f>FlowRates!$E$5</f>
        <v>2.2000000000000002</v>
      </c>
      <c r="E11" s="277">
        <v>1.75</v>
      </c>
      <c r="F11" s="297">
        <f>C11*F5/C5</f>
        <v>2754.1461698993767</v>
      </c>
      <c r="G11" s="298">
        <f>C11*G5/C5</f>
        <v>135.43306945789698</v>
      </c>
      <c r="H11" s="296">
        <f>EnergyPerGallon!B22</f>
        <v>0.29449999999999998</v>
      </c>
      <c r="I11" s="293">
        <f>B53</f>
        <v>12300.095571838167</v>
      </c>
      <c r="J11" s="285">
        <v>0.2</v>
      </c>
      <c r="K11" s="275">
        <f t="shared" si="1"/>
        <v>9313918.875515746</v>
      </c>
      <c r="L11" s="286">
        <f t="shared" si="2"/>
        <v>1.0632327483465462</v>
      </c>
      <c r="M11" s="287">
        <f t="shared" si="3"/>
        <v>946.52911649326347</v>
      </c>
      <c r="N11" s="288"/>
      <c r="O11" s="290" t="s">
        <v>403</v>
      </c>
      <c r="P11" s="290" t="s">
        <v>403</v>
      </c>
    </row>
    <row r="12" spans="1:19">
      <c r="A12" s="277" t="str">
        <f t="shared" si="4"/>
        <v>Other</v>
      </c>
      <c r="B12" s="292" t="s">
        <v>645</v>
      </c>
      <c r="C12" s="291">
        <f>C11</f>
        <v>56892.698785085886</v>
      </c>
      <c r="D12" s="277">
        <f>FlowRates!$E$5</f>
        <v>2.2000000000000002</v>
      </c>
      <c r="E12" s="277">
        <v>1.5</v>
      </c>
      <c r="F12" s="297">
        <f>C12*F6/C6</f>
        <v>4553.4802440487183</v>
      </c>
      <c r="G12" s="298">
        <f>C12*G6/C6</f>
        <v>210.67366360117316</v>
      </c>
      <c r="H12" s="285">
        <f>H11</f>
        <v>0.29449999999999998</v>
      </c>
      <c r="I12" s="291">
        <f>I11</f>
        <v>12300.095571838167</v>
      </c>
      <c r="J12" s="285">
        <v>0.2</v>
      </c>
      <c r="K12" s="275">
        <f t="shared" si="1"/>
        <v>15268586.816497648</v>
      </c>
      <c r="L12" s="286">
        <f t="shared" si="2"/>
        <v>1.7429893626138868</v>
      </c>
      <c r="M12" s="287">
        <f>(F12+G12)*(H12) + (G12)*(1-H12)</f>
        <v>1551.6735954735207</v>
      </c>
      <c r="N12" s="288"/>
      <c r="O12" s="289"/>
      <c r="P12" s="290"/>
    </row>
    <row r="13" spans="1:19">
      <c r="O13" s="289"/>
      <c r="P13" s="290"/>
    </row>
    <row r="15" spans="1:19">
      <c r="C15" s="281"/>
      <c r="F15" s="300"/>
    </row>
    <row r="16" spans="1:19">
      <c r="B16" s="281" t="s">
        <v>647</v>
      </c>
      <c r="C16" s="281"/>
      <c r="F16" s="300"/>
    </row>
    <row r="18" spans="2:16">
      <c r="B18" s="281" t="s">
        <v>648</v>
      </c>
      <c r="L18" s="278" t="s">
        <v>1235</v>
      </c>
      <c r="M18" s="533"/>
      <c r="N18" s="533"/>
    </row>
    <row r="20" spans="2:16" ht="15">
      <c r="B20" s="301" t="s">
        <v>643</v>
      </c>
      <c r="C20" s="301"/>
      <c r="D20" s="301"/>
      <c r="E20" s="301"/>
      <c r="F20" s="301"/>
      <c r="N20" s="509" t="s">
        <v>1002</v>
      </c>
      <c r="O20" s="509"/>
      <c r="P20" s="509"/>
    </row>
    <row r="21" spans="2:16">
      <c r="B21" s="302">
        <v>4874837</v>
      </c>
      <c r="C21" s="281" t="s">
        <v>649</v>
      </c>
      <c r="H21" s="303" t="s">
        <v>650</v>
      </c>
      <c r="N21" s="508">
        <v>422733</v>
      </c>
    </row>
    <row r="22" spans="2:16">
      <c r="B22" s="277">
        <v>313.89999999999998</v>
      </c>
      <c r="C22" s="281" t="s">
        <v>651</v>
      </c>
    </row>
    <row r="23" spans="2:16">
      <c r="B23" s="277">
        <v>3.5</v>
      </c>
      <c r="C23" s="281" t="s">
        <v>652</v>
      </c>
    </row>
    <row r="24" spans="2:16">
      <c r="B24" s="277">
        <v>6.9</v>
      </c>
      <c r="C24" s="281" t="s">
        <v>653</v>
      </c>
      <c r="N24" s="509" t="s">
        <v>409</v>
      </c>
      <c r="O24" s="509" t="s">
        <v>1003</v>
      </c>
      <c r="P24" s="509"/>
    </row>
    <row r="25" spans="2:16">
      <c r="B25" s="277">
        <v>1.6</v>
      </c>
      <c r="C25" s="281" t="s">
        <v>654</v>
      </c>
      <c r="N25" s="277" t="s">
        <v>381</v>
      </c>
      <c r="O25" s="510">
        <v>3450.6348437960319</v>
      </c>
    </row>
    <row r="26" spans="2:16">
      <c r="B26" s="277">
        <v>1</v>
      </c>
      <c r="C26" s="281" t="s">
        <v>655</v>
      </c>
      <c r="N26" s="277" t="s">
        <v>411</v>
      </c>
      <c r="O26" s="510">
        <v>0</v>
      </c>
    </row>
    <row r="27" spans="2:16">
      <c r="B27" s="304">
        <f>B21*SUM(B23:B26)/B22</f>
        <v>201888.75756610386</v>
      </c>
      <c r="C27" s="281" t="s">
        <v>656</v>
      </c>
      <c r="N27" s="277" t="s">
        <v>379</v>
      </c>
      <c r="O27" s="510">
        <v>247787.6631619253</v>
      </c>
      <c r="P27" s="277" t="s">
        <v>1004</v>
      </c>
    </row>
    <row r="28" spans="2:16">
      <c r="N28" s="277" t="s">
        <v>402</v>
      </c>
      <c r="O28" s="510">
        <v>0</v>
      </c>
    </row>
    <row r="29" spans="2:16" ht="15">
      <c r="B29" s="301" t="s">
        <v>657</v>
      </c>
      <c r="C29" s="301"/>
      <c r="D29" s="301"/>
      <c r="E29" s="301"/>
      <c r="F29" s="301"/>
      <c r="N29" s="277" t="s">
        <v>382</v>
      </c>
      <c r="O29" s="510">
        <v>22921.821639995731</v>
      </c>
    </row>
    <row r="30" spans="2:16">
      <c r="B30" s="302">
        <f>Usage!H89</f>
        <v>72513.029699999999</v>
      </c>
      <c r="C30" s="281" t="s">
        <v>658</v>
      </c>
      <c r="N30" s="277" t="s">
        <v>396</v>
      </c>
      <c r="O30" s="510">
        <v>148573.09613913839</v>
      </c>
    </row>
    <row r="31" spans="2:16">
      <c r="B31" s="277">
        <f>Usage!D21</f>
        <v>2</v>
      </c>
      <c r="C31" s="281" t="s">
        <v>659</v>
      </c>
      <c r="N31" s="277" t="s">
        <v>378</v>
      </c>
      <c r="O31" s="510">
        <v>0</v>
      </c>
    </row>
    <row r="32" spans="2:16">
      <c r="B32" s="304">
        <f>B30/B31</f>
        <v>36256.51485</v>
      </c>
      <c r="C32" s="281" t="s">
        <v>660</v>
      </c>
      <c r="N32" s="277" t="s">
        <v>412</v>
      </c>
      <c r="O32" s="510">
        <v>0</v>
      </c>
    </row>
    <row r="33" spans="2:17">
      <c r="N33" s="277" t="s">
        <v>394</v>
      </c>
      <c r="O33" s="510">
        <v>0</v>
      </c>
    </row>
    <row r="34" spans="2:17" ht="15">
      <c r="B34" s="301" t="s">
        <v>661</v>
      </c>
      <c r="C34" s="301"/>
      <c r="D34" s="301"/>
      <c r="E34" s="301"/>
      <c r="F34" s="301"/>
      <c r="N34" s="511" t="s">
        <v>376</v>
      </c>
      <c r="O34" s="512">
        <v>0</v>
      </c>
    </row>
    <row r="35" spans="2:17">
      <c r="B35" s="283">
        <f>SUM(B23:B26)</f>
        <v>13</v>
      </c>
      <c r="C35" s="281" t="s">
        <v>662</v>
      </c>
      <c r="N35" s="277" t="s">
        <v>410</v>
      </c>
      <c r="O35" s="510">
        <v>422733.21578485548</v>
      </c>
    </row>
    <row r="36" spans="2:17">
      <c r="B36" s="285">
        <v>0.5</v>
      </c>
      <c r="C36" s="281" t="s">
        <v>663</v>
      </c>
    </row>
    <row r="37" spans="2:17">
      <c r="B37" s="277">
        <v>100</v>
      </c>
      <c r="C37" s="281" t="s">
        <v>664</v>
      </c>
      <c r="L37" s="366" t="s">
        <v>1234</v>
      </c>
    </row>
    <row r="38" spans="2:17">
      <c r="B38" s="304">
        <f>B35*1000000*B36/B37</f>
        <v>65000</v>
      </c>
      <c r="C38" s="281" t="s">
        <v>665</v>
      </c>
      <c r="N38" s="538" t="s">
        <v>682</v>
      </c>
      <c r="O38" s="539"/>
      <c r="P38" s="540"/>
    </row>
    <row r="39" spans="2:17">
      <c r="N39" s="537" t="s">
        <v>1233</v>
      </c>
      <c r="O39" s="537" t="s">
        <v>910</v>
      </c>
      <c r="P39" s="537" t="s">
        <v>132</v>
      </c>
      <c r="Q39" s="277" t="s">
        <v>404</v>
      </c>
    </row>
    <row r="40" spans="2:17" ht="15">
      <c r="B40" s="301" t="s">
        <v>403</v>
      </c>
      <c r="C40" s="301"/>
      <c r="D40" s="301"/>
      <c r="E40" s="301"/>
      <c r="F40" s="301"/>
      <c r="N40" s="529" t="s">
        <v>371</v>
      </c>
      <c r="O40" s="530">
        <f>B38*H63</f>
        <v>32306.72054096264</v>
      </c>
      <c r="P40" s="536">
        <f>M8</f>
        <v>81.293930844393842</v>
      </c>
    </row>
    <row r="41" spans="2:17">
      <c r="B41" s="305">
        <v>1038503</v>
      </c>
      <c r="C41" s="281" t="s">
        <v>666</v>
      </c>
      <c r="H41" s="303" t="s">
        <v>667</v>
      </c>
      <c r="N41" s="529" t="s">
        <v>373</v>
      </c>
      <c r="O41" s="530">
        <f>B38*H60</f>
        <v>27694.782718488583</v>
      </c>
      <c r="P41" s="536">
        <f>P40</f>
        <v>81.293930844393842</v>
      </c>
    </row>
    <row r="42" spans="2:17">
      <c r="B42" s="305">
        <v>563714</v>
      </c>
      <c r="C42" s="281" t="s">
        <v>668</v>
      </c>
      <c r="H42" s="303" t="s">
        <v>669</v>
      </c>
      <c r="N42" s="529" t="s">
        <v>374</v>
      </c>
      <c r="O42" s="530">
        <f>H59*B38</f>
        <v>4998.4967405487751</v>
      </c>
      <c r="P42" s="536">
        <f>P41</f>
        <v>81.293930844393842</v>
      </c>
    </row>
    <row r="43" spans="2:17">
      <c r="B43" s="305">
        <v>287329</v>
      </c>
      <c r="C43" s="281" t="s">
        <v>670</v>
      </c>
      <c r="H43" s="303" t="s">
        <v>671</v>
      </c>
      <c r="N43" s="531" t="s">
        <v>397</v>
      </c>
      <c r="O43" s="289">
        <v>0</v>
      </c>
      <c r="P43" s="289">
        <v>0</v>
      </c>
    </row>
    <row r="44" spans="2:17">
      <c r="B44" s="305">
        <v>142349</v>
      </c>
      <c r="C44" s="281" t="s">
        <v>672</v>
      </c>
      <c r="H44" s="303" t="s">
        <v>673</v>
      </c>
      <c r="N44" s="531" t="s">
        <v>391</v>
      </c>
      <c r="O44" s="289">
        <v>0</v>
      </c>
      <c r="P44" s="289">
        <v>0</v>
      </c>
    </row>
    <row r="45" spans="2:17">
      <c r="B45" s="306">
        <v>0.25</v>
      </c>
      <c r="C45" s="281" t="s">
        <v>674</v>
      </c>
      <c r="N45" s="531" t="s">
        <v>392</v>
      </c>
      <c r="O45" s="289">
        <v>0</v>
      </c>
      <c r="P45" s="289">
        <v>0</v>
      </c>
    </row>
    <row r="46" spans="2:17">
      <c r="B46" s="300">
        <f>Usage!J100/Usage!E100</f>
        <v>100.08771929824562</v>
      </c>
      <c r="C46" s="281" t="s">
        <v>675</v>
      </c>
      <c r="N46" s="531" t="s">
        <v>393</v>
      </c>
      <c r="O46" s="289">
        <v>0</v>
      </c>
      <c r="P46" s="289">
        <v>0</v>
      </c>
    </row>
    <row r="47" spans="2:17">
      <c r="B47" s="304">
        <f>SUM(B41:B44)*B45/B46</f>
        <v>5075.2854951796671</v>
      </c>
      <c r="C47" s="281" t="s">
        <v>676</v>
      </c>
      <c r="N47" s="529" t="s">
        <v>394</v>
      </c>
      <c r="O47" s="532">
        <f>B47</f>
        <v>5075.2854951796671</v>
      </c>
      <c r="P47" s="536">
        <f>M10</f>
        <v>29.02544651362075</v>
      </c>
    </row>
    <row r="48" spans="2:17">
      <c r="N48" s="529" t="s">
        <v>375</v>
      </c>
      <c r="O48" s="532">
        <f>O78</f>
        <v>22329.077738344113</v>
      </c>
      <c r="P48" s="536">
        <f>M4</f>
        <v>49.502977270716336</v>
      </c>
    </row>
    <row r="49" spans="2:17" ht="15">
      <c r="B49" s="301" t="s">
        <v>645</v>
      </c>
      <c r="C49" s="301"/>
      <c r="D49" s="301"/>
      <c r="E49" s="301"/>
      <c r="F49" s="301"/>
      <c r="N49" s="529" t="s">
        <v>376</v>
      </c>
      <c r="O49" s="289">
        <v>0</v>
      </c>
      <c r="P49" s="289">
        <v>0</v>
      </c>
    </row>
    <row r="50" spans="2:17">
      <c r="B50" s="275">
        <v>27000</v>
      </c>
      <c r="C50" s="281" t="s">
        <v>677</v>
      </c>
      <c r="H50" s="303" t="s">
        <v>678</v>
      </c>
      <c r="N50" s="529" t="s">
        <v>377</v>
      </c>
      <c r="O50" s="289">
        <v>0</v>
      </c>
      <c r="P50" s="289">
        <v>0</v>
      </c>
    </row>
    <row r="51" spans="2:17">
      <c r="B51" s="275">
        <f>B50*SUM(B23:B26)/B22</f>
        <v>1118.1905065307424</v>
      </c>
      <c r="C51" s="281" t="s">
        <v>679</v>
      </c>
      <c r="D51" s="281"/>
      <c r="N51" s="529" t="s">
        <v>395</v>
      </c>
      <c r="O51" s="289">
        <v>0</v>
      </c>
      <c r="P51" s="289">
        <v>0</v>
      </c>
    </row>
    <row r="52" spans="2:17">
      <c r="B52" s="277">
        <f>AVERAGE('Fitness Centers Survey'!C5:G5)</f>
        <v>11</v>
      </c>
      <c r="C52" s="281" t="s">
        <v>680</v>
      </c>
      <c r="D52" s="281"/>
      <c r="H52" s="281" t="s">
        <v>681</v>
      </c>
      <c r="N52" s="529" t="s">
        <v>378</v>
      </c>
      <c r="O52" s="289">
        <v>0</v>
      </c>
      <c r="P52" s="289">
        <v>0</v>
      </c>
    </row>
    <row r="53" spans="2:17">
      <c r="B53" s="291">
        <f>B52*B51</f>
        <v>12300.095571838167</v>
      </c>
      <c r="C53" s="281" t="s">
        <v>682</v>
      </c>
      <c r="N53" s="529" t="s">
        <v>379</v>
      </c>
      <c r="O53" s="532">
        <f>O27+O29</f>
        <v>270709.48480192106</v>
      </c>
      <c r="P53" s="536">
        <f>M4</f>
        <v>49.502977270716336</v>
      </c>
    </row>
    <row r="54" spans="2:17">
      <c r="N54" s="529" t="s">
        <v>380</v>
      </c>
      <c r="O54" s="532">
        <f>B32</f>
        <v>36256.51485</v>
      </c>
      <c r="P54" s="536">
        <f>M6</f>
        <v>68.950455893647046</v>
      </c>
    </row>
    <row r="55" spans="2:17">
      <c r="B55" s="285"/>
      <c r="C55" s="281"/>
      <c r="N55" s="531" t="s">
        <v>396</v>
      </c>
      <c r="O55" s="532">
        <f>O30</f>
        <v>148573.09613913839</v>
      </c>
      <c r="P55" s="536">
        <f>M4</f>
        <v>49.502977270716336</v>
      </c>
    </row>
    <row r="56" spans="2:17">
      <c r="C56" s="281"/>
      <c r="N56" s="529" t="s">
        <v>381</v>
      </c>
      <c r="O56" s="532">
        <f>O25</f>
        <v>3450.6348437960319</v>
      </c>
      <c r="P56" s="536">
        <f>M4</f>
        <v>49.502977270716336</v>
      </c>
    </row>
    <row r="57" spans="2:17">
      <c r="B57" s="307"/>
      <c r="C57" s="281"/>
      <c r="F57" s="277" t="s">
        <v>1232</v>
      </c>
      <c r="N57" s="529" t="s">
        <v>382</v>
      </c>
      <c r="O57" s="532">
        <f>B53</f>
        <v>12300.095571838167</v>
      </c>
      <c r="P57" s="536">
        <f>M12</f>
        <v>1551.6735954735207</v>
      </c>
    </row>
    <row r="58" spans="2:17">
      <c r="B58" s="286"/>
      <c r="C58" s="281"/>
      <c r="E58" s="277" t="s">
        <v>402</v>
      </c>
      <c r="F58" s="510">
        <v>299473306</v>
      </c>
    </row>
    <row r="59" spans="2:17">
      <c r="E59" s="277" t="s">
        <v>1227</v>
      </c>
      <c r="F59" s="510">
        <v>23029482.214190245</v>
      </c>
      <c r="G59" s="291">
        <f>F59</f>
        <v>23029482.214190245</v>
      </c>
      <c r="H59" s="522">
        <f>G59/F58</f>
        <v>7.6899949854596542E-2</v>
      </c>
    </row>
    <row r="60" spans="2:17">
      <c r="E60" s="277" t="s">
        <v>1228</v>
      </c>
      <c r="F60" s="510">
        <v>85725023.785809711</v>
      </c>
      <c r="G60" s="291">
        <f>F61+F60</f>
        <v>127597663.68703759</v>
      </c>
      <c r="H60" s="522">
        <f>G60/F58</f>
        <v>0.42607358028443976</v>
      </c>
    </row>
    <row r="61" spans="2:17">
      <c r="E61" s="277" t="s">
        <v>1229</v>
      </c>
      <c r="F61" s="510">
        <v>41872639.901227869</v>
      </c>
      <c r="H61" s="522"/>
      <c r="O61" s="277" t="s">
        <v>1080</v>
      </c>
      <c r="P61" s="277" t="s">
        <v>1081</v>
      </c>
    </row>
    <row r="62" spans="2:17">
      <c r="E62" s="277" t="s">
        <v>1230</v>
      </c>
      <c r="F62" s="510">
        <v>63929821.098772161</v>
      </c>
      <c r="H62" s="522"/>
      <c r="J62" s="277">
        <v>73</v>
      </c>
      <c r="K62" s="277" t="s">
        <v>1075</v>
      </c>
      <c r="N62" s="277" t="s">
        <v>1078</v>
      </c>
      <c r="O62" s="302">
        <v>42000</v>
      </c>
    </row>
    <row r="63" spans="2:17">
      <c r="E63" s="277" t="s">
        <v>1231</v>
      </c>
      <c r="F63" s="510">
        <v>84916339.000000015</v>
      </c>
      <c r="G63" s="291">
        <f>F62+F63</f>
        <v>148846160.09877217</v>
      </c>
      <c r="H63" s="522">
        <f>G63/F58</f>
        <v>0.49702646986096372</v>
      </c>
      <c r="J63" s="521">
        <v>123989124</v>
      </c>
      <c r="K63" s="277" t="s">
        <v>1076</v>
      </c>
      <c r="N63" s="277" t="s">
        <v>1079</v>
      </c>
      <c r="O63" s="302">
        <v>20569</v>
      </c>
      <c r="P63" s="277">
        <v>4000</v>
      </c>
      <c r="Q63" s="522">
        <f>P63/O63</f>
        <v>0.19446740240167243</v>
      </c>
    </row>
    <row r="64" spans="2:17">
      <c r="J64" s="291">
        <f>J63/J62</f>
        <v>1698481.1506849315</v>
      </c>
      <c r="N64" s="277" t="s">
        <v>1082</v>
      </c>
      <c r="O64" s="277">
        <v>21963</v>
      </c>
    </row>
    <row r="65" spans="10:16">
      <c r="N65" s="277" t="s">
        <v>1083</v>
      </c>
      <c r="O65" s="277">
        <v>27642</v>
      </c>
    </row>
    <row r="66" spans="10:16">
      <c r="J66" s="285">
        <v>0.5</v>
      </c>
      <c r="K66" s="277" t="s">
        <v>1077</v>
      </c>
      <c r="N66" s="277" t="s">
        <v>1084</v>
      </c>
      <c r="O66" s="302">
        <v>15000</v>
      </c>
    </row>
    <row r="69" spans="10:16">
      <c r="N69" s="277" t="s">
        <v>1072</v>
      </c>
      <c r="O69" s="302">
        <f>E158</f>
        <v>199471</v>
      </c>
      <c r="P69" s="510">
        <f>O69*Q63</f>
        <v>38790.607224464002</v>
      </c>
    </row>
    <row r="70" spans="10:16">
      <c r="N70" s="277" t="s">
        <v>1071</v>
      </c>
      <c r="O70" s="302">
        <f>O62+O65+O66</f>
        <v>84642</v>
      </c>
    </row>
    <row r="74" spans="10:16">
      <c r="N74" s="277" t="s">
        <v>167</v>
      </c>
      <c r="O74" s="510">
        <f>J62*G160</f>
        <v>459286.80000000005</v>
      </c>
    </row>
    <row r="76" spans="10:16">
      <c r="O76" s="291">
        <f>O74*Q63</f>
        <v>89316.310953376451</v>
      </c>
      <c r="P76" s="277" t="s">
        <v>1224</v>
      </c>
    </row>
    <row r="77" spans="10:16">
      <c r="O77" s="277">
        <v>4</v>
      </c>
      <c r="P77" s="277" t="s">
        <v>1225</v>
      </c>
    </row>
    <row r="78" spans="10:16">
      <c r="O78" s="300">
        <f>O76/O77</f>
        <v>22329.077738344113</v>
      </c>
      <c r="P78" s="277" t="s">
        <v>1226</v>
      </c>
    </row>
    <row r="86" spans="1:6">
      <c r="A86" s="527" t="s">
        <v>403</v>
      </c>
      <c r="B86" s="527" t="s">
        <v>1219</v>
      </c>
      <c r="C86" s="527" t="s">
        <v>1220</v>
      </c>
      <c r="D86" s="528" t="s">
        <v>1221</v>
      </c>
      <c r="E86" s="527" t="s">
        <v>1222</v>
      </c>
      <c r="F86" s="527" t="s">
        <v>1223</v>
      </c>
    </row>
    <row r="87" spans="1:6" ht="25.5" customHeight="1">
      <c r="A87" s="589" t="s">
        <v>1085</v>
      </c>
      <c r="B87" s="590" t="s">
        <v>1086</v>
      </c>
      <c r="C87" s="185" t="s">
        <v>1087</v>
      </c>
      <c r="D87" s="591" t="s">
        <v>1089</v>
      </c>
      <c r="E87" s="592">
        <v>1032</v>
      </c>
      <c r="F87" s="590" t="s">
        <v>1090</v>
      </c>
    </row>
    <row r="88" spans="1:6">
      <c r="A88" s="589"/>
      <c r="B88" s="590"/>
      <c r="C88" s="523" t="s">
        <v>1088</v>
      </c>
      <c r="D88" s="591"/>
      <c r="E88" s="592"/>
      <c r="F88" s="590"/>
    </row>
    <row r="89" spans="1:6" ht="12.75" customHeight="1">
      <c r="A89" s="589" t="s">
        <v>1091</v>
      </c>
      <c r="B89" s="590" t="s">
        <v>1086</v>
      </c>
      <c r="C89" s="185" t="s">
        <v>1087</v>
      </c>
      <c r="D89" s="591" t="s">
        <v>1092</v>
      </c>
      <c r="E89" s="592">
        <v>1534</v>
      </c>
      <c r="F89" s="590" t="s">
        <v>1093</v>
      </c>
    </row>
    <row r="90" spans="1:6">
      <c r="A90" s="589"/>
      <c r="B90" s="590"/>
      <c r="C90" s="523" t="s">
        <v>1088</v>
      </c>
      <c r="D90" s="591"/>
      <c r="E90" s="592"/>
      <c r="F90" s="590"/>
    </row>
    <row r="91" spans="1:6" ht="38.25">
      <c r="A91" s="523" t="s">
        <v>1094</v>
      </c>
      <c r="B91" s="525" t="s">
        <v>1095</v>
      </c>
      <c r="C91" s="185" t="s">
        <v>1096</v>
      </c>
      <c r="D91" s="185" t="s">
        <v>1097</v>
      </c>
      <c r="E91" s="526">
        <v>2216</v>
      </c>
      <c r="F91" s="525" t="s">
        <v>1098</v>
      </c>
    </row>
    <row r="92" spans="1:6" ht="38.25">
      <c r="A92" s="523" t="s">
        <v>1099</v>
      </c>
      <c r="B92" s="525" t="s">
        <v>1100</v>
      </c>
      <c r="C92" s="185" t="s">
        <v>1096</v>
      </c>
      <c r="D92" s="185" t="s">
        <v>1097</v>
      </c>
      <c r="E92" s="526">
        <v>4048</v>
      </c>
      <c r="F92" s="525" t="s">
        <v>1101</v>
      </c>
    </row>
    <row r="93" spans="1:6" ht="38.25">
      <c r="A93" s="523" t="s">
        <v>1102</v>
      </c>
      <c r="B93" s="525" t="s">
        <v>1103</v>
      </c>
      <c r="C93" s="185" t="s">
        <v>1096</v>
      </c>
      <c r="D93" s="185" t="s">
        <v>1097</v>
      </c>
      <c r="E93" s="526">
        <v>9228</v>
      </c>
      <c r="F93" s="525" t="s">
        <v>1104</v>
      </c>
    </row>
    <row r="94" spans="1:6" ht="38.25">
      <c r="A94" s="523" t="s">
        <v>1105</v>
      </c>
      <c r="B94" s="525" t="s">
        <v>1106</v>
      </c>
      <c r="C94" s="185" t="s">
        <v>1096</v>
      </c>
      <c r="D94" s="185" t="s">
        <v>1097</v>
      </c>
      <c r="E94" s="526">
        <v>6902</v>
      </c>
      <c r="F94" s="525" t="s">
        <v>1107</v>
      </c>
    </row>
    <row r="95" spans="1:6" ht="38.25">
      <c r="A95" s="523" t="s">
        <v>1108</v>
      </c>
      <c r="B95" s="525" t="s">
        <v>1109</v>
      </c>
      <c r="C95" s="185" t="s">
        <v>1096</v>
      </c>
      <c r="D95" s="185" t="s">
        <v>1097</v>
      </c>
      <c r="E95" s="526">
        <v>1610</v>
      </c>
      <c r="F95" s="525" t="s">
        <v>1110</v>
      </c>
    </row>
    <row r="96" spans="1:6" ht="38.25">
      <c r="A96" s="523" t="s">
        <v>1111</v>
      </c>
      <c r="B96" s="525" t="s">
        <v>1112</v>
      </c>
      <c r="C96" s="185" t="s">
        <v>1096</v>
      </c>
      <c r="D96" s="185" t="s">
        <v>1097</v>
      </c>
      <c r="E96" s="524">
        <v>831</v>
      </c>
      <c r="F96" s="525" t="s">
        <v>1113</v>
      </c>
    </row>
    <row r="97" spans="1:6" ht="12.75" customHeight="1">
      <c r="A97" s="589" t="s">
        <v>1114</v>
      </c>
      <c r="B97" s="590" t="s">
        <v>1086</v>
      </c>
      <c r="C97" s="185" t="s">
        <v>1087</v>
      </c>
      <c r="D97" s="591" t="s">
        <v>1116</v>
      </c>
      <c r="E97" s="592">
        <v>1404</v>
      </c>
      <c r="F97" s="593">
        <v>1905</v>
      </c>
    </row>
    <row r="98" spans="1:6">
      <c r="A98" s="589"/>
      <c r="B98" s="590"/>
      <c r="C98" s="523" t="s">
        <v>1115</v>
      </c>
      <c r="D98" s="591"/>
      <c r="E98" s="592"/>
      <c r="F98" s="593"/>
    </row>
    <row r="99" spans="1:6" ht="25.5" customHeight="1">
      <c r="A99" s="589" t="s">
        <v>1117</v>
      </c>
      <c r="B99" s="590" t="s">
        <v>1103</v>
      </c>
      <c r="C99" s="185" t="s">
        <v>1087</v>
      </c>
      <c r="D99" s="591" t="s">
        <v>1119</v>
      </c>
      <c r="E99" s="593">
        <v>754</v>
      </c>
      <c r="F99" s="593">
        <v>1935</v>
      </c>
    </row>
    <row r="100" spans="1:6">
      <c r="A100" s="589"/>
      <c r="B100" s="590"/>
      <c r="C100" s="523" t="s">
        <v>1118</v>
      </c>
      <c r="D100" s="591"/>
      <c r="E100" s="593"/>
      <c r="F100" s="593"/>
    </row>
    <row r="101" spans="1:6" ht="25.5">
      <c r="A101" s="523" t="s">
        <v>1120</v>
      </c>
      <c r="B101" s="525" t="s">
        <v>1121</v>
      </c>
      <c r="C101" s="185" t="s">
        <v>1096</v>
      </c>
      <c r="D101" s="185" t="s">
        <v>1116</v>
      </c>
      <c r="E101" s="524">
        <v>3338</v>
      </c>
      <c r="F101" s="524">
        <v>1929</v>
      </c>
    </row>
    <row r="102" spans="1:6" ht="12.75" customHeight="1">
      <c r="A102" s="589" t="s">
        <v>1122</v>
      </c>
      <c r="B102" s="590" t="s">
        <v>1123</v>
      </c>
      <c r="C102" s="185" t="s">
        <v>1087</v>
      </c>
      <c r="D102" s="591" t="s">
        <v>1125</v>
      </c>
      <c r="E102" s="592">
        <v>3382</v>
      </c>
      <c r="F102" s="593">
        <v>1891</v>
      </c>
    </row>
    <row r="103" spans="1:6">
      <c r="A103" s="589"/>
      <c r="B103" s="590"/>
      <c r="C103" s="523" t="s">
        <v>1124</v>
      </c>
      <c r="D103" s="591"/>
      <c r="E103" s="592"/>
      <c r="F103" s="593"/>
    </row>
    <row r="104" spans="1:6" ht="12.75" customHeight="1">
      <c r="A104" s="589" t="s">
        <v>1126</v>
      </c>
      <c r="B104" s="590" t="s">
        <v>1127</v>
      </c>
      <c r="C104" s="185" t="s">
        <v>1087</v>
      </c>
      <c r="D104" s="589" t="s">
        <v>1129</v>
      </c>
      <c r="E104" s="590">
        <v>48</v>
      </c>
      <c r="F104" s="590" t="s">
        <v>1130</v>
      </c>
    </row>
    <row r="105" spans="1:6">
      <c r="A105" s="589"/>
      <c r="B105" s="590"/>
      <c r="C105" s="523" t="s">
        <v>1128</v>
      </c>
      <c r="D105" s="589"/>
      <c r="E105" s="590"/>
      <c r="F105" s="590"/>
    </row>
    <row r="106" spans="1:6" ht="38.25">
      <c r="A106" s="523" t="s">
        <v>1131</v>
      </c>
      <c r="B106" s="525" t="s">
        <v>1132</v>
      </c>
      <c r="C106" s="185" t="s">
        <v>1096</v>
      </c>
      <c r="D106" s="185" t="s">
        <v>1097</v>
      </c>
      <c r="E106" s="525">
        <v>1619</v>
      </c>
      <c r="F106" s="525" t="s">
        <v>1133</v>
      </c>
    </row>
    <row r="107" spans="1:6" ht="38.25">
      <c r="A107" s="523" t="s">
        <v>1134</v>
      </c>
      <c r="B107" s="525" t="s">
        <v>1127</v>
      </c>
      <c r="C107" s="185" t="s">
        <v>1096</v>
      </c>
      <c r="D107" s="185" t="s">
        <v>1097</v>
      </c>
      <c r="E107" s="526">
        <v>9110</v>
      </c>
      <c r="F107" s="525" t="s">
        <v>1135</v>
      </c>
    </row>
    <row r="108" spans="1:6" ht="38.25">
      <c r="A108" s="523" t="s">
        <v>1136</v>
      </c>
      <c r="B108" s="525" t="s">
        <v>1086</v>
      </c>
      <c r="C108" s="185" t="s">
        <v>1087</v>
      </c>
      <c r="D108" s="185" t="s">
        <v>1137</v>
      </c>
      <c r="E108" s="526">
        <v>3259</v>
      </c>
      <c r="F108" s="524">
        <v>1867</v>
      </c>
    </row>
    <row r="109" spans="1:6" ht="25.5" customHeight="1">
      <c r="A109" s="589" t="s">
        <v>1138</v>
      </c>
      <c r="B109" s="590" t="s">
        <v>1139</v>
      </c>
      <c r="C109" s="185" t="s">
        <v>1087</v>
      </c>
      <c r="D109" s="591" t="s">
        <v>1137</v>
      </c>
      <c r="E109" s="590">
        <v>2606</v>
      </c>
      <c r="F109" s="593">
        <v>1858</v>
      </c>
    </row>
    <row r="110" spans="1:6">
      <c r="A110" s="589"/>
      <c r="B110" s="590"/>
      <c r="C110" s="523" t="s">
        <v>1118</v>
      </c>
      <c r="D110" s="591"/>
      <c r="E110" s="590"/>
      <c r="F110" s="593"/>
    </row>
    <row r="111" spans="1:6" ht="38.25">
      <c r="A111" s="523" t="s">
        <v>1140</v>
      </c>
      <c r="B111" s="525" t="s">
        <v>1141</v>
      </c>
      <c r="C111" s="185" t="s">
        <v>1096</v>
      </c>
      <c r="D111" s="185" t="s">
        <v>1097</v>
      </c>
      <c r="E111" s="526">
        <v>5391</v>
      </c>
      <c r="F111" s="525" t="s">
        <v>1142</v>
      </c>
    </row>
    <row r="112" spans="1:6" ht="12.75" customHeight="1">
      <c r="A112" s="589" t="s">
        <v>1143</v>
      </c>
      <c r="B112" s="590" t="s">
        <v>1144</v>
      </c>
      <c r="C112" s="185" t="s">
        <v>1087</v>
      </c>
      <c r="D112" s="591" t="s">
        <v>1116</v>
      </c>
      <c r="E112" s="592">
        <v>1245</v>
      </c>
      <c r="F112" s="593">
        <v>1893</v>
      </c>
    </row>
    <row r="113" spans="1:6">
      <c r="A113" s="589"/>
      <c r="B113" s="590"/>
      <c r="C113" s="523" t="s">
        <v>1145</v>
      </c>
      <c r="D113" s="591"/>
      <c r="E113" s="592"/>
      <c r="F113" s="593"/>
    </row>
    <row r="114" spans="1:6" ht="12.75" customHeight="1">
      <c r="A114" s="589" t="s">
        <v>1146</v>
      </c>
      <c r="B114" s="590" t="s">
        <v>1147</v>
      </c>
      <c r="C114" s="185" t="s">
        <v>1087</v>
      </c>
      <c r="D114" s="591" t="s">
        <v>1148</v>
      </c>
      <c r="E114" s="593">
        <v>177</v>
      </c>
      <c r="F114" s="590" t="s">
        <v>1149</v>
      </c>
    </row>
    <row r="115" spans="1:6">
      <c r="A115" s="589"/>
      <c r="B115" s="590"/>
      <c r="C115" s="523" t="s">
        <v>1145</v>
      </c>
      <c r="D115" s="591"/>
      <c r="E115" s="593"/>
      <c r="F115" s="590"/>
    </row>
    <row r="116" spans="1:6" ht="38.25">
      <c r="A116" s="523" t="s">
        <v>1150</v>
      </c>
      <c r="B116" s="525" t="s">
        <v>1151</v>
      </c>
      <c r="C116" s="185" t="s">
        <v>1096</v>
      </c>
      <c r="D116" s="185" t="s">
        <v>1097</v>
      </c>
      <c r="E116" s="526">
        <v>7817</v>
      </c>
      <c r="F116" s="525" t="s">
        <v>1152</v>
      </c>
    </row>
    <row r="117" spans="1:6" ht="12.75" customHeight="1">
      <c r="A117" s="589" t="s">
        <v>1153</v>
      </c>
      <c r="B117" s="590" t="s">
        <v>1086</v>
      </c>
      <c r="C117" s="185" t="s">
        <v>1087</v>
      </c>
      <c r="D117" s="591" t="s">
        <v>1148</v>
      </c>
      <c r="E117" s="593">
        <v>763</v>
      </c>
      <c r="F117" s="590" t="s">
        <v>1154</v>
      </c>
    </row>
    <row r="118" spans="1:6">
      <c r="A118" s="589"/>
      <c r="B118" s="590"/>
      <c r="C118" s="523" t="s">
        <v>1128</v>
      </c>
      <c r="D118" s="591"/>
      <c r="E118" s="593"/>
      <c r="F118" s="590"/>
    </row>
    <row r="119" spans="1:6" ht="38.25">
      <c r="A119" s="523" t="s">
        <v>1155</v>
      </c>
      <c r="B119" s="525" t="s">
        <v>1086</v>
      </c>
      <c r="C119" s="185" t="s">
        <v>1087</v>
      </c>
      <c r="D119" s="185" t="s">
        <v>1089</v>
      </c>
      <c r="E119" s="524">
        <v>475</v>
      </c>
      <c r="F119" s="525" t="s">
        <v>1156</v>
      </c>
    </row>
    <row r="120" spans="1:6" ht="12.75" customHeight="1">
      <c r="A120" s="589" t="s">
        <v>1157</v>
      </c>
      <c r="B120" s="590" t="s">
        <v>1127</v>
      </c>
      <c r="C120" s="185" t="s">
        <v>1087</v>
      </c>
      <c r="D120" s="591" t="s">
        <v>1148</v>
      </c>
      <c r="E120" s="593">
        <v>192</v>
      </c>
      <c r="F120" s="593">
        <v>1925</v>
      </c>
    </row>
    <row r="121" spans="1:6" ht="25.5">
      <c r="A121" s="589"/>
      <c r="B121" s="590"/>
      <c r="C121" s="523" t="s">
        <v>1158</v>
      </c>
      <c r="D121" s="591"/>
      <c r="E121" s="593"/>
      <c r="F121" s="593"/>
    </row>
    <row r="122" spans="1:6" ht="12.75" customHeight="1">
      <c r="A122" s="589" t="s">
        <v>1159</v>
      </c>
      <c r="B122" s="590" t="s">
        <v>1127</v>
      </c>
      <c r="C122" s="185" t="s">
        <v>1087</v>
      </c>
      <c r="D122" s="591" t="s">
        <v>1119</v>
      </c>
      <c r="E122" s="593">
        <v>459</v>
      </c>
      <c r="F122" s="590" t="s">
        <v>1161</v>
      </c>
    </row>
    <row r="123" spans="1:6" ht="25.5">
      <c r="A123" s="589"/>
      <c r="B123" s="590"/>
      <c r="C123" s="523" t="s">
        <v>1160</v>
      </c>
      <c r="D123" s="591"/>
      <c r="E123" s="593"/>
      <c r="F123" s="590"/>
    </row>
    <row r="124" spans="1:6" ht="38.25">
      <c r="A124" s="523" t="s">
        <v>1162</v>
      </c>
      <c r="B124" s="525" t="s">
        <v>1163</v>
      </c>
      <c r="C124" s="185" t="s">
        <v>1096</v>
      </c>
      <c r="D124" s="185" t="s">
        <v>1097</v>
      </c>
      <c r="E124" s="524">
        <v>627</v>
      </c>
      <c r="F124" s="525" t="s">
        <v>1164</v>
      </c>
    </row>
    <row r="125" spans="1:6" ht="38.25">
      <c r="A125" s="523" t="s">
        <v>1165</v>
      </c>
      <c r="B125" s="525" t="s">
        <v>1086</v>
      </c>
      <c r="C125" s="185" t="s">
        <v>1087</v>
      </c>
      <c r="D125" s="185" t="s">
        <v>1166</v>
      </c>
      <c r="E125" s="524">
        <v>143</v>
      </c>
      <c r="F125" s="525" t="s">
        <v>1167</v>
      </c>
    </row>
    <row r="126" spans="1:6" ht="38.25">
      <c r="A126" s="523" t="s">
        <v>1168</v>
      </c>
      <c r="B126" s="525" t="s">
        <v>1086</v>
      </c>
      <c r="C126" s="185" t="s">
        <v>1087</v>
      </c>
      <c r="D126" s="185" t="s">
        <v>1089</v>
      </c>
      <c r="E126" s="524">
        <v>258</v>
      </c>
      <c r="F126" s="525" t="s">
        <v>1169</v>
      </c>
    </row>
    <row r="127" spans="1:6" ht="25.5">
      <c r="A127" s="523" t="s">
        <v>1170</v>
      </c>
      <c r="B127" s="525" t="s">
        <v>1086</v>
      </c>
      <c r="C127" s="185" t="s">
        <v>1096</v>
      </c>
      <c r="D127" s="185" t="s">
        <v>1171</v>
      </c>
      <c r="E127" s="526">
        <v>2553</v>
      </c>
      <c r="F127" s="525" t="s">
        <v>1172</v>
      </c>
    </row>
    <row r="128" spans="1:6" ht="38.25">
      <c r="A128" s="523" t="s">
        <v>1173</v>
      </c>
      <c r="B128" s="525" t="s">
        <v>1132</v>
      </c>
      <c r="C128" s="185" t="s">
        <v>1096</v>
      </c>
      <c r="D128" s="185" t="s">
        <v>1119</v>
      </c>
      <c r="E128" s="526">
        <v>3372</v>
      </c>
      <c r="F128" s="524">
        <v>1947</v>
      </c>
    </row>
    <row r="129" spans="1:6" ht="38.25">
      <c r="A129" s="523" t="s">
        <v>1174</v>
      </c>
      <c r="B129" s="525" t="s">
        <v>1175</v>
      </c>
      <c r="C129" s="185" t="s">
        <v>1096</v>
      </c>
      <c r="D129" s="185" t="s">
        <v>1125</v>
      </c>
      <c r="E129" s="525">
        <v>19590</v>
      </c>
      <c r="F129" s="524">
        <v>1858</v>
      </c>
    </row>
    <row r="130" spans="1:6" ht="140.25">
      <c r="A130" s="523" t="s">
        <v>1176</v>
      </c>
      <c r="B130" s="525" t="s">
        <v>1100</v>
      </c>
      <c r="C130" s="185" t="s">
        <v>1096</v>
      </c>
      <c r="D130" s="185" t="s">
        <v>1177</v>
      </c>
      <c r="E130" s="524">
        <v>801</v>
      </c>
      <c r="F130" s="524">
        <v>2001</v>
      </c>
    </row>
    <row r="131" spans="1:6" ht="25.5">
      <c r="A131" s="523" t="s">
        <v>1178</v>
      </c>
      <c r="B131" s="525" t="s">
        <v>1086</v>
      </c>
      <c r="C131" s="185" t="s">
        <v>1087</v>
      </c>
      <c r="D131" s="185" t="s">
        <v>1092</v>
      </c>
      <c r="E131" s="524">
        <v>303</v>
      </c>
      <c r="F131" s="524">
        <v>1909</v>
      </c>
    </row>
    <row r="132" spans="1:6" ht="38.25">
      <c r="A132" s="523" t="s">
        <v>1179</v>
      </c>
      <c r="B132" s="525" t="s">
        <v>1180</v>
      </c>
      <c r="C132" s="185" t="s">
        <v>1087</v>
      </c>
      <c r="D132" s="185" t="s">
        <v>1125</v>
      </c>
      <c r="E132" s="526">
        <v>2521</v>
      </c>
      <c r="F132" s="524">
        <v>1849</v>
      </c>
    </row>
    <row r="133" spans="1:6" ht="12.75" customHeight="1">
      <c r="A133" s="589" t="s">
        <v>1181</v>
      </c>
      <c r="B133" s="590" t="s">
        <v>1182</v>
      </c>
      <c r="C133" s="185" t="s">
        <v>1087</v>
      </c>
      <c r="D133" s="591" t="s">
        <v>1097</v>
      </c>
      <c r="E133" s="592">
        <v>1015</v>
      </c>
      <c r="F133" s="590" t="s">
        <v>1183</v>
      </c>
    </row>
    <row r="134" spans="1:6">
      <c r="A134" s="589"/>
      <c r="B134" s="590"/>
      <c r="C134" s="523" t="s">
        <v>1088</v>
      </c>
      <c r="D134" s="591"/>
      <c r="E134" s="592"/>
      <c r="F134" s="590"/>
    </row>
    <row r="135" spans="1:6" ht="38.25">
      <c r="A135" s="523" t="s">
        <v>1184</v>
      </c>
      <c r="B135" s="525" t="s">
        <v>1086</v>
      </c>
      <c r="C135" s="185" t="s">
        <v>1096</v>
      </c>
      <c r="D135" s="185" t="s">
        <v>1097</v>
      </c>
      <c r="E135" s="526">
        <v>24505</v>
      </c>
      <c r="F135" s="525" t="s">
        <v>1107</v>
      </c>
    </row>
    <row r="136" spans="1:6" ht="38.25">
      <c r="A136" s="185" t="s">
        <v>1185</v>
      </c>
      <c r="B136" s="525" t="s">
        <v>1086</v>
      </c>
      <c r="C136" s="185" t="s">
        <v>1096</v>
      </c>
      <c r="D136" s="185" t="s">
        <v>1125</v>
      </c>
      <c r="E136" s="526">
        <v>23444</v>
      </c>
      <c r="F136" s="524">
        <v>1946</v>
      </c>
    </row>
    <row r="137" spans="1:6" ht="38.25">
      <c r="A137" s="523" t="s">
        <v>1186</v>
      </c>
      <c r="B137" s="525" t="s">
        <v>1086</v>
      </c>
      <c r="C137" s="185" t="s">
        <v>1087</v>
      </c>
      <c r="D137" s="185" t="s">
        <v>1137</v>
      </c>
      <c r="E137" s="526">
        <v>1341</v>
      </c>
      <c r="F137" s="524">
        <v>1911</v>
      </c>
    </row>
    <row r="138" spans="1:6" ht="38.25">
      <c r="A138" s="523" t="s">
        <v>1187</v>
      </c>
      <c r="B138" s="524" t="s">
        <v>1188</v>
      </c>
      <c r="C138" s="185" t="s">
        <v>1096</v>
      </c>
      <c r="D138" s="185" t="s">
        <v>1097</v>
      </c>
      <c r="E138" s="526">
        <v>4211</v>
      </c>
      <c r="F138" s="525" t="s">
        <v>1104</v>
      </c>
    </row>
    <row r="139" spans="1:6" ht="25.5">
      <c r="A139" s="523" t="s">
        <v>1189</v>
      </c>
      <c r="B139" s="525" t="s">
        <v>1190</v>
      </c>
      <c r="C139" s="185" t="s">
        <v>1096</v>
      </c>
      <c r="D139" s="185" t="s">
        <v>1116</v>
      </c>
      <c r="E139" s="526">
        <v>5154</v>
      </c>
      <c r="F139" s="524">
        <v>1926</v>
      </c>
    </row>
    <row r="140" spans="1:6" ht="38.25">
      <c r="A140" s="523" t="s">
        <v>1191</v>
      </c>
      <c r="B140" s="525" t="s">
        <v>1192</v>
      </c>
      <c r="C140" s="185" t="s">
        <v>1096</v>
      </c>
      <c r="D140" s="185" t="s">
        <v>1097</v>
      </c>
      <c r="E140" s="526">
        <v>2114</v>
      </c>
      <c r="F140" s="525" t="s">
        <v>1193</v>
      </c>
    </row>
    <row r="141" spans="1:6" ht="12.75" customHeight="1">
      <c r="A141" s="589" t="s">
        <v>1194</v>
      </c>
      <c r="B141" s="590" t="s">
        <v>1086</v>
      </c>
      <c r="C141" s="185" t="s">
        <v>1087</v>
      </c>
      <c r="D141" s="591" t="s">
        <v>1097</v>
      </c>
      <c r="E141" s="593">
        <v>263</v>
      </c>
      <c r="F141" s="590" t="s">
        <v>1195</v>
      </c>
    </row>
    <row r="142" spans="1:6">
      <c r="A142" s="589"/>
      <c r="B142" s="590"/>
      <c r="C142" s="523" t="s">
        <v>1088</v>
      </c>
      <c r="D142" s="591"/>
      <c r="E142" s="593"/>
      <c r="F142" s="590"/>
    </row>
    <row r="143" spans="1:6" ht="38.25">
      <c r="A143" s="523" t="s">
        <v>1196</v>
      </c>
      <c r="B143" s="525" t="s">
        <v>1197</v>
      </c>
      <c r="C143" s="185" t="s">
        <v>1096</v>
      </c>
      <c r="D143" s="185" t="s">
        <v>1097</v>
      </c>
      <c r="E143" s="524">
        <v>243</v>
      </c>
      <c r="F143" s="525" t="s">
        <v>1198</v>
      </c>
    </row>
    <row r="144" spans="1:6" ht="38.25">
      <c r="A144" s="523" t="s">
        <v>1199</v>
      </c>
      <c r="B144" s="525" t="s">
        <v>1200</v>
      </c>
      <c r="C144" s="185" t="s">
        <v>1096</v>
      </c>
      <c r="D144" s="185" t="s">
        <v>1097</v>
      </c>
      <c r="E144" s="526">
        <v>1961</v>
      </c>
      <c r="F144" s="525" t="s">
        <v>1098</v>
      </c>
    </row>
    <row r="145" spans="1:7" ht="38.25">
      <c r="A145" s="523" t="s">
        <v>1201</v>
      </c>
      <c r="B145" s="525" t="s">
        <v>1202</v>
      </c>
      <c r="C145" s="185" t="s">
        <v>1096</v>
      </c>
      <c r="D145" s="185" t="s">
        <v>1097</v>
      </c>
      <c r="E145" s="526">
        <v>1147</v>
      </c>
      <c r="F145" s="525" t="s">
        <v>1203</v>
      </c>
    </row>
    <row r="146" spans="1:7" ht="38.25">
      <c r="A146" s="523" t="s">
        <v>1204</v>
      </c>
      <c r="B146" s="525" t="s">
        <v>1127</v>
      </c>
      <c r="C146" s="185" t="s">
        <v>1096</v>
      </c>
      <c r="D146" s="185" t="s">
        <v>1125</v>
      </c>
      <c r="E146" s="526">
        <v>20296</v>
      </c>
      <c r="F146" s="524">
        <v>1876</v>
      </c>
    </row>
    <row r="147" spans="1:7" ht="12.75" customHeight="1">
      <c r="A147" s="589" t="s">
        <v>1205</v>
      </c>
      <c r="B147" s="590" t="s">
        <v>1086</v>
      </c>
      <c r="C147" s="185" t="s">
        <v>1087</v>
      </c>
      <c r="D147" s="591" t="s">
        <v>1116</v>
      </c>
      <c r="E147" s="592">
        <v>3911</v>
      </c>
      <c r="F147" s="593">
        <v>1901</v>
      </c>
    </row>
    <row r="148" spans="1:7">
      <c r="A148" s="589"/>
      <c r="B148" s="590"/>
      <c r="C148" s="523" t="s">
        <v>1145</v>
      </c>
      <c r="D148" s="591"/>
      <c r="E148" s="592"/>
      <c r="F148" s="593"/>
    </row>
    <row r="149" spans="1:7" ht="38.25">
      <c r="A149" s="523" t="s">
        <v>1206</v>
      </c>
      <c r="B149" s="525" t="s">
        <v>1086</v>
      </c>
      <c r="C149" s="185" t="s">
        <v>1087</v>
      </c>
      <c r="D149" s="185" t="s">
        <v>1089</v>
      </c>
      <c r="E149" s="524">
        <v>405</v>
      </c>
      <c r="F149" s="525" t="s">
        <v>1207</v>
      </c>
    </row>
    <row r="150" spans="1:7" ht="12.75" customHeight="1">
      <c r="A150" s="589" t="s">
        <v>1208</v>
      </c>
      <c r="B150" s="590" t="s">
        <v>1086</v>
      </c>
      <c r="C150" s="185" t="s">
        <v>1087</v>
      </c>
      <c r="D150" s="591" t="s">
        <v>1119</v>
      </c>
      <c r="E150" s="593">
        <v>512</v>
      </c>
      <c r="F150" s="590" t="s">
        <v>1210</v>
      </c>
    </row>
    <row r="151" spans="1:7" ht="25.5">
      <c r="A151" s="589"/>
      <c r="B151" s="590"/>
      <c r="C151" s="523" t="s">
        <v>1209</v>
      </c>
      <c r="D151" s="591"/>
      <c r="E151" s="593"/>
      <c r="F151" s="590"/>
    </row>
    <row r="152" spans="1:7" ht="12.75" customHeight="1">
      <c r="A152" s="589" t="s">
        <v>1211</v>
      </c>
      <c r="B152" s="590" t="s">
        <v>1086</v>
      </c>
      <c r="C152" s="185" t="s">
        <v>1087</v>
      </c>
      <c r="D152" s="591" t="s">
        <v>1097</v>
      </c>
      <c r="E152" s="592">
        <v>1285</v>
      </c>
      <c r="F152" s="590" t="s">
        <v>1212</v>
      </c>
    </row>
    <row r="153" spans="1:7">
      <c r="A153" s="589"/>
      <c r="B153" s="590"/>
      <c r="C153" s="523" t="s">
        <v>1088</v>
      </c>
      <c r="D153" s="591"/>
      <c r="E153" s="592"/>
      <c r="F153" s="590"/>
    </row>
    <row r="154" spans="1:7" ht="25.5">
      <c r="A154" s="523" t="s">
        <v>1213</v>
      </c>
      <c r="B154" s="525" t="s">
        <v>1214</v>
      </c>
      <c r="C154" s="185" t="s">
        <v>1096</v>
      </c>
      <c r="D154" s="185" t="s">
        <v>1116</v>
      </c>
      <c r="E154" s="526">
        <v>4768</v>
      </c>
      <c r="F154" s="524">
        <v>1856</v>
      </c>
    </row>
    <row r="155" spans="1:7" ht="12.75" customHeight="1">
      <c r="A155" s="589" t="s">
        <v>1215</v>
      </c>
      <c r="B155" s="590" t="s">
        <v>1086</v>
      </c>
      <c r="C155" s="185" t="s">
        <v>1087</v>
      </c>
      <c r="D155" s="591" t="s">
        <v>1148</v>
      </c>
      <c r="E155" s="593">
        <v>625</v>
      </c>
      <c r="F155" s="590" t="s">
        <v>1217</v>
      </c>
    </row>
    <row r="156" spans="1:7">
      <c r="A156" s="589"/>
      <c r="B156" s="590"/>
      <c r="C156" s="523" t="s">
        <v>1216</v>
      </c>
      <c r="D156" s="591"/>
      <c r="E156" s="593"/>
      <c r="F156" s="590"/>
    </row>
    <row r="157" spans="1:7" ht="38.25">
      <c r="A157" s="523" t="s">
        <v>1218</v>
      </c>
      <c r="B157" s="525" t="s">
        <v>1103</v>
      </c>
      <c r="C157" s="185" t="s">
        <v>1087</v>
      </c>
      <c r="D157" s="185" t="s">
        <v>1137</v>
      </c>
      <c r="E157" s="526">
        <v>2663</v>
      </c>
      <c r="F157" s="524">
        <v>1842</v>
      </c>
    </row>
    <row r="158" spans="1:7">
      <c r="E158" s="302">
        <f>SUM(E87:E157)</f>
        <v>199471</v>
      </c>
      <c r="F158" s="277">
        <f>COUNT(F87:F157)</f>
        <v>20</v>
      </c>
      <c r="G158" s="277">
        <f>E158/F158</f>
        <v>9973.5499999999993</v>
      </c>
    </row>
    <row r="159" spans="1:7">
      <c r="E159" s="302">
        <f>E91+E92+E93+E94+E95+E106+E111+E116+E124+E135+E140+E138+E143+E144+E145</f>
        <v>73639</v>
      </c>
    </row>
    <row r="160" spans="1:7">
      <c r="E160" s="302">
        <f>E158-E159</f>
        <v>125832</v>
      </c>
      <c r="F160" s="277">
        <f>F158</f>
        <v>20</v>
      </c>
      <c r="G160" s="277">
        <f>E160/F160</f>
        <v>6291.6</v>
      </c>
    </row>
  </sheetData>
  <mergeCells count="90">
    <mergeCell ref="A89:A90"/>
    <mergeCell ref="B89:B90"/>
    <mergeCell ref="D89:D90"/>
    <mergeCell ref="E89:E90"/>
    <mergeCell ref="F89:F90"/>
    <mergeCell ref="A87:A88"/>
    <mergeCell ref="B87:B88"/>
    <mergeCell ref="D87:D88"/>
    <mergeCell ref="E87:E88"/>
    <mergeCell ref="F87:F88"/>
    <mergeCell ref="A99:A100"/>
    <mergeCell ref="B99:B100"/>
    <mergeCell ref="D99:D100"/>
    <mergeCell ref="E99:E100"/>
    <mergeCell ref="F99:F100"/>
    <mergeCell ref="A97:A98"/>
    <mergeCell ref="B97:B98"/>
    <mergeCell ref="D97:D98"/>
    <mergeCell ref="E97:E98"/>
    <mergeCell ref="F97:F98"/>
    <mergeCell ref="A104:A105"/>
    <mergeCell ref="B104:B105"/>
    <mergeCell ref="D104:D105"/>
    <mergeCell ref="E104:E105"/>
    <mergeCell ref="F104:F105"/>
    <mergeCell ref="A102:A103"/>
    <mergeCell ref="B102:B103"/>
    <mergeCell ref="D102:D103"/>
    <mergeCell ref="E102:E103"/>
    <mergeCell ref="F102:F103"/>
    <mergeCell ref="A112:A113"/>
    <mergeCell ref="B112:B113"/>
    <mergeCell ref="D112:D113"/>
    <mergeCell ref="E112:E113"/>
    <mergeCell ref="F112:F113"/>
    <mergeCell ref="A109:A110"/>
    <mergeCell ref="B109:B110"/>
    <mergeCell ref="D109:D110"/>
    <mergeCell ref="E109:E110"/>
    <mergeCell ref="F109:F110"/>
    <mergeCell ref="A117:A118"/>
    <mergeCell ref="B117:B118"/>
    <mergeCell ref="D117:D118"/>
    <mergeCell ref="E117:E118"/>
    <mergeCell ref="F117:F118"/>
    <mergeCell ref="A114:A115"/>
    <mergeCell ref="B114:B115"/>
    <mergeCell ref="D114:D115"/>
    <mergeCell ref="E114:E115"/>
    <mergeCell ref="F114:F115"/>
    <mergeCell ref="A122:A123"/>
    <mergeCell ref="B122:B123"/>
    <mergeCell ref="D122:D123"/>
    <mergeCell ref="E122:E123"/>
    <mergeCell ref="F122:F123"/>
    <mergeCell ref="A120:A121"/>
    <mergeCell ref="B120:B121"/>
    <mergeCell ref="D120:D121"/>
    <mergeCell ref="E120:E121"/>
    <mergeCell ref="F120:F121"/>
    <mergeCell ref="A141:A142"/>
    <mergeCell ref="B141:B142"/>
    <mergeCell ref="D141:D142"/>
    <mergeCell ref="E141:E142"/>
    <mergeCell ref="F141:F142"/>
    <mergeCell ref="A133:A134"/>
    <mergeCell ref="B133:B134"/>
    <mergeCell ref="D133:D134"/>
    <mergeCell ref="E133:E134"/>
    <mergeCell ref="F133:F134"/>
    <mergeCell ref="A150:A151"/>
    <mergeCell ref="B150:B151"/>
    <mergeCell ref="D150:D151"/>
    <mergeCell ref="E150:E151"/>
    <mergeCell ref="F150:F151"/>
    <mergeCell ref="A147:A148"/>
    <mergeCell ref="B147:B148"/>
    <mergeCell ref="D147:D148"/>
    <mergeCell ref="E147:E148"/>
    <mergeCell ref="F147:F148"/>
    <mergeCell ref="A155:A156"/>
    <mergeCell ref="B155:B156"/>
    <mergeCell ref="D155:D156"/>
    <mergeCell ref="E155:E156"/>
    <mergeCell ref="F155:F156"/>
    <mergeCell ref="A152:A153"/>
    <mergeCell ref="B152:B153"/>
    <mergeCell ref="D152:D153"/>
    <mergeCell ref="E152:E153"/>
    <mergeCell ref="F152:F153"/>
  </mergeCells>
  <hyperlinks>
    <hyperlink ref="H21" r:id="rId1"/>
    <hyperlink ref="H41" r:id="rId2"/>
    <hyperlink ref="H42" r:id="rId3"/>
    <hyperlink ref="H43" r:id="rId4"/>
    <hyperlink ref="H44" r:id="rId5"/>
    <hyperlink ref="H50" r:id="rId6"/>
    <hyperlink ref="A147" r:id="rId7" tooltip="University of Portland" display="http://en.wikipedia.org/wiki/University_of_Portland"/>
    <hyperlink ref="B147" r:id="rId8" tooltip="Portland, Oregon" display="http://en.wikipedia.org/wiki/Portland,_Oregon"/>
    <hyperlink ref="C148" r:id="rId9" tooltip="Roman Catholic" display="http://en.wikipedia.org/wiki/Roman_Catholic"/>
    <hyperlink ref="A149" r:id="rId10" tooltip="University of Western States" display="http://en.wikipedia.org/wiki/University_of_Western_States"/>
    <hyperlink ref="B149" r:id="rId11" tooltip="Portland, Oregon" display="http://en.wikipedia.org/wiki/Portland,_Oregon"/>
    <hyperlink ref="F149" r:id="rId12" location="cite_note-25" display="http://en.wikipedia.org/wiki/List_of_colleges_and_universities_in_Oregon - cite_note-25"/>
    <hyperlink ref="A150" r:id="rId13" tooltip="Warner Pacific College" display="http://en.wikipedia.org/wiki/Warner_Pacific_College"/>
    <hyperlink ref="B150" r:id="rId14" tooltip="Portland, Oregon" display="http://en.wikipedia.org/wiki/Portland,_Oregon"/>
    <hyperlink ref="C151" r:id="rId15" tooltip="Church of God (Anderson)" display="http://en.wikipedia.org/wiki/Church_of_God_(Anderson)"/>
    <hyperlink ref="F150" r:id="rId16" location="cite_note-26" display="http://en.wikipedia.org/wiki/List_of_colleges_and_universities_in_Oregon - cite_note-26"/>
    <hyperlink ref="A152" r:id="rId17" tooltip="Western Culinary Institute" display="http://en.wikipedia.org/wiki/Western_Culinary_Institute"/>
    <hyperlink ref="B152" r:id="rId18" tooltip="Portland, Oregon" display="http://en.wikipedia.org/wiki/Portland,_Oregon"/>
    <hyperlink ref="C153" r:id="rId19" tooltip="For-profit university" display="http://en.wikipedia.org/wiki/For-profit_university"/>
    <hyperlink ref="F152" r:id="rId20" location="cite_note-27" display="http://en.wikipedia.org/wiki/List_of_colleges_and_universities_in_Oregon - cite_note-27"/>
    <hyperlink ref="A154" r:id="rId21" tooltip="Western Oregon University" display="http://en.wikipedia.org/wiki/Western_Oregon_University"/>
    <hyperlink ref="B154" r:id="rId22" tooltip="Monmouth, Oregon" display="http://en.wikipedia.org/wiki/Monmouth,_Oregon"/>
    <hyperlink ref="A155" r:id="rId23" tooltip="Western Seminary" display="http://en.wikipedia.org/wiki/Western_Seminary"/>
    <hyperlink ref="B155" r:id="rId24" tooltip="Portland, Oregon" display="http://en.wikipedia.org/wiki/Portland,_Oregon"/>
    <hyperlink ref="C156" r:id="rId25" tooltip="Christian" display="http://en.wikipedia.org/wiki/Christian"/>
    <hyperlink ref="F155" r:id="rId26" location="cite_note-28" display="http://en.wikipedia.org/wiki/List_of_colleges_and_universities_in_Oregon - cite_note-28"/>
    <hyperlink ref="A157" r:id="rId27" tooltip="Willamette University" display="http://en.wikipedia.org/wiki/Willamette_University"/>
    <hyperlink ref="B157" r:id="rId28" tooltip="Salem, Oregon" display="http://en.wikipedia.org/wiki/Salem,_Oregon"/>
    <hyperlink ref="B146" r:id="rId29" tooltip="Eugene, Oregon" display="http://en.wikipedia.org/wiki/Eugene,_Oregon"/>
    <hyperlink ref="A146" r:id="rId30" tooltip="University of Oregon" display="http://en.wikipedia.org/wiki/University_of_Oregon"/>
    <hyperlink ref="F145" r:id="rId31" location="cite_note-24" display="http://en.wikipedia.org/wiki/List_of_colleges_and_universities_in_Oregon - cite_note-24"/>
    <hyperlink ref="B145" r:id="rId32" tooltip="Roseburg, Oregon" display="http://en.wikipedia.org/wiki/Roseburg,_Oregon"/>
    <hyperlink ref="A145" r:id="rId33" tooltip="Umpqua Community College" display="http://en.wikipedia.org/wiki/Umpqua_Community_College"/>
    <hyperlink ref="F144" r:id="rId34" location="cite_note-OSBA-5" display="http://en.wikipedia.org/wiki/List_of_colleges_and_universities_in_Oregon - cite_note-OSBA-5"/>
    <hyperlink ref="B144" r:id="rId35" tooltip="Ontario, Oregon" display="http://en.wikipedia.org/wiki/Ontario,_Oregon"/>
    <hyperlink ref="A144" r:id="rId36" tooltip="Treasure Valley Community College" display="http://en.wikipedia.org/wiki/Treasure_Valley_Community_College"/>
    <hyperlink ref="F143" r:id="rId37" location="cite_note-OSBA-5" display="http://en.wikipedia.org/wiki/List_of_colleges_and_universities_in_Oregon - cite_note-OSBA-5"/>
    <hyperlink ref="B143" r:id="rId38" tooltip="Tillamook, Oregon" display="http://en.wikipedia.org/wiki/Tillamook,_Oregon"/>
    <hyperlink ref="A143" r:id="rId39" tooltip="Tillamook Bay Community College" display="http://en.wikipedia.org/wiki/Tillamook_Bay_Community_College"/>
    <hyperlink ref="F141" r:id="rId40" location="cite_note-23" display="http://en.wikipedia.org/wiki/List_of_colleges_and_universities_in_Oregon - cite_note-23"/>
    <hyperlink ref="C142" r:id="rId41" tooltip="For-profit university" display="http://en.wikipedia.org/wiki/For-profit_university"/>
    <hyperlink ref="B141" r:id="rId42" tooltip="Portland, Oregon" display="http://en.wikipedia.org/wiki/Portland,_Oregon"/>
    <hyperlink ref="A141" r:id="rId43" tooltip="Sumner College (page does not exist)" display="http://en.wikipedia.org/w/index.php?title=Sumner_College&amp;action=edit&amp;redlink=1"/>
    <hyperlink ref="F140" r:id="rId44" location="cite_note-22" display="http://en.wikipedia.org/wiki/List_of_colleges_and_universities_in_Oregon - cite_note-22"/>
    <hyperlink ref="B140" r:id="rId45" tooltip="Coos Bay, Oregon" display="http://en.wikipedia.org/wiki/Coos_Bay,_Oregon"/>
    <hyperlink ref="A140" r:id="rId46" tooltip="Southwestern Oregon Community College" display="http://en.wikipedia.org/wiki/Southwestern_Oregon_Community_College"/>
    <hyperlink ref="B139" r:id="rId47" tooltip="Ashland, Oregon" display="http://en.wikipedia.org/wiki/Ashland,_Oregon"/>
    <hyperlink ref="A139" r:id="rId48" tooltip="Southern Oregon University" display="http://en.wikipedia.org/wiki/Southern_Oregon_University"/>
    <hyperlink ref="F138" r:id="rId49" location="cite_note-OSBA-5" display="http://en.wikipedia.org/wiki/List_of_colleges_and_universities_in_Oregon - cite_note-OSBA-5"/>
    <hyperlink ref="A138" r:id="rId50" tooltip="Rogue Community College" display="http://en.wikipedia.org/wiki/Rogue_Community_College"/>
    <hyperlink ref="B137" r:id="rId51" tooltip="Portland, Oregon" display="http://en.wikipedia.org/wiki/Portland,_Oregon"/>
    <hyperlink ref="A137" r:id="rId52" tooltip="Reed College" display="http://en.wikipedia.org/wiki/Reed_College"/>
    <hyperlink ref="B136" r:id="rId53" tooltip="Portland, Oregon" display="http://en.wikipedia.org/wiki/Portland,_Oregon"/>
    <hyperlink ref="F135" r:id="rId54" location="cite_note-OSBA-5" display="http://en.wikipedia.org/wiki/List_of_colleges_and_universities_in_Oregon - cite_note-OSBA-5"/>
    <hyperlink ref="B135" r:id="rId55" tooltip="Portland, Oregon" display="http://en.wikipedia.org/wiki/Portland,_Oregon"/>
    <hyperlink ref="A135" r:id="rId56" tooltip="Portland Community College" display="http://en.wikipedia.org/wiki/Portland_Community_College"/>
    <hyperlink ref="F133" r:id="rId57" location="cite_note-20" display="http://en.wikipedia.org/wiki/List_of_colleges_and_universities_in_Oregon - cite_note-20"/>
    <hyperlink ref="C134" r:id="rId58" tooltip="For-profit university" display="http://en.wikipedia.org/wiki/For-profit_university"/>
    <hyperlink ref="B133" r:id="rId59" tooltip="Wilsonville, Oregon" display="http://en.wikipedia.org/wiki/Wilsonville,_Oregon"/>
    <hyperlink ref="A133" r:id="rId60" tooltip="Pioneer Pacific College" display="http://en.wikipedia.org/wiki/Pioneer_Pacific_College"/>
    <hyperlink ref="B132" r:id="rId61" tooltip="Forest Grove, Oregon" display="http://en.wikipedia.org/wiki/Forest_Grove,_Oregon"/>
    <hyperlink ref="A132" r:id="rId62" tooltip="Pacific University" display="http://en.wikipedia.org/wiki/Pacific_University"/>
    <hyperlink ref="B131" r:id="rId63" tooltip="Portland, Oregon" display="http://en.wikipedia.org/wiki/Portland,_Oregon"/>
    <hyperlink ref="A131" r:id="rId64" tooltip="Pacific Northwest College of Art" display="http://en.wikipedia.org/wiki/Pacific_Northwest_College_of_Art"/>
    <hyperlink ref="B130" r:id="rId65" tooltip="Bend, Oregon" display="http://en.wikipedia.org/wiki/Bend,_Oregon"/>
    <hyperlink ref="A130" r:id="rId66" tooltip="OSU-Cascades" display="http://en.wikipedia.org/wiki/OSU-Cascades"/>
    <hyperlink ref="B129" r:id="rId67" tooltip="Corvallis, Oregon" display="http://en.wikipedia.org/wiki/Corvallis,_Oregon"/>
    <hyperlink ref="A129" r:id="rId68" tooltip="Oregon State University" display="http://en.wikipedia.org/wiki/Oregon_State_University"/>
    <hyperlink ref="B128" r:id="rId69" tooltip="Klamath Falls, Oregon" display="http://en.wikipedia.org/wiki/Klamath_Falls,_Oregon"/>
    <hyperlink ref="A128" r:id="rId70" tooltip="Oregon Institute of Technology" display="http://en.wikipedia.org/wiki/Oregon_Institute_of_Technology"/>
    <hyperlink ref="F127" r:id="rId71" location="cite_note-18" display="http://en.wikipedia.org/wiki/List_of_colleges_and_universities_in_Oregon - cite_note-18"/>
    <hyperlink ref="B127" r:id="rId72" tooltip="Portland, Oregon" display="http://en.wikipedia.org/wiki/Portland,_Oregon"/>
    <hyperlink ref="A127" r:id="rId73" tooltip="Oregon Health and Science University" display="http://en.wikipedia.org/wiki/Oregon_Health_and_Science_University"/>
    <hyperlink ref="F126" r:id="rId74" location="cite_note-17" display="http://en.wikipedia.org/wiki/List_of_colleges_and_universities_in_Oregon - cite_note-17"/>
    <hyperlink ref="B126" r:id="rId75" tooltip="Portland, Oregon" display="http://en.wikipedia.org/wiki/Portland,_Oregon"/>
    <hyperlink ref="A126" r:id="rId76" tooltip="Oregon College of Oriental Medicine" display="http://en.wikipedia.org/wiki/Oregon_College_of_Oriental_Medicine"/>
    <hyperlink ref="F125" r:id="rId77" location="cite_note-16" display="http://en.wikipedia.org/wiki/List_of_colleges_and_universities_in_Oregon - cite_note-16"/>
    <hyperlink ref="B125" r:id="rId78" tooltip="Portland, Oregon" display="http://en.wikipedia.org/wiki/Portland,_Oregon"/>
    <hyperlink ref="A125" r:id="rId79" tooltip="Oregon College of Art and Craft" display="http://en.wikipedia.org/wiki/Oregon_College_of_Art_and_Craft"/>
    <hyperlink ref="F124" r:id="rId80" location="cite_note-OSBA-5" display="http://en.wikipedia.org/wiki/List_of_colleges_and_universities_in_Oregon - cite_note-OSBA-5"/>
    <hyperlink ref="B124" r:id="rId81" tooltip="Newport, Oregon" display="http://en.wikipedia.org/wiki/Newport,_Oregon"/>
    <hyperlink ref="A124" r:id="rId82" tooltip="Oregon Coast Community College" display="http://en.wikipedia.org/wiki/Oregon_Coast_Community_College"/>
    <hyperlink ref="F122" r:id="rId83" location="cite_note-15" display="http://en.wikipedia.org/wiki/List_of_colleges_and_universities_in_Oregon - cite_note-15"/>
    <hyperlink ref="C123" r:id="rId84" tooltip="Disciples of Christ" display="http://en.wikipedia.org/wiki/Disciples_of_Christ"/>
    <hyperlink ref="B122" r:id="rId85" tooltip="Eugene, Oregon" display="http://en.wikipedia.org/wiki/Eugene,_Oregon"/>
    <hyperlink ref="A122" r:id="rId86" tooltip="Northwest Christian University" display="http://en.wikipedia.org/wiki/Northwest_Christian_University"/>
    <hyperlink ref="C121" r:id="rId87" tooltip="Pentecostal" display="http://en.wikipedia.org/wiki/Pentecostal"/>
    <hyperlink ref="B120" r:id="rId88" tooltip="Eugene, Oregon" display="http://en.wikipedia.org/wiki/Eugene,_Oregon"/>
    <hyperlink ref="A120" r:id="rId89" tooltip="New Hope Christian College" display="http://en.wikipedia.org/wiki/New_Hope_Christian_College"/>
    <hyperlink ref="F119" r:id="rId90" location="cite_note-14" display="http://en.wikipedia.org/wiki/List_of_colleges_and_universities_in_Oregon - cite_note-14"/>
    <hyperlink ref="B119" r:id="rId91" tooltip="Portland, Oregon" display="http://en.wikipedia.org/wiki/Portland,_Oregon"/>
    <hyperlink ref="A119" r:id="rId92" tooltip="National College of Natural Medicine" display="http://en.wikipedia.org/wiki/National_College_of_Natural_Medicine"/>
    <hyperlink ref="F117" r:id="rId93" location="cite_note-13" display="http://en.wikipedia.org/wiki/List_of_colleges_and_universities_in_Oregon - cite_note-13"/>
    <hyperlink ref="C118" r:id="rId94" tooltip="Protestant" display="http://en.wikipedia.org/wiki/Protestant"/>
    <hyperlink ref="B117" r:id="rId95" tooltip="Portland, Oregon" display="http://en.wikipedia.org/wiki/Portland,_Oregon"/>
    <hyperlink ref="A117" r:id="rId96" tooltip="Multnomah University" display="http://en.wikipedia.org/wiki/Multnomah_University"/>
    <hyperlink ref="F116" r:id="rId97" location="cite_note-OSBA-5" display="http://en.wikipedia.org/wiki/List_of_colleges_and_universities_in_Oregon - cite_note-OSBA-5"/>
    <hyperlink ref="B116" r:id="rId98" tooltip="Gresham, Oregon" display="http://en.wikipedia.org/wiki/Gresham,_Oregon"/>
    <hyperlink ref="A116" r:id="rId99" tooltip="Mount Hood Community College" display="http://en.wikipedia.org/wiki/Mount_Hood_Community_College"/>
    <hyperlink ref="F114" r:id="rId100" location="cite_note-12" display="http://en.wikipedia.org/wiki/List_of_colleges_and_universities_in_Oregon - cite_note-12"/>
    <hyperlink ref="C115" r:id="rId101" tooltip="Roman Catholic" display="http://en.wikipedia.org/wiki/Roman_Catholic"/>
    <hyperlink ref="B114" r:id="rId102" tooltip="St. Benedict, Oregon" display="http://en.wikipedia.org/wiki/St._Benedict,_Oregon"/>
    <hyperlink ref="A114" r:id="rId103" tooltip="Mount Angel Seminary" display="http://en.wikipedia.org/wiki/Mount_Angel_Seminary"/>
    <hyperlink ref="C113" r:id="rId104" tooltip="Roman Catholic" display="http://en.wikipedia.org/wiki/Roman_Catholic"/>
    <hyperlink ref="B112" r:id="rId105" tooltip="Marylhurst, Oregon" display="http://en.wikipedia.org/wiki/Marylhurst,_Oregon"/>
    <hyperlink ref="A112" r:id="rId106" tooltip="Marylhurst University" display="http://en.wikipedia.org/wiki/Marylhurst_University"/>
    <hyperlink ref="F111" r:id="rId107" location="cite_note-OSBA-5" display="http://en.wikipedia.org/wiki/List_of_colleges_and_universities_in_Oregon - cite_note-OSBA-5"/>
    <hyperlink ref="B111" r:id="rId108" tooltip="Albany, Oregon" display="http://en.wikipedia.org/wiki/Albany,_Oregon"/>
    <hyperlink ref="A111" r:id="rId109" tooltip="Linn-Benton Community College" display="http://en.wikipedia.org/wiki/Linn-Benton_Community_College"/>
    <hyperlink ref="E109" r:id="rId110" location="cite_note-11" display="cite_note-11"/>
    <hyperlink ref="C110" r:id="rId111" tooltip="American Baptist Churches USA" display="http://en.wikipedia.org/wiki/American_Baptist_Churches_USA"/>
    <hyperlink ref="B109" r:id="rId112" tooltip="McMinnville, Oregon" display="http://en.wikipedia.org/wiki/McMinnville,_Oregon"/>
    <hyperlink ref="A109" r:id="rId113" tooltip="Linfield College" display="http://en.wikipedia.org/wiki/Linfield_College"/>
    <hyperlink ref="B108" r:id="rId114" tooltip="Portland, Oregon" display="http://en.wikipedia.org/wiki/Portland,_Oregon"/>
    <hyperlink ref="A108" r:id="rId115" tooltip="Lewis &amp; Clark College" display="http://en.wikipedia.org/wiki/Lewis_%26_Clark_College"/>
    <hyperlink ref="F107" r:id="rId116" location="cite_note-OSBA-5" display="http://en.wikipedia.org/wiki/List_of_colleges_and_universities_in_Oregon - cite_note-OSBA-5"/>
    <hyperlink ref="B107" r:id="rId117" tooltip="Eugene, Oregon" display="http://en.wikipedia.org/wiki/Eugene,_Oregon"/>
    <hyperlink ref="A107" r:id="rId118" tooltip="Lane Community College" display="http://en.wikipedia.org/wiki/Lane_Community_College"/>
    <hyperlink ref="F106" r:id="rId119" location="cite_note-OSBA-5" display="http://en.wikipedia.org/wiki/List_of_colleges_and_universities_in_Oregon - cite_note-OSBA-5"/>
    <hyperlink ref="E106" r:id="rId120" location="cite_note-10" display="http://en.wikipedia.org/wiki/List_of_colleges_and_universities_in_Oregon - cite_note-10"/>
    <hyperlink ref="B106" r:id="rId121" tooltip="Klamath Falls, Oregon" display="http://en.wikipedia.org/wiki/Klamath_Falls,_Oregon"/>
    <hyperlink ref="A106" r:id="rId122" tooltip="Klamath Community College" display="http://en.wikipedia.org/wiki/Klamath_Community_College"/>
    <hyperlink ref="F104" r:id="rId123" location="cite_note-9" display="http://en.wikipedia.org/wiki/List_of_colleges_and_universities_in_Oregon - cite_note-9"/>
    <hyperlink ref="E104" r:id="rId124" location="cite_note-8" display="cite_note-8"/>
    <hyperlink ref="D104" r:id="rId125" location="cite_note-7" display="http://en.wikipedia.org/wiki/List_of_colleges_and_universities_in_Oregon - cite_note-7"/>
    <hyperlink ref="C105" r:id="rId126" tooltip="Protestant" display="http://en.wikipedia.org/wiki/Protestant"/>
    <hyperlink ref="B104" r:id="rId127" tooltip="Eugene, Oregon" display="http://en.wikipedia.org/wiki/Eugene,_Oregon"/>
    <hyperlink ref="A104" r:id="rId128" tooltip="Gutenberg College" display="http://en.wikipedia.org/wiki/Gutenberg_College"/>
    <hyperlink ref="C103" r:id="rId129" tooltip="Quaker" display="http://en.wikipedia.org/wiki/Quaker"/>
    <hyperlink ref="B102" r:id="rId130" tooltip="Newberg, Oregon" display="http://en.wikipedia.org/wiki/Newberg,_Oregon"/>
    <hyperlink ref="A102" r:id="rId131" tooltip="George Fox University" display="http://en.wikipedia.org/wiki/George_Fox_University"/>
    <hyperlink ref="B101" r:id="rId132" tooltip="La Grande, Oregon" display="http://en.wikipedia.org/wiki/La_Grande,_Oregon"/>
    <hyperlink ref="A101" r:id="rId133" tooltip="Eastern Oregon University" display="http://en.wikipedia.org/wiki/Eastern_Oregon_University"/>
    <hyperlink ref="C100" r:id="rId134" tooltip="Baptist" display="http://en.wikipedia.org/wiki/Baptist"/>
    <hyperlink ref="B99" r:id="rId135" tooltip="Salem, Oregon" display="http://en.wikipedia.org/wiki/Salem,_Oregon"/>
    <hyperlink ref="A99" r:id="rId136" tooltip="Corban University" display="http://en.wikipedia.org/wiki/Corban_University"/>
    <hyperlink ref="C98" r:id="rId137" tooltip="Lutheran Church - Missouri Synod" display="http://en.wikipedia.org/wiki/Lutheran_Church_-_Missouri_Synod"/>
    <hyperlink ref="B97" r:id="rId138" tooltip="Portland, Oregon" display="http://en.wikipedia.org/wiki/Portland,_Oregon"/>
    <hyperlink ref="A97" r:id="rId139" tooltip="Concordia University, Portland" display="http://en.wikipedia.org/wiki/Concordia_University,_Portland"/>
    <hyperlink ref="F96" r:id="rId140" location="cite_note-OSBA-5" display="http://en.wikipedia.org/wiki/List_of_colleges_and_universities_in_Oregon - cite_note-OSBA-5"/>
    <hyperlink ref="B96" r:id="rId141" tooltip="The Dalles, Oregon" display="http://en.wikipedia.org/wiki/The_Dalles,_Oregon"/>
    <hyperlink ref="A96" r:id="rId142" tooltip="Columbia Gorge Community College" display="http://en.wikipedia.org/wiki/Columbia_Gorge_Community_College"/>
    <hyperlink ref="F95" r:id="rId143" location="cite_note-OSBA-5" display="http://en.wikipedia.org/wiki/List_of_colleges_and_universities_in_Oregon - cite_note-OSBA-5"/>
    <hyperlink ref="B95" r:id="rId144" tooltip="Astoria, Oregon" display="http://en.wikipedia.org/wiki/Astoria,_Oregon"/>
    <hyperlink ref="A95" r:id="rId145" tooltip="Clatsop Community College" display="http://en.wikipedia.org/wiki/Clatsop_Community_College"/>
    <hyperlink ref="F94" r:id="rId146" location="cite_note-OSBA-5" display="http://en.wikipedia.org/wiki/List_of_colleges_and_universities_in_Oregon - cite_note-OSBA-5"/>
    <hyperlink ref="B94" r:id="rId147" tooltip="Oregon City, Oregon" display="http://en.wikipedia.org/wiki/Oregon_City,_Oregon"/>
    <hyperlink ref="A94" r:id="rId148" tooltip="Clackamas Community College" display="http://en.wikipedia.org/wiki/Clackamas_Community_College"/>
    <hyperlink ref="F93" r:id="rId149" location="cite_note-OSBA-5" display="http://en.wikipedia.org/wiki/List_of_colleges_and_universities_in_Oregon - cite_note-OSBA-5"/>
    <hyperlink ref="B93" r:id="rId150" tooltip="Salem, Oregon" display="http://en.wikipedia.org/wiki/Salem,_Oregon"/>
    <hyperlink ref="A93" r:id="rId151" tooltip="Chemeketa Community College" display="http://en.wikipedia.org/wiki/Chemeketa_Community_College"/>
    <hyperlink ref="F92" r:id="rId152" location="cite_note-6" display="http://en.wikipedia.org/wiki/List_of_colleges_and_universities_in_Oregon - cite_note-6"/>
    <hyperlink ref="B92" r:id="rId153" tooltip="Bend, Oregon" display="http://en.wikipedia.org/wiki/Bend,_Oregon"/>
    <hyperlink ref="A92" r:id="rId154" tooltip="Central Oregon Community College" display="http://en.wikipedia.org/wiki/Central_Oregon_Community_College"/>
    <hyperlink ref="F91" r:id="rId155" location="cite_note-OSBA-5" display="http://en.wikipedia.org/wiki/List_of_colleges_and_universities_in_Oregon - cite_note-OSBA-5"/>
    <hyperlink ref="B91" r:id="rId156" tooltip="Pendleton, Oregon" display="http://en.wikipedia.org/wiki/Pendleton,_Oregon"/>
    <hyperlink ref="A91" r:id="rId157" tooltip="Blue Mountain Community College" display="http://en.wikipedia.org/wiki/Blue_Mountain_Community_College"/>
    <hyperlink ref="F89" r:id="rId158" location="cite_note-4" display="http://en.wikipedia.org/wiki/List_of_colleges_and_universities_in_Oregon - cite_note-4"/>
    <hyperlink ref="C90" r:id="rId159" tooltip="For-profit university" display="http://en.wikipedia.org/wiki/For-profit_university"/>
    <hyperlink ref="B89" r:id="rId160" tooltip="Portland, Oregon" display="http://en.wikipedia.org/wiki/Portland,_Oregon"/>
    <hyperlink ref="A89" r:id="rId161" tooltip="Art Institute of Portland" display="http://en.wikipedia.org/wiki/Art_Institute_of_Portland"/>
    <hyperlink ref="F87" r:id="rId162" location="cite_note-3" display="http://en.wikipedia.org/wiki/List_of_colleges_and_universities_in_Oregon - cite_note-3"/>
    <hyperlink ref="C88" r:id="rId163" tooltip="For-profit university" display="http://en.wikipedia.org/wiki/For-profit_university"/>
    <hyperlink ref="B87" r:id="rId164" tooltip="Portland, Oregon" display="http://en.wikipedia.org/wiki/Portland,_Oregon"/>
    <hyperlink ref="A87" r:id="rId165" tooltip="American College of Healthcare Sciences" display="http://en.wikipedia.org/wiki/American_College_of_Healthcare_Sciences"/>
    <hyperlink ref="D86" r:id="rId166" location="cite_note-2" display="http://en.wikipedia.org/wiki/List_of_colleges_and_universities_in_Oregon - cite_note-2"/>
  </hyperlinks>
  <pageMargins left="0.7" right="0.7" top="0.75" bottom="0.75" header="0.3" footer="0.3"/>
  <pageSetup orientation="portrait" r:id="rId167"/>
  <legacyDrawing r:id="rId168"/>
</worksheet>
</file>

<file path=xl/worksheets/sheet14.xml><?xml version="1.0" encoding="utf-8"?>
<worksheet xmlns="http://schemas.openxmlformats.org/spreadsheetml/2006/main" xmlns:r="http://schemas.openxmlformats.org/officeDocument/2006/relationships">
  <dimension ref="A1:C6"/>
  <sheetViews>
    <sheetView workbookViewId="0">
      <selection activeCell="E8" sqref="E8"/>
    </sheetView>
  </sheetViews>
  <sheetFormatPr defaultRowHeight="12.75"/>
  <cols>
    <col min="1" max="1" width="14.7109375" style="277" customWidth="1"/>
    <col min="2" max="2" width="17" style="277" customWidth="1"/>
    <col min="3" max="16384" width="9.140625" style="277"/>
  </cols>
  <sheetData>
    <row r="1" spans="1:3">
      <c r="A1" s="281" t="s">
        <v>683</v>
      </c>
    </row>
    <row r="2" spans="1:3">
      <c r="A2" s="289"/>
      <c r="B2" s="308" t="str">
        <f>'Regional Potential Estimates'!I2</f>
        <v># of showerheads in region</v>
      </c>
      <c r="C2" s="308" t="s">
        <v>684</v>
      </c>
    </row>
    <row r="3" spans="1:3">
      <c r="A3" s="308" t="str">
        <f>'Regional Potential Estimates'!B3</f>
        <v>Hospitality</v>
      </c>
      <c r="B3" s="309">
        <f>'Regional Potential Estimates'!I3</f>
        <v>201888.75756610386</v>
      </c>
      <c r="C3" s="310">
        <f>B3/SUM($B$3:$B$6)</f>
        <v>0.65501392552866122</v>
      </c>
    </row>
    <row r="4" spans="1:3">
      <c r="A4" s="308" t="str">
        <f>'Regional Potential Estimates'!B5</f>
        <v>Health Care</v>
      </c>
      <c r="B4" s="309">
        <f>'Regional Potential Estimates'!I5</f>
        <v>36256.51485</v>
      </c>
      <c r="C4" s="310">
        <f>B4/SUM($B$3:$B$6)</f>
        <v>0.11763172156879903</v>
      </c>
    </row>
    <row r="5" spans="1:3">
      <c r="A5" s="308" t="str">
        <f>'Regional Potential Estimates'!B7</f>
        <v>Commercial</v>
      </c>
      <c r="B5" s="309">
        <f>'Regional Potential Estimates'!I7</f>
        <v>65000</v>
      </c>
      <c r="C5" s="310">
        <f>B5/SUM($B$3:$B$6)</f>
        <v>0.21088794479020195</v>
      </c>
    </row>
    <row r="6" spans="1:3">
      <c r="A6" s="308" t="str">
        <f>'Regional Potential Estimates'!B9</f>
        <v>School</v>
      </c>
      <c r="B6" s="309">
        <f>'Regional Potential Estimates'!I9</f>
        <v>5075.2854951796671</v>
      </c>
      <c r="C6" s="310">
        <f>B6/SUM($B$3:$B$6)</f>
        <v>1.6466408112337884E-2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sheetPr codeName="Sheet19"/>
  <dimension ref="A2:K206"/>
  <sheetViews>
    <sheetView topLeftCell="A37" workbookViewId="0">
      <selection activeCell="C140" sqref="C140"/>
    </sheetView>
  </sheetViews>
  <sheetFormatPr defaultRowHeight="15"/>
  <cols>
    <col min="1" max="2" width="4.28515625" style="312" customWidth="1"/>
    <col min="3" max="3" width="45.28515625" style="312" customWidth="1"/>
    <col min="4" max="7" width="10.5703125" style="312" bestFit="1" customWidth="1"/>
    <col min="8" max="8" width="11.42578125" style="312" customWidth="1"/>
    <col min="9" max="16384" width="9.140625" style="312"/>
  </cols>
  <sheetData>
    <row r="2" spans="1:5">
      <c r="A2" s="311" t="s">
        <v>685</v>
      </c>
      <c r="B2" s="311"/>
      <c r="C2" s="311"/>
      <c r="D2" s="311"/>
      <c r="E2" s="311"/>
    </row>
    <row r="4" spans="1:5">
      <c r="B4" s="301" t="s">
        <v>686</v>
      </c>
      <c r="C4" s="301"/>
      <c r="D4" s="301" t="s">
        <v>687</v>
      </c>
      <c r="E4" s="301"/>
    </row>
    <row r="5" spans="1:5">
      <c r="C5" s="313" t="s">
        <v>643</v>
      </c>
      <c r="D5" s="314">
        <f>D17</f>
        <v>3508.9289910000002</v>
      </c>
    </row>
    <row r="6" spans="1:5">
      <c r="C6" s="313" t="s">
        <v>644</v>
      </c>
      <c r="D6" s="314">
        <f>D24</f>
        <v>2528.0945230330522</v>
      </c>
    </row>
    <row r="7" spans="1:5">
      <c r="C7" s="313" t="s">
        <v>646</v>
      </c>
      <c r="D7" s="314">
        <f>D29</f>
        <v>1894.046</v>
      </c>
    </row>
    <row r="8" spans="1:5">
      <c r="C8" s="313" t="s">
        <v>403</v>
      </c>
      <c r="D8" s="314">
        <f>D35</f>
        <v>2057.4162679425835</v>
      </c>
    </row>
    <row r="9" spans="1:5">
      <c r="C9" s="313" t="s">
        <v>688</v>
      </c>
      <c r="D9" s="314">
        <f>SUMPRODUCT(D5:D8,WeightingForCommercialAvg!C3:C6)</f>
        <v>3029.0911880322728</v>
      </c>
    </row>
    <row r="10" spans="1:5">
      <c r="C10" s="313" t="s">
        <v>645</v>
      </c>
      <c r="D10" s="314">
        <f>D38</f>
        <v>56892.698785085886</v>
      </c>
    </row>
    <row r="12" spans="1:5">
      <c r="B12" s="301" t="s">
        <v>643</v>
      </c>
      <c r="C12" s="301"/>
      <c r="D12" s="301"/>
      <c r="E12" s="301"/>
    </row>
    <row r="13" spans="1:5">
      <c r="C13" s="315" t="s">
        <v>689</v>
      </c>
      <c r="D13" s="315" t="s">
        <v>690</v>
      </c>
      <c r="E13" s="315" t="s">
        <v>691</v>
      </c>
    </row>
    <row r="14" spans="1:5">
      <c r="B14" s="316"/>
      <c r="C14" s="312" t="s">
        <v>692</v>
      </c>
      <c r="D14" s="312">
        <v>16.2</v>
      </c>
      <c r="E14" s="312" t="s">
        <v>693</v>
      </c>
    </row>
    <row r="15" spans="1:5">
      <c r="B15" s="316" t="s">
        <v>694</v>
      </c>
      <c r="C15" s="312" t="s">
        <v>695</v>
      </c>
      <c r="D15" s="317">
        <f>D59</f>
        <v>0.5930200000000001</v>
      </c>
      <c r="E15" s="312" t="str">
        <f>D61</f>
        <v>American Hotel and Lodging Association Website ( www.ahla.com ), annual Lodging Industry Profile</v>
      </c>
    </row>
    <row r="16" spans="1:5">
      <c r="B16" s="316" t="s">
        <v>694</v>
      </c>
      <c r="C16" s="312" t="s">
        <v>696</v>
      </c>
      <c r="D16" s="312">
        <v>365.25</v>
      </c>
    </row>
    <row r="17" spans="2:11">
      <c r="B17" s="318" t="s">
        <v>697</v>
      </c>
      <c r="C17" s="319" t="s">
        <v>698</v>
      </c>
      <c r="D17" s="320">
        <f>PRODUCT(D14:D16)</f>
        <v>3508.9289910000002</v>
      </c>
      <c r="E17" s="321" t="s">
        <v>699</v>
      </c>
    </row>
    <row r="19" spans="2:11">
      <c r="B19" s="301" t="s">
        <v>700</v>
      </c>
      <c r="C19" s="301"/>
      <c r="D19" s="301"/>
      <c r="E19" s="301"/>
    </row>
    <row r="20" spans="2:11">
      <c r="C20" s="312" t="s">
        <v>701</v>
      </c>
      <c r="D20" s="312">
        <v>5</v>
      </c>
      <c r="E20" s="312" t="s">
        <v>693</v>
      </c>
    </row>
    <row r="21" spans="2:11">
      <c r="B21" s="316" t="s">
        <v>694</v>
      </c>
      <c r="C21" s="312" t="s">
        <v>702</v>
      </c>
      <c r="D21" s="312">
        <v>2</v>
      </c>
      <c r="E21" s="312" t="s">
        <v>703</v>
      </c>
    </row>
    <row r="22" spans="2:11">
      <c r="B22" s="316" t="s">
        <v>694</v>
      </c>
      <c r="C22" s="312" t="s">
        <v>704</v>
      </c>
      <c r="D22" s="322">
        <f>H92</f>
        <v>0.6921545579830396</v>
      </c>
      <c r="E22" s="312" t="s">
        <v>705</v>
      </c>
    </row>
    <row r="23" spans="2:11">
      <c r="B23" s="316" t="s">
        <v>694</v>
      </c>
      <c r="C23" s="312" t="s">
        <v>706</v>
      </c>
      <c r="D23" s="312">
        <v>365.25</v>
      </c>
    </row>
    <row r="24" spans="2:11">
      <c r="B24" s="318" t="s">
        <v>697</v>
      </c>
      <c r="C24" s="319" t="s">
        <v>707</v>
      </c>
      <c r="D24" s="320">
        <f>D20*D21*D22*D23</f>
        <v>2528.0945230330522</v>
      </c>
      <c r="E24" s="321" t="s">
        <v>708</v>
      </c>
    </row>
    <row r="26" spans="2:11">
      <c r="B26" s="301" t="s">
        <v>646</v>
      </c>
      <c r="C26" s="301"/>
      <c r="D26" s="301"/>
      <c r="E26" s="301"/>
    </row>
    <row r="27" spans="2:11">
      <c r="C27" s="312" t="s">
        <v>709</v>
      </c>
      <c r="D27" s="323">
        <f>'[3]Residential Analysis'!$D$19</f>
        <v>3788.0920000000001</v>
      </c>
      <c r="E27" s="312" t="s">
        <v>710</v>
      </c>
    </row>
    <row r="28" spans="2:11">
      <c r="B28" s="316" t="s">
        <v>694</v>
      </c>
      <c r="C28" s="312" t="s">
        <v>711</v>
      </c>
      <c r="D28" s="324">
        <v>0.5</v>
      </c>
    </row>
    <row r="29" spans="2:11">
      <c r="B29" s="318" t="s">
        <v>697</v>
      </c>
      <c r="C29" s="319" t="s">
        <v>712</v>
      </c>
      <c r="D29" s="320">
        <f>D28*D27</f>
        <v>1894.046</v>
      </c>
      <c r="E29" s="321" t="s">
        <v>713</v>
      </c>
    </row>
    <row r="30" spans="2:11">
      <c r="B30" s="325"/>
      <c r="C30" s="326"/>
      <c r="D30" s="327"/>
      <c r="E30" s="328"/>
    </row>
    <row r="31" spans="2:11">
      <c r="B31" s="301" t="s">
        <v>714</v>
      </c>
      <c r="C31" s="301"/>
      <c r="D31" s="301"/>
      <c r="E31" s="301"/>
    </row>
    <row r="32" spans="2:11" ht="15" customHeight="1">
      <c r="C32" s="312" t="s">
        <v>715</v>
      </c>
      <c r="D32" s="323">
        <f>D100</f>
        <v>258000</v>
      </c>
      <c r="E32" s="329" t="s">
        <v>716</v>
      </c>
      <c r="F32" s="329"/>
      <c r="G32" s="329"/>
      <c r="H32" s="329"/>
      <c r="I32" s="329"/>
      <c r="J32" s="329"/>
      <c r="K32" s="329"/>
    </row>
    <row r="33" spans="1:7">
      <c r="B33" s="330" t="s">
        <v>717</v>
      </c>
      <c r="C33" s="312" t="s">
        <v>718</v>
      </c>
      <c r="D33" s="323">
        <f>E100</f>
        <v>57</v>
      </c>
      <c r="E33" s="329" t="s">
        <v>716</v>
      </c>
    </row>
    <row r="34" spans="1:7">
      <c r="B34" s="330" t="s">
        <v>717</v>
      </c>
      <c r="C34" s="312" t="s">
        <v>719</v>
      </c>
      <c r="D34" s="331">
        <f>G100</f>
        <v>2.2000000000000002</v>
      </c>
      <c r="E34" s="312" t="s">
        <v>720</v>
      </c>
    </row>
    <row r="35" spans="1:7">
      <c r="B35" s="318" t="s">
        <v>697</v>
      </c>
      <c r="C35" s="319" t="s">
        <v>698</v>
      </c>
      <c r="D35" s="320">
        <f>D32/(D33*D34)</f>
        <v>2057.4162679425835</v>
      </c>
      <c r="E35" s="321" t="s">
        <v>721</v>
      </c>
    </row>
    <row r="36" spans="1:7">
      <c r="B36" s="325"/>
      <c r="C36" s="326"/>
      <c r="D36" s="327"/>
      <c r="E36" s="328"/>
    </row>
    <row r="37" spans="1:7">
      <c r="B37" s="301" t="s">
        <v>722</v>
      </c>
      <c r="C37" s="301"/>
      <c r="D37" s="301"/>
      <c r="E37" s="301"/>
    </row>
    <row r="38" spans="1:7">
      <c r="B38" s="325" t="s">
        <v>697</v>
      </c>
      <c r="C38" s="326" t="s">
        <v>723</v>
      </c>
      <c r="D38" s="327">
        <f>D119</f>
        <v>56892.698785085886</v>
      </c>
      <c r="E38" s="332" t="s">
        <v>724</v>
      </c>
    </row>
    <row r="39" spans="1:7">
      <c r="B39" s="325"/>
      <c r="C39" s="326"/>
      <c r="D39" s="327"/>
      <c r="E39" s="328"/>
    </row>
    <row r="40" spans="1:7">
      <c r="B40" s="325"/>
      <c r="C40" s="326"/>
      <c r="D40" s="327"/>
      <c r="E40" s="328"/>
    </row>
    <row r="41" spans="1:7">
      <c r="B41" s="325"/>
      <c r="C41" s="326"/>
      <c r="D41" s="327"/>
      <c r="E41" s="328"/>
    </row>
    <row r="42" spans="1:7">
      <c r="A42" s="311" t="s">
        <v>725</v>
      </c>
      <c r="B42" s="311"/>
      <c r="C42" s="311"/>
      <c r="D42" s="311"/>
      <c r="E42" s="311"/>
      <c r="F42" s="311"/>
      <c r="G42" s="311"/>
    </row>
    <row r="44" spans="1:7">
      <c r="C44" s="301" t="s">
        <v>726</v>
      </c>
      <c r="D44" s="301"/>
      <c r="E44" s="301"/>
      <c r="F44" s="301"/>
    </row>
    <row r="46" spans="1:7">
      <c r="C46" s="333" t="s">
        <v>727</v>
      </c>
      <c r="D46" s="334" t="s">
        <v>728</v>
      </c>
    </row>
    <row r="47" spans="1:7">
      <c r="C47" s="335">
        <v>2011</v>
      </c>
      <c r="D47" s="336">
        <v>0.6</v>
      </c>
    </row>
    <row r="48" spans="1:7">
      <c r="C48" s="335">
        <v>2010</v>
      </c>
      <c r="D48" s="336">
        <v>0.57599999999999996</v>
      </c>
    </row>
    <row r="49" spans="3:5">
      <c r="C49" s="335">
        <v>2009</v>
      </c>
      <c r="D49" s="336">
        <v>0.54700000000000004</v>
      </c>
    </row>
    <row r="50" spans="3:5">
      <c r="C50" s="335">
        <v>2008</v>
      </c>
      <c r="D50" s="336">
        <v>0.60399999999999998</v>
      </c>
    </row>
    <row r="51" spans="3:5">
      <c r="C51" s="335">
        <v>2007</v>
      </c>
      <c r="D51" s="336">
        <v>0.63100000000000001</v>
      </c>
    </row>
    <row r="52" spans="3:5">
      <c r="C52" s="335">
        <v>2006</v>
      </c>
      <c r="D52" s="336">
        <v>0.63300000000000001</v>
      </c>
    </row>
    <row r="53" spans="3:5">
      <c r="C53" s="335">
        <v>2005</v>
      </c>
      <c r="D53" s="336">
        <v>0.63100000000000001</v>
      </c>
    </row>
    <row r="54" spans="3:5">
      <c r="C54" s="335">
        <v>2004</v>
      </c>
      <c r="D54" s="336">
        <v>0.61299999999999999</v>
      </c>
    </row>
    <row r="55" spans="3:5">
      <c r="C55" s="335">
        <v>2003</v>
      </c>
      <c r="D55" s="336">
        <v>0.50419999999999998</v>
      </c>
    </row>
    <row r="56" spans="3:5">
      <c r="C56" s="335">
        <v>2002</v>
      </c>
      <c r="D56" s="336">
        <v>0.59099999999999997</v>
      </c>
    </row>
    <row r="57" spans="3:5">
      <c r="C57" s="335">
        <v>2001</v>
      </c>
      <c r="D57" s="336">
        <v>0.60299999999999998</v>
      </c>
    </row>
    <row r="58" spans="3:5">
      <c r="C58" s="335">
        <v>2000</v>
      </c>
      <c r="D58" s="336">
        <v>0.63700000000000001</v>
      </c>
    </row>
    <row r="59" spans="3:5">
      <c r="C59" s="337" t="s">
        <v>729</v>
      </c>
      <c r="D59" s="338">
        <f>AVERAGE(D47:D56)</f>
        <v>0.5930200000000001</v>
      </c>
      <c r="E59" s="312" t="s">
        <v>730</v>
      </c>
    </row>
    <row r="61" spans="3:5">
      <c r="C61" s="312" t="s">
        <v>691</v>
      </c>
      <c r="D61" s="312" t="s">
        <v>731</v>
      </c>
    </row>
    <row r="62" spans="3:5">
      <c r="C62" s="339" t="s">
        <v>650</v>
      </c>
    </row>
    <row r="63" spans="3:5">
      <c r="C63" s="312" t="s">
        <v>732</v>
      </c>
    </row>
    <row r="65" spans="1:9">
      <c r="A65" s="311" t="s">
        <v>733</v>
      </c>
      <c r="B65" s="311"/>
      <c r="C65" s="311"/>
      <c r="D65" s="311"/>
      <c r="E65" s="311"/>
      <c r="F65" s="311"/>
      <c r="G65" s="311"/>
      <c r="H65" s="311"/>
      <c r="I65" s="311"/>
    </row>
    <row r="66" spans="1:9">
      <c r="C66" s="301" t="s">
        <v>734</v>
      </c>
      <c r="D66" s="301"/>
      <c r="E66" s="301"/>
      <c r="F66" s="301"/>
      <c r="G66" s="301"/>
      <c r="H66" s="301"/>
      <c r="I66" s="301"/>
    </row>
    <row r="67" spans="1:9">
      <c r="D67" s="312" t="s">
        <v>735</v>
      </c>
      <c r="E67" s="312" t="s">
        <v>736</v>
      </c>
      <c r="F67" s="312" t="s">
        <v>737</v>
      </c>
      <c r="G67" s="312" t="s">
        <v>738</v>
      </c>
      <c r="H67" s="312" t="s">
        <v>739</v>
      </c>
    </row>
    <row r="68" spans="1:9" ht="29.25" customHeight="1">
      <c r="C68" s="340" t="s">
        <v>740</v>
      </c>
      <c r="D68" s="341">
        <v>7567</v>
      </c>
      <c r="E68" s="341">
        <v>18095</v>
      </c>
      <c r="F68" s="341">
        <v>4358</v>
      </c>
      <c r="G68" s="341">
        <v>4891</v>
      </c>
      <c r="H68" s="341">
        <f>SUM(D68:G68)</f>
        <v>34911</v>
      </c>
      <c r="I68" s="341"/>
    </row>
    <row r="69" spans="1:9">
      <c r="C69" s="340" t="s">
        <v>741</v>
      </c>
      <c r="D69" s="341">
        <v>12293</v>
      </c>
      <c r="E69" s="341">
        <v>21900</v>
      </c>
      <c r="F69" s="341">
        <v>6153</v>
      </c>
      <c r="G69" s="341">
        <v>6952</v>
      </c>
      <c r="H69" s="341">
        <f>SUM(D69:G69)</f>
        <v>47298</v>
      </c>
    </row>
    <row r="70" spans="1:9">
      <c r="C70" s="342" t="s">
        <v>742</v>
      </c>
      <c r="D70" s="343">
        <f>D68/D69</f>
        <v>0.61555356707069064</v>
      </c>
      <c r="E70" s="343">
        <f>E68/E69</f>
        <v>0.82625570776255708</v>
      </c>
      <c r="F70" s="343">
        <f>F68/F69</f>
        <v>0.70827238745327481</v>
      </c>
      <c r="G70" s="343">
        <f>G68/G69</f>
        <v>0.7035385500575374</v>
      </c>
      <c r="H70" s="343">
        <f>H68/H69</f>
        <v>0.73810731954839526</v>
      </c>
    </row>
    <row r="71" spans="1:9">
      <c r="H71" s="317"/>
      <c r="I71" s="317"/>
    </row>
    <row r="72" spans="1:9" ht="15" customHeight="1">
      <c r="C72" s="344" t="s">
        <v>743</v>
      </c>
      <c r="D72" s="345" t="s">
        <v>744</v>
      </c>
    </row>
    <row r="73" spans="1:9" ht="15" customHeight="1">
      <c r="C73" s="344"/>
    </row>
    <row r="74" spans="1:9">
      <c r="C74" s="301" t="s">
        <v>745</v>
      </c>
      <c r="D74" s="301"/>
      <c r="E74" s="301"/>
      <c r="F74" s="301"/>
      <c r="G74" s="301"/>
      <c r="H74" s="301"/>
      <c r="I74" s="301"/>
    </row>
    <row r="75" spans="1:9">
      <c r="D75" s="312" t="s">
        <v>735</v>
      </c>
      <c r="E75" s="312" t="s">
        <v>736</v>
      </c>
      <c r="F75" s="312" t="s">
        <v>737</v>
      </c>
      <c r="G75" s="312" t="s">
        <v>738</v>
      </c>
      <c r="H75" s="312" t="s">
        <v>739</v>
      </c>
    </row>
    <row r="76" spans="1:9">
      <c r="C76" s="340" t="s">
        <v>746</v>
      </c>
      <c r="D76" s="312">
        <v>58</v>
      </c>
      <c r="E76" s="312">
        <v>86</v>
      </c>
      <c r="F76" s="312">
        <v>41</v>
      </c>
      <c r="G76" s="312">
        <v>48</v>
      </c>
      <c r="H76" s="312">
        <f>SUM(D76:G76)</f>
        <v>233</v>
      </c>
      <c r="I76" s="312" t="s">
        <v>743</v>
      </c>
    </row>
    <row r="77" spans="1:9">
      <c r="C77" s="340" t="s">
        <v>747</v>
      </c>
      <c r="D77" s="312">
        <v>1.7</v>
      </c>
      <c r="E77" s="312">
        <v>1.7</v>
      </c>
      <c r="F77" s="312">
        <v>2.1</v>
      </c>
      <c r="G77" s="312">
        <v>3.7</v>
      </c>
      <c r="H77" s="346">
        <f>SUMPRODUCT(D77:G77,D80:G80)/SUM(D80:G80)</f>
        <v>2.0457485517060485</v>
      </c>
      <c r="I77" s="312" t="s">
        <v>743</v>
      </c>
    </row>
    <row r="78" spans="1:9" ht="30">
      <c r="C78" s="340" t="s">
        <v>748</v>
      </c>
      <c r="D78" s="312">
        <v>361</v>
      </c>
      <c r="E78" s="312">
        <v>391</v>
      </c>
      <c r="F78" s="312">
        <v>400</v>
      </c>
      <c r="G78" s="312">
        <v>856</v>
      </c>
      <c r="H78" s="341">
        <f>SUMPRODUCT(D78:G78,D80:G80)/SUM(D80:G80)</f>
        <v>452.4670220673982</v>
      </c>
      <c r="I78" s="312" t="s">
        <v>743</v>
      </c>
    </row>
    <row r="79" spans="1:9" ht="30">
      <c r="C79" s="340" t="s">
        <v>749</v>
      </c>
      <c r="D79" s="341">
        <v>3871859</v>
      </c>
      <c r="E79" s="341">
        <v>6830038</v>
      </c>
      <c r="F79" s="341">
        <v>1584985</v>
      </c>
      <c r="G79" s="341">
        <v>998199</v>
      </c>
      <c r="H79" s="341">
        <f>SUM(D79:G79)</f>
        <v>13285081</v>
      </c>
      <c r="I79" s="312" t="s">
        <v>750</v>
      </c>
    </row>
    <row r="80" spans="1:9">
      <c r="C80" s="340" t="s">
        <v>751</v>
      </c>
      <c r="D80" s="341">
        <f>D79*D77/1000</f>
        <v>6582.1602999999996</v>
      </c>
      <c r="E80" s="341">
        <f>E79*E77/1000</f>
        <v>11611.0646</v>
      </c>
      <c r="F80" s="341">
        <f>F79*F77/1000</f>
        <v>3328.4684999999999</v>
      </c>
      <c r="G80" s="341">
        <f>G79*G77/1000</f>
        <v>3693.3363000000004</v>
      </c>
      <c r="H80" s="341">
        <f>SUM(D80:G80)</f>
        <v>25215.029699999999</v>
      </c>
      <c r="I80" s="312" t="s">
        <v>752</v>
      </c>
    </row>
    <row r="81" spans="1:9">
      <c r="C81" s="342" t="s">
        <v>753</v>
      </c>
      <c r="D81" s="347">
        <f>D78/(365*D77)</f>
        <v>0.58178887993553585</v>
      </c>
      <c r="E81" s="347">
        <f>E78/(365*E77)</f>
        <v>0.63013698630136983</v>
      </c>
      <c r="F81" s="347">
        <f>F78/(365*F77)</f>
        <v>0.52185257664709717</v>
      </c>
      <c r="G81" s="347">
        <f>G78/(365*G77)</f>
        <v>0.63383931877082567</v>
      </c>
      <c r="H81" s="347">
        <f>H78/(365*H77)</f>
        <v>0.60595701063221541</v>
      </c>
      <c r="I81" s="312" t="s">
        <v>752</v>
      </c>
    </row>
    <row r="83" spans="1:9">
      <c r="C83" s="344" t="s">
        <v>743</v>
      </c>
      <c r="D83" s="513" t="s">
        <v>744</v>
      </c>
      <c r="E83" s="344"/>
    </row>
    <row r="84" spans="1:9">
      <c r="C84" s="344" t="s">
        <v>750</v>
      </c>
      <c r="D84" s="349" t="s">
        <v>754</v>
      </c>
      <c r="E84" s="344"/>
    </row>
    <row r="86" spans="1:9">
      <c r="C86" s="301" t="s">
        <v>755</v>
      </c>
      <c r="D86" s="301"/>
      <c r="E86" s="301"/>
      <c r="F86" s="301"/>
      <c r="G86" s="301"/>
      <c r="H86" s="301"/>
      <c r="I86" s="301"/>
    </row>
    <row r="87" spans="1:9">
      <c r="C87" s="312" t="s">
        <v>756</v>
      </c>
      <c r="D87" s="341">
        <f>D69</f>
        <v>12293</v>
      </c>
      <c r="E87" s="341">
        <f>E69</f>
        <v>21900</v>
      </c>
      <c r="F87" s="341">
        <f>F69</f>
        <v>6153</v>
      </c>
      <c r="G87" s="341">
        <f>G69</f>
        <v>6952</v>
      </c>
      <c r="H87" s="341">
        <f>H69</f>
        <v>47298</v>
      </c>
    </row>
    <row r="88" spans="1:9">
      <c r="C88" s="312" t="s">
        <v>751</v>
      </c>
      <c r="D88" s="341">
        <f>D80</f>
        <v>6582.1602999999996</v>
      </c>
      <c r="E88" s="341">
        <f>E80</f>
        <v>11611.0646</v>
      </c>
      <c r="F88" s="341">
        <f>F80</f>
        <v>3328.4684999999999</v>
      </c>
      <c r="G88" s="341">
        <f>G80</f>
        <v>3693.3363000000004</v>
      </c>
      <c r="H88" s="341">
        <f>H80</f>
        <v>25215.029699999999</v>
      </c>
    </row>
    <row r="89" spans="1:9">
      <c r="C89" s="312" t="s">
        <v>757</v>
      </c>
      <c r="D89" s="341">
        <f>SUM(D87:D88)</f>
        <v>18875.1603</v>
      </c>
      <c r="E89" s="341">
        <f>SUM(E87:E88)</f>
        <v>33511.064599999998</v>
      </c>
      <c r="F89" s="341">
        <f>SUM(F87:F88)</f>
        <v>9481.468499999999</v>
      </c>
      <c r="G89" s="341">
        <f>SUM(G87:G88)</f>
        <v>10645.336300000001</v>
      </c>
      <c r="H89" s="341">
        <f>SUM(H87:H88)</f>
        <v>72513.029699999999</v>
      </c>
    </row>
    <row r="90" spans="1:9">
      <c r="C90" s="312" t="s">
        <v>758</v>
      </c>
      <c r="D90" s="322">
        <f>D70</f>
        <v>0.61555356707069064</v>
      </c>
      <c r="E90" s="322">
        <f>E70</f>
        <v>0.82625570776255708</v>
      </c>
      <c r="F90" s="322">
        <f>F70</f>
        <v>0.70827238745327481</v>
      </c>
      <c r="G90" s="322">
        <f>G70</f>
        <v>0.7035385500575374</v>
      </c>
      <c r="H90" s="322">
        <f>H70</f>
        <v>0.73810731954839526</v>
      </c>
    </row>
    <row r="91" spans="1:9">
      <c r="C91" s="312" t="s">
        <v>759</v>
      </c>
      <c r="D91" s="322">
        <f>D81</f>
        <v>0.58178887993553585</v>
      </c>
      <c r="E91" s="322">
        <f>E81</f>
        <v>0.63013698630136983</v>
      </c>
      <c r="F91" s="322">
        <f>F81</f>
        <v>0.52185257664709717</v>
      </c>
      <c r="G91" s="322">
        <f>G81</f>
        <v>0.63383931877082567</v>
      </c>
      <c r="H91" s="322">
        <f>H81</f>
        <v>0.60595701063221541</v>
      </c>
    </row>
    <row r="92" spans="1:9">
      <c r="C92" s="350" t="s">
        <v>760</v>
      </c>
      <c r="D92" s="343">
        <f>SUMPRODUCT(D90:D91,D87:D88)/D89</f>
        <v>0.6037791196132597</v>
      </c>
      <c r="E92" s="343">
        <f>SUMPRODUCT(E90:E91,E87:E88)/E89</f>
        <v>0.75830360981114642</v>
      </c>
      <c r="F92" s="343">
        <f>SUMPRODUCT(F90:F91,F87:F88)/F89</f>
        <v>0.64282973286402834</v>
      </c>
      <c r="G92" s="343">
        <f>SUMPRODUCT(G90:G91,G87:G88)/G89</f>
        <v>0.67935681509503476</v>
      </c>
      <c r="H92" s="343">
        <f>SUMPRODUCT(H90:H91,H87:H88)/H89</f>
        <v>0.6921545579830396</v>
      </c>
    </row>
    <row r="94" spans="1:9">
      <c r="A94" s="311" t="s">
        <v>761</v>
      </c>
      <c r="B94" s="311"/>
      <c r="C94" s="311"/>
      <c r="D94" s="311"/>
      <c r="E94" s="311"/>
      <c r="F94" s="311"/>
      <c r="G94" s="311"/>
      <c r="H94" s="311"/>
      <c r="I94" s="311"/>
    </row>
    <row r="95" spans="1:9">
      <c r="C95" s="301"/>
      <c r="D95" s="301"/>
      <c r="E95" s="301"/>
      <c r="F95" s="301"/>
      <c r="G95" s="301"/>
      <c r="H95" s="301"/>
      <c r="I95" s="301"/>
    </row>
    <row r="96" spans="1:9">
      <c r="C96" s="351" t="s">
        <v>762</v>
      </c>
      <c r="D96" s="352"/>
      <c r="E96" s="352"/>
      <c r="F96" s="352"/>
      <c r="G96" s="352"/>
      <c r="H96" s="352"/>
      <c r="I96" s="352"/>
    </row>
    <row r="97" spans="1:10" ht="120">
      <c r="C97" s="353"/>
      <c r="D97" s="354" t="s">
        <v>763</v>
      </c>
      <c r="E97" s="354" t="s">
        <v>764</v>
      </c>
      <c r="F97" s="354" t="s">
        <v>765</v>
      </c>
      <c r="G97" s="354" t="s">
        <v>766</v>
      </c>
      <c r="H97" s="354" t="s">
        <v>767</v>
      </c>
      <c r="I97" s="354" t="s">
        <v>768</v>
      </c>
      <c r="J97" s="279" t="s">
        <v>769</v>
      </c>
    </row>
    <row r="98" spans="1:10">
      <c r="C98" s="351" t="s">
        <v>770</v>
      </c>
      <c r="D98" s="355">
        <v>115000</v>
      </c>
      <c r="E98" s="352">
        <v>25</v>
      </c>
      <c r="F98" s="356">
        <f>(D98/E98)/365.25</f>
        <v>12.594113620807667</v>
      </c>
      <c r="G98" s="352">
        <f>FlowRates!$E$5</f>
        <v>2.2000000000000002</v>
      </c>
      <c r="H98" s="355">
        <f>(F98/G98)*365.25</f>
        <v>2090.909090909091</v>
      </c>
      <c r="I98" s="357">
        <f>D98/(180*E98*G98)</f>
        <v>11.616161616161616</v>
      </c>
      <c r="J98" s="275">
        <v>2640</v>
      </c>
    </row>
    <row r="99" spans="1:10">
      <c r="C99" s="351" t="s">
        <v>771</v>
      </c>
      <c r="D99" s="355">
        <v>143000</v>
      </c>
      <c r="E99" s="352">
        <v>32</v>
      </c>
      <c r="F99" s="356">
        <f>(D99/E99)/365.25</f>
        <v>12.234770704996578</v>
      </c>
      <c r="G99" s="352">
        <f>FlowRates!$E$5</f>
        <v>2.2000000000000002</v>
      </c>
      <c r="H99" s="355">
        <f>(F99/G99)*365.25</f>
        <v>2031.2499999999998</v>
      </c>
      <c r="I99" s="357">
        <f>D99/(180*E99*G99)</f>
        <v>11.284722222222221</v>
      </c>
      <c r="J99" s="275">
        <v>3065</v>
      </c>
    </row>
    <row r="100" spans="1:10">
      <c r="C100" s="358" t="s">
        <v>167</v>
      </c>
      <c r="D100" s="359">
        <f>SUM(D98:D99)</f>
        <v>258000</v>
      </c>
      <c r="E100" s="358">
        <f>SUM(E98:E99)</f>
        <v>57</v>
      </c>
      <c r="F100" s="360">
        <f>(D100/E100)/365.25</f>
        <v>12.392377247018985</v>
      </c>
      <c r="G100" s="358">
        <f>FlowRates!$E$5</f>
        <v>2.2000000000000002</v>
      </c>
      <c r="H100" s="359">
        <f>(F100/G100)*365.25</f>
        <v>2057.4162679425835</v>
      </c>
      <c r="I100" s="361">
        <f>D100/(180*E100*G100)</f>
        <v>11.430090377458797</v>
      </c>
      <c r="J100" s="362">
        <f>SUM(J98:J99)</f>
        <v>5705</v>
      </c>
    </row>
    <row r="101" spans="1:10" ht="45">
      <c r="C101" s="363" t="s">
        <v>772</v>
      </c>
      <c r="D101" s="352"/>
      <c r="E101" s="352"/>
      <c r="F101" s="352"/>
      <c r="G101" s="352"/>
      <c r="H101" s="352"/>
      <c r="I101" s="352"/>
    </row>
    <row r="102" spans="1:10">
      <c r="C102" s="352"/>
      <c r="D102" s="352"/>
      <c r="E102" s="352"/>
      <c r="F102" s="352"/>
      <c r="G102" s="352"/>
      <c r="H102" s="352"/>
      <c r="I102" s="352"/>
    </row>
    <row r="103" spans="1:10" ht="33.75" customHeight="1">
      <c r="C103" s="594" t="s">
        <v>773</v>
      </c>
      <c r="D103" s="594"/>
      <c r="E103" s="594"/>
      <c r="F103" s="594"/>
      <c r="G103" s="594"/>
      <c r="H103" s="594"/>
      <c r="I103" s="594"/>
    </row>
    <row r="104" spans="1:10">
      <c r="C104" s="348" t="s">
        <v>774</v>
      </c>
      <c r="D104" s="352"/>
      <c r="E104" s="352"/>
      <c r="F104" s="352"/>
      <c r="G104" s="352"/>
      <c r="H104" s="352"/>
      <c r="I104" s="352"/>
    </row>
    <row r="105" spans="1:10" ht="15" customHeight="1">
      <c r="C105" s="364"/>
      <c r="D105" s="364"/>
      <c r="E105" s="364"/>
      <c r="F105" s="364"/>
      <c r="G105" s="364"/>
      <c r="H105" s="364"/>
      <c r="I105" s="364"/>
    </row>
    <row r="106" spans="1:10" ht="29.25" customHeight="1">
      <c r="C106" s="364"/>
      <c r="D106" s="364"/>
      <c r="E106" s="364"/>
      <c r="F106" s="364"/>
      <c r="G106" s="364"/>
      <c r="H106" s="364"/>
      <c r="I106" s="364"/>
    </row>
    <row r="107" spans="1:10" ht="15" customHeight="1">
      <c r="A107" s="311" t="s">
        <v>722</v>
      </c>
      <c r="B107" s="311"/>
      <c r="C107" s="311"/>
      <c r="D107" s="311"/>
      <c r="E107" s="311"/>
      <c r="F107" s="311"/>
      <c r="G107" s="311"/>
      <c r="H107" s="311"/>
      <c r="I107" s="311"/>
    </row>
    <row r="108" spans="1:10">
      <c r="C108" s="301"/>
      <c r="D108" s="301"/>
      <c r="E108" s="301"/>
      <c r="F108" s="301"/>
      <c r="G108" s="301"/>
      <c r="H108" s="301"/>
      <c r="I108" s="301"/>
    </row>
    <row r="109" spans="1:10">
      <c r="C109" s="312" t="s">
        <v>775</v>
      </c>
    </row>
    <row r="110" spans="1:10">
      <c r="C110" s="312" t="s">
        <v>776</v>
      </c>
    </row>
    <row r="111" spans="1:10">
      <c r="D111" s="312" t="str">
        <f>'[4]Fitness Centers Survey'!C2</f>
        <v>Site 1</v>
      </c>
      <c r="E111" s="312" t="str">
        <f>'Fitness Centers Survey'!D2</f>
        <v>Site 2</v>
      </c>
      <c r="F111" s="312" t="str">
        <f>'Fitness Centers Survey'!E2</f>
        <v>Site 3</v>
      </c>
      <c r="G111" s="312" t="str">
        <f>'Fitness Centers Survey'!F2</f>
        <v>Site 4</v>
      </c>
      <c r="H111" s="312" t="str">
        <f>'Fitness Centers Survey'!G2</f>
        <v>Site 5</v>
      </c>
    </row>
    <row r="112" spans="1:10">
      <c r="C112" s="312" t="str">
        <f>'Fitness Centers Survey'!B3</f>
        <v>number of showerheads, individual shower</v>
      </c>
      <c r="D112" s="312">
        <f>'Fitness Centers Survey'!C3</f>
        <v>20</v>
      </c>
      <c r="E112" s="312">
        <f>'Fitness Centers Survey'!D3</f>
        <v>5</v>
      </c>
      <c r="F112" s="312">
        <f>'Fitness Centers Survey'!E3</f>
        <v>8</v>
      </c>
      <c r="G112" s="312">
        <f>'Fitness Centers Survey'!F3</f>
        <v>1</v>
      </c>
      <c r="H112" s="312">
        <f>'Fitness Centers Survey'!G3</f>
        <v>12</v>
      </c>
    </row>
    <row r="113" spans="3:9">
      <c r="C113" s="312" t="str">
        <f>'Fitness Centers Survey'!B4</f>
        <v>number of showerheads, open shower areas</v>
      </c>
      <c r="D113" s="312">
        <f>'Fitness Centers Survey'!C4</f>
        <v>0</v>
      </c>
      <c r="E113" s="312">
        <f>'Fitness Centers Survey'!D4</f>
        <v>9</v>
      </c>
      <c r="F113" s="312">
        <f>'Fitness Centers Survey'!E4</f>
        <v>0</v>
      </c>
      <c r="G113" s="312">
        <f>'Fitness Centers Survey'!F4</f>
        <v>0</v>
      </c>
      <c r="H113" s="312">
        <f>'Fitness Centers Survey'!G4</f>
        <v>0</v>
      </c>
    </row>
    <row r="114" spans="3:9">
      <c r="C114" s="312" t="str">
        <f>'Fitness Centers Survey'!B5</f>
        <v>total number of showerheads</v>
      </c>
      <c r="D114" s="312">
        <f>'Fitness Centers Survey'!C5</f>
        <v>20</v>
      </c>
      <c r="E114" s="312">
        <f>'Fitness Centers Survey'!D5</f>
        <v>14</v>
      </c>
      <c r="F114" s="312">
        <f>'Fitness Centers Survey'!E5</f>
        <v>8</v>
      </c>
      <c r="G114" s="312">
        <f>'Fitness Centers Survey'!F5</f>
        <v>1</v>
      </c>
      <c r="H114" s="312">
        <f>'Fitness Centers Survey'!G5</f>
        <v>12</v>
      </c>
    </row>
    <row r="115" spans="3:9">
      <c r="C115" s="312" t="str">
        <f>'Fitness Centers Survey'!B6</f>
        <v>number of showers per day</v>
      </c>
      <c r="D115" s="365">
        <f>'Fitness Centers Survey'!C6</f>
        <v>595.16129032258061</v>
      </c>
      <c r="E115" s="365">
        <f>'Fitness Centers Survey'!D6</f>
        <v>200</v>
      </c>
      <c r="F115" s="365">
        <f>'Fitness Centers Survey'!E6</f>
        <v>175</v>
      </c>
      <c r="G115" s="365">
        <f>'Fitness Centers Survey'!F6</f>
        <v>15.000000000000002</v>
      </c>
      <c r="H115" s="365">
        <f>'Fitness Centers Survey'!G6</f>
        <v>150</v>
      </c>
      <c r="I115" s="365"/>
    </row>
    <row r="116" spans="3:9">
      <c r="C116" s="312" t="str">
        <f>'Fitness Centers Survey'!B7</f>
        <v>number of showers per showerhead per day</v>
      </c>
      <c r="D116" s="346">
        <f>'Fitness Centers Survey'!C7</f>
        <v>29.758064516129032</v>
      </c>
      <c r="E116" s="346">
        <f>'Fitness Centers Survey'!D7</f>
        <v>14.285714285714286</v>
      </c>
      <c r="F116" s="346">
        <f>'Fitness Centers Survey'!E7</f>
        <v>21.875</v>
      </c>
      <c r="G116" s="346">
        <f>'Fitness Centers Survey'!F7</f>
        <v>15.000000000000002</v>
      </c>
      <c r="H116" s="346">
        <f>'Fitness Centers Survey'!G7</f>
        <v>12.5</v>
      </c>
      <c r="I116" s="346"/>
    </row>
    <row r="117" spans="3:9">
      <c r="C117" s="312" t="str">
        <f>'Fitness Centers Survey'!B8</f>
        <v>average shower duration (minutes)</v>
      </c>
      <c r="D117" s="346">
        <f>'Fitness Centers Survey'!C8</f>
        <v>8</v>
      </c>
      <c r="E117" s="346">
        <f>'Fitness Centers Survey'!D8</f>
        <v>5.4285714285714288</v>
      </c>
      <c r="F117" s="346">
        <f>'Fitness Centers Survey'!E8</f>
        <v>8</v>
      </c>
      <c r="G117" s="346">
        <f>'Fitness Centers Survey'!F8</f>
        <v>8</v>
      </c>
      <c r="H117" s="346">
        <f>'Fitness Centers Survey'!G8</f>
        <v>8</v>
      </c>
      <c r="I117" s="346"/>
    </row>
    <row r="118" spans="3:9">
      <c r="C118" s="312" t="str">
        <f>'Fitness Centers Survey'!B9</f>
        <v>usage (minutes per year)</v>
      </c>
      <c r="D118" s="323">
        <f>'Fitness Centers Survey'!C9</f>
        <v>86953.06451612903</v>
      </c>
      <c r="E118" s="323">
        <f>'Fitness Centers Survey'!D9</f>
        <v>28325.510204081635</v>
      </c>
      <c r="F118" s="323">
        <f>'Fitness Centers Survey'!E9</f>
        <v>63918.75</v>
      </c>
      <c r="G118" s="323">
        <f>'Fitness Centers Survey'!F9</f>
        <v>43830.000000000007</v>
      </c>
      <c r="H118" s="323">
        <f>'Fitness Centers Survey'!G9</f>
        <v>36525</v>
      </c>
      <c r="I118" s="323">
        <f>'Fitness Centers Survey'!H9</f>
        <v>0</v>
      </c>
    </row>
    <row r="119" spans="3:9">
      <c r="C119" s="312" t="str">
        <f>'Fitness Centers Survey'!B10</f>
        <v>weighted average usage (minutes per year)</v>
      </c>
      <c r="D119" s="323">
        <f>'Fitness Centers Survey'!C10</f>
        <v>56892.698785085886</v>
      </c>
      <c r="E119" s="323"/>
      <c r="F119" s="323"/>
      <c r="G119" s="323"/>
      <c r="H119" s="323"/>
    </row>
    <row r="121" spans="3:9">
      <c r="C121" s="315" t="s">
        <v>777</v>
      </c>
    </row>
    <row r="122" spans="3:9">
      <c r="C122" s="312" t="str">
        <f>'Fitness Centers Survey'!B13</f>
        <v>open and individual showers are used at the same rates</v>
      </c>
    </row>
    <row r="123" spans="3:9">
      <c r="C123" s="312" t="str">
        <f>'Fitness Centers Survey'!B14</f>
        <v>average shower duration, individual shower = 8 minutes</v>
      </c>
    </row>
    <row r="124" spans="3:9">
      <c r="C124" s="312" t="str">
        <f>'Fitness Centers Survey'!B15</f>
        <v>average shower duration, open shower = 4 minutes</v>
      </c>
    </row>
    <row r="139" spans="3:8">
      <c r="C139" s="312" t="s">
        <v>1074</v>
      </c>
    </row>
    <row r="140" spans="3:8" ht="15.75" thickBot="1"/>
    <row r="141" spans="3:8" ht="22.5">
      <c r="C141" s="595" t="s">
        <v>1005</v>
      </c>
      <c r="D141" s="514" t="s">
        <v>1006</v>
      </c>
      <c r="E141" s="514" t="s">
        <v>1007</v>
      </c>
      <c r="F141" s="514" t="s">
        <v>167</v>
      </c>
      <c r="G141" s="514" t="s">
        <v>1010</v>
      </c>
      <c r="H141" s="514" t="s">
        <v>1012</v>
      </c>
    </row>
    <row r="142" spans="3:8" ht="23.25" thickBot="1">
      <c r="C142" s="596"/>
      <c r="D142" s="515" t="s">
        <v>745</v>
      </c>
      <c r="E142" s="515" t="s">
        <v>1008</v>
      </c>
      <c r="F142" s="515" t="s">
        <v>1009</v>
      </c>
      <c r="G142" s="515" t="s">
        <v>1011</v>
      </c>
      <c r="H142" s="515" t="s">
        <v>1013</v>
      </c>
    </row>
    <row r="143" spans="3:8" ht="15.75" thickBot="1">
      <c r="C143" s="517" t="s">
        <v>1014</v>
      </c>
      <c r="D143" s="518">
        <v>12</v>
      </c>
      <c r="E143" s="519">
        <v>1173</v>
      </c>
      <c r="F143" s="519">
        <v>42897</v>
      </c>
      <c r="G143" s="519">
        <v>218251</v>
      </c>
      <c r="H143" s="520">
        <v>3439577</v>
      </c>
    </row>
    <row r="144" spans="3:8" ht="15.75" thickBot="1">
      <c r="C144" s="517" t="s">
        <v>1015</v>
      </c>
      <c r="D144" s="518">
        <v>93</v>
      </c>
      <c r="E144" s="519">
        <v>16023</v>
      </c>
      <c r="F144" s="519">
        <v>572765</v>
      </c>
      <c r="G144" s="519">
        <v>2751115</v>
      </c>
      <c r="H144" s="520">
        <v>42262487</v>
      </c>
    </row>
    <row r="145" spans="3:8" ht="15.75" thickBot="1">
      <c r="C145" s="517" t="s">
        <v>1016</v>
      </c>
      <c r="D145" s="518">
        <v>50</v>
      </c>
      <c r="E145" s="519">
        <v>7728</v>
      </c>
      <c r="F145" s="519">
        <v>311186</v>
      </c>
      <c r="G145" s="519">
        <v>1356709</v>
      </c>
      <c r="H145" s="520">
        <v>18377465</v>
      </c>
    </row>
    <row r="146" spans="3:8" ht="15.75" thickBot="1">
      <c r="C146" s="517" t="s">
        <v>1017</v>
      </c>
      <c r="D146" s="518">
        <v>1</v>
      </c>
      <c r="E146" s="518">
        <v>0</v>
      </c>
      <c r="F146" s="518">
        <v>0</v>
      </c>
      <c r="G146" s="518">
        <v>0</v>
      </c>
      <c r="H146" s="520">
        <v>0</v>
      </c>
    </row>
    <row r="147" spans="3:8" ht="15.75" thickBot="1">
      <c r="C147" s="517" t="s">
        <v>1018</v>
      </c>
      <c r="D147" s="518">
        <v>74</v>
      </c>
      <c r="E147" s="519">
        <v>13562</v>
      </c>
      <c r="F147" s="519">
        <v>627398</v>
      </c>
      <c r="G147" s="519">
        <v>2625807</v>
      </c>
      <c r="H147" s="520">
        <v>50625437</v>
      </c>
    </row>
    <row r="148" spans="3:8" ht="15.75" thickBot="1">
      <c r="C148" s="517" t="s">
        <v>1019</v>
      </c>
      <c r="D148" s="518">
        <v>355</v>
      </c>
      <c r="E148" s="519">
        <v>76198</v>
      </c>
      <c r="F148" s="519">
        <v>3051168</v>
      </c>
      <c r="G148" s="519">
        <v>14015202</v>
      </c>
      <c r="H148" s="520">
        <v>313549325</v>
      </c>
    </row>
    <row r="149" spans="3:8" ht="15.75" thickBot="1">
      <c r="C149" s="517" t="s">
        <v>1020</v>
      </c>
      <c r="D149" s="518">
        <v>53</v>
      </c>
      <c r="E149" s="519">
        <v>8138</v>
      </c>
      <c r="F149" s="519">
        <v>365907</v>
      </c>
      <c r="G149" s="519">
        <v>1626720</v>
      </c>
      <c r="H149" s="520">
        <v>37431574</v>
      </c>
    </row>
    <row r="150" spans="3:8" ht="15.75" thickBot="1">
      <c r="C150" s="517" t="s">
        <v>1021</v>
      </c>
      <c r="D150" s="518">
        <v>34</v>
      </c>
      <c r="E150" s="519">
        <v>9372</v>
      </c>
      <c r="F150" s="519">
        <v>384884</v>
      </c>
      <c r="G150" s="519">
        <v>1858510</v>
      </c>
      <c r="H150" s="520">
        <v>30975535</v>
      </c>
    </row>
    <row r="151" spans="3:8" ht="15.75" thickBot="1">
      <c r="C151" s="517" t="s">
        <v>1022</v>
      </c>
      <c r="D151" s="518">
        <v>8</v>
      </c>
      <c r="E151" s="519">
        <v>2699</v>
      </c>
      <c r="F151" s="519">
        <v>91224</v>
      </c>
      <c r="G151" s="519">
        <v>602743</v>
      </c>
      <c r="H151" s="520">
        <v>8691631</v>
      </c>
    </row>
    <row r="152" spans="3:8" ht="15.75" thickBot="1">
      <c r="C152" s="517" t="s">
        <v>1023</v>
      </c>
      <c r="D152" s="518">
        <v>8</v>
      </c>
      <c r="E152" s="519">
        <v>1910</v>
      </c>
      <c r="F152" s="519">
        <v>97761</v>
      </c>
      <c r="G152" s="519">
        <v>432679</v>
      </c>
      <c r="H152" s="520">
        <v>4929857</v>
      </c>
    </row>
    <row r="153" spans="3:8" ht="15.75" thickBot="1">
      <c r="C153" s="517" t="s">
        <v>1024</v>
      </c>
      <c r="D153" s="518">
        <v>213</v>
      </c>
      <c r="E153" s="519">
        <v>54842</v>
      </c>
      <c r="F153" s="519">
        <v>2388045</v>
      </c>
      <c r="G153" s="519">
        <v>11191928</v>
      </c>
      <c r="H153" s="520">
        <v>202881072</v>
      </c>
    </row>
    <row r="154" spans="3:8" ht="15.75" thickBot="1">
      <c r="C154" s="517" t="s">
        <v>1025</v>
      </c>
      <c r="D154" s="518">
        <v>115</v>
      </c>
      <c r="E154" s="519">
        <v>22684</v>
      </c>
      <c r="F154" s="519">
        <v>880065</v>
      </c>
      <c r="G154" s="519">
        <v>4293992</v>
      </c>
      <c r="H154" s="520">
        <v>64775078</v>
      </c>
    </row>
    <row r="155" spans="3:8" ht="15.75" thickBot="1">
      <c r="C155" s="517" t="s">
        <v>1026</v>
      </c>
      <c r="D155" s="518">
        <v>2</v>
      </c>
      <c r="E155" s="518">
        <v>193</v>
      </c>
      <c r="F155" s="519">
        <v>10882</v>
      </c>
      <c r="G155" s="519">
        <v>49750</v>
      </c>
      <c r="H155" s="520">
        <v>141365</v>
      </c>
    </row>
    <row r="156" spans="3:8" ht="15.75" thickBot="1">
      <c r="C156" s="517" t="s">
        <v>1027</v>
      </c>
      <c r="D156" s="518">
        <v>13</v>
      </c>
      <c r="E156" s="519">
        <v>2375</v>
      </c>
      <c r="F156" s="519">
        <v>93337</v>
      </c>
      <c r="G156" s="519">
        <v>523998</v>
      </c>
      <c r="H156" s="520">
        <v>5296169</v>
      </c>
    </row>
    <row r="157" spans="3:8" ht="15.75" thickBot="1">
      <c r="C157" s="517" t="s">
        <v>1028</v>
      </c>
      <c r="D157" s="518">
        <v>40</v>
      </c>
      <c r="E157" s="519">
        <v>6602</v>
      </c>
      <c r="F157" s="519">
        <v>265600</v>
      </c>
      <c r="G157" s="519">
        <v>1146921</v>
      </c>
      <c r="H157" s="520">
        <v>16752329</v>
      </c>
    </row>
    <row r="158" spans="3:8" ht="15.75" thickBot="1">
      <c r="C158" s="517" t="s">
        <v>1029</v>
      </c>
      <c r="D158" s="518">
        <v>17</v>
      </c>
      <c r="E158" s="519">
        <v>2384</v>
      </c>
      <c r="F158" s="519">
        <v>107479</v>
      </c>
      <c r="G158" s="519">
        <v>424746</v>
      </c>
      <c r="H158" s="520">
        <v>7111619</v>
      </c>
    </row>
    <row r="159" spans="3:8" ht="15.75" thickBot="1">
      <c r="C159" s="517" t="s">
        <v>1030</v>
      </c>
      <c r="D159" s="518">
        <v>142</v>
      </c>
      <c r="E159" s="519">
        <v>31159</v>
      </c>
      <c r="F159" s="519">
        <v>1305132</v>
      </c>
      <c r="G159" s="519">
        <v>5792527</v>
      </c>
      <c r="H159" s="520">
        <v>105680184</v>
      </c>
    </row>
    <row r="160" spans="3:8" ht="15.75" thickBot="1">
      <c r="C160" s="517" t="s">
        <v>1031</v>
      </c>
      <c r="D160" s="518">
        <v>98</v>
      </c>
      <c r="E160" s="519">
        <v>16370</v>
      </c>
      <c r="F160" s="519">
        <v>664004</v>
      </c>
      <c r="G160" s="519">
        <v>3082569</v>
      </c>
      <c r="H160" s="520">
        <v>52507781</v>
      </c>
    </row>
    <row r="161" spans="3:8" ht="15.75" thickBot="1">
      <c r="C161" s="517" t="s">
        <v>1032</v>
      </c>
      <c r="D161" s="518">
        <v>61</v>
      </c>
      <c r="E161" s="519">
        <v>6758</v>
      </c>
      <c r="F161" s="519">
        <v>260132</v>
      </c>
      <c r="G161" s="519">
        <v>1144842</v>
      </c>
      <c r="H161" s="520">
        <v>20639740</v>
      </c>
    </row>
    <row r="162" spans="3:8" ht="15.75" thickBot="1">
      <c r="C162" s="517" t="s">
        <v>1033</v>
      </c>
      <c r="D162" s="518">
        <v>77</v>
      </c>
      <c r="E162" s="519">
        <v>13972</v>
      </c>
      <c r="F162" s="519">
        <v>545482</v>
      </c>
      <c r="G162" s="519">
        <v>2627404</v>
      </c>
      <c r="H162" s="520">
        <v>36508502</v>
      </c>
    </row>
    <row r="163" spans="3:8" ht="15.75" thickBot="1">
      <c r="C163" s="517" t="s">
        <v>1034</v>
      </c>
      <c r="D163" s="518">
        <v>114</v>
      </c>
      <c r="E163" s="519">
        <v>16086</v>
      </c>
      <c r="F163" s="519">
        <v>526854</v>
      </c>
      <c r="G163" s="519">
        <v>2504618</v>
      </c>
      <c r="H163" s="520">
        <v>38298010</v>
      </c>
    </row>
    <row r="164" spans="3:8" ht="15.75" thickBot="1">
      <c r="C164" s="517" t="s">
        <v>1035</v>
      </c>
      <c r="D164" s="518">
        <v>82</v>
      </c>
      <c r="E164" s="519">
        <v>15252</v>
      </c>
      <c r="F164" s="519">
        <v>738143</v>
      </c>
      <c r="G164" s="519">
        <v>3497358</v>
      </c>
      <c r="H164" s="520">
        <v>50311264</v>
      </c>
    </row>
    <row r="165" spans="3:8" ht="15.75" thickBot="1">
      <c r="C165" s="517" t="s">
        <v>1036</v>
      </c>
      <c r="D165" s="518">
        <v>50</v>
      </c>
      <c r="E165" s="519">
        <v>11352</v>
      </c>
      <c r="F165" s="519">
        <v>671989</v>
      </c>
      <c r="G165" s="519">
        <v>3046569</v>
      </c>
      <c r="H165" s="520">
        <v>16921081</v>
      </c>
    </row>
    <row r="166" spans="3:8" ht="15.75" thickBot="1">
      <c r="C166" s="517" t="s">
        <v>1037</v>
      </c>
      <c r="D166" s="518">
        <v>22</v>
      </c>
      <c r="E166" s="519">
        <v>2996</v>
      </c>
      <c r="F166" s="519">
        <v>120245</v>
      </c>
      <c r="G166" s="519">
        <v>525296</v>
      </c>
      <c r="H166" s="520">
        <v>7648350</v>
      </c>
    </row>
    <row r="167" spans="3:8" ht="15.75" thickBot="1">
      <c r="C167" s="517" t="s">
        <v>1038</v>
      </c>
      <c r="D167" s="518">
        <v>109</v>
      </c>
      <c r="E167" s="519">
        <v>23847</v>
      </c>
      <c r="F167" s="519">
        <v>1083988</v>
      </c>
      <c r="G167" s="519">
        <v>4896214</v>
      </c>
      <c r="H167" s="520">
        <v>67708340</v>
      </c>
    </row>
    <row r="168" spans="3:8" ht="15.75" thickBot="1">
      <c r="C168" s="517" t="s">
        <v>1039</v>
      </c>
      <c r="D168" s="518">
        <v>56</v>
      </c>
      <c r="E168" s="519">
        <v>10389</v>
      </c>
      <c r="F168" s="519">
        <v>475780</v>
      </c>
      <c r="G168" s="519">
        <v>1998514</v>
      </c>
      <c r="H168" s="520">
        <v>31249451</v>
      </c>
    </row>
    <row r="169" spans="3:8" ht="15.75" thickBot="1">
      <c r="C169" s="517" t="s">
        <v>1040</v>
      </c>
      <c r="D169" s="518">
        <v>89</v>
      </c>
      <c r="E169" s="519">
        <v>17595</v>
      </c>
      <c r="F169" s="519">
        <v>683290</v>
      </c>
      <c r="G169" s="519">
        <v>3128377</v>
      </c>
      <c r="H169" s="520">
        <v>51848495</v>
      </c>
    </row>
    <row r="170" spans="3:8" ht="15.75" thickBot="1">
      <c r="C170" s="517" t="s">
        <v>1041</v>
      </c>
      <c r="D170" s="518">
        <v>1</v>
      </c>
      <c r="E170" s="518">
        <v>74</v>
      </c>
      <c r="F170" s="519">
        <v>3999</v>
      </c>
      <c r="G170" s="519">
        <v>15152</v>
      </c>
      <c r="H170" s="520">
        <v>0</v>
      </c>
    </row>
    <row r="171" spans="3:8" ht="15.75" thickBot="1">
      <c r="C171" s="517" t="s">
        <v>1042</v>
      </c>
      <c r="D171" s="518">
        <v>73</v>
      </c>
      <c r="E171" s="519">
        <v>10841</v>
      </c>
      <c r="F171" s="519">
        <v>342467</v>
      </c>
      <c r="G171" s="519">
        <v>1626686</v>
      </c>
      <c r="H171" s="520">
        <v>24955705</v>
      </c>
    </row>
    <row r="172" spans="3:8" ht="15.75" thickBot="1">
      <c r="C172" s="517" t="s">
        <v>1043</v>
      </c>
      <c r="D172" s="518">
        <v>15</v>
      </c>
      <c r="E172" s="519">
        <v>2069</v>
      </c>
      <c r="F172" s="519">
        <v>73626</v>
      </c>
      <c r="G172" s="519">
        <v>322610</v>
      </c>
      <c r="H172" s="520">
        <v>5021476</v>
      </c>
    </row>
    <row r="173" spans="3:8" ht="15.75" thickBot="1">
      <c r="C173" s="517" t="s">
        <v>1044</v>
      </c>
      <c r="D173" s="518">
        <v>106</v>
      </c>
      <c r="E173" s="519">
        <v>22731</v>
      </c>
      <c r="F173" s="519">
        <v>1101107</v>
      </c>
      <c r="G173" s="519">
        <v>4606606</v>
      </c>
      <c r="H173" s="520">
        <v>66833602</v>
      </c>
    </row>
    <row r="174" spans="3:8" ht="15.75" thickBot="1">
      <c r="C174" s="517" t="s">
        <v>1045</v>
      </c>
      <c r="D174" s="518">
        <v>11</v>
      </c>
      <c r="E174" s="519">
        <v>2013</v>
      </c>
      <c r="F174" s="519">
        <v>76249</v>
      </c>
      <c r="G174" s="519">
        <v>335622</v>
      </c>
      <c r="H174" s="520">
        <v>5473422</v>
      </c>
    </row>
    <row r="175" spans="3:8" ht="15.75" thickBot="1">
      <c r="C175" s="517" t="s">
        <v>1046</v>
      </c>
      <c r="D175" s="518">
        <v>30</v>
      </c>
      <c r="E175" s="519">
        <v>4677</v>
      </c>
      <c r="F175" s="519">
        <v>173646</v>
      </c>
      <c r="G175" s="519">
        <v>776523</v>
      </c>
      <c r="H175" s="520">
        <v>11212730</v>
      </c>
    </row>
    <row r="176" spans="3:8" ht="15.75" thickBot="1">
      <c r="C176" s="517" t="s">
        <v>1047</v>
      </c>
      <c r="D176" s="518">
        <v>14</v>
      </c>
      <c r="E176" s="519">
        <v>2178</v>
      </c>
      <c r="F176" s="519">
        <v>95873</v>
      </c>
      <c r="G176" s="519">
        <v>447246</v>
      </c>
      <c r="H176" s="520">
        <v>8604212</v>
      </c>
    </row>
    <row r="177" spans="3:8" ht="15.75" thickBot="1">
      <c r="C177" s="517" t="s">
        <v>1048</v>
      </c>
      <c r="D177" s="518">
        <v>75</v>
      </c>
      <c r="E177" s="519">
        <v>20749</v>
      </c>
      <c r="F177" s="519">
        <v>965319</v>
      </c>
      <c r="G177" s="519">
        <v>4525686</v>
      </c>
      <c r="H177" s="520">
        <v>100156600</v>
      </c>
    </row>
    <row r="178" spans="3:8" ht="15.75" thickBot="1">
      <c r="C178" s="517" t="s">
        <v>1049</v>
      </c>
      <c r="D178" s="518">
        <v>40</v>
      </c>
      <c r="E178" s="519">
        <v>4251</v>
      </c>
      <c r="F178" s="519">
        <v>173107</v>
      </c>
      <c r="G178" s="519">
        <v>755143</v>
      </c>
      <c r="H178" s="520">
        <v>12135471</v>
      </c>
    </row>
    <row r="179" spans="3:8" ht="15.75" thickBot="1">
      <c r="C179" s="517" t="s">
        <v>1050</v>
      </c>
      <c r="D179" s="518">
        <v>28</v>
      </c>
      <c r="E179" s="519">
        <v>5368</v>
      </c>
      <c r="F179" s="519">
        <v>245709</v>
      </c>
      <c r="G179" s="519">
        <v>1178424</v>
      </c>
      <c r="H179" s="520">
        <v>24720076</v>
      </c>
    </row>
    <row r="180" spans="3:8" ht="15.75" thickBot="1">
      <c r="C180" s="517" t="s">
        <v>1051</v>
      </c>
      <c r="D180" s="518">
        <v>202</v>
      </c>
      <c r="E180" s="519">
        <v>59094</v>
      </c>
      <c r="F180" s="519">
        <v>2172758</v>
      </c>
      <c r="G180" s="519">
        <v>11852405</v>
      </c>
      <c r="H180" s="520">
        <v>158055152</v>
      </c>
    </row>
    <row r="181" spans="3:8" ht="15.75" thickBot="1">
      <c r="C181" s="517" t="s">
        <v>1052</v>
      </c>
      <c r="D181" s="518">
        <v>152</v>
      </c>
      <c r="E181" s="519">
        <v>28824</v>
      </c>
      <c r="F181" s="519">
        <v>1289595</v>
      </c>
      <c r="G181" s="519">
        <v>5685411</v>
      </c>
      <c r="H181" s="520">
        <v>105481545</v>
      </c>
    </row>
    <row r="182" spans="3:8" ht="15.75" thickBot="1">
      <c r="C182" s="517" t="s">
        <v>1053</v>
      </c>
      <c r="D182" s="518">
        <v>102</v>
      </c>
      <c r="E182" s="519">
        <v>11204</v>
      </c>
      <c r="F182" s="519">
        <v>420864</v>
      </c>
      <c r="G182" s="519">
        <v>1913982</v>
      </c>
      <c r="H182" s="520">
        <v>29982204</v>
      </c>
    </row>
    <row r="183" spans="3:8" ht="15.75" thickBot="1">
      <c r="C183" s="517" t="s">
        <v>1054</v>
      </c>
      <c r="D183" s="518">
        <v>38</v>
      </c>
      <c r="E183" s="519">
        <v>6191</v>
      </c>
      <c r="F183" s="519">
        <v>308326</v>
      </c>
      <c r="G183" s="519">
        <v>1283726</v>
      </c>
      <c r="H183" s="520">
        <v>18085299</v>
      </c>
    </row>
    <row r="184" spans="3:8" ht="15.75" thickBot="1">
      <c r="C184" s="517" t="s">
        <v>1055</v>
      </c>
      <c r="D184" s="518">
        <v>183</v>
      </c>
      <c r="E184" s="519">
        <v>37700</v>
      </c>
      <c r="F184" s="519">
        <v>1543110</v>
      </c>
      <c r="G184" s="519">
        <v>7306046</v>
      </c>
      <c r="H184" s="520">
        <v>147510707</v>
      </c>
    </row>
    <row r="185" spans="3:8" ht="15.75" thickBot="1">
      <c r="C185" s="517" t="s">
        <v>1056</v>
      </c>
      <c r="D185" s="518">
        <v>54</v>
      </c>
      <c r="E185" s="519">
        <v>8593</v>
      </c>
      <c r="F185" s="519">
        <v>392905</v>
      </c>
      <c r="G185" s="519">
        <v>2245335</v>
      </c>
      <c r="H185" s="520">
        <v>4876290</v>
      </c>
    </row>
    <row r="186" spans="3:8" ht="15.75" thickBot="1">
      <c r="C186" s="517" t="s">
        <v>1057</v>
      </c>
      <c r="D186" s="518">
        <v>12</v>
      </c>
      <c r="E186" s="519">
        <v>2543</v>
      </c>
      <c r="F186" s="519">
        <v>106762</v>
      </c>
      <c r="G186" s="519">
        <v>515607</v>
      </c>
      <c r="H186" s="520">
        <v>8149754</v>
      </c>
    </row>
    <row r="187" spans="3:8" ht="15.75" thickBot="1">
      <c r="C187" s="517" t="s">
        <v>1058</v>
      </c>
      <c r="D187" s="518">
        <v>66</v>
      </c>
      <c r="E187" s="519">
        <v>11931</v>
      </c>
      <c r="F187" s="519">
        <v>468211</v>
      </c>
      <c r="G187" s="519">
        <v>2295846</v>
      </c>
      <c r="H187" s="520">
        <v>40207041</v>
      </c>
    </row>
    <row r="188" spans="3:8" ht="15.75" thickBot="1">
      <c r="C188" s="517" t="s">
        <v>1059</v>
      </c>
      <c r="D188" s="518">
        <v>28</v>
      </c>
      <c r="E188" s="519">
        <v>2842</v>
      </c>
      <c r="F188" s="519">
        <v>92483</v>
      </c>
      <c r="G188" s="519">
        <v>400456</v>
      </c>
      <c r="H188" s="520">
        <v>6823065</v>
      </c>
    </row>
    <row r="189" spans="3:8" ht="15.75" thickBot="1">
      <c r="C189" s="517" t="s">
        <v>1060</v>
      </c>
      <c r="D189" s="518">
        <v>119</v>
      </c>
      <c r="E189" s="519">
        <v>20365</v>
      </c>
      <c r="F189" s="519">
        <v>776341</v>
      </c>
      <c r="G189" s="519">
        <v>3760402</v>
      </c>
      <c r="H189" s="520">
        <v>57681468</v>
      </c>
    </row>
    <row r="190" spans="3:8" ht="15.75" thickBot="1">
      <c r="C190" s="517" t="s">
        <v>1061</v>
      </c>
      <c r="D190" s="518">
        <v>386</v>
      </c>
      <c r="E190" s="519">
        <v>58567</v>
      </c>
      <c r="F190" s="519">
        <v>2491973</v>
      </c>
      <c r="G190" s="519">
        <v>11728259</v>
      </c>
      <c r="H190" s="520">
        <v>203015805</v>
      </c>
    </row>
    <row r="191" spans="3:8" ht="15.75" thickBot="1">
      <c r="C191" s="517" t="s">
        <v>1062</v>
      </c>
      <c r="D191" s="518">
        <v>37</v>
      </c>
      <c r="E191" s="519">
        <v>4670</v>
      </c>
      <c r="F191" s="519">
        <v>203000</v>
      </c>
      <c r="G191" s="519">
        <v>805193</v>
      </c>
      <c r="H191" s="520">
        <v>11935515</v>
      </c>
    </row>
    <row r="192" spans="3:8" ht="15.75" thickBot="1">
      <c r="C192" s="517" t="s">
        <v>1063</v>
      </c>
      <c r="D192" s="518">
        <v>92</v>
      </c>
      <c r="E192" s="519">
        <v>18994</v>
      </c>
      <c r="F192" s="519">
        <v>724447</v>
      </c>
      <c r="G192" s="519">
        <v>3415058</v>
      </c>
      <c r="H192" s="520">
        <v>54008258</v>
      </c>
    </row>
    <row r="193" spans="3:8" ht="15.75" thickBot="1">
      <c r="C193" s="517" t="s">
        <v>1064</v>
      </c>
      <c r="D193" s="518">
        <v>2</v>
      </c>
      <c r="E193" s="518">
        <v>219</v>
      </c>
      <c r="F193" s="519">
        <v>7382</v>
      </c>
      <c r="G193" s="519">
        <v>47197</v>
      </c>
      <c r="H193" s="520">
        <v>274028</v>
      </c>
    </row>
    <row r="194" spans="3:8" ht="15.75" thickBot="1">
      <c r="C194" s="517" t="s">
        <v>1065</v>
      </c>
      <c r="D194" s="518">
        <v>7</v>
      </c>
      <c r="E194" s="518">
        <v>801</v>
      </c>
      <c r="F194" s="519">
        <v>38221</v>
      </c>
      <c r="G194" s="519">
        <v>175348</v>
      </c>
      <c r="H194" s="520">
        <v>3556153</v>
      </c>
    </row>
    <row r="195" spans="3:8" ht="15.75" thickBot="1">
      <c r="C195" s="517" t="s">
        <v>1066</v>
      </c>
      <c r="D195" s="518">
        <v>64</v>
      </c>
      <c r="E195" s="519">
        <v>10178</v>
      </c>
      <c r="F195" s="519">
        <v>555390</v>
      </c>
      <c r="G195" s="519">
        <v>2267220</v>
      </c>
      <c r="H195" s="520">
        <v>40980349</v>
      </c>
    </row>
    <row r="196" spans="3:8" ht="15.75" thickBot="1">
      <c r="C196" s="517" t="s">
        <v>1067</v>
      </c>
      <c r="D196" s="518">
        <v>78</v>
      </c>
      <c r="E196" s="519">
        <v>11564</v>
      </c>
      <c r="F196" s="519">
        <v>507964</v>
      </c>
      <c r="G196" s="519">
        <v>2185940</v>
      </c>
      <c r="H196" s="520">
        <v>37636995</v>
      </c>
    </row>
    <row r="197" spans="3:8" ht="15.75" thickBot="1">
      <c r="C197" s="517" t="s">
        <v>1068</v>
      </c>
      <c r="D197" s="518">
        <v>37</v>
      </c>
      <c r="E197" s="519">
        <v>6397</v>
      </c>
      <c r="F197" s="519">
        <v>232081</v>
      </c>
      <c r="G197" s="519">
        <v>1090539</v>
      </c>
      <c r="H197" s="520">
        <v>12696397</v>
      </c>
    </row>
    <row r="198" spans="3:8" ht="15.75" thickBot="1">
      <c r="C198" s="517" t="s">
        <v>1069</v>
      </c>
      <c r="D198" s="518">
        <v>13</v>
      </c>
      <c r="E198" s="519">
        <v>1827</v>
      </c>
      <c r="F198" s="519">
        <v>33996</v>
      </c>
      <c r="G198" s="519">
        <v>124890</v>
      </c>
      <c r="H198" s="520">
        <v>2148818</v>
      </c>
    </row>
    <row r="199" spans="3:8" ht="15.75" thickBot="1">
      <c r="C199" s="516" t="s">
        <v>1070</v>
      </c>
      <c r="D199" s="519">
        <v>4053</v>
      </c>
      <c r="E199" s="519">
        <v>769114</v>
      </c>
      <c r="F199" s="519">
        <v>31982548</v>
      </c>
      <c r="G199" s="519">
        <v>149051917</v>
      </c>
      <c r="H199" s="520">
        <v>2488779858</v>
      </c>
    </row>
    <row r="202" spans="3:8">
      <c r="C202" s="312" t="s">
        <v>1071</v>
      </c>
      <c r="D202" s="312">
        <f>D195</f>
        <v>64</v>
      </c>
      <c r="E202" s="341">
        <f>E195</f>
        <v>10178</v>
      </c>
    </row>
    <row r="203" spans="3:8">
      <c r="C203" s="312" t="s">
        <v>1072</v>
      </c>
      <c r="D203" s="312">
        <f>D183</f>
        <v>38</v>
      </c>
      <c r="E203" s="341">
        <f>E183</f>
        <v>6191</v>
      </c>
    </row>
    <row r="204" spans="3:8">
      <c r="C204" s="312" t="s">
        <v>1073</v>
      </c>
      <c r="D204" s="312">
        <f>D158</f>
        <v>17</v>
      </c>
      <c r="E204" s="312">
        <f>E158</f>
        <v>2384</v>
      </c>
    </row>
    <row r="205" spans="3:8">
      <c r="C205" s="312" t="s">
        <v>804</v>
      </c>
      <c r="D205" s="312">
        <f>D172</f>
        <v>15</v>
      </c>
      <c r="E205" s="312">
        <f>E172</f>
        <v>2069</v>
      </c>
    </row>
    <row r="206" spans="3:8">
      <c r="E206" s="341">
        <f>SUM(E202:E205)</f>
        <v>20822</v>
      </c>
    </row>
  </sheetData>
  <mergeCells count="2">
    <mergeCell ref="C103:I103"/>
    <mergeCell ref="C141:C142"/>
  </mergeCells>
  <hyperlinks>
    <hyperlink ref="C62" r:id="rId1"/>
    <hyperlink ref="D83" r:id="rId2"/>
    <hyperlink ref="D84" r:id="rId3"/>
    <hyperlink ref="D72" r:id="rId4"/>
    <hyperlink ref="C104" r:id="rId5"/>
    <hyperlink ref="C143" r:id="rId6" display="http://www.ahd.com/states/hospital_AK.html"/>
    <hyperlink ref="C144" r:id="rId7" display="http://www.ahd.com/states/hospital_AL.html"/>
    <hyperlink ref="C145" r:id="rId8" display="http://www.ahd.com/states/hospital_AR.html"/>
    <hyperlink ref="C146" r:id="rId9" display="http://www.ahd.com/states/hospital_AS.html"/>
    <hyperlink ref="C147" r:id="rId10" display="http://www.ahd.com/states/hospital_AZ.html"/>
    <hyperlink ref="C148" r:id="rId11" display="http://www.ahd.com/states/hospital_CA.html"/>
    <hyperlink ref="C149" r:id="rId12" display="http://www.ahd.com/states/hospital_CO.html"/>
    <hyperlink ref="C150" r:id="rId13" display="http://www.ahd.com/states/hospital_CT.html"/>
    <hyperlink ref="C151" r:id="rId14" display="http://www.ahd.com/states/hospital_DC.html"/>
    <hyperlink ref="C152" r:id="rId15" display="http://www.ahd.com/states/hospital_DE.html"/>
    <hyperlink ref="C153" r:id="rId16" display="http://www.ahd.com/states/hospital_FL.html"/>
    <hyperlink ref="C154" r:id="rId17" display="http://www.ahd.com/states/hospital_GA.html"/>
    <hyperlink ref="C155" r:id="rId18" display="http://www.ahd.com/states/hospital_GU.html"/>
    <hyperlink ref="C156" r:id="rId19" display="http://www.ahd.com/states/hospital_HI.html"/>
    <hyperlink ref="C157" r:id="rId20" display="http://www.ahd.com/states/hospital_IA.html"/>
    <hyperlink ref="C158" r:id="rId21" display="http://www.ahd.com/states/hospital_ID.html"/>
    <hyperlink ref="C159" r:id="rId22" display="http://www.ahd.com/states/hospital_IL.html"/>
    <hyperlink ref="C160" r:id="rId23" display="http://www.ahd.com/states/hospital_IN.html"/>
    <hyperlink ref="C161" r:id="rId24" display="http://www.ahd.com/states/hospital_KS.html"/>
    <hyperlink ref="C162" r:id="rId25" display="http://www.ahd.com/states/hospital_KY.html"/>
    <hyperlink ref="C163" r:id="rId26" display="http://www.ahd.com/states/hospital_LA.html"/>
    <hyperlink ref="C164" r:id="rId27" display="http://www.ahd.com/states/hospital_MA.html"/>
    <hyperlink ref="C165" r:id="rId28" display="http://www.ahd.com/states/hospital_MD.html"/>
    <hyperlink ref="C166" r:id="rId29" display="http://www.ahd.com/states/hospital_ME.html"/>
    <hyperlink ref="C167" r:id="rId30" display="http://www.ahd.com/states/hospital_MI.html"/>
    <hyperlink ref="C168" r:id="rId31" display="http://www.ahd.com/states/hospital_MN.html"/>
    <hyperlink ref="C169" r:id="rId32" display="http://www.ahd.com/states/hospital_MO.html"/>
    <hyperlink ref="C170" r:id="rId33" display="http://www.ahd.com/states/hospital_MP.html"/>
    <hyperlink ref="C171" r:id="rId34" display="http://www.ahd.com/states/hospital_MS.html"/>
    <hyperlink ref="C172" r:id="rId35" display="http://www.ahd.com/states/hospital_MT.html"/>
    <hyperlink ref="C173" r:id="rId36" display="http://www.ahd.com/states/hospital_NC.html"/>
    <hyperlink ref="C174" r:id="rId37" display="http://www.ahd.com/states/hospital_ND.html"/>
    <hyperlink ref="C175" r:id="rId38" display="http://www.ahd.com/states/hospital_NE.html"/>
    <hyperlink ref="C176" r:id="rId39" display="http://www.ahd.com/states/hospital_NH.html"/>
    <hyperlink ref="C177" r:id="rId40" display="http://www.ahd.com/states/hospital_NJ.html"/>
    <hyperlink ref="C178" r:id="rId41" display="http://www.ahd.com/states/hospital_NM.html"/>
    <hyperlink ref="C179" r:id="rId42" display="http://www.ahd.com/states/hospital_NV.html"/>
    <hyperlink ref="C180" r:id="rId43" display="http://www.ahd.com/states/hospital_NY.html"/>
    <hyperlink ref="C181" r:id="rId44" display="http://www.ahd.com/states/hospital_OH.html"/>
    <hyperlink ref="C182" r:id="rId45" display="http://www.ahd.com/states/hospital_OK.html"/>
    <hyperlink ref="C183" r:id="rId46" display="http://www.ahd.com/states/hospital_OR.html"/>
    <hyperlink ref="C184" r:id="rId47" display="http://www.ahd.com/states/hospital_PA.html"/>
    <hyperlink ref="C185" r:id="rId48" display="http://www.ahd.com/states/hospital_PR.html"/>
    <hyperlink ref="C186" r:id="rId49" display="http://www.ahd.com/states/hospital_RI.html"/>
    <hyperlink ref="C187" r:id="rId50" display="http://www.ahd.com/states/hospital_SC.html"/>
    <hyperlink ref="C188" r:id="rId51" display="http://www.ahd.com/states/hospital_SD.html"/>
    <hyperlink ref="C189" r:id="rId52" display="http://www.ahd.com/states/hospital_TN.html"/>
    <hyperlink ref="C190" r:id="rId53" display="http://www.ahd.com/states/hospital_TX.html"/>
    <hyperlink ref="C191" r:id="rId54" display="http://www.ahd.com/states/hospital_UT.html"/>
    <hyperlink ref="C192" r:id="rId55" display="http://www.ahd.com/states/hospital_VA.html"/>
    <hyperlink ref="C193" r:id="rId56" display="http://www.ahd.com/states/hospital_VI.html"/>
    <hyperlink ref="C194" r:id="rId57" display="http://www.ahd.com/states/hospital_VT.html"/>
    <hyperlink ref="C195" r:id="rId58" display="http://www.ahd.com/states/hospital_WA.html"/>
    <hyperlink ref="C196" r:id="rId59" display="http://www.ahd.com/states/hospital_WI.html"/>
    <hyperlink ref="C197" r:id="rId60" display="http://www.ahd.com/states/hospital_WV.html"/>
    <hyperlink ref="C198" r:id="rId61" display="http://www.ahd.com/states/hospital_WY.html"/>
  </hyperlinks>
  <pageMargins left="0.7" right="0.7" top="0.75" bottom="0.75" header="0.3" footer="0.3"/>
  <pageSetup orientation="portrait" r:id="rId62"/>
</worksheet>
</file>

<file path=xl/worksheets/sheet16.xml><?xml version="1.0" encoding="utf-8"?>
<worksheet xmlns="http://schemas.openxmlformats.org/spreadsheetml/2006/main" xmlns:r="http://schemas.openxmlformats.org/officeDocument/2006/relationships">
  <sheetPr codeName="Sheet17"/>
  <dimension ref="A1:I55"/>
  <sheetViews>
    <sheetView zoomScaleNormal="100" workbookViewId="0">
      <selection activeCell="E8" sqref="E8"/>
    </sheetView>
  </sheetViews>
  <sheetFormatPr defaultRowHeight="12.75"/>
  <cols>
    <col min="1" max="1" width="9.140625" style="277"/>
    <col min="2" max="2" width="66.85546875" style="277" customWidth="1"/>
    <col min="3" max="7" width="23.28515625" style="277" customWidth="1"/>
    <col min="8" max="8" width="9.5703125" style="277" bestFit="1" customWidth="1"/>
    <col min="9" max="9" width="15.28515625" style="277" customWidth="1"/>
    <col min="10" max="16384" width="9.140625" style="277"/>
  </cols>
  <sheetData>
    <row r="1" spans="1:9">
      <c r="A1" s="366" t="s">
        <v>778</v>
      </c>
    </row>
    <row r="2" spans="1:9" ht="15">
      <c r="C2" s="281" t="s">
        <v>779</v>
      </c>
      <c r="D2" s="281" t="s">
        <v>780</v>
      </c>
      <c r="E2" s="281" t="s">
        <v>781</v>
      </c>
      <c r="F2" s="281" t="s">
        <v>782</v>
      </c>
      <c r="G2" s="281" t="s">
        <v>783</v>
      </c>
      <c r="H2" s="312"/>
    </row>
    <row r="3" spans="1:9">
      <c r="B3" s="281" t="s">
        <v>784</v>
      </c>
      <c r="C3" s="277">
        <v>20</v>
      </c>
      <c r="D3" s="277">
        <v>5</v>
      </c>
      <c r="E3" s="277">
        <v>8</v>
      </c>
      <c r="F3" s="277">
        <v>1</v>
      </c>
      <c r="G3" s="277">
        <v>12</v>
      </c>
    </row>
    <row r="4" spans="1:9">
      <c r="B4" s="281" t="s">
        <v>785</v>
      </c>
      <c r="C4" s="277">
        <v>0</v>
      </c>
      <c r="D4" s="277">
        <v>9</v>
      </c>
      <c r="E4" s="277">
        <v>0</v>
      </c>
      <c r="F4" s="277">
        <v>0</v>
      </c>
      <c r="G4" s="277">
        <v>0</v>
      </c>
    </row>
    <row r="5" spans="1:9">
      <c r="B5" s="281" t="s">
        <v>786</v>
      </c>
      <c r="C5" s="277">
        <f>SUM(C3:C4)</f>
        <v>20</v>
      </c>
      <c r="D5" s="277">
        <f>SUM(D3:D4)</f>
        <v>14</v>
      </c>
      <c r="E5" s="277">
        <f>SUM(E3:E4)</f>
        <v>8</v>
      </c>
      <c r="F5" s="277">
        <f>SUM(F3:F4)</f>
        <v>1</v>
      </c>
      <c r="G5" s="277">
        <f>SUM(G3:G4)</f>
        <v>12</v>
      </c>
    </row>
    <row r="6" spans="1:9">
      <c r="B6" s="281" t="s">
        <v>787</v>
      </c>
      <c r="C6" s="287">
        <f>(36900/31)*0.5</f>
        <v>595.16129032258061</v>
      </c>
      <c r="D6" s="277">
        <v>200</v>
      </c>
      <c r="E6" s="277">
        <f xml:space="preserve"> AVERAGE(300,400)*0.5</f>
        <v>175</v>
      </c>
      <c r="F6" s="277">
        <f>AVERAGE(100,300)*AVERAGE(0.05,0.1)</f>
        <v>15.000000000000002</v>
      </c>
      <c r="G6" s="277">
        <v>150</v>
      </c>
      <c r="H6" s="275"/>
    </row>
    <row r="7" spans="1:9">
      <c r="B7" s="281" t="s">
        <v>788</v>
      </c>
      <c r="C7" s="283">
        <f>C6/C5</f>
        <v>29.758064516129032</v>
      </c>
      <c r="D7" s="283">
        <f>D6/D5</f>
        <v>14.285714285714286</v>
      </c>
      <c r="E7" s="283">
        <f>E6/E5</f>
        <v>21.875</v>
      </c>
      <c r="F7" s="283">
        <f>F6/F5</f>
        <v>15.000000000000002</v>
      </c>
      <c r="G7" s="283">
        <f>G6/G5</f>
        <v>12.5</v>
      </c>
      <c r="H7" s="367"/>
      <c r="I7" s="367"/>
    </row>
    <row r="8" spans="1:9">
      <c r="B8" s="281" t="s">
        <v>789</v>
      </c>
      <c r="C8" s="283">
        <f>(($C$14*C3)+($C$15*C4))/(C3 +C4)</f>
        <v>8</v>
      </c>
      <c r="D8" s="283">
        <f>(($C$14*D3)+($C$15*D4))/(D3 +D4)</f>
        <v>5.4285714285714288</v>
      </c>
      <c r="E8" s="283">
        <f>(($C$14*E3)+($C$15*E4))/(E3 +E4)</f>
        <v>8</v>
      </c>
      <c r="F8" s="283">
        <f>(($C$14*F3)+($C$15*F4))/(F3 +F4)</f>
        <v>8</v>
      </c>
      <c r="G8" s="283">
        <f>(($C$14*G3)+($C$15*G4))/(G3 +G4)</f>
        <v>8</v>
      </c>
      <c r="H8" s="367"/>
      <c r="I8" s="367"/>
    </row>
    <row r="9" spans="1:9">
      <c r="B9" s="281" t="s">
        <v>790</v>
      </c>
      <c r="C9" s="275">
        <f>C8*C7*365.25</f>
        <v>86953.06451612903</v>
      </c>
      <c r="D9" s="275">
        <f>D8*D7*365.25</f>
        <v>28325.510204081635</v>
      </c>
      <c r="E9" s="275">
        <f>E8*E7*365.25</f>
        <v>63918.75</v>
      </c>
      <c r="F9" s="275">
        <f>F8*F7*365.25</f>
        <v>43830.000000000007</v>
      </c>
      <c r="G9" s="275">
        <f>G8*G7*365.25</f>
        <v>36525</v>
      </c>
      <c r="H9" s="275"/>
      <c r="I9" s="367"/>
    </row>
    <row r="10" spans="1:9">
      <c r="B10" s="281" t="s">
        <v>791</v>
      </c>
      <c r="C10" s="300">
        <f>SUMPRODUCT(C9:G9,C5:G5)/SUM(C5:G5)</f>
        <v>56892.698785085886</v>
      </c>
    </row>
    <row r="12" spans="1:9">
      <c r="A12" s="281" t="s">
        <v>777</v>
      </c>
    </row>
    <row r="13" spans="1:9">
      <c r="B13" s="281" t="s">
        <v>792</v>
      </c>
    </row>
    <row r="14" spans="1:9">
      <c r="B14" s="281" t="s">
        <v>793</v>
      </c>
      <c r="C14" s="277">
        <v>8</v>
      </c>
    </row>
    <row r="15" spans="1:9">
      <c r="B15" s="281" t="s">
        <v>794</v>
      </c>
      <c r="C15" s="277">
        <v>4</v>
      </c>
    </row>
    <row r="19" spans="1:7" s="368" customFormat="1" ht="33" customHeight="1">
      <c r="A19" s="597" t="s">
        <v>795</v>
      </c>
      <c r="B19" s="597"/>
      <c r="C19" s="597"/>
      <c r="D19" s="597"/>
      <c r="E19" s="597"/>
      <c r="F19" s="597"/>
      <c r="G19" s="597"/>
    </row>
    <row r="20" spans="1:7">
      <c r="B20" s="281"/>
    </row>
    <row r="21" spans="1:7">
      <c r="B21" s="281"/>
    </row>
    <row r="22" spans="1:7" ht="13.5" thickBot="1">
      <c r="B22" s="281"/>
    </row>
    <row r="23" spans="1:7" ht="68.25" customHeight="1" thickBot="1">
      <c r="B23" s="598" t="s">
        <v>796</v>
      </c>
      <c r="C23" s="599"/>
    </row>
    <row r="24" spans="1:7">
      <c r="B24" s="281"/>
    </row>
    <row r="25" spans="1:7">
      <c r="B25" s="281"/>
    </row>
    <row r="26" spans="1:7">
      <c r="B26" s="281"/>
    </row>
    <row r="27" spans="1:7" ht="13.5" thickBot="1">
      <c r="B27" s="369" t="s">
        <v>797</v>
      </c>
      <c r="C27" s="370" t="s">
        <v>798</v>
      </c>
      <c r="D27" s="370"/>
      <c r="E27" s="370"/>
      <c r="F27" s="370"/>
      <c r="G27" s="370"/>
    </row>
    <row r="28" spans="1:7" ht="30" customHeight="1">
      <c r="B28" s="371" t="s">
        <v>799</v>
      </c>
      <c r="C28" s="372" t="s">
        <v>800</v>
      </c>
      <c r="D28" s="373" t="s">
        <v>801</v>
      </c>
      <c r="E28" s="373" t="s">
        <v>802</v>
      </c>
      <c r="F28" s="373" t="s">
        <v>803</v>
      </c>
      <c r="G28" s="374" t="s">
        <v>804</v>
      </c>
    </row>
    <row r="29" spans="1:7" ht="58.5" customHeight="1">
      <c r="B29" s="375" t="s">
        <v>805</v>
      </c>
      <c r="C29" s="376" t="s">
        <v>806</v>
      </c>
      <c r="D29" s="377" t="s">
        <v>807</v>
      </c>
      <c r="E29" s="377" t="s">
        <v>808</v>
      </c>
      <c r="F29" s="377" t="s">
        <v>809</v>
      </c>
      <c r="G29" s="378" t="s">
        <v>808</v>
      </c>
    </row>
    <row r="30" spans="1:7" ht="58.5" customHeight="1">
      <c r="B30" s="379" t="s">
        <v>810</v>
      </c>
      <c r="C30" s="303" t="s">
        <v>811</v>
      </c>
      <c r="D30" s="380" t="s">
        <v>812</v>
      </c>
      <c r="E30" s="380" t="s">
        <v>813</v>
      </c>
      <c r="F30" s="380" t="s">
        <v>814</v>
      </c>
      <c r="G30" s="381" t="s">
        <v>815</v>
      </c>
    </row>
    <row r="31" spans="1:7" ht="90.75" customHeight="1">
      <c r="B31" s="379" t="s">
        <v>816</v>
      </c>
      <c r="C31" s="382" t="s">
        <v>817</v>
      </c>
      <c r="D31" s="383" t="s">
        <v>818</v>
      </c>
      <c r="E31" s="383" t="s">
        <v>819</v>
      </c>
      <c r="F31" s="383" t="s">
        <v>820</v>
      </c>
      <c r="G31" s="383" t="s">
        <v>821</v>
      </c>
    </row>
    <row r="32" spans="1:7" ht="29.25" customHeight="1">
      <c r="A32" s="384">
        <v>1</v>
      </c>
      <c r="B32" s="385" t="s">
        <v>822</v>
      </c>
      <c r="C32" s="386">
        <v>20</v>
      </c>
      <c r="D32" s="387">
        <v>14</v>
      </c>
      <c r="E32" s="388">
        <v>8</v>
      </c>
      <c r="F32" s="387">
        <v>1</v>
      </c>
      <c r="G32" s="389">
        <v>12</v>
      </c>
    </row>
    <row r="33" spans="1:8" ht="29.25" customHeight="1">
      <c r="A33" s="384">
        <v>2</v>
      </c>
      <c r="B33" s="385" t="s">
        <v>823</v>
      </c>
      <c r="C33" s="390" t="s">
        <v>824</v>
      </c>
      <c r="D33" s="388" t="s">
        <v>825</v>
      </c>
      <c r="E33" s="388" t="s">
        <v>824</v>
      </c>
      <c r="F33" s="388" t="s">
        <v>824</v>
      </c>
      <c r="G33" s="391" t="s">
        <v>824</v>
      </c>
    </row>
    <row r="34" spans="1:8" ht="70.5" customHeight="1">
      <c r="A34" s="384">
        <v>3</v>
      </c>
      <c r="B34" s="385" t="s">
        <v>826</v>
      </c>
      <c r="C34" s="390" t="s">
        <v>827</v>
      </c>
      <c r="D34" s="600" t="s">
        <v>828</v>
      </c>
      <c r="E34" s="387"/>
      <c r="F34" s="387"/>
      <c r="G34" s="601" t="s">
        <v>829</v>
      </c>
    </row>
    <row r="35" spans="1:8" ht="29.25" customHeight="1">
      <c r="A35" s="384">
        <v>4</v>
      </c>
      <c r="B35" s="385" t="s">
        <v>830</v>
      </c>
      <c r="C35" s="392"/>
      <c r="D35" s="600"/>
      <c r="E35" s="289"/>
      <c r="F35" s="289"/>
      <c r="G35" s="601"/>
    </row>
    <row r="36" spans="1:8" ht="29.25" customHeight="1">
      <c r="A36" s="384">
        <v>5</v>
      </c>
      <c r="B36" s="385" t="s">
        <v>831</v>
      </c>
      <c r="C36" s="390" t="s">
        <v>832</v>
      </c>
      <c r="D36" s="388"/>
      <c r="E36" s="388" t="s">
        <v>833</v>
      </c>
      <c r="F36" s="388" t="s">
        <v>834</v>
      </c>
      <c r="G36" s="391"/>
    </row>
    <row r="37" spans="1:8" ht="29.25" customHeight="1" thickBot="1">
      <c r="A37" s="384">
        <v>6</v>
      </c>
      <c r="B37" s="393" t="s">
        <v>835</v>
      </c>
      <c r="C37" s="394" t="s">
        <v>836</v>
      </c>
      <c r="D37" s="395"/>
      <c r="E37" s="395">
        <v>0.5</v>
      </c>
      <c r="F37" s="395" t="s">
        <v>837</v>
      </c>
      <c r="G37" s="396"/>
    </row>
    <row r="38" spans="1:8" ht="251.25" customHeight="1" thickBot="1">
      <c r="B38" s="397" t="s">
        <v>620</v>
      </c>
      <c r="C38" s="398" t="s">
        <v>838</v>
      </c>
      <c r="D38" s="399"/>
      <c r="E38" s="399" t="s">
        <v>839</v>
      </c>
      <c r="F38" s="400"/>
      <c r="G38" s="401"/>
    </row>
    <row r="39" spans="1:8" ht="73.5" customHeight="1"/>
    <row r="40" spans="1:8" ht="73.5" customHeight="1">
      <c r="F40" s="281"/>
      <c r="G40" s="383"/>
    </row>
    <row r="41" spans="1:8">
      <c r="C41" s="281"/>
      <c r="E41" s="281"/>
      <c r="H41" s="281"/>
    </row>
    <row r="42" spans="1:8" ht="25.5">
      <c r="B42" s="402" t="s">
        <v>840</v>
      </c>
      <c r="C42" s="281"/>
      <c r="E42" s="281"/>
      <c r="G42" s="281"/>
    </row>
    <row r="43" spans="1:8">
      <c r="B43" s="402" t="s">
        <v>841</v>
      </c>
      <c r="C43" s="281"/>
      <c r="E43" s="281"/>
    </row>
    <row r="44" spans="1:8" ht="25.5">
      <c r="B44" s="402" t="s">
        <v>842</v>
      </c>
      <c r="C44" s="383"/>
      <c r="E44" s="281"/>
    </row>
    <row r="45" spans="1:8">
      <c r="C45" s="383"/>
    </row>
    <row r="48" spans="1:8">
      <c r="C48" s="281"/>
    </row>
    <row r="49" spans="3:3">
      <c r="C49" s="281"/>
    </row>
    <row r="50" spans="3:3">
      <c r="C50" s="281"/>
    </row>
    <row r="51" spans="3:3">
      <c r="C51" s="281"/>
    </row>
    <row r="53" spans="3:3">
      <c r="C53" s="281"/>
    </row>
    <row r="54" spans="3:3">
      <c r="C54" s="281"/>
    </row>
    <row r="55" spans="3:3">
      <c r="C55" s="281"/>
    </row>
  </sheetData>
  <mergeCells count="4">
    <mergeCell ref="A19:G19"/>
    <mergeCell ref="B23:C23"/>
    <mergeCell ref="D34:D35"/>
    <mergeCell ref="G34:G35"/>
  </mergeCells>
  <hyperlinks>
    <hyperlink ref="D30" r:id="rId1"/>
    <hyperlink ref="E30" r:id="rId2"/>
    <hyperlink ref="F30" r:id="rId3"/>
    <hyperlink ref="G30" r:id="rId4"/>
    <hyperlink ref="C30" r:id="rId5"/>
  </hyperlinks>
  <pageMargins left="0.7" right="0.7" top="0.75" bottom="0.75" header="0.3" footer="0.3"/>
</worksheet>
</file>

<file path=xl/worksheets/sheet17.xml><?xml version="1.0" encoding="utf-8"?>
<worksheet xmlns="http://schemas.openxmlformats.org/spreadsheetml/2006/main" xmlns:r="http://schemas.openxmlformats.org/officeDocument/2006/relationships">
  <sheetPr codeName="Sheet23"/>
  <dimension ref="A1:I84"/>
  <sheetViews>
    <sheetView zoomScaleNormal="100" workbookViewId="0">
      <selection activeCell="E8" sqref="E8"/>
    </sheetView>
  </sheetViews>
  <sheetFormatPr defaultRowHeight="15"/>
  <cols>
    <col min="1" max="1" width="17.7109375" style="352" customWidth="1"/>
    <col min="2" max="2" width="17.85546875" style="352" customWidth="1"/>
    <col min="3" max="5" width="9.140625" style="352"/>
    <col min="6" max="6" width="53" style="352" customWidth="1"/>
    <col min="7" max="7" width="38.28515625" style="352" customWidth="1"/>
    <col min="8" max="16384" width="9.140625" style="352"/>
  </cols>
  <sheetData>
    <row r="1" spans="1:9">
      <c r="A1" s="311" t="s">
        <v>843</v>
      </c>
      <c r="B1" s="311"/>
      <c r="C1" s="311"/>
      <c r="D1" s="311"/>
      <c r="E1" s="311"/>
      <c r="F1" s="312"/>
      <c r="G1" s="312"/>
      <c r="H1" s="312"/>
    </row>
    <row r="2" spans="1:9">
      <c r="A2" s="312"/>
      <c r="B2" s="312"/>
      <c r="C2" s="312"/>
      <c r="D2" s="312"/>
      <c r="E2" s="312"/>
      <c r="F2" s="312"/>
      <c r="G2" s="312" t="s">
        <v>844</v>
      </c>
      <c r="H2" s="312"/>
    </row>
    <row r="3" spans="1:9" ht="60">
      <c r="A3" s="312"/>
      <c r="B3" s="301"/>
      <c r="C3" s="301"/>
      <c r="D3" s="301"/>
      <c r="E3" s="301"/>
      <c r="F3" s="312"/>
      <c r="G3" s="351" t="s">
        <v>401</v>
      </c>
      <c r="H3" s="403" t="s">
        <v>845</v>
      </c>
    </row>
    <row r="4" spans="1:9" ht="60">
      <c r="C4" s="354" t="s">
        <v>846</v>
      </c>
      <c r="D4" s="354" t="s">
        <v>847</v>
      </c>
      <c r="E4" s="403" t="s">
        <v>845</v>
      </c>
      <c r="F4" s="354" t="s">
        <v>620</v>
      </c>
      <c r="G4" s="352" t="str">
        <f>Usage!C5</f>
        <v>Hospitality</v>
      </c>
      <c r="H4" s="352">
        <f t="shared" ref="H4:H9" si="0">$E$5</f>
        <v>2.2000000000000002</v>
      </c>
      <c r="I4" s="352" t="s">
        <v>848</v>
      </c>
    </row>
    <row r="5" spans="1:9">
      <c r="B5" s="351" t="s">
        <v>40</v>
      </c>
      <c r="C5" s="352">
        <v>2.5</v>
      </c>
      <c r="D5" s="404">
        <f>E5/C5</f>
        <v>0.88000000000000012</v>
      </c>
      <c r="E5" s="358">
        <v>2.2000000000000002</v>
      </c>
      <c r="F5" s="352" t="s">
        <v>849</v>
      </c>
      <c r="G5" s="352" t="str">
        <f>Usage!C6</f>
        <v>Health Care</v>
      </c>
      <c r="H5" s="352">
        <f t="shared" si="0"/>
        <v>2.2000000000000002</v>
      </c>
      <c r="I5" s="352" t="s">
        <v>848</v>
      </c>
    </row>
    <row r="6" spans="1:9">
      <c r="B6" s="602" t="s">
        <v>850</v>
      </c>
      <c r="C6" s="352">
        <v>2</v>
      </c>
      <c r="D6" s="404">
        <v>0.9</v>
      </c>
      <c r="E6" s="358">
        <f>D6*C6</f>
        <v>1.8</v>
      </c>
      <c r="F6" s="352" t="s">
        <v>851</v>
      </c>
      <c r="G6" s="352" t="str">
        <f>Usage!C7</f>
        <v>Commercial - Employee Shower</v>
      </c>
      <c r="H6" s="352">
        <f t="shared" si="0"/>
        <v>2.2000000000000002</v>
      </c>
      <c r="I6" s="352" t="s">
        <v>848</v>
      </c>
    </row>
    <row r="7" spans="1:9">
      <c r="B7" s="602"/>
      <c r="C7" s="352">
        <v>1.75</v>
      </c>
      <c r="D7" s="404">
        <v>1</v>
      </c>
      <c r="E7" s="358">
        <f>C7</f>
        <v>1.75</v>
      </c>
      <c r="F7" s="329" t="s">
        <v>852</v>
      </c>
      <c r="G7" s="352" t="str">
        <f>Usage!C8</f>
        <v>School</v>
      </c>
      <c r="H7" s="352">
        <f t="shared" si="0"/>
        <v>2.2000000000000002</v>
      </c>
      <c r="I7" s="352" t="s">
        <v>848</v>
      </c>
    </row>
    <row r="8" spans="1:9">
      <c r="B8" s="602"/>
      <c r="C8" s="352">
        <v>1.5</v>
      </c>
      <c r="D8" s="404">
        <v>1</v>
      </c>
      <c r="E8" s="358">
        <f>C8</f>
        <v>1.5</v>
      </c>
      <c r="F8" s="329" t="s">
        <v>852</v>
      </c>
      <c r="G8" s="352" t="s">
        <v>688</v>
      </c>
      <c r="H8" s="352">
        <f t="shared" si="0"/>
        <v>2.2000000000000002</v>
      </c>
      <c r="I8" s="352" t="s">
        <v>848</v>
      </c>
    </row>
    <row r="9" spans="1:9">
      <c r="D9" s="404"/>
      <c r="E9" s="358"/>
      <c r="F9" s="405"/>
      <c r="G9" s="352" t="str">
        <f>Usage!C10</f>
        <v>Fitness Center</v>
      </c>
      <c r="H9" s="352">
        <f t="shared" si="0"/>
        <v>2.2000000000000002</v>
      </c>
      <c r="I9" s="352" t="s">
        <v>848</v>
      </c>
    </row>
    <row r="10" spans="1:9" ht="159" customHeight="1">
      <c r="B10" s="329" t="s">
        <v>849</v>
      </c>
      <c r="C10" s="594" t="s">
        <v>853</v>
      </c>
      <c r="D10" s="594"/>
      <c r="E10" s="594"/>
      <c r="F10" s="594"/>
    </row>
    <row r="11" spans="1:9" ht="34.5" customHeight="1">
      <c r="B11" s="329" t="s">
        <v>851</v>
      </c>
      <c r="C11" s="594" t="s">
        <v>854</v>
      </c>
      <c r="D11" s="594"/>
      <c r="E11" s="594"/>
      <c r="F11" s="594"/>
    </row>
    <row r="12" spans="1:9" ht="66.75" customHeight="1">
      <c r="B12" s="329" t="s">
        <v>852</v>
      </c>
      <c r="C12" s="594" t="s">
        <v>855</v>
      </c>
      <c r="D12" s="594"/>
      <c r="E12" s="594"/>
      <c r="F12" s="594"/>
    </row>
    <row r="13" spans="1:9">
      <c r="C13" s="329"/>
      <c r="D13" s="404"/>
      <c r="E13" s="358"/>
      <c r="F13" s="405"/>
    </row>
    <row r="14" spans="1:9">
      <c r="D14" s="404"/>
      <c r="E14" s="358"/>
      <c r="F14" s="405"/>
    </row>
    <row r="15" spans="1:9">
      <c r="D15" s="404"/>
      <c r="E15" s="358"/>
      <c r="F15" s="405"/>
    </row>
    <row r="17" spans="1:7">
      <c r="A17" s="311" t="s">
        <v>856</v>
      </c>
      <c r="B17" s="311"/>
      <c r="C17" s="311"/>
      <c r="D17" s="311"/>
      <c r="E17" s="311"/>
      <c r="F17" s="311"/>
      <c r="G17" s="311"/>
    </row>
    <row r="19" spans="1:7">
      <c r="B19" s="301" t="s">
        <v>857</v>
      </c>
      <c r="C19" s="301"/>
      <c r="D19" s="301"/>
      <c r="E19" s="301"/>
      <c r="F19" s="301"/>
    </row>
    <row r="31" spans="1:7">
      <c r="B31" s="352" t="s">
        <v>691</v>
      </c>
      <c r="C31" s="352" t="s">
        <v>858</v>
      </c>
    </row>
    <row r="33" spans="1:9">
      <c r="B33" s="301" t="s">
        <v>859</v>
      </c>
      <c r="C33" s="301"/>
      <c r="D33" s="301"/>
      <c r="E33" s="301"/>
      <c r="F33" s="301"/>
    </row>
    <row r="44" spans="1:9" ht="105" customHeight="1">
      <c r="A44" s="603" t="s">
        <v>860</v>
      </c>
      <c r="B44" s="603"/>
      <c r="C44" s="603"/>
      <c r="D44" s="603"/>
      <c r="E44" s="603"/>
      <c r="F44" s="603"/>
      <c r="G44" s="603"/>
      <c r="H44" s="406"/>
      <c r="I44" s="406"/>
    </row>
    <row r="70" spans="1:7">
      <c r="A70" s="352" t="s">
        <v>691</v>
      </c>
      <c r="B70" s="352" t="s">
        <v>861</v>
      </c>
    </row>
    <row r="72" spans="1:7">
      <c r="A72" s="407" t="s">
        <v>862</v>
      </c>
      <c r="B72" s="407"/>
      <c r="C72" s="407"/>
      <c r="D72" s="407"/>
      <c r="E72" s="407"/>
      <c r="F72" s="407"/>
      <c r="G72" s="407"/>
    </row>
    <row r="73" spans="1:7">
      <c r="A73" s="408" t="s">
        <v>148</v>
      </c>
      <c r="B73" s="408" t="s">
        <v>863</v>
      </c>
    </row>
    <row r="74" spans="1:7">
      <c r="A74" s="409" t="s">
        <v>864</v>
      </c>
      <c r="B74" s="410">
        <v>2.5</v>
      </c>
    </row>
    <row r="75" spans="1:7">
      <c r="A75" s="409" t="s">
        <v>865</v>
      </c>
      <c r="B75" s="410">
        <v>2.4500000000000002</v>
      </c>
    </row>
    <row r="76" spans="1:7">
      <c r="A76" s="409" t="s">
        <v>866</v>
      </c>
      <c r="B76" s="410">
        <v>2.35</v>
      </c>
    </row>
    <row r="77" spans="1:7">
      <c r="A77" s="409" t="s">
        <v>867</v>
      </c>
      <c r="B77" s="410">
        <v>2.25</v>
      </c>
    </row>
    <row r="78" spans="1:7">
      <c r="A78" s="409" t="s">
        <v>868</v>
      </c>
      <c r="B78" s="410">
        <v>2.15</v>
      </c>
    </row>
    <row r="79" spans="1:7">
      <c r="A79" s="409" t="s">
        <v>869</v>
      </c>
      <c r="B79" s="410">
        <v>2.0499999999999998</v>
      </c>
    </row>
    <row r="80" spans="1:7">
      <c r="A80" s="409" t="s">
        <v>870</v>
      </c>
      <c r="B80" s="410">
        <v>1.9499999999999997</v>
      </c>
    </row>
    <row r="81" spans="1:2">
      <c r="A81" s="409" t="s">
        <v>871</v>
      </c>
      <c r="B81" s="410">
        <v>1.8499999999999996</v>
      </c>
    </row>
    <row r="82" spans="1:2">
      <c r="A82" s="411" t="s">
        <v>872</v>
      </c>
      <c r="B82" s="412">
        <v>1.7499999999999996</v>
      </c>
    </row>
    <row r="83" spans="1:2">
      <c r="A83" s="411" t="s">
        <v>873</v>
      </c>
      <c r="B83" s="412">
        <v>1.6499999999999995</v>
      </c>
    </row>
    <row r="84" spans="1:2">
      <c r="A84" s="411" t="s">
        <v>874</v>
      </c>
      <c r="B84" s="412">
        <v>1.5499999999999994</v>
      </c>
    </row>
  </sheetData>
  <mergeCells count="5">
    <mergeCell ref="B6:B8"/>
    <mergeCell ref="C10:F10"/>
    <mergeCell ref="C11:F11"/>
    <mergeCell ref="C12:F12"/>
    <mergeCell ref="A44:G44"/>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sheetPr codeName="Sheet21"/>
  <dimension ref="A1:E70"/>
  <sheetViews>
    <sheetView topLeftCell="A12" workbookViewId="0">
      <selection activeCell="B21" sqref="B21"/>
    </sheetView>
  </sheetViews>
  <sheetFormatPr defaultRowHeight="15"/>
  <cols>
    <col min="1" max="1" width="35" style="312" customWidth="1"/>
    <col min="2" max="2" width="10" style="312" bestFit="1" customWidth="1"/>
    <col min="3" max="3" width="10.7109375" style="312" bestFit="1" customWidth="1"/>
    <col min="4" max="4" width="9.140625" style="312" customWidth="1"/>
    <col min="5" max="6" width="9.140625" style="312"/>
    <col min="7" max="7" width="9.5703125" style="312" bestFit="1" customWidth="1"/>
    <col min="8" max="16384" width="9.140625" style="312"/>
  </cols>
  <sheetData>
    <row r="1" spans="1:5">
      <c r="A1" s="413" t="s">
        <v>875</v>
      </c>
      <c r="B1" s="413"/>
      <c r="C1" s="413"/>
    </row>
    <row r="3" spans="1:5">
      <c r="B3" s="340"/>
      <c r="C3" s="340"/>
      <c r="D3" s="340"/>
      <c r="E3" s="340"/>
    </row>
    <row r="4" spans="1:5" ht="60">
      <c r="A4" s="334" t="s">
        <v>876</v>
      </c>
      <c r="B4" s="414" t="s">
        <v>877</v>
      </c>
      <c r="C4" s="414" t="s">
        <v>878</v>
      </c>
      <c r="D4" s="414" t="s">
        <v>879</v>
      </c>
      <c r="E4" s="340"/>
    </row>
    <row r="5" spans="1:5">
      <c r="A5" s="334">
        <v>2.5</v>
      </c>
      <c r="B5" s="415">
        <f>C31-55</f>
        <v>53.363</v>
      </c>
      <c r="C5" s="416">
        <f>$B5*$B$15/$B$11</f>
        <v>0.13306009597959184</v>
      </c>
      <c r="D5" s="417">
        <f>$B5*$B$17/$B$12</f>
        <v>5.9339655999999996E-3</v>
      </c>
    </row>
    <row r="6" spans="1:5">
      <c r="A6" s="334">
        <v>2</v>
      </c>
      <c r="B6" s="415">
        <f>C32-55</f>
        <v>55.114999999999995</v>
      </c>
      <c r="C6" s="416">
        <f>$B6*$B$15/$B$11</f>
        <v>0.13742869010204081</v>
      </c>
      <c r="D6" s="417">
        <f>$B6*$B$17/$B$12</f>
        <v>6.1287879999999987E-3</v>
      </c>
    </row>
    <row r="7" spans="1:5">
      <c r="A7" s="334">
        <v>1.75</v>
      </c>
      <c r="B7" s="415">
        <f>C33-55</f>
        <v>55.991</v>
      </c>
      <c r="C7" s="416">
        <f>$B7*$B$15/$B$11</f>
        <v>0.13961298716326531</v>
      </c>
      <c r="D7" s="417">
        <f>$B7*$B$17/$B$12</f>
        <v>6.2261992E-3</v>
      </c>
    </row>
    <row r="8" spans="1:5">
      <c r="A8" s="334">
        <v>1.5</v>
      </c>
      <c r="B8" s="415">
        <f>C34-55</f>
        <v>56.867000000000004</v>
      </c>
      <c r="C8" s="416">
        <f>$B8*$B$15/$B$11</f>
        <v>0.14179728422448981</v>
      </c>
      <c r="D8" s="417">
        <f>$B8*$B$17/$B$12</f>
        <v>6.3236103999999996E-3</v>
      </c>
    </row>
    <row r="10" spans="1:5">
      <c r="A10" s="413" t="s">
        <v>880</v>
      </c>
      <c r="B10" s="413"/>
      <c r="C10" s="413"/>
    </row>
    <row r="11" spans="1:5">
      <c r="A11" s="312" t="s">
        <v>84</v>
      </c>
      <c r="B11" s="312">
        <v>0.98</v>
      </c>
      <c r="C11" s="312" t="s">
        <v>881</v>
      </c>
    </row>
    <row r="12" spans="1:5">
      <c r="A12" s="312" t="s">
        <v>85</v>
      </c>
      <c r="B12" s="312">
        <v>0.75</v>
      </c>
      <c r="C12" s="312" t="s">
        <v>882</v>
      </c>
    </row>
    <row r="14" spans="1:5">
      <c r="A14" s="413" t="s">
        <v>883</v>
      </c>
      <c r="B14" s="413"/>
      <c r="C14" s="413"/>
    </row>
    <row r="15" spans="1:5">
      <c r="A15" s="312" t="s">
        <v>884</v>
      </c>
      <c r="B15" s="312">
        <f>B17*29.3</f>
        <v>2.4436200000000001E-3</v>
      </c>
    </row>
    <row r="16" spans="1:5">
      <c r="A16" s="312" t="s">
        <v>885</v>
      </c>
      <c r="B16" s="312">
        <v>8.34</v>
      </c>
    </row>
    <row r="17" spans="1:4">
      <c r="A17" s="312" t="s">
        <v>886</v>
      </c>
      <c r="B17" s="312">
        <f>B16/100000</f>
        <v>8.3399999999999994E-5</v>
      </c>
    </row>
    <row r="19" spans="1:4">
      <c r="A19" s="413" t="s">
        <v>887</v>
      </c>
      <c r="B19" s="413"/>
      <c r="C19" s="413"/>
    </row>
    <row r="20" spans="1:4">
      <c r="A20" s="312" t="s">
        <v>888</v>
      </c>
      <c r="B20" s="418">
        <v>0.64</v>
      </c>
      <c r="C20" s="312" t="s">
        <v>889</v>
      </c>
    </row>
    <row r="21" spans="1:4">
      <c r="A21" s="419" t="s">
        <v>643</v>
      </c>
      <c r="B21" s="420">
        <v>0.13</v>
      </c>
      <c r="C21" s="419" t="s">
        <v>890</v>
      </c>
    </row>
    <row r="22" spans="1:4">
      <c r="A22" s="419" t="s">
        <v>644</v>
      </c>
      <c r="B22" s="420">
        <f>AVERAGE(0.223, 0.366)</f>
        <v>0.29449999999999998</v>
      </c>
      <c r="C22" s="419" t="s">
        <v>891</v>
      </c>
    </row>
    <row r="23" spans="1:4">
      <c r="A23" s="419" t="s">
        <v>646</v>
      </c>
      <c r="B23" s="421">
        <v>0.49</v>
      </c>
      <c r="C23" s="422" t="s">
        <v>892</v>
      </c>
    </row>
    <row r="24" spans="1:4">
      <c r="A24" s="419" t="s">
        <v>403</v>
      </c>
      <c r="B24" s="420">
        <v>0.12</v>
      </c>
      <c r="C24" s="419" t="s">
        <v>890</v>
      </c>
    </row>
    <row r="25" spans="1:4">
      <c r="A25" s="419" t="s">
        <v>688</v>
      </c>
      <c r="B25" s="420">
        <f>SUMPRODUCT(B21:B24,WeightingForCommercialAvg!C3:C6)</f>
        <v>0.22510541424141675</v>
      </c>
      <c r="C25" s="419" t="s">
        <v>893</v>
      </c>
    </row>
    <row r="26" spans="1:4">
      <c r="A26" s="419" t="s">
        <v>645</v>
      </c>
      <c r="B26" s="420">
        <f>AVERAGE(0.352,0.223,0.315,0.366,0.381,0.263)</f>
        <v>0.31666666666666665</v>
      </c>
      <c r="C26" s="419" t="s">
        <v>894</v>
      </c>
    </row>
    <row r="27" spans="1:4">
      <c r="B27" s="418"/>
      <c r="C27" s="423" t="s">
        <v>895</v>
      </c>
      <c r="D27" s="312" t="s">
        <v>896</v>
      </c>
    </row>
    <row r="28" spans="1:4">
      <c r="D28" s="303" t="s">
        <v>897</v>
      </c>
    </row>
    <row r="29" spans="1:4">
      <c r="A29" s="413" t="s">
        <v>898</v>
      </c>
      <c r="B29" s="413"/>
      <c r="C29" s="413"/>
    </row>
    <row r="30" spans="1:4">
      <c r="A30" s="312" t="s">
        <v>876</v>
      </c>
      <c r="B30" s="312" t="s">
        <v>899</v>
      </c>
      <c r="C30" s="312" t="s">
        <v>900</v>
      </c>
    </row>
    <row r="31" spans="1:4">
      <c r="A31" s="312">
        <v>2.5</v>
      </c>
      <c r="B31" s="418">
        <v>0.73099999999999998</v>
      </c>
      <c r="C31" s="365">
        <f>55*(1-B31)+128*(B31)</f>
        <v>108.363</v>
      </c>
    </row>
    <row r="32" spans="1:4">
      <c r="A32" s="312">
        <v>2</v>
      </c>
      <c r="B32" s="418">
        <v>0.755</v>
      </c>
      <c r="C32" s="365">
        <f>55*(1-B32)+128*(B32)</f>
        <v>110.11499999999999</v>
      </c>
    </row>
    <row r="33" spans="1:3">
      <c r="A33" s="312">
        <v>1.75</v>
      </c>
      <c r="B33" s="418">
        <f>B32+(A32-A33)*($B$32-$B$31)/($A$31-$A$32)</f>
        <v>0.76700000000000002</v>
      </c>
      <c r="C33" s="365">
        <f>55*(1-B33)+128*(B33)</f>
        <v>110.991</v>
      </c>
    </row>
    <row r="34" spans="1:3">
      <c r="A34" s="312">
        <v>1.5</v>
      </c>
      <c r="B34" s="418">
        <f>B33+(A33-A34)*($B$32-$B$31)/($A$31-$A$32)</f>
        <v>0.77900000000000003</v>
      </c>
      <c r="C34" s="365">
        <f>55*(1-B34)+128*(B34)</f>
        <v>111.867</v>
      </c>
    </row>
    <row r="36" spans="1:3">
      <c r="A36" s="424" t="s">
        <v>901</v>
      </c>
    </row>
    <row r="37" spans="1:3">
      <c r="A37" s="312" t="s">
        <v>902</v>
      </c>
    </row>
    <row r="38" spans="1:3">
      <c r="A38" s="312" t="s">
        <v>903</v>
      </c>
    </row>
    <row r="69" spans="1:2">
      <c r="A69" s="352" t="s">
        <v>691</v>
      </c>
      <c r="B69" s="425" t="s">
        <v>904</v>
      </c>
    </row>
    <row r="70" spans="1:2">
      <c r="B70" s="419" t="s">
        <v>905</v>
      </c>
    </row>
  </sheetData>
  <hyperlinks>
    <hyperlink ref="D28" r:id="rId1"/>
  </hyperlinks>
  <pageMargins left="0.7" right="0.7" top="0.75" bottom="0.75" header="0.3" footer="0.3"/>
  <drawing r:id="rId2"/>
</worksheet>
</file>

<file path=xl/worksheets/sheet19.xml><?xml version="1.0" encoding="utf-8"?>
<worksheet xmlns="http://schemas.openxmlformats.org/spreadsheetml/2006/main" xmlns:r="http://schemas.openxmlformats.org/officeDocument/2006/relationships">
  <sheetPr codeName="Sheet25"/>
  <dimension ref="A1:I14"/>
  <sheetViews>
    <sheetView zoomScaleNormal="100" workbookViewId="0">
      <selection activeCell="E8" sqref="E8"/>
    </sheetView>
  </sheetViews>
  <sheetFormatPr defaultRowHeight="15"/>
  <cols>
    <col min="1" max="1" width="25.42578125" style="352" customWidth="1"/>
    <col min="2" max="2" width="16.28515625" style="352" customWidth="1"/>
    <col min="3" max="7" width="11.42578125" style="352" customWidth="1"/>
    <col min="8" max="8" width="98.42578125" style="352" customWidth="1"/>
    <col min="9" max="9" width="75" style="352" customWidth="1"/>
    <col min="10" max="16384" width="9.140625" style="352"/>
  </cols>
  <sheetData>
    <row r="1" spans="1:9" s="312" customFormat="1">
      <c r="A1" s="413" t="s">
        <v>906</v>
      </c>
      <c r="B1" s="413"/>
      <c r="C1" s="413"/>
    </row>
    <row r="2" spans="1:9">
      <c r="A2" s="352" t="s">
        <v>907</v>
      </c>
      <c r="D2" s="426"/>
    </row>
    <row r="3" spans="1:9">
      <c r="A3" s="303" t="s">
        <v>908</v>
      </c>
    </row>
    <row r="4" spans="1:9">
      <c r="A4" s="427" t="s">
        <v>909</v>
      </c>
      <c r="B4" s="428"/>
      <c r="C4" s="428"/>
      <c r="D4" s="428"/>
      <c r="E4" s="428"/>
      <c r="F4" s="428"/>
      <c r="G4" s="428"/>
      <c r="H4" s="428"/>
    </row>
    <row r="5" spans="1:9" ht="60">
      <c r="A5" s="429"/>
      <c r="B5" s="429" t="s">
        <v>910</v>
      </c>
      <c r="C5" s="430" t="s">
        <v>888</v>
      </c>
      <c r="D5" s="430" t="s">
        <v>911</v>
      </c>
      <c r="E5" s="430" t="s">
        <v>912</v>
      </c>
      <c r="F5" s="430" t="s">
        <v>913</v>
      </c>
      <c r="G5" s="430" t="s">
        <v>914</v>
      </c>
      <c r="H5" s="431" t="s">
        <v>691</v>
      </c>
    </row>
    <row r="6" spans="1:9" ht="40.5" customHeight="1">
      <c r="A6" s="432" t="s">
        <v>915</v>
      </c>
      <c r="B6" s="432" t="s">
        <v>916</v>
      </c>
      <c r="C6" s="433">
        <v>14.018341931353302</v>
      </c>
      <c r="D6" s="433">
        <v>13.771033731043769</v>
      </c>
      <c r="E6" s="433">
        <v>12.932772246791782</v>
      </c>
      <c r="F6" s="433">
        <v>12.695922499527672</v>
      </c>
      <c r="G6" s="433">
        <v>12.707408272529801</v>
      </c>
      <c r="H6" s="434" t="s">
        <v>917</v>
      </c>
    </row>
    <row r="7" spans="1:9" ht="27.75" customHeight="1">
      <c r="A7" s="432" t="s">
        <v>918</v>
      </c>
      <c r="B7" s="435" t="s">
        <v>916</v>
      </c>
      <c r="C7" s="604" t="s">
        <v>919</v>
      </c>
      <c r="D7" s="604"/>
      <c r="E7" s="604"/>
      <c r="F7" s="604"/>
      <c r="G7" s="604"/>
      <c r="H7" s="436"/>
    </row>
    <row r="8" spans="1:9" ht="100.5" customHeight="1">
      <c r="A8" s="432" t="s">
        <v>920</v>
      </c>
      <c r="B8" s="432" t="s">
        <v>921</v>
      </c>
      <c r="C8" s="437">
        <v>5.29</v>
      </c>
      <c r="D8" s="437">
        <v>5.29</v>
      </c>
      <c r="E8" s="437">
        <v>5.29</v>
      </c>
      <c r="F8" s="437">
        <v>5.29</v>
      </c>
      <c r="G8" s="437">
        <v>5.29</v>
      </c>
      <c r="H8" s="436" t="s">
        <v>922</v>
      </c>
      <c r="I8" s="353"/>
    </row>
    <row r="9" spans="1:9" ht="36.75" customHeight="1">
      <c r="A9" s="432" t="s">
        <v>923</v>
      </c>
      <c r="B9" s="435" t="s">
        <v>921</v>
      </c>
      <c r="C9" s="604" t="s">
        <v>919</v>
      </c>
      <c r="D9" s="604"/>
      <c r="E9" s="604"/>
      <c r="F9" s="604"/>
      <c r="G9" s="604"/>
      <c r="H9" s="436"/>
    </row>
    <row r="10" spans="1:9" ht="31.5" customHeight="1">
      <c r="A10" s="432" t="s">
        <v>924</v>
      </c>
      <c r="B10" s="432" t="s">
        <v>925</v>
      </c>
      <c r="C10" s="438">
        <v>0.115</v>
      </c>
      <c r="D10" s="438">
        <v>0.115</v>
      </c>
      <c r="E10" s="438">
        <v>0.115</v>
      </c>
      <c r="F10" s="438">
        <v>0.115</v>
      </c>
      <c r="G10" s="438">
        <v>0.115</v>
      </c>
      <c r="H10" s="436" t="s">
        <v>926</v>
      </c>
    </row>
    <row r="11" spans="1:9" ht="32.25" customHeight="1">
      <c r="A11" s="432" t="s">
        <v>927</v>
      </c>
      <c r="B11" s="435" t="s">
        <v>916</v>
      </c>
      <c r="C11" s="439">
        <f>C6-(C8*C10)</f>
        <v>13.409991931353302</v>
      </c>
      <c r="D11" s="439">
        <f>D6-(D8*D10)</f>
        <v>13.162683731043769</v>
      </c>
      <c r="E11" s="439">
        <f>E6-(E8*E10)</f>
        <v>12.324422246791782</v>
      </c>
      <c r="F11" s="439">
        <f>F6-(F8*F10)</f>
        <v>12.087572499527672</v>
      </c>
      <c r="G11" s="439">
        <f>G6-(G8*G10)</f>
        <v>12.099058272529801</v>
      </c>
      <c r="H11" s="436" t="s">
        <v>752</v>
      </c>
    </row>
    <row r="12" spans="1:9" ht="36" customHeight="1">
      <c r="A12" s="432" t="s">
        <v>928</v>
      </c>
      <c r="B12" s="432" t="s">
        <v>916</v>
      </c>
      <c r="C12" s="604" t="s">
        <v>919</v>
      </c>
      <c r="D12" s="604"/>
      <c r="E12" s="604"/>
      <c r="F12" s="604"/>
      <c r="G12" s="604"/>
      <c r="H12" s="436" t="s">
        <v>752</v>
      </c>
    </row>
    <row r="13" spans="1:9">
      <c r="H13" s="428"/>
    </row>
    <row r="14" spans="1:9">
      <c r="H14" s="428"/>
    </row>
  </sheetData>
  <mergeCells count="3">
    <mergeCell ref="C7:G7"/>
    <mergeCell ref="C9:G9"/>
    <mergeCell ref="C12:G12"/>
  </mergeCells>
  <hyperlinks>
    <hyperlink ref="A3" r:id="rId1"/>
  </hyperlinks>
  <pageMargins left="0.7" right="0.7" top="0.75" bottom="0.75" header="0.3" footer="0.3"/>
</worksheet>
</file>

<file path=xl/worksheets/sheet20.xml><?xml version="1.0" encoding="utf-8"?>
<worksheet xmlns="http://schemas.openxmlformats.org/spreadsheetml/2006/main" xmlns:r="http://schemas.openxmlformats.org/officeDocument/2006/relationships">
  <sheetPr codeName="Sheet26"/>
  <dimension ref="A1:F55"/>
  <sheetViews>
    <sheetView zoomScale="115" zoomScaleNormal="115" workbookViewId="0">
      <selection activeCell="D16" sqref="D16"/>
    </sheetView>
  </sheetViews>
  <sheetFormatPr defaultRowHeight="12.75"/>
  <cols>
    <col min="1" max="1" width="19.7109375" style="277" customWidth="1"/>
    <col min="2" max="2" width="18" style="277" customWidth="1"/>
    <col min="3" max="3" width="20.85546875" style="277" customWidth="1"/>
    <col min="4" max="4" width="9.140625" style="277"/>
    <col min="5" max="5" width="7.7109375" style="277" customWidth="1"/>
    <col min="6" max="6" width="86.7109375" style="277" customWidth="1"/>
    <col min="7" max="16384" width="9.140625" style="277"/>
  </cols>
  <sheetData>
    <row r="1" spans="1:6" s="312" customFormat="1" ht="15">
      <c r="A1" s="413" t="s">
        <v>929</v>
      </c>
      <c r="B1" s="413"/>
      <c r="C1" s="413"/>
      <c r="D1" s="413"/>
      <c r="E1" s="413"/>
    </row>
    <row r="2" spans="1:6" ht="15">
      <c r="A2" s="334" t="s">
        <v>930</v>
      </c>
      <c r="B2" s="414" t="s">
        <v>931</v>
      </c>
      <c r="C2" s="414" t="s">
        <v>932</v>
      </c>
      <c r="D2" s="414" t="s">
        <v>933</v>
      </c>
      <c r="E2" s="440"/>
      <c r="F2" s="440"/>
    </row>
    <row r="3" spans="1:6" ht="15">
      <c r="A3" s="334" t="s">
        <v>934</v>
      </c>
      <c r="B3" s="441">
        <v>2</v>
      </c>
      <c r="C3" s="441">
        <v>1.75</v>
      </c>
      <c r="D3" s="441">
        <v>1.5</v>
      </c>
      <c r="E3" s="440"/>
      <c r="F3" s="440"/>
    </row>
    <row r="4" spans="1:6" ht="15">
      <c r="A4" s="334" t="s">
        <v>935</v>
      </c>
      <c r="B4" s="442">
        <v>0.8</v>
      </c>
      <c r="C4" s="442">
        <v>0.75</v>
      </c>
      <c r="D4" s="442">
        <v>0.7</v>
      </c>
    </row>
    <row r="5" spans="1:6" ht="15">
      <c r="A5" s="334" t="s">
        <v>936</v>
      </c>
      <c r="B5" s="442">
        <v>0.9</v>
      </c>
      <c r="C5" s="442">
        <v>0.9</v>
      </c>
      <c r="D5" s="442">
        <v>0.9</v>
      </c>
      <c r="E5" s="443"/>
      <c r="F5" s="440"/>
    </row>
    <row r="6" spans="1:6" ht="15">
      <c r="A6" s="334" t="s">
        <v>937</v>
      </c>
      <c r="B6" s="442">
        <v>0.6</v>
      </c>
      <c r="C6" s="442">
        <v>0.6</v>
      </c>
      <c r="D6" s="442">
        <v>0.6</v>
      </c>
      <c r="E6" s="443"/>
      <c r="F6" s="440"/>
    </row>
    <row r="7" spans="1:6" ht="15">
      <c r="A7" s="444"/>
      <c r="B7" s="445"/>
      <c r="C7" s="445"/>
      <c r="D7" s="445"/>
      <c r="E7" s="443"/>
      <c r="F7" s="440"/>
    </row>
    <row r="8" spans="1:6" ht="15">
      <c r="A8" s="446" t="s">
        <v>938</v>
      </c>
      <c r="B8" s="445"/>
      <c r="C8" s="445"/>
      <c r="D8" s="445"/>
      <c r="E8" s="443"/>
      <c r="F8" s="440"/>
    </row>
    <row r="9" spans="1:6" ht="15">
      <c r="A9" s="446" t="s">
        <v>939</v>
      </c>
      <c r="B9" s="445"/>
      <c r="C9" s="445"/>
      <c r="D9" s="445"/>
      <c r="E9" s="443"/>
      <c r="F9" s="440"/>
    </row>
    <row r="10" spans="1:6" ht="15">
      <c r="A10" s="444" t="s">
        <v>940</v>
      </c>
      <c r="B10" s="445"/>
      <c r="C10" s="445"/>
      <c r="D10" s="445"/>
      <c r="E10" s="443"/>
      <c r="F10" s="440"/>
    </row>
    <row r="11" spans="1:6" ht="15">
      <c r="E11" s="440"/>
      <c r="F11" s="440"/>
    </row>
    <row r="12" spans="1:6" ht="15">
      <c r="A12" s="413" t="s">
        <v>941</v>
      </c>
      <c r="B12" s="413"/>
      <c r="C12" s="413"/>
      <c r="D12" s="413"/>
      <c r="E12" s="413"/>
      <c r="F12" s="440"/>
    </row>
    <row r="13" spans="1:6" ht="15">
      <c r="A13" s="334" t="s">
        <v>935</v>
      </c>
      <c r="B13" s="447">
        <f>(AVERAGE(B51:D51)-E51)*(102.055/116.429)</f>
        <v>3.2966774171383419</v>
      </c>
      <c r="C13" s="281" t="s">
        <v>942</v>
      </c>
      <c r="E13" s="440"/>
      <c r="F13" s="440" t="s">
        <v>943</v>
      </c>
    </row>
    <row r="14" spans="1:6" ht="15">
      <c r="A14" s="334" t="s">
        <v>936</v>
      </c>
      <c r="B14" s="447">
        <f>(6+( (1/3)*20))*A19</f>
        <v>11.336666666666666</v>
      </c>
      <c r="C14" s="281" t="s">
        <v>944</v>
      </c>
    </row>
    <row r="15" spans="1:6" ht="15">
      <c r="A15" s="334" t="s">
        <v>937</v>
      </c>
      <c r="B15" s="447">
        <f>(6+D16)*A19</f>
        <v>8.1096944444444432</v>
      </c>
      <c r="C15" s="281" t="s">
        <v>945</v>
      </c>
    </row>
    <row r="16" spans="1:6">
      <c r="C16" s="448" t="s">
        <v>946</v>
      </c>
      <c r="D16" s="449">
        <v>3.0611111111111104</v>
      </c>
      <c r="E16" s="281" t="s">
        <v>947</v>
      </c>
    </row>
    <row r="17" spans="1:5" ht="13.5" thickBot="1"/>
    <row r="18" spans="1:5" s="453" customFormat="1">
      <c r="A18" s="450" t="s">
        <v>948</v>
      </c>
      <c r="B18" s="451"/>
      <c r="C18" s="451"/>
      <c r="D18" s="451"/>
      <c r="E18" s="452"/>
    </row>
    <row r="19" spans="1:5" s="453" customFormat="1" ht="13.5" thickBot="1">
      <c r="A19" s="454">
        <v>0.89500000000000002</v>
      </c>
      <c r="B19" s="455"/>
      <c r="C19" s="456"/>
      <c r="D19" s="456"/>
      <c r="E19" s="457"/>
    </row>
    <row r="20" spans="1:5">
      <c r="A20" s="281"/>
    </row>
    <row r="22" spans="1:5">
      <c r="A22" s="366" t="s">
        <v>949</v>
      </c>
    </row>
    <row r="23" spans="1:5">
      <c r="A23" s="281" t="s">
        <v>950</v>
      </c>
    </row>
    <row r="24" spans="1:5">
      <c r="A24" s="281" t="s">
        <v>951</v>
      </c>
    </row>
    <row r="25" spans="1:5">
      <c r="B25" s="281"/>
    </row>
    <row r="27" spans="1:5" ht="38.25">
      <c r="A27" s="279" t="s">
        <v>952</v>
      </c>
      <c r="B27" s="366" t="s">
        <v>953</v>
      </c>
      <c r="C27" s="366" t="s">
        <v>954</v>
      </c>
      <c r="D27" s="366" t="s">
        <v>955</v>
      </c>
      <c r="E27" s="366" t="s">
        <v>956</v>
      </c>
    </row>
    <row r="28" spans="1:5">
      <c r="A28" s="277">
        <v>1</v>
      </c>
      <c r="B28" s="449">
        <v>4</v>
      </c>
      <c r="C28" s="449">
        <v>4.32</v>
      </c>
      <c r="D28" s="449">
        <v>3.34</v>
      </c>
      <c r="E28" s="449">
        <v>2.68</v>
      </c>
    </row>
    <row r="29" spans="1:5">
      <c r="A29" s="277">
        <f t="shared" ref="A29:A47" si="0">A28+1</f>
        <v>2</v>
      </c>
      <c r="B29" s="449">
        <v>4.99</v>
      </c>
      <c r="C29" s="449">
        <v>5</v>
      </c>
      <c r="D29" s="449">
        <v>5</v>
      </c>
      <c r="E29" s="449">
        <v>2.95</v>
      </c>
    </row>
    <row r="30" spans="1:5">
      <c r="A30" s="277">
        <f t="shared" si="0"/>
        <v>3</v>
      </c>
      <c r="B30" s="449">
        <v>5</v>
      </c>
      <c r="C30" s="449">
        <v>5.98</v>
      </c>
      <c r="D30" s="449">
        <v>5.0999999999999996</v>
      </c>
      <c r="E30" s="449">
        <v>3.11</v>
      </c>
    </row>
    <row r="31" spans="1:5">
      <c r="A31" s="277">
        <f t="shared" si="0"/>
        <v>4</v>
      </c>
      <c r="B31" s="449">
        <v>5.95</v>
      </c>
      <c r="C31" s="449">
        <v>6.99</v>
      </c>
      <c r="D31" s="449">
        <v>5.18</v>
      </c>
      <c r="E31" s="449">
        <v>4.25</v>
      </c>
    </row>
    <row r="32" spans="1:5">
      <c r="A32" s="277">
        <f t="shared" si="0"/>
        <v>5</v>
      </c>
      <c r="B32" s="449">
        <v>6</v>
      </c>
      <c r="C32" s="449">
        <v>7.56</v>
      </c>
      <c r="D32" s="449">
        <v>5</v>
      </c>
      <c r="E32" s="449">
        <v>4.6399999999999997</v>
      </c>
    </row>
    <row r="33" spans="1:6">
      <c r="A33" s="277">
        <f t="shared" si="0"/>
        <v>6</v>
      </c>
      <c r="B33" s="449">
        <v>6.99</v>
      </c>
      <c r="C33" s="449">
        <v>7.59</v>
      </c>
      <c r="D33" s="449">
        <v>5.33</v>
      </c>
      <c r="E33" s="449">
        <v>5.25</v>
      </c>
    </row>
    <row r="34" spans="1:6">
      <c r="A34" s="277">
        <f t="shared" si="0"/>
        <v>7</v>
      </c>
      <c r="B34" s="449">
        <v>6.99</v>
      </c>
      <c r="C34" s="449">
        <v>8.1999999999999993</v>
      </c>
      <c r="D34" s="449">
        <v>5.71</v>
      </c>
      <c r="E34" s="449">
        <v>5.32</v>
      </c>
    </row>
    <row r="35" spans="1:6">
      <c r="A35" s="277">
        <f t="shared" si="0"/>
        <v>8</v>
      </c>
      <c r="B35" s="449">
        <v>7.99</v>
      </c>
      <c r="C35" s="449">
        <v>9.3800000000000008</v>
      </c>
      <c r="D35" s="449">
        <v>6</v>
      </c>
      <c r="E35" s="449">
        <v>5.89</v>
      </c>
    </row>
    <row r="36" spans="1:6">
      <c r="A36" s="277">
        <f t="shared" si="0"/>
        <v>9</v>
      </c>
      <c r="B36" s="449">
        <v>7.99</v>
      </c>
      <c r="C36" s="449">
        <v>9.9499999999999993</v>
      </c>
      <c r="D36" s="449">
        <v>7.83</v>
      </c>
      <c r="E36" s="449">
        <v>6.01</v>
      </c>
    </row>
    <row r="37" spans="1:6">
      <c r="A37" s="277">
        <f t="shared" si="0"/>
        <v>10</v>
      </c>
      <c r="B37" s="449">
        <v>9.25</v>
      </c>
      <c r="C37" s="449">
        <v>9.99</v>
      </c>
      <c r="D37" s="449">
        <v>8.33</v>
      </c>
      <c r="E37" s="449">
        <v>6.56</v>
      </c>
    </row>
    <row r="38" spans="1:6">
      <c r="A38" s="277">
        <f t="shared" si="0"/>
        <v>11</v>
      </c>
      <c r="B38" s="449">
        <v>9.6199999999999992</v>
      </c>
      <c r="C38" s="449">
        <v>11.95</v>
      </c>
      <c r="D38" s="449">
        <v>10</v>
      </c>
      <c r="E38" s="449">
        <v>7.18</v>
      </c>
    </row>
    <row r="39" spans="1:6">
      <c r="A39" s="277">
        <f t="shared" si="0"/>
        <v>12</v>
      </c>
      <c r="B39" s="449">
        <v>9.99</v>
      </c>
      <c r="C39" s="449">
        <v>14</v>
      </c>
      <c r="D39" s="449">
        <v>11.9</v>
      </c>
      <c r="E39" s="449">
        <v>7.51</v>
      </c>
    </row>
    <row r="40" spans="1:6">
      <c r="A40" s="277">
        <f t="shared" si="0"/>
        <v>13</v>
      </c>
      <c r="B40" s="449">
        <v>9.99</v>
      </c>
      <c r="C40" s="449">
        <v>14.95</v>
      </c>
      <c r="D40" s="449">
        <v>12.92</v>
      </c>
      <c r="E40" s="449">
        <v>7.55</v>
      </c>
    </row>
    <row r="41" spans="1:6">
      <c r="A41" s="277">
        <f t="shared" si="0"/>
        <v>14</v>
      </c>
      <c r="B41" s="449">
        <v>10.97</v>
      </c>
      <c r="C41" s="449">
        <v>16</v>
      </c>
      <c r="D41" s="449">
        <v>12.98</v>
      </c>
      <c r="E41" s="449">
        <v>7.65</v>
      </c>
    </row>
    <row r="42" spans="1:6">
      <c r="A42" s="277">
        <f t="shared" si="0"/>
        <v>15</v>
      </c>
      <c r="B42" s="449">
        <v>10.99</v>
      </c>
      <c r="C42" s="449">
        <v>15.95</v>
      </c>
      <c r="D42" s="449">
        <v>12.99</v>
      </c>
      <c r="E42" s="449">
        <v>7.8</v>
      </c>
    </row>
    <row r="43" spans="1:6">
      <c r="A43" s="277">
        <f t="shared" si="0"/>
        <v>16</v>
      </c>
      <c r="B43" s="449">
        <v>12</v>
      </c>
      <c r="C43" s="449">
        <v>16</v>
      </c>
      <c r="D43" s="449">
        <v>13.71</v>
      </c>
      <c r="E43" s="449">
        <v>8.08</v>
      </c>
    </row>
    <row r="44" spans="1:6">
      <c r="A44" s="277">
        <f t="shared" si="0"/>
        <v>17</v>
      </c>
      <c r="B44" s="449">
        <v>12</v>
      </c>
      <c r="C44" s="449">
        <v>18</v>
      </c>
      <c r="D44" s="449">
        <v>13.95</v>
      </c>
      <c r="E44" s="449">
        <v>8.4700000000000006</v>
      </c>
    </row>
    <row r="45" spans="1:6">
      <c r="A45" s="277">
        <f t="shared" si="0"/>
        <v>18</v>
      </c>
      <c r="B45" s="449">
        <v>13</v>
      </c>
      <c r="C45" s="449">
        <v>18</v>
      </c>
      <c r="D45" s="449">
        <v>15</v>
      </c>
      <c r="E45" s="449">
        <v>8.65</v>
      </c>
    </row>
    <row r="46" spans="1:6">
      <c r="A46" s="277">
        <f t="shared" si="0"/>
        <v>19</v>
      </c>
      <c r="B46" s="449">
        <v>12.98</v>
      </c>
      <c r="C46" s="449">
        <v>18.75</v>
      </c>
      <c r="D46" s="449">
        <v>15.6</v>
      </c>
      <c r="E46" s="449">
        <v>8.99</v>
      </c>
    </row>
    <row r="47" spans="1:6">
      <c r="A47" s="277">
        <f t="shared" si="0"/>
        <v>20</v>
      </c>
      <c r="B47" s="449">
        <v>13</v>
      </c>
      <c r="C47" s="449">
        <v>20.75</v>
      </c>
      <c r="D47" s="449">
        <v>16.38</v>
      </c>
      <c r="E47" s="449">
        <v>9.99</v>
      </c>
    </row>
    <row r="48" spans="1:6">
      <c r="A48" s="277">
        <v>50</v>
      </c>
      <c r="B48" s="449">
        <v>25.95</v>
      </c>
      <c r="C48" s="449">
        <v>40</v>
      </c>
      <c r="D48" s="449">
        <v>44</v>
      </c>
      <c r="E48" s="449">
        <v>25</v>
      </c>
      <c r="F48" s="605" t="s">
        <v>957</v>
      </c>
    </row>
    <row r="49" spans="1:6">
      <c r="A49" s="277">
        <v>100</v>
      </c>
      <c r="B49" s="449">
        <v>49</v>
      </c>
      <c r="C49" s="449">
        <v>106</v>
      </c>
      <c r="D49" s="449">
        <v>75</v>
      </c>
      <c r="E49" s="449">
        <v>59.95</v>
      </c>
      <c r="F49" s="605"/>
    </row>
    <row r="50" spans="1:6">
      <c r="B50" s="449"/>
      <c r="C50" s="449"/>
      <c r="D50" s="449"/>
      <c r="E50" s="449"/>
    </row>
    <row r="51" spans="1:6">
      <c r="A51" s="366" t="s">
        <v>958</v>
      </c>
      <c r="B51" s="458">
        <f>AVERAGE(B28:B47)</f>
        <v>8.9844999999999988</v>
      </c>
      <c r="C51" s="458">
        <f>AVERAGE(C28:C47)</f>
        <v>11.9655</v>
      </c>
      <c r="D51" s="458">
        <f>AVERAGE(D28:D47)</f>
        <v>9.6124999999999989</v>
      </c>
      <c r="E51" s="458">
        <f>AVERAGE(E28:E47)</f>
        <v>6.4264999999999999</v>
      </c>
    </row>
    <row r="53" spans="1:6" ht="15">
      <c r="A53" s="413" t="s">
        <v>959</v>
      </c>
      <c r="B53" s="413"/>
      <c r="C53" s="413"/>
      <c r="D53" s="413"/>
      <c r="E53" s="413"/>
    </row>
    <row r="54" spans="1:6" ht="66" customHeight="1">
      <c r="A54" s="281" t="s">
        <v>960</v>
      </c>
      <c r="B54" s="459">
        <v>10</v>
      </c>
      <c r="C54" s="606" t="s">
        <v>961</v>
      </c>
      <c r="D54" s="607"/>
      <c r="E54" s="607"/>
      <c r="F54" s="607"/>
    </row>
    <row r="55" spans="1:6">
      <c r="C55" s="281" t="s">
        <v>962</v>
      </c>
    </row>
  </sheetData>
  <mergeCells count="2">
    <mergeCell ref="F48:F49"/>
    <mergeCell ref="C54:F54"/>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sheetPr codeName="Sheet27" filterMode="1"/>
  <dimension ref="A1:AL334"/>
  <sheetViews>
    <sheetView topLeftCell="N1" workbookViewId="0">
      <selection activeCell="O28" sqref="A1:AL334"/>
    </sheetView>
  </sheetViews>
  <sheetFormatPr defaultRowHeight="12.75"/>
  <cols>
    <col min="1" max="4" width="9.140625" style="277"/>
    <col min="5" max="5" width="9.140625" style="277" customWidth="1"/>
    <col min="6" max="6" width="18.7109375" style="277" customWidth="1"/>
    <col min="7" max="7" width="19.28515625" style="277" customWidth="1"/>
    <col min="8" max="8" width="18.7109375" style="277" customWidth="1"/>
    <col min="9" max="9" width="16.5703125" style="277" customWidth="1"/>
    <col min="10" max="11" width="15.5703125" style="277" customWidth="1"/>
    <col min="12" max="13" width="9.140625" style="277"/>
    <col min="14" max="14" width="15.85546875" style="277" customWidth="1"/>
    <col min="15" max="21" width="9.140625" style="277"/>
    <col min="22" max="22" width="30.5703125" style="277" customWidth="1"/>
    <col min="23" max="35" width="9.140625" style="277"/>
    <col min="36" max="36" width="15.140625" style="277" customWidth="1"/>
    <col min="37" max="16384" width="9.140625" style="277"/>
  </cols>
  <sheetData>
    <row r="1" spans="1:38">
      <c r="F1" s="281" t="s">
        <v>643</v>
      </c>
      <c r="G1" s="277" t="s">
        <v>935</v>
      </c>
      <c r="H1" s="281" t="s">
        <v>931</v>
      </c>
      <c r="I1" s="281" t="s">
        <v>984</v>
      </c>
    </row>
    <row r="2" spans="1:38">
      <c r="F2" s="281" t="s">
        <v>644</v>
      </c>
      <c r="G2" s="277" t="s">
        <v>936</v>
      </c>
      <c r="H2" s="281" t="s">
        <v>932</v>
      </c>
      <c r="I2" s="281" t="s">
        <v>985</v>
      </c>
    </row>
    <row r="3" spans="1:38" ht="15">
      <c r="F3" s="281" t="s">
        <v>646</v>
      </c>
      <c r="G3" s="446" t="s">
        <v>937</v>
      </c>
      <c r="H3" s="281" t="s">
        <v>933</v>
      </c>
      <c r="I3" s="281" t="s">
        <v>986</v>
      </c>
    </row>
    <row r="4" spans="1:38" ht="15">
      <c r="F4" s="281" t="s">
        <v>403</v>
      </c>
      <c r="G4" s="446"/>
      <c r="H4" s="281"/>
      <c r="I4" s="281"/>
    </row>
    <row r="5" spans="1:38" ht="15">
      <c r="F5" s="281" t="s">
        <v>688</v>
      </c>
      <c r="G5" s="446"/>
      <c r="H5" s="281"/>
      <c r="I5" s="281"/>
    </row>
    <row r="6" spans="1:38" ht="15">
      <c r="F6" s="281" t="s">
        <v>645</v>
      </c>
      <c r="G6" s="446"/>
      <c r="H6" s="281"/>
      <c r="I6" s="281"/>
    </row>
    <row r="7" spans="1:38">
      <c r="A7" s="485" t="s">
        <v>987</v>
      </c>
      <c r="B7" s="486"/>
      <c r="C7" s="486"/>
      <c r="D7" s="486"/>
      <c r="E7" s="486"/>
      <c r="F7" s="487"/>
      <c r="G7" s="486"/>
      <c r="H7" s="487"/>
      <c r="I7" s="487"/>
      <c r="N7" s="463" t="s">
        <v>988</v>
      </c>
      <c r="O7" s="463"/>
      <c r="P7" s="488"/>
      <c r="Q7" s="488"/>
      <c r="R7" s="488"/>
      <c r="S7" s="488"/>
      <c r="U7" s="485" t="s">
        <v>989</v>
      </c>
      <c r="V7" s="486"/>
      <c r="W7" s="486"/>
      <c r="X7" s="486"/>
      <c r="Y7" s="486"/>
      <c r="Z7" s="486"/>
      <c r="AA7" s="486"/>
      <c r="AB7" s="486"/>
      <c r="AC7" s="486"/>
      <c r="AD7" s="486"/>
      <c r="AE7" s="486"/>
      <c r="AF7" s="486"/>
      <c r="AG7" s="486"/>
      <c r="AH7" s="486"/>
      <c r="AI7" s="486"/>
      <c r="AJ7" s="486"/>
    </row>
    <row r="9" spans="1:38">
      <c r="B9" s="277">
        <f>C9*6</f>
        <v>162</v>
      </c>
      <c r="C9" s="277">
        <v>27</v>
      </c>
      <c r="D9" s="277">
        <v>9</v>
      </c>
      <c r="E9" s="277">
        <v>3</v>
      </c>
      <c r="U9" s="24" t="s">
        <v>16</v>
      </c>
      <c r="V9" s="25"/>
      <c r="W9" s="25"/>
      <c r="X9" s="25"/>
      <c r="Y9" s="25"/>
      <c r="Z9" s="25"/>
      <c r="AA9" s="26"/>
      <c r="AB9" s="27"/>
      <c r="AC9" s="578" t="s">
        <v>17</v>
      </c>
      <c r="AD9" s="579"/>
      <c r="AE9" s="579"/>
      <c r="AF9" s="579"/>
      <c r="AG9" s="579"/>
      <c r="AH9" s="580"/>
      <c r="AI9" s="608" t="s">
        <v>18</v>
      </c>
      <c r="AJ9" s="609"/>
    </row>
    <row r="10" spans="1:38" ht="63.75">
      <c r="C10" s="383" t="s">
        <v>990</v>
      </c>
      <c r="D10" s="383" t="s">
        <v>991</v>
      </c>
      <c r="E10" s="383" t="s">
        <v>992</v>
      </c>
      <c r="F10" s="366" t="s">
        <v>401</v>
      </c>
      <c r="G10" s="366" t="s">
        <v>993</v>
      </c>
      <c r="H10" s="366" t="s">
        <v>994</v>
      </c>
      <c r="I10" s="366" t="s">
        <v>995</v>
      </c>
      <c r="J10" s="366" t="s">
        <v>22</v>
      </c>
      <c r="K10" s="366" t="s">
        <v>996</v>
      </c>
      <c r="L10" s="366" t="s">
        <v>997</v>
      </c>
      <c r="N10" s="366" t="s">
        <v>971</v>
      </c>
      <c r="O10" s="366" t="s">
        <v>998</v>
      </c>
      <c r="P10" s="279" t="s">
        <v>999</v>
      </c>
      <c r="Q10" s="279" t="str">
        <f>Impacts!X4</f>
        <v>therms</v>
      </c>
      <c r="R10" s="279" t="str">
        <f>Impacts!Y4</f>
        <v>gallons</v>
      </c>
      <c r="S10" s="279" t="str">
        <f>Impacts!Z4</f>
        <v>water cost savings ($)</v>
      </c>
      <c r="U10" s="33" t="s">
        <v>21</v>
      </c>
      <c r="V10" s="33" t="s">
        <v>22</v>
      </c>
      <c r="W10" s="33" t="s">
        <v>23</v>
      </c>
      <c r="X10" s="33" t="s">
        <v>24</v>
      </c>
      <c r="Y10" s="33" t="s">
        <v>25</v>
      </c>
      <c r="Z10" s="34" t="s">
        <v>26</v>
      </c>
      <c r="AA10" s="489" t="s">
        <v>27</v>
      </c>
      <c r="AB10" s="35" t="s">
        <v>28</v>
      </c>
      <c r="AC10" s="35" t="s">
        <v>29</v>
      </c>
      <c r="AD10" s="35" t="s">
        <v>30</v>
      </c>
      <c r="AE10" s="35" t="s">
        <v>31</v>
      </c>
      <c r="AF10" s="35" t="s">
        <v>32</v>
      </c>
      <c r="AG10" s="35" t="s">
        <v>33</v>
      </c>
      <c r="AH10" s="35" t="s">
        <v>34</v>
      </c>
      <c r="AI10" s="490" t="s">
        <v>35</v>
      </c>
      <c r="AJ10" s="35" t="s">
        <v>27</v>
      </c>
      <c r="AL10" s="491" t="s">
        <v>211</v>
      </c>
    </row>
    <row r="11" spans="1:38" hidden="1">
      <c r="A11" s="492">
        <v>1</v>
      </c>
      <c r="B11" s="492">
        <f t="shared" ref="B11:D30" si="0">CEILING((MOD($A11-1,B$9)+1)/C$9,1)</f>
        <v>1</v>
      </c>
      <c r="C11" s="492">
        <f t="shared" si="0"/>
        <v>1</v>
      </c>
      <c r="D11" s="492">
        <f t="shared" si="0"/>
        <v>1</v>
      </c>
      <c r="E11" s="492">
        <f t="shared" ref="E11:E74" si="1">MOD($A11-1,E$9)+1</f>
        <v>1</v>
      </c>
      <c r="F11" s="492" t="str">
        <f t="shared" ref="F11:F74" si="2">INDEX(F$1:F$6,B11)</f>
        <v>Hospitality</v>
      </c>
      <c r="G11" s="492" t="str">
        <f t="shared" ref="G11:I42" si="3">INDEX(G$1:G$3,C11)</f>
        <v>Retail</v>
      </c>
      <c r="H11" s="492" t="str">
        <f t="shared" si="3"/>
        <v>2_00</v>
      </c>
      <c r="I11" s="492" t="str">
        <f t="shared" si="3"/>
        <v>Electric Water Heating</v>
      </c>
      <c r="J11" s="492" t="str">
        <f t="shared" ref="J11:J74" si="4">"Commercial Showerhead Replacement_"&amp;H11&amp;"gpm_"&amp;F11&amp;"_ "&amp;I11&amp;"_"&amp;G11</f>
        <v>Commercial Showerhead Replacement_2_00gpm_Hospitality_ Electric Water Heating_Retail</v>
      </c>
      <c r="K11" s="493">
        <f>INDEX(InstallRatesCostAndLifetime!$A$2:$D$6,MATCH(InputForProCost!G11,InstallRatesCostAndLifetime!$A$2:$A$6,0),MATCH(InputForProCost!H11,InstallRatesCostAndLifetime!$A$2:$D$2,0))</f>
        <v>0.8</v>
      </c>
      <c r="L11" s="493">
        <f t="shared" ref="L11:L42" si="5">IF(I11="Electric Water Heating",1,IF(I11 = "Gas Water Heating",0,VLOOKUP(F11,table_ElectricSaturation,2,FALSE)))</f>
        <v>1</v>
      </c>
      <c r="M11" s="492"/>
      <c r="N11" s="492" t="str">
        <f t="shared" ref="N11:N74" si="6">F11&amp;H11</f>
        <v>Hospitality2_00</v>
      </c>
      <c r="O11" s="494">
        <f>VLOOKUP($N11,Impacts!$F$5:$Z$22,16,FALSE)</f>
        <v>159.16701551210087</v>
      </c>
      <c r="P11" s="494">
        <f>VLOOKUP($N11,Impacts!$F$5:$Z$22,17,FALSE)*K11</f>
        <v>5.9399149959648012</v>
      </c>
      <c r="Q11" s="495">
        <f>VLOOKUP($N11,Impacts!$F$5:$Z$22,19,FALSE)*K11</f>
        <v>5.678586583002823</v>
      </c>
      <c r="R11" s="496">
        <f>VLOOKUP($N11,Impacts!$F$5:$Z$22,20,FALSE)*K11</f>
        <v>1122.8572771200002</v>
      </c>
      <c r="S11" s="497">
        <f>VLOOKUP($N11,Impacts!$F$5:$Z$22,21,FALSE)*K11</f>
        <v>14.77981521383153</v>
      </c>
      <c r="T11" s="492"/>
      <c r="U11" s="492" t="str">
        <f t="shared" ref="U11:U74" si="7">J11</f>
        <v>Commercial Showerhead Replacement_2_00gpm_Hospitality_ Electric Water Heating_Retail</v>
      </c>
      <c r="V11" s="492" t="s">
        <v>440</v>
      </c>
      <c r="W11" s="494">
        <f>(O11*L11*K11)</f>
        <v>127.33361240968071</v>
      </c>
      <c r="X11" s="492">
        <v>10</v>
      </c>
      <c r="Y11" s="498">
        <f t="shared" ref="Y11:Y42" si="8">VLOOKUP(G11,table_MeasureCosts,2,FALSE)</f>
        <v>3.2966774171383419</v>
      </c>
      <c r="Z11" s="492"/>
      <c r="AA11" s="499" t="s">
        <v>441</v>
      </c>
      <c r="AB11" s="497">
        <f t="shared" ref="AB11:AB74" si="9">S11</f>
        <v>14.77981521383153</v>
      </c>
      <c r="AC11" s="492"/>
      <c r="AD11" s="492"/>
      <c r="AE11" s="492"/>
      <c r="AF11" s="492"/>
      <c r="AG11" s="492"/>
      <c r="AH11" s="492"/>
      <c r="AI11" s="492">
        <f t="shared" ref="AI11:AI74" si="10">Q11*(1-L11)</f>
        <v>0</v>
      </c>
      <c r="AJ11" s="492" t="s">
        <v>442</v>
      </c>
      <c r="AL11" s="283" t="e">
        <f t="shared" ref="AL11:AL42" ca="1" si="11">VLOOKUP(U11,INDIRECT(OutputRange),82,FALSE)</f>
        <v>#NAME?</v>
      </c>
    </row>
    <row r="12" spans="1:38" hidden="1">
      <c r="A12" s="492">
        <f t="shared" ref="A12:A75" si="12">A11+1</f>
        <v>2</v>
      </c>
      <c r="B12" s="492">
        <f t="shared" si="0"/>
        <v>1</v>
      </c>
      <c r="C12" s="492">
        <f t="shared" si="0"/>
        <v>1</v>
      </c>
      <c r="D12" s="492">
        <f t="shared" si="0"/>
        <v>1</v>
      </c>
      <c r="E12" s="492">
        <f t="shared" si="1"/>
        <v>2</v>
      </c>
      <c r="F12" s="492" t="str">
        <f t="shared" si="2"/>
        <v>Hospitality</v>
      </c>
      <c r="G12" s="492" t="str">
        <f t="shared" si="3"/>
        <v>Retail</v>
      </c>
      <c r="H12" s="492" t="str">
        <f t="shared" si="3"/>
        <v>2_00</v>
      </c>
      <c r="I12" s="492" t="str">
        <f t="shared" si="3"/>
        <v>Gas Water Heating</v>
      </c>
      <c r="J12" s="492" t="str">
        <f t="shared" si="4"/>
        <v>Commercial Showerhead Replacement_2_00gpm_Hospitality_ Gas Water Heating_Retail</v>
      </c>
      <c r="K12" s="493">
        <f>INDEX(InstallRatesCostAndLifetime!$A$2:$D$6,MATCH(InputForProCost!G12,InstallRatesCostAndLifetime!$A$2:$A$6,0),MATCH(InputForProCost!H12,InstallRatesCostAndLifetime!$A$2:$D$2,0))</f>
        <v>0.8</v>
      </c>
      <c r="L12" s="493">
        <f t="shared" si="5"/>
        <v>0</v>
      </c>
      <c r="M12" s="492"/>
      <c r="N12" s="492" t="str">
        <f t="shared" si="6"/>
        <v>Hospitality2_00</v>
      </c>
      <c r="O12" s="494">
        <f>VLOOKUP($N12,Impacts!$F$5:$Z$22,16,FALSE)</f>
        <v>159.16701551210087</v>
      </c>
      <c r="P12" s="494">
        <f>VLOOKUP($N12,Impacts!$F$5:$Z$22,17,FALSE)*K12</f>
        <v>5.9399149959648012</v>
      </c>
      <c r="Q12" s="495">
        <f>VLOOKUP($N12,Impacts!$F$5:$Z$22,19,FALSE)*K12</f>
        <v>5.678586583002823</v>
      </c>
      <c r="R12" s="496">
        <f>VLOOKUP($N12,Impacts!$F$5:$Z$22,20,FALSE)*K12</f>
        <v>1122.8572771200002</v>
      </c>
      <c r="S12" s="497">
        <f>VLOOKUP($N12,Impacts!$F$5:$Z$22,21,FALSE)*K12</f>
        <v>14.77981521383153</v>
      </c>
      <c r="T12" s="492"/>
      <c r="U12" s="492" t="str">
        <f t="shared" si="7"/>
        <v>Commercial Showerhead Replacement_2_00gpm_Hospitality_ Gas Water Heating_Retail</v>
      </c>
      <c r="V12" s="492" t="s">
        <v>440</v>
      </c>
      <c r="W12" s="494">
        <f t="shared" ref="W12:W74" si="13">(O12*L12*K12)</f>
        <v>0</v>
      </c>
      <c r="X12" s="492">
        <v>10</v>
      </c>
      <c r="Y12" s="498">
        <f t="shared" si="8"/>
        <v>3.2966774171383419</v>
      </c>
      <c r="Z12" s="492"/>
      <c r="AA12" s="499" t="s">
        <v>441</v>
      </c>
      <c r="AB12" s="497">
        <f t="shared" si="9"/>
        <v>14.77981521383153</v>
      </c>
      <c r="AC12" s="492"/>
      <c r="AD12" s="492"/>
      <c r="AE12" s="492"/>
      <c r="AF12" s="492"/>
      <c r="AG12" s="492"/>
      <c r="AH12" s="492"/>
      <c r="AI12" s="492">
        <f t="shared" si="10"/>
        <v>5.678586583002823</v>
      </c>
      <c r="AJ12" s="492" t="s">
        <v>442</v>
      </c>
      <c r="AL12" s="283" t="e">
        <f t="shared" ca="1" si="11"/>
        <v>#NAME?</v>
      </c>
    </row>
    <row r="13" spans="1:38" hidden="1">
      <c r="A13" s="492">
        <f t="shared" si="12"/>
        <v>3</v>
      </c>
      <c r="B13" s="492">
        <f t="shared" si="0"/>
        <v>1</v>
      </c>
      <c r="C13" s="492">
        <f t="shared" si="0"/>
        <v>1</v>
      </c>
      <c r="D13" s="492">
        <f t="shared" si="0"/>
        <v>1</v>
      </c>
      <c r="E13" s="492">
        <f t="shared" si="1"/>
        <v>3</v>
      </c>
      <c r="F13" s="492" t="str">
        <f t="shared" si="2"/>
        <v>Hospitality</v>
      </c>
      <c r="G13" s="492" t="str">
        <f t="shared" si="3"/>
        <v>Retail</v>
      </c>
      <c r="H13" s="492" t="str">
        <f t="shared" si="3"/>
        <v>2_00</v>
      </c>
      <c r="I13" s="492" t="str">
        <f t="shared" si="3"/>
        <v>Any Water Heating</v>
      </c>
      <c r="J13" s="492" t="str">
        <f t="shared" si="4"/>
        <v>Commercial Showerhead Replacement_2_00gpm_Hospitality_ Any Water Heating_Retail</v>
      </c>
      <c r="K13" s="493">
        <f>INDEX(InstallRatesCostAndLifetime!$A$2:$D$6,MATCH(InputForProCost!G13,InstallRatesCostAndLifetime!$A$2:$A$6,0),MATCH(InputForProCost!H13,InstallRatesCostAndLifetime!$A$2:$D$2,0))</f>
        <v>0.8</v>
      </c>
      <c r="L13" s="493">
        <f t="shared" si="5"/>
        <v>0.13</v>
      </c>
      <c r="M13" s="492"/>
      <c r="N13" s="492" t="str">
        <f t="shared" si="6"/>
        <v>Hospitality2_00</v>
      </c>
      <c r="O13" s="494">
        <f>VLOOKUP($N13,Impacts!$F$5:$Z$22,16,FALSE)</f>
        <v>159.16701551210087</v>
      </c>
      <c r="P13" s="494">
        <f>VLOOKUP($N13,Impacts!$F$5:$Z$22,17,FALSE)*K13</f>
        <v>5.9399149959648012</v>
      </c>
      <c r="Q13" s="495">
        <f>VLOOKUP($N13,Impacts!$F$5:$Z$22,19,FALSE)*K13</f>
        <v>5.678586583002823</v>
      </c>
      <c r="R13" s="496">
        <f>VLOOKUP($N13,Impacts!$F$5:$Z$22,20,FALSE)*K13</f>
        <v>1122.8572771200002</v>
      </c>
      <c r="S13" s="497">
        <f>VLOOKUP($N13,Impacts!$F$5:$Z$22,21,FALSE)*K13</f>
        <v>14.77981521383153</v>
      </c>
      <c r="T13" s="492"/>
      <c r="U13" s="492" t="str">
        <f t="shared" si="7"/>
        <v>Commercial Showerhead Replacement_2_00gpm_Hospitality_ Any Water Heating_Retail</v>
      </c>
      <c r="V13" s="492" t="s">
        <v>440</v>
      </c>
      <c r="W13" s="494">
        <f t="shared" si="13"/>
        <v>16.553369613258493</v>
      </c>
      <c r="X13" s="492">
        <v>10</v>
      </c>
      <c r="Y13" s="498">
        <f t="shared" si="8"/>
        <v>3.2966774171383419</v>
      </c>
      <c r="Z13" s="492"/>
      <c r="AA13" s="499" t="s">
        <v>441</v>
      </c>
      <c r="AB13" s="497">
        <f t="shared" si="9"/>
        <v>14.77981521383153</v>
      </c>
      <c r="AC13" s="492"/>
      <c r="AD13" s="492"/>
      <c r="AE13" s="492"/>
      <c r="AF13" s="492"/>
      <c r="AG13" s="492"/>
      <c r="AH13" s="492"/>
      <c r="AI13" s="492">
        <f t="shared" si="10"/>
        <v>4.9403703272124559</v>
      </c>
      <c r="AJ13" s="492" t="s">
        <v>442</v>
      </c>
      <c r="AL13" s="283" t="e">
        <f t="shared" ca="1" si="11"/>
        <v>#NAME?</v>
      </c>
    </row>
    <row r="14" spans="1:38" hidden="1">
      <c r="A14" s="492">
        <f t="shared" si="12"/>
        <v>4</v>
      </c>
      <c r="B14" s="492">
        <f t="shared" si="0"/>
        <v>1</v>
      </c>
      <c r="C14" s="492">
        <f t="shared" si="0"/>
        <v>1</v>
      </c>
      <c r="D14" s="492">
        <f t="shared" si="0"/>
        <v>2</v>
      </c>
      <c r="E14" s="492">
        <f t="shared" si="1"/>
        <v>1</v>
      </c>
      <c r="F14" s="492" t="str">
        <f t="shared" si="2"/>
        <v>Hospitality</v>
      </c>
      <c r="G14" s="492" t="str">
        <f t="shared" si="3"/>
        <v>Retail</v>
      </c>
      <c r="H14" s="492" t="str">
        <f t="shared" si="3"/>
        <v>1_75</v>
      </c>
      <c r="I14" s="492" t="str">
        <f t="shared" si="3"/>
        <v>Electric Water Heating</v>
      </c>
      <c r="J14" s="492" t="str">
        <f t="shared" si="4"/>
        <v>Commercial Showerhead Replacement_1_75gpm_Hospitality_ Electric Water Heating_Retail</v>
      </c>
      <c r="K14" s="493">
        <f>INDEX(InstallRatesCostAndLifetime!$A$2:$D$6,MATCH(InputForProCost!G14,InstallRatesCostAndLifetime!$A$2:$A$6,0),MATCH(InputForProCost!H14,InstallRatesCostAndLifetime!$A$2:$D$2,0))</f>
        <v>0.75</v>
      </c>
      <c r="L14" s="493">
        <f t="shared" si="5"/>
        <v>1</v>
      </c>
      <c r="M14" s="492"/>
      <c r="N14" s="492" t="str">
        <f t="shared" si="6"/>
        <v>Hospitality1_75</v>
      </c>
      <c r="O14" s="494">
        <f>VLOOKUP($N14,Impacts!$F$5:$Z$22,16,FALSE)</f>
        <v>169.86544051140947</v>
      </c>
      <c r="P14" s="494">
        <f>VLOOKUP($N14,Impacts!$F$5:$Z$22,17,FALSE)*K14</f>
        <v>6.2647540973066285</v>
      </c>
      <c r="Q14" s="495">
        <f>VLOOKUP($N14,Impacts!$F$5:$Z$22,19,FALSE)*K14</f>
        <v>5.6815062014055009</v>
      </c>
      <c r="R14" s="496">
        <f>VLOOKUP($N14,Impacts!$F$5:$Z$22,20,FALSE)*K14</f>
        <v>1184.2635344625005</v>
      </c>
      <c r="S14" s="497">
        <f>VLOOKUP($N14,Impacts!$F$5:$Z$22,21,FALSE)*K14</f>
        <v>15.588086358337947</v>
      </c>
      <c r="T14" s="492"/>
      <c r="U14" s="492" t="str">
        <f t="shared" si="7"/>
        <v>Commercial Showerhead Replacement_1_75gpm_Hospitality_ Electric Water Heating_Retail</v>
      </c>
      <c r="V14" s="492" t="s">
        <v>440</v>
      </c>
      <c r="W14" s="494">
        <f t="shared" si="13"/>
        <v>127.39908038355711</v>
      </c>
      <c r="X14" s="492">
        <v>10</v>
      </c>
      <c r="Y14" s="498">
        <f t="shared" si="8"/>
        <v>3.2966774171383419</v>
      </c>
      <c r="Z14" s="492"/>
      <c r="AA14" s="499" t="s">
        <v>441</v>
      </c>
      <c r="AB14" s="497">
        <f t="shared" si="9"/>
        <v>15.588086358337947</v>
      </c>
      <c r="AC14" s="492"/>
      <c r="AD14" s="492"/>
      <c r="AE14" s="492"/>
      <c r="AF14" s="492"/>
      <c r="AG14" s="492"/>
      <c r="AH14" s="492"/>
      <c r="AI14" s="492">
        <f t="shared" si="10"/>
        <v>0</v>
      </c>
      <c r="AJ14" s="492" t="s">
        <v>442</v>
      </c>
      <c r="AL14" s="283" t="e">
        <f t="shared" ca="1" si="11"/>
        <v>#NAME?</v>
      </c>
    </row>
    <row r="15" spans="1:38" hidden="1">
      <c r="A15" s="492">
        <f t="shared" si="12"/>
        <v>5</v>
      </c>
      <c r="B15" s="492">
        <f t="shared" si="0"/>
        <v>1</v>
      </c>
      <c r="C15" s="492">
        <f t="shared" si="0"/>
        <v>1</v>
      </c>
      <c r="D15" s="492">
        <f t="shared" si="0"/>
        <v>2</v>
      </c>
      <c r="E15" s="492">
        <f t="shared" si="1"/>
        <v>2</v>
      </c>
      <c r="F15" s="492" t="str">
        <f t="shared" si="2"/>
        <v>Hospitality</v>
      </c>
      <c r="G15" s="492" t="str">
        <f t="shared" si="3"/>
        <v>Retail</v>
      </c>
      <c r="H15" s="492" t="str">
        <f t="shared" si="3"/>
        <v>1_75</v>
      </c>
      <c r="I15" s="492" t="str">
        <f t="shared" si="3"/>
        <v>Gas Water Heating</v>
      </c>
      <c r="J15" s="492" t="str">
        <f t="shared" si="4"/>
        <v>Commercial Showerhead Replacement_1_75gpm_Hospitality_ Gas Water Heating_Retail</v>
      </c>
      <c r="K15" s="493">
        <f>INDEX(InstallRatesCostAndLifetime!$A$2:$D$6,MATCH(InputForProCost!G15,InstallRatesCostAndLifetime!$A$2:$A$6,0),MATCH(InputForProCost!H15,InstallRatesCostAndLifetime!$A$2:$D$2,0))</f>
        <v>0.75</v>
      </c>
      <c r="L15" s="493">
        <f t="shared" si="5"/>
        <v>0</v>
      </c>
      <c r="M15" s="492"/>
      <c r="N15" s="492" t="str">
        <f t="shared" si="6"/>
        <v>Hospitality1_75</v>
      </c>
      <c r="O15" s="494">
        <f>VLOOKUP($N15,Impacts!$F$5:$Z$22,16,FALSE)</f>
        <v>169.86544051140947</v>
      </c>
      <c r="P15" s="494">
        <f>VLOOKUP($N15,Impacts!$F$5:$Z$22,17,FALSE)*K15</f>
        <v>6.2647540973066285</v>
      </c>
      <c r="Q15" s="495">
        <f>VLOOKUP($N15,Impacts!$F$5:$Z$22,19,FALSE)*K15</f>
        <v>5.6815062014055009</v>
      </c>
      <c r="R15" s="496">
        <f>VLOOKUP($N15,Impacts!$F$5:$Z$22,20,FALSE)*K15</f>
        <v>1184.2635344625005</v>
      </c>
      <c r="S15" s="497">
        <f>VLOOKUP($N15,Impacts!$F$5:$Z$22,21,FALSE)*K15</f>
        <v>15.588086358337947</v>
      </c>
      <c r="T15" s="492"/>
      <c r="U15" s="492" t="str">
        <f t="shared" si="7"/>
        <v>Commercial Showerhead Replacement_1_75gpm_Hospitality_ Gas Water Heating_Retail</v>
      </c>
      <c r="V15" s="492" t="s">
        <v>440</v>
      </c>
      <c r="W15" s="494">
        <f t="shared" si="13"/>
        <v>0</v>
      </c>
      <c r="X15" s="492">
        <v>10</v>
      </c>
      <c r="Y15" s="498">
        <f t="shared" si="8"/>
        <v>3.2966774171383419</v>
      </c>
      <c r="Z15" s="492"/>
      <c r="AA15" s="499" t="s">
        <v>441</v>
      </c>
      <c r="AB15" s="497">
        <f t="shared" si="9"/>
        <v>15.588086358337947</v>
      </c>
      <c r="AC15" s="492"/>
      <c r="AD15" s="492"/>
      <c r="AE15" s="492"/>
      <c r="AF15" s="492"/>
      <c r="AG15" s="492"/>
      <c r="AH15" s="492"/>
      <c r="AI15" s="492">
        <f t="shared" si="10"/>
        <v>5.6815062014055009</v>
      </c>
      <c r="AJ15" s="492" t="s">
        <v>442</v>
      </c>
      <c r="AL15" s="283" t="e">
        <f t="shared" ca="1" si="11"/>
        <v>#NAME?</v>
      </c>
    </row>
    <row r="16" spans="1:38" hidden="1">
      <c r="A16" s="492">
        <f t="shared" si="12"/>
        <v>6</v>
      </c>
      <c r="B16" s="492">
        <f t="shared" si="0"/>
        <v>1</v>
      </c>
      <c r="C16" s="492">
        <f t="shared" si="0"/>
        <v>1</v>
      </c>
      <c r="D16" s="492">
        <f t="shared" si="0"/>
        <v>2</v>
      </c>
      <c r="E16" s="492">
        <f t="shared" si="1"/>
        <v>3</v>
      </c>
      <c r="F16" s="492" t="str">
        <f t="shared" si="2"/>
        <v>Hospitality</v>
      </c>
      <c r="G16" s="492" t="str">
        <f t="shared" si="3"/>
        <v>Retail</v>
      </c>
      <c r="H16" s="492" t="str">
        <f t="shared" si="3"/>
        <v>1_75</v>
      </c>
      <c r="I16" s="492" t="str">
        <f t="shared" si="3"/>
        <v>Any Water Heating</v>
      </c>
      <c r="J16" s="492" t="str">
        <f t="shared" si="4"/>
        <v>Commercial Showerhead Replacement_1_75gpm_Hospitality_ Any Water Heating_Retail</v>
      </c>
      <c r="K16" s="493">
        <f>INDEX(InstallRatesCostAndLifetime!$A$2:$D$6,MATCH(InputForProCost!G16,InstallRatesCostAndLifetime!$A$2:$A$6,0),MATCH(InputForProCost!H16,InstallRatesCostAndLifetime!$A$2:$D$2,0))</f>
        <v>0.75</v>
      </c>
      <c r="L16" s="493">
        <f t="shared" si="5"/>
        <v>0.13</v>
      </c>
      <c r="M16" s="492"/>
      <c r="N16" s="492" t="str">
        <f t="shared" si="6"/>
        <v>Hospitality1_75</v>
      </c>
      <c r="O16" s="494">
        <f>VLOOKUP($N16,Impacts!$F$5:$Z$22,16,FALSE)</f>
        <v>169.86544051140947</v>
      </c>
      <c r="P16" s="494">
        <f>VLOOKUP($N16,Impacts!$F$5:$Z$22,17,FALSE)*K16</f>
        <v>6.2647540973066285</v>
      </c>
      <c r="Q16" s="495">
        <f>VLOOKUP($N16,Impacts!$F$5:$Z$22,19,FALSE)*K16</f>
        <v>5.6815062014055009</v>
      </c>
      <c r="R16" s="496">
        <f>VLOOKUP($N16,Impacts!$F$5:$Z$22,20,FALSE)*K16</f>
        <v>1184.2635344625005</v>
      </c>
      <c r="S16" s="497">
        <f>VLOOKUP($N16,Impacts!$F$5:$Z$22,21,FALSE)*K16</f>
        <v>15.588086358337947</v>
      </c>
      <c r="T16" s="492"/>
      <c r="U16" s="492" t="str">
        <f t="shared" si="7"/>
        <v>Commercial Showerhead Replacement_1_75gpm_Hospitality_ Any Water Heating_Retail</v>
      </c>
      <c r="V16" s="492" t="s">
        <v>440</v>
      </c>
      <c r="W16" s="494">
        <f t="shared" si="13"/>
        <v>16.561880449862425</v>
      </c>
      <c r="X16" s="492">
        <v>10</v>
      </c>
      <c r="Y16" s="498">
        <f t="shared" si="8"/>
        <v>3.2966774171383419</v>
      </c>
      <c r="Z16" s="492"/>
      <c r="AA16" s="499" t="s">
        <v>441</v>
      </c>
      <c r="AB16" s="497">
        <f t="shared" si="9"/>
        <v>15.588086358337947</v>
      </c>
      <c r="AC16" s="492"/>
      <c r="AD16" s="492"/>
      <c r="AE16" s="492"/>
      <c r="AF16" s="492"/>
      <c r="AG16" s="492"/>
      <c r="AH16" s="492"/>
      <c r="AI16" s="492">
        <f t="shared" si="10"/>
        <v>4.9429103952227855</v>
      </c>
      <c r="AJ16" s="492" t="s">
        <v>442</v>
      </c>
      <c r="AL16" s="283" t="e">
        <f t="shared" ca="1" si="11"/>
        <v>#NAME?</v>
      </c>
    </row>
    <row r="17" spans="1:38" hidden="1">
      <c r="A17" s="492">
        <f t="shared" si="12"/>
        <v>7</v>
      </c>
      <c r="B17" s="492">
        <f t="shared" si="0"/>
        <v>1</v>
      </c>
      <c r="C17" s="492">
        <f t="shared" si="0"/>
        <v>1</v>
      </c>
      <c r="D17" s="492">
        <f t="shared" si="0"/>
        <v>3</v>
      </c>
      <c r="E17" s="492">
        <f t="shared" si="1"/>
        <v>1</v>
      </c>
      <c r="F17" s="492" t="str">
        <f t="shared" si="2"/>
        <v>Hospitality</v>
      </c>
      <c r="G17" s="492" t="str">
        <f t="shared" si="3"/>
        <v>Retail</v>
      </c>
      <c r="H17" s="492" t="str">
        <f t="shared" si="3"/>
        <v>1_50</v>
      </c>
      <c r="I17" s="492" t="str">
        <f t="shared" si="3"/>
        <v>Electric Water Heating</v>
      </c>
      <c r="J17" s="492" t="str">
        <f t="shared" si="4"/>
        <v>Commercial Showerhead Replacement_1_50gpm_Hospitality_ Electric Water Heating_Retail</v>
      </c>
      <c r="K17" s="493">
        <f>INDEX(InstallRatesCostAndLifetime!$A$2:$D$6,MATCH(InputForProCost!G17,InstallRatesCostAndLifetime!$A$2:$A$6,0),MATCH(InputForProCost!H17,InstallRatesCostAndLifetime!$A$2:$D$2,0))</f>
        <v>0.7</v>
      </c>
      <c r="L17" s="493">
        <f t="shared" si="5"/>
        <v>1</v>
      </c>
      <c r="M17" s="492"/>
      <c r="N17" s="492" t="str">
        <f t="shared" si="6"/>
        <v>Hospitality1_50</v>
      </c>
      <c r="O17" s="494">
        <f>VLOOKUP($N17,Impacts!$F$5:$Z$22,16,FALSE)</f>
        <v>280.84164013110251</v>
      </c>
      <c r="P17" s="494">
        <f>VLOOKUP($N17,Impacts!$F$5:$Z$22,17,FALSE)*K17</f>
        <v>9.0954948375711027</v>
      </c>
      <c r="Q17" s="495">
        <f>VLOOKUP($N17,Impacts!$F$5:$Z$22,19,FALSE)*K17</f>
        <v>8.76711559180597</v>
      </c>
      <c r="R17" s="496">
        <f>VLOOKUP($N17,Impacts!$F$5:$Z$22,20,FALSE)*K17</f>
        <v>1719.3752055900004</v>
      </c>
      <c r="S17" s="497">
        <f>VLOOKUP($N17,Impacts!$F$5:$Z$22,21,FALSE)*K17</f>
        <v>22.631592046179534</v>
      </c>
      <c r="T17" s="492"/>
      <c r="U17" s="492" t="str">
        <f t="shared" si="7"/>
        <v>Commercial Showerhead Replacement_1_50gpm_Hospitality_ Electric Water Heating_Retail</v>
      </c>
      <c r="V17" s="492" t="s">
        <v>440</v>
      </c>
      <c r="W17" s="494">
        <f t="shared" si="13"/>
        <v>196.58914809177173</v>
      </c>
      <c r="X17" s="492">
        <v>10</v>
      </c>
      <c r="Y17" s="498">
        <f t="shared" si="8"/>
        <v>3.2966774171383419</v>
      </c>
      <c r="Z17" s="492"/>
      <c r="AA17" s="499" t="s">
        <v>441</v>
      </c>
      <c r="AB17" s="497">
        <f t="shared" si="9"/>
        <v>22.631592046179534</v>
      </c>
      <c r="AC17" s="492"/>
      <c r="AD17" s="492"/>
      <c r="AE17" s="492"/>
      <c r="AF17" s="492"/>
      <c r="AG17" s="492"/>
      <c r="AH17" s="492"/>
      <c r="AI17" s="492">
        <f t="shared" si="10"/>
        <v>0</v>
      </c>
      <c r="AJ17" s="492" t="s">
        <v>442</v>
      </c>
      <c r="AL17" s="283" t="e">
        <f t="shared" ca="1" si="11"/>
        <v>#NAME?</v>
      </c>
    </row>
    <row r="18" spans="1:38" hidden="1">
      <c r="A18" s="492">
        <f t="shared" si="12"/>
        <v>8</v>
      </c>
      <c r="B18" s="492">
        <f t="shared" si="0"/>
        <v>1</v>
      </c>
      <c r="C18" s="492">
        <f t="shared" si="0"/>
        <v>1</v>
      </c>
      <c r="D18" s="492">
        <f t="shared" si="0"/>
        <v>3</v>
      </c>
      <c r="E18" s="492">
        <f t="shared" si="1"/>
        <v>2</v>
      </c>
      <c r="F18" s="492" t="str">
        <f t="shared" si="2"/>
        <v>Hospitality</v>
      </c>
      <c r="G18" s="492" t="str">
        <f t="shared" si="3"/>
        <v>Retail</v>
      </c>
      <c r="H18" s="492" t="str">
        <f t="shared" si="3"/>
        <v>1_50</v>
      </c>
      <c r="I18" s="492" t="str">
        <f t="shared" si="3"/>
        <v>Gas Water Heating</v>
      </c>
      <c r="J18" s="492" t="str">
        <f t="shared" si="4"/>
        <v>Commercial Showerhead Replacement_1_50gpm_Hospitality_ Gas Water Heating_Retail</v>
      </c>
      <c r="K18" s="493">
        <f>INDEX(InstallRatesCostAndLifetime!$A$2:$D$6,MATCH(InputForProCost!G18,InstallRatesCostAndLifetime!$A$2:$A$6,0),MATCH(InputForProCost!H18,InstallRatesCostAndLifetime!$A$2:$D$2,0))</f>
        <v>0.7</v>
      </c>
      <c r="L18" s="493">
        <f t="shared" si="5"/>
        <v>0</v>
      </c>
      <c r="M18" s="492"/>
      <c r="N18" s="492" t="str">
        <f t="shared" si="6"/>
        <v>Hospitality1_50</v>
      </c>
      <c r="O18" s="494">
        <f>VLOOKUP($N18,Impacts!$F$5:$Z$22,16,FALSE)</f>
        <v>280.84164013110251</v>
      </c>
      <c r="P18" s="494">
        <f>VLOOKUP($N18,Impacts!$F$5:$Z$22,17,FALSE)*K18</f>
        <v>9.0954948375711027</v>
      </c>
      <c r="Q18" s="495">
        <f>VLOOKUP($N18,Impacts!$F$5:$Z$22,19,FALSE)*K18</f>
        <v>8.76711559180597</v>
      </c>
      <c r="R18" s="496">
        <f>VLOOKUP($N18,Impacts!$F$5:$Z$22,20,FALSE)*K18</f>
        <v>1719.3752055900004</v>
      </c>
      <c r="S18" s="497">
        <f>VLOOKUP($N18,Impacts!$F$5:$Z$22,21,FALSE)*K18</f>
        <v>22.631592046179534</v>
      </c>
      <c r="T18" s="492"/>
      <c r="U18" s="492" t="str">
        <f t="shared" si="7"/>
        <v>Commercial Showerhead Replacement_1_50gpm_Hospitality_ Gas Water Heating_Retail</v>
      </c>
      <c r="V18" s="492" t="s">
        <v>440</v>
      </c>
      <c r="W18" s="494">
        <f t="shared" si="13"/>
        <v>0</v>
      </c>
      <c r="X18" s="492">
        <v>10</v>
      </c>
      <c r="Y18" s="498">
        <f t="shared" si="8"/>
        <v>3.2966774171383419</v>
      </c>
      <c r="Z18" s="492"/>
      <c r="AA18" s="499" t="s">
        <v>441</v>
      </c>
      <c r="AB18" s="497">
        <f t="shared" si="9"/>
        <v>22.631592046179534</v>
      </c>
      <c r="AC18" s="492"/>
      <c r="AD18" s="492"/>
      <c r="AE18" s="492"/>
      <c r="AF18" s="492"/>
      <c r="AG18" s="492"/>
      <c r="AH18" s="492"/>
      <c r="AI18" s="492">
        <f t="shared" si="10"/>
        <v>8.76711559180597</v>
      </c>
      <c r="AJ18" s="492" t="s">
        <v>442</v>
      </c>
      <c r="AL18" s="283" t="e">
        <f t="shared" ca="1" si="11"/>
        <v>#NAME?</v>
      </c>
    </row>
    <row r="19" spans="1:38" hidden="1">
      <c r="A19" s="492">
        <f t="shared" si="12"/>
        <v>9</v>
      </c>
      <c r="B19" s="492">
        <f t="shared" si="0"/>
        <v>1</v>
      </c>
      <c r="C19" s="492">
        <f t="shared" si="0"/>
        <v>1</v>
      </c>
      <c r="D19" s="492">
        <f t="shared" si="0"/>
        <v>3</v>
      </c>
      <c r="E19" s="492">
        <f t="shared" si="1"/>
        <v>3</v>
      </c>
      <c r="F19" s="492" t="str">
        <f t="shared" si="2"/>
        <v>Hospitality</v>
      </c>
      <c r="G19" s="492" t="str">
        <f t="shared" si="3"/>
        <v>Retail</v>
      </c>
      <c r="H19" s="492" t="str">
        <f t="shared" si="3"/>
        <v>1_50</v>
      </c>
      <c r="I19" s="492" t="str">
        <f t="shared" si="3"/>
        <v>Any Water Heating</v>
      </c>
      <c r="J19" s="492" t="str">
        <f t="shared" si="4"/>
        <v>Commercial Showerhead Replacement_1_50gpm_Hospitality_ Any Water Heating_Retail</v>
      </c>
      <c r="K19" s="493">
        <f>INDEX(InstallRatesCostAndLifetime!$A$2:$D$6,MATCH(InputForProCost!G19,InstallRatesCostAndLifetime!$A$2:$A$6,0),MATCH(InputForProCost!H19,InstallRatesCostAndLifetime!$A$2:$D$2,0))</f>
        <v>0.7</v>
      </c>
      <c r="L19" s="493">
        <f t="shared" si="5"/>
        <v>0.13</v>
      </c>
      <c r="M19" s="492"/>
      <c r="N19" s="492" t="str">
        <f t="shared" si="6"/>
        <v>Hospitality1_50</v>
      </c>
      <c r="O19" s="494">
        <f>VLOOKUP($N19,Impacts!$F$5:$Z$22,16,FALSE)</f>
        <v>280.84164013110251</v>
      </c>
      <c r="P19" s="494">
        <f>VLOOKUP($N19,Impacts!$F$5:$Z$22,17,FALSE)*K19</f>
        <v>9.0954948375711027</v>
      </c>
      <c r="Q19" s="495">
        <f>VLOOKUP($N19,Impacts!$F$5:$Z$22,19,FALSE)*K19</f>
        <v>8.76711559180597</v>
      </c>
      <c r="R19" s="496">
        <f>VLOOKUP($N19,Impacts!$F$5:$Z$22,20,FALSE)*K19</f>
        <v>1719.3752055900004</v>
      </c>
      <c r="S19" s="497">
        <f>VLOOKUP($N19,Impacts!$F$5:$Z$22,21,FALSE)*K19</f>
        <v>22.631592046179534</v>
      </c>
      <c r="T19" s="492"/>
      <c r="U19" s="492" t="str">
        <f t="shared" si="7"/>
        <v>Commercial Showerhead Replacement_1_50gpm_Hospitality_ Any Water Heating_Retail</v>
      </c>
      <c r="V19" s="492" t="s">
        <v>440</v>
      </c>
      <c r="W19" s="494">
        <f t="shared" si="13"/>
        <v>25.556589251930326</v>
      </c>
      <c r="X19" s="492">
        <v>10</v>
      </c>
      <c r="Y19" s="498">
        <f t="shared" si="8"/>
        <v>3.2966774171383419</v>
      </c>
      <c r="Z19" s="492"/>
      <c r="AA19" s="499" t="s">
        <v>441</v>
      </c>
      <c r="AB19" s="497">
        <f t="shared" si="9"/>
        <v>22.631592046179534</v>
      </c>
      <c r="AC19" s="492"/>
      <c r="AD19" s="492"/>
      <c r="AE19" s="492"/>
      <c r="AF19" s="492"/>
      <c r="AG19" s="492"/>
      <c r="AH19" s="492"/>
      <c r="AI19" s="492">
        <f t="shared" si="10"/>
        <v>7.6273905648711935</v>
      </c>
      <c r="AJ19" s="492" t="s">
        <v>442</v>
      </c>
      <c r="AL19" s="283" t="e">
        <f t="shared" ca="1" si="11"/>
        <v>#NAME?</v>
      </c>
    </row>
    <row r="20" spans="1:38" hidden="1">
      <c r="A20" s="492">
        <f t="shared" si="12"/>
        <v>10</v>
      </c>
      <c r="B20" s="492">
        <f t="shared" si="0"/>
        <v>1</v>
      </c>
      <c r="C20" s="492">
        <f t="shared" si="0"/>
        <v>2</v>
      </c>
      <c r="D20" s="492">
        <f t="shared" si="0"/>
        <v>1</v>
      </c>
      <c r="E20" s="492">
        <f t="shared" si="1"/>
        <v>1</v>
      </c>
      <c r="F20" s="492" t="str">
        <f t="shared" si="2"/>
        <v>Hospitality</v>
      </c>
      <c r="G20" s="492" t="str">
        <f t="shared" si="3"/>
        <v>Direct Install</v>
      </c>
      <c r="H20" s="492" t="str">
        <f t="shared" si="3"/>
        <v>2_00</v>
      </c>
      <c r="I20" s="492" t="str">
        <f t="shared" si="3"/>
        <v>Electric Water Heating</v>
      </c>
      <c r="J20" s="492" t="str">
        <f t="shared" si="4"/>
        <v>Commercial Showerhead Replacement_2_00gpm_Hospitality_ Electric Water Heating_Direct Install</v>
      </c>
      <c r="K20" s="493">
        <f>INDEX(InstallRatesCostAndLifetime!$A$2:$D$6,MATCH(InputForProCost!G20,InstallRatesCostAndLifetime!$A$2:$A$6,0),MATCH(InputForProCost!H20,InstallRatesCostAndLifetime!$A$2:$D$2,0))</f>
        <v>0.9</v>
      </c>
      <c r="L20" s="493">
        <f t="shared" si="5"/>
        <v>1</v>
      </c>
      <c r="M20" s="492"/>
      <c r="N20" s="492" t="str">
        <f t="shared" si="6"/>
        <v>Hospitality2_00</v>
      </c>
      <c r="O20" s="494">
        <f>VLOOKUP($N20,Impacts!$F$5:$Z$22,16,FALSE)</f>
        <v>159.16701551210087</v>
      </c>
      <c r="P20" s="494">
        <f>VLOOKUP($N20,Impacts!$F$5:$Z$22,17,FALSE)*K20</f>
        <v>6.682404370460401</v>
      </c>
      <c r="Q20" s="495">
        <f>VLOOKUP($N20,Impacts!$F$5:$Z$22,19,FALSE)*K20</f>
        <v>6.3884099058781763</v>
      </c>
      <c r="R20" s="496">
        <f>VLOOKUP($N20,Impacts!$F$5:$Z$22,20,FALSE)*K20</f>
        <v>1263.2144367600001</v>
      </c>
      <c r="S20" s="497">
        <f>VLOOKUP($N20,Impacts!$F$5:$Z$22,21,FALSE)*K20</f>
        <v>16.627292115560472</v>
      </c>
      <c r="T20" s="492"/>
      <c r="U20" s="492" t="str">
        <f t="shared" si="7"/>
        <v>Commercial Showerhead Replacement_2_00gpm_Hospitality_ Electric Water Heating_Direct Install</v>
      </c>
      <c r="V20" s="492" t="s">
        <v>440</v>
      </c>
      <c r="W20" s="494">
        <f t="shared" si="13"/>
        <v>143.25031396089079</v>
      </c>
      <c r="X20" s="492">
        <v>10</v>
      </c>
      <c r="Y20" s="498">
        <f t="shared" si="8"/>
        <v>11.336666666666666</v>
      </c>
      <c r="Z20" s="492"/>
      <c r="AA20" s="499" t="s">
        <v>441</v>
      </c>
      <c r="AB20" s="497">
        <f t="shared" si="9"/>
        <v>16.627292115560472</v>
      </c>
      <c r="AC20" s="492"/>
      <c r="AD20" s="492"/>
      <c r="AE20" s="492"/>
      <c r="AF20" s="492"/>
      <c r="AG20" s="492"/>
      <c r="AH20" s="492"/>
      <c r="AI20" s="492">
        <f t="shared" si="10"/>
        <v>0</v>
      </c>
      <c r="AJ20" s="492" t="s">
        <v>442</v>
      </c>
      <c r="AL20" s="283" t="e">
        <f t="shared" ca="1" si="11"/>
        <v>#NAME?</v>
      </c>
    </row>
    <row r="21" spans="1:38" hidden="1">
      <c r="A21" s="492">
        <f t="shared" si="12"/>
        <v>11</v>
      </c>
      <c r="B21" s="492">
        <f t="shared" si="0"/>
        <v>1</v>
      </c>
      <c r="C21" s="492">
        <f t="shared" si="0"/>
        <v>2</v>
      </c>
      <c r="D21" s="492">
        <f t="shared" si="0"/>
        <v>1</v>
      </c>
      <c r="E21" s="492">
        <f t="shared" si="1"/>
        <v>2</v>
      </c>
      <c r="F21" s="492" t="str">
        <f t="shared" si="2"/>
        <v>Hospitality</v>
      </c>
      <c r="G21" s="492" t="str">
        <f t="shared" si="3"/>
        <v>Direct Install</v>
      </c>
      <c r="H21" s="492" t="str">
        <f t="shared" si="3"/>
        <v>2_00</v>
      </c>
      <c r="I21" s="492" t="str">
        <f t="shared" si="3"/>
        <v>Gas Water Heating</v>
      </c>
      <c r="J21" s="492" t="str">
        <f t="shared" si="4"/>
        <v>Commercial Showerhead Replacement_2_00gpm_Hospitality_ Gas Water Heating_Direct Install</v>
      </c>
      <c r="K21" s="493">
        <f>INDEX(InstallRatesCostAndLifetime!$A$2:$D$6,MATCH(InputForProCost!G21,InstallRatesCostAndLifetime!$A$2:$A$6,0),MATCH(InputForProCost!H21,InstallRatesCostAndLifetime!$A$2:$D$2,0))</f>
        <v>0.9</v>
      </c>
      <c r="L21" s="493">
        <f t="shared" si="5"/>
        <v>0</v>
      </c>
      <c r="M21" s="492"/>
      <c r="N21" s="492" t="str">
        <f t="shared" si="6"/>
        <v>Hospitality2_00</v>
      </c>
      <c r="O21" s="494">
        <f>VLOOKUP($N21,Impacts!$F$5:$Z$22,16,FALSE)</f>
        <v>159.16701551210087</v>
      </c>
      <c r="P21" s="494">
        <f>VLOOKUP($N21,Impacts!$F$5:$Z$22,17,FALSE)*K21</f>
        <v>6.682404370460401</v>
      </c>
      <c r="Q21" s="495">
        <f>VLOOKUP($N21,Impacts!$F$5:$Z$22,19,FALSE)*K21</f>
        <v>6.3884099058781763</v>
      </c>
      <c r="R21" s="496">
        <f>VLOOKUP($N21,Impacts!$F$5:$Z$22,20,FALSE)*K21</f>
        <v>1263.2144367600001</v>
      </c>
      <c r="S21" s="497">
        <f>VLOOKUP($N21,Impacts!$F$5:$Z$22,21,FALSE)*K21</f>
        <v>16.627292115560472</v>
      </c>
      <c r="T21" s="492"/>
      <c r="U21" s="492" t="str">
        <f t="shared" si="7"/>
        <v>Commercial Showerhead Replacement_2_00gpm_Hospitality_ Gas Water Heating_Direct Install</v>
      </c>
      <c r="V21" s="492" t="s">
        <v>440</v>
      </c>
      <c r="W21" s="494">
        <f t="shared" si="13"/>
        <v>0</v>
      </c>
      <c r="X21" s="492">
        <v>10</v>
      </c>
      <c r="Y21" s="498">
        <f t="shared" si="8"/>
        <v>11.336666666666666</v>
      </c>
      <c r="Z21" s="492"/>
      <c r="AA21" s="499" t="s">
        <v>441</v>
      </c>
      <c r="AB21" s="497">
        <f t="shared" si="9"/>
        <v>16.627292115560472</v>
      </c>
      <c r="AC21" s="492"/>
      <c r="AD21" s="492"/>
      <c r="AE21" s="492"/>
      <c r="AF21" s="492"/>
      <c r="AG21" s="492"/>
      <c r="AH21" s="492"/>
      <c r="AI21" s="492">
        <f t="shared" si="10"/>
        <v>6.3884099058781763</v>
      </c>
      <c r="AJ21" s="492" t="s">
        <v>442</v>
      </c>
      <c r="AL21" s="283" t="e">
        <f t="shared" ca="1" si="11"/>
        <v>#NAME?</v>
      </c>
    </row>
    <row r="22" spans="1:38" hidden="1">
      <c r="A22" s="492">
        <f t="shared" si="12"/>
        <v>12</v>
      </c>
      <c r="B22" s="492">
        <f t="shared" si="0"/>
        <v>1</v>
      </c>
      <c r="C22" s="492">
        <f t="shared" si="0"/>
        <v>2</v>
      </c>
      <c r="D22" s="492">
        <f t="shared" si="0"/>
        <v>1</v>
      </c>
      <c r="E22" s="492">
        <f t="shared" si="1"/>
        <v>3</v>
      </c>
      <c r="F22" s="492" t="str">
        <f t="shared" si="2"/>
        <v>Hospitality</v>
      </c>
      <c r="G22" s="492" t="str">
        <f t="shared" si="3"/>
        <v>Direct Install</v>
      </c>
      <c r="H22" s="492" t="str">
        <f t="shared" si="3"/>
        <v>2_00</v>
      </c>
      <c r="I22" s="492" t="str">
        <f t="shared" si="3"/>
        <v>Any Water Heating</v>
      </c>
      <c r="J22" s="492" t="str">
        <f t="shared" si="4"/>
        <v>Commercial Showerhead Replacement_2_00gpm_Hospitality_ Any Water Heating_Direct Install</v>
      </c>
      <c r="K22" s="493">
        <f>INDEX(InstallRatesCostAndLifetime!$A$2:$D$6,MATCH(InputForProCost!G22,InstallRatesCostAndLifetime!$A$2:$A$6,0),MATCH(InputForProCost!H22,InstallRatesCostAndLifetime!$A$2:$D$2,0))</f>
        <v>0.9</v>
      </c>
      <c r="L22" s="493">
        <f t="shared" si="5"/>
        <v>0.13</v>
      </c>
      <c r="M22" s="492"/>
      <c r="N22" s="492" t="str">
        <f t="shared" si="6"/>
        <v>Hospitality2_00</v>
      </c>
      <c r="O22" s="494">
        <f>VLOOKUP($N22,Impacts!$F$5:$Z$22,16,FALSE)</f>
        <v>159.16701551210087</v>
      </c>
      <c r="P22" s="494">
        <f>VLOOKUP($N22,Impacts!$F$5:$Z$22,17,FALSE)*K22</f>
        <v>6.682404370460401</v>
      </c>
      <c r="Q22" s="495">
        <f>VLOOKUP($N22,Impacts!$F$5:$Z$22,19,FALSE)*K22</f>
        <v>6.3884099058781763</v>
      </c>
      <c r="R22" s="496">
        <f>VLOOKUP($N22,Impacts!$F$5:$Z$22,20,FALSE)*K22</f>
        <v>1263.2144367600001</v>
      </c>
      <c r="S22" s="497">
        <f>VLOOKUP($N22,Impacts!$F$5:$Z$22,21,FALSE)*K22</f>
        <v>16.627292115560472</v>
      </c>
      <c r="T22" s="492"/>
      <c r="U22" s="492" t="str">
        <f t="shared" si="7"/>
        <v>Commercial Showerhead Replacement_2_00gpm_Hospitality_ Any Water Heating_Direct Install</v>
      </c>
      <c r="V22" s="492" t="s">
        <v>440</v>
      </c>
      <c r="W22" s="494">
        <f t="shared" si="13"/>
        <v>18.622540814915801</v>
      </c>
      <c r="X22" s="492">
        <v>10</v>
      </c>
      <c r="Y22" s="498">
        <f t="shared" si="8"/>
        <v>11.336666666666666</v>
      </c>
      <c r="Z22" s="492"/>
      <c r="AA22" s="499" t="s">
        <v>441</v>
      </c>
      <c r="AB22" s="497">
        <f t="shared" si="9"/>
        <v>16.627292115560472</v>
      </c>
      <c r="AC22" s="492"/>
      <c r="AD22" s="492"/>
      <c r="AE22" s="492"/>
      <c r="AF22" s="492"/>
      <c r="AG22" s="492"/>
      <c r="AH22" s="492"/>
      <c r="AI22" s="492">
        <f t="shared" si="10"/>
        <v>5.5579166181140129</v>
      </c>
      <c r="AJ22" s="492" t="s">
        <v>442</v>
      </c>
      <c r="AL22" s="283" t="e">
        <f t="shared" ca="1" si="11"/>
        <v>#NAME?</v>
      </c>
    </row>
    <row r="23" spans="1:38" hidden="1">
      <c r="A23" s="492">
        <f t="shared" si="12"/>
        <v>13</v>
      </c>
      <c r="B23" s="492">
        <f t="shared" si="0"/>
        <v>1</v>
      </c>
      <c r="C23" s="492">
        <f t="shared" si="0"/>
        <v>2</v>
      </c>
      <c r="D23" s="492">
        <f t="shared" si="0"/>
        <v>2</v>
      </c>
      <c r="E23" s="492">
        <f t="shared" si="1"/>
        <v>1</v>
      </c>
      <c r="F23" s="492" t="str">
        <f t="shared" si="2"/>
        <v>Hospitality</v>
      </c>
      <c r="G23" s="492" t="str">
        <f t="shared" si="3"/>
        <v>Direct Install</v>
      </c>
      <c r="H23" s="492" t="str">
        <f t="shared" si="3"/>
        <v>1_75</v>
      </c>
      <c r="I23" s="492" t="str">
        <f t="shared" si="3"/>
        <v>Electric Water Heating</v>
      </c>
      <c r="J23" s="492" t="str">
        <f t="shared" si="4"/>
        <v>Commercial Showerhead Replacement_1_75gpm_Hospitality_ Electric Water Heating_Direct Install</v>
      </c>
      <c r="K23" s="493">
        <f>INDEX(InstallRatesCostAndLifetime!$A$2:$D$6,MATCH(InputForProCost!G23,InstallRatesCostAndLifetime!$A$2:$A$6,0),MATCH(InputForProCost!H23,InstallRatesCostAndLifetime!$A$2:$D$2,0))</f>
        <v>0.9</v>
      </c>
      <c r="L23" s="493">
        <f t="shared" si="5"/>
        <v>1</v>
      </c>
      <c r="M23" s="492"/>
      <c r="N23" s="492" t="str">
        <f t="shared" si="6"/>
        <v>Hospitality1_75</v>
      </c>
      <c r="O23" s="494">
        <f>VLOOKUP($N23,Impacts!$F$5:$Z$22,16,FALSE)</f>
        <v>169.86544051140947</v>
      </c>
      <c r="P23" s="494">
        <f>VLOOKUP($N23,Impacts!$F$5:$Z$22,17,FALSE)*K23</f>
        <v>7.5177049167679542</v>
      </c>
      <c r="Q23" s="495">
        <f>VLOOKUP($N23,Impacts!$F$5:$Z$22,19,FALSE)*K23</f>
        <v>6.8178074416866012</v>
      </c>
      <c r="R23" s="496">
        <f>VLOOKUP($N23,Impacts!$F$5:$Z$22,20,FALSE)*K23</f>
        <v>1421.1162413550007</v>
      </c>
      <c r="S23" s="497">
        <f>VLOOKUP($N23,Impacts!$F$5:$Z$22,21,FALSE)*K23</f>
        <v>18.705703630005537</v>
      </c>
      <c r="T23" s="492"/>
      <c r="U23" s="492" t="str">
        <f t="shared" si="7"/>
        <v>Commercial Showerhead Replacement_1_75gpm_Hospitality_ Electric Water Heating_Direct Install</v>
      </c>
      <c r="V23" s="492" t="s">
        <v>440</v>
      </c>
      <c r="W23" s="494">
        <f t="shared" si="13"/>
        <v>152.87889646026852</v>
      </c>
      <c r="X23" s="492">
        <v>10</v>
      </c>
      <c r="Y23" s="498">
        <f t="shared" si="8"/>
        <v>11.336666666666666</v>
      </c>
      <c r="Z23" s="492"/>
      <c r="AA23" s="499" t="s">
        <v>441</v>
      </c>
      <c r="AB23" s="497">
        <f t="shared" si="9"/>
        <v>18.705703630005537</v>
      </c>
      <c r="AC23" s="492"/>
      <c r="AD23" s="492"/>
      <c r="AE23" s="492"/>
      <c r="AF23" s="492"/>
      <c r="AG23" s="492"/>
      <c r="AH23" s="492"/>
      <c r="AI23" s="492">
        <f t="shared" si="10"/>
        <v>0</v>
      </c>
      <c r="AJ23" s="492" t="s">
        <v>442</v>
      </c>
      <c r="AL23" s="283" t="e">
        <f t="shared" ca="1" si="11"/>
        <v>#NAME?</v>
      </c>
    </row>
    <row r="24" spans="1:38" hidden="1">
      <c r="A24" s="492">
        <f t="shared" si="12"/>
        <v>14</v>
      </c>
      <c r="B24" s="492">
        <f t="shared" si="0"/>
        <v>1</v>
      </c>
      <c r="C24" s="492">
        <f t="shared" si="0"/>
        <v>2</v>
      </c>
      <c r="D24" s="492">
        <f t="shared" si="0"/>
        <v>2</v>
      </c>
      <c r="E24" s="492">
        <f t="shared" si="1"/>
        <v>2</v>
      </c>
      <c r="F24" s="492" t="str">
        <f t="shared" si="2"/>
        <v>Hospitality</v>
      </c>
      <c r="G24" s="492" t="str">
        <f t="shared" si="3"/>
        <v>Direct Install</v>
      </c>
      <c r="H24" s="492" t="str">
        <f t="shared" si="3"/>
        <v>1_75</v>
      </c>
      <c r="I24" s="492" t="str">
        <f t="shared" si="3"/>
        <v>Gas Water Heating</v>
      </c>
      <c r="J24" s="492" t="str">
        <f t="shared" si="4"/>
        <v>Commercial Showerhead Replacement_1_75gpm_Hospitality_ Gas Water Heating_Direct Install</v>
      </c>
      <c r="K24" s="493">
        <f>INDEX(InstallRatesCostAndLifetime!$A$2:$D$6,MATCH(InputForProCost!G24,InstallRatesCostAndLifetime!$A$2:$A$6,0),MATCH(InputForProCost!H24,InstallRatesCostAndLifetime!$A$2:$D$2,0))</f>
        <v>0.9</v>
      </c>
      <c r="L24" s="493">
        <f t="shared" si="5"/>
        <v>0</v>
      </c>
      <c r="M24" s="492"/>
      <c r="N24" s="492" t="str">
        <f t="shared" si="6"/>
        <v>Hospitality1_75</v>
      </c>
      <c r="O24" s="494">
        <f>VLOOKUP($N24,Impacts!$F$5:$Z$22,16,FALSE)</f>
        <v>169.86544051140947</v>
      </c>
      <c r="P24" s="494">
        <f>VLOOKUP($N24,Impacts!$F$5:$Z$22,17,FALSE)*K24</f>
        <v>7.5177049167679542</v>
      </c>
      <c r="Q24" s="495">
        <f>VLOOKUP($N24,Impacts!$F$5:$Z$22,19,FALSE)*K24</f>
        <v>6.8178074416866012</v>
      </c>
      <c r="R24" s="496">
        <f>VLOOKUP($N24,Impacts!$F$5:$Z$22,20,FALSE)*K24</f>
        <v>1421.1162413550007</v>
      </c>
      <c r="S24" s="497">
        <f>VLOOKUP($N24,Impacts!$F$5:$Z$22,21,FALSE)*K24</f>
        <v>18.705703630005537</v>
      </c>
      <c r="T24" s="492"/>
      <c r="U24" s="492" t="str">
        <f t="shared" si="7"/>
        <v>Commercial Showerhead Replacement_1_75gpm_Hospitality_ Gas Water Heating_Direct Install</v>
      </c>
      <c r="V24" s="492" t="s">
        <v>440</v>
      </c>
      <c r="W24" s="494">
        <f t="shared" si="13"/>
        <v>0</v>
      </c>
      <c r="X24" s="492">
        <v>10</v>
      </c>
      <c r="Y24" s="498">
        <f t="shared" si="8"/>
        <v>11.336666666666666</v>
      </c>
      <c r="Z24" s="492"/>
      <c r="AA24" s="499" t="s">
        <v>441</v>
      </c>
      <c r="AB24" s="497">
        <f t="shared" si="9"/>
        <v>18.705703630005537</v>
      </c>
      <c r="AC24" s="492"/>
      <c r="AD24" s="492"/>
      <c r="AE24" s="492"/>
      <c r="AF24" s="492"/>
      <c r="AG24" s="492"/>
      <c r="AH24" s="492"/>
      <c r="AI24" s="492">
        <f t="shared" si="10"/>
        <v>6.8178074416866012</v>
      </c>
      <c r="AJ24" s="492" t="s">
        <v>442</v>
      </c>
      <c r="AL24" s="283" t="e">
        <f t="shared" ca="1" si="11"/>
        <v>#NAME?</v>
      </c>
    </row>
    <row r="25" spans="1:38" hidden="1">
      <c r="A25" s="492">
        <f t="shared" si="12"/>
        <v>15</v>
      </c>
      <c r="B25" s="492">
        <f t="shared" si="0"/>
        <v>1</v>
      </c>
      <c r="C25" s="492">
        <f t="shared" si="0"/>
        <v>2</v>
      </c>
      <c r="D25" s="492">
        <f t="shared" si="0"/>
        <v>2</v>
      </c>
      <c r="E25" s="492">
        <f t="shared" si="1"/>
        <v>3</v>
      </c>
      <c r="F25" s="492" t="str">
        <f t="shared" si="2"/>
        <v>Hospitality</v>
      </c>
      <c r="G25" s="492" t="str">
        <f t="shared" si="3"/>
        <v>Direct Install</v>
      </c>
      <c r="H25" s="492" t="str">
        <f t="shared" si="3"/>
        <v>1_75</v>
      </c>
      <c r="I25" s="492" t="str">
        <f t="shared" si="3"/>
        <v>Any Water Heating</v>
      </c>
      <c r="J25" s="492" t="str">
        <f t="shared" si="4"/>
        <v>Commercial Showerhead Replacement_1_75gpm_Hospitality_ Any Water Heating_Direct Install</v>
      </c>
      <c r="K25" s="493">
        <f>INDEX(InstallRatesCostAndLifetime!$A$2:$D$6,MATCH(InputForProCost!G25,InstallRatesCostAndLifetime!$A$2:$A$6,0),MATCH(InputForProCost!H25,InstallRatesCostAndLifetime!$A$2:$D$2,0))</f>
        <v>0.9</v>
      </c>
      <c r="L25" s="493">
        <f t="shared" si="5"/>
        <v>0.13</v>
      </c>
      <c r="M25" s="492"/>
      <c r="N25" s="492" t="str">
        <f t="shared" si="6"/>
        <v>Hospitality1_75</v>
      </c>
      <c r="O25" s="494">
        <f>VLOOKUP($N25,Impacts!$F$5:$Z$22,16,FALSE)</f>
        <v>169.86544051140947</v>
      </c>
      <c r="P25" s="494">
        <f>VLOOKUP($N25,Impacts!$F$5:$Z$22,17,FALSE)*K25</f>
        <v>7.5177049167679542</v>
      </c>
      <c r="Q25" s="495">
        <f>VLOOKUP($N25,Impacts!$F$5:$Z$22,19,FALSE)*K25</f>
        <v>6.8178074416866012</v>
      </c>
      <c r="R25" s="496">
        <f>VLOOKUP($N25,Impacts!$F$5:$Z$22,20,FALSE)*K25</f>
        <v>1421.1162413550007</v>
      </c>
      <c r="S25" s="497">
        <f>VLOOKUP($N25,Impacts!$F$5:$Z$22,21,FALSE)*K25</f>
        <v>18.705703630005537</v>
      </c>
      <c r="T25" s="492"/>
      <c r="U25" s="492" t="str">
        <f t="shared" si="7"/>
        <v>Commercial Showerhead Replacement_1_75gpm_Hospitality_ Any Water Heating_Direct Install</v>
      </c>
      <c r="V25" s="492" t="s">
        <v>440</v>
      </c>
      <c r="W25" s="494">
        <f t="shared" si="13"/>
        <v>19.87425653983491</v>
      </c>
      <c r="X25" s="492">
        <v>10</v>
      </c>
      <c r="Y25" s="498">
        <f t="shared" si="8"/>
        <v>11.336666666666666</v>
      </c>
      <c r="Z25" s="492"/>
      <c r="AA25" s="499" t="s">
        <v>441</v>
      </c>
      <c r="AB25" s="497">
        <f t="shared" si="9"/>
        <v>18.705703630005537</v>
      </c>
      <c r="AC25" s="492"/>
      <c r="AD25" s="492"/>
      <c r="AE25" s="492"/>
      <c r="AF25" s="492"/>
      <c r="AG25" s="492"/>
      <c r="AH25" s="492"/>
      <c r="AI25" s="492">
        <f t="shared" si="10"/>
        <v>5.9314924742673432</v>
      </c>
      <c r="AJ25" s="492" t="s">
        <v>442</v>
      </c>
      <c r="AL25" s="283" t="e">
        <f t="shared" ca="1" si="11"/>
        <v>#NAME?</v>
      </c>
    </row>
    <row r="26" spans="1:38" hidden="1">
      <c r="A26" s="492">
        <f t="shared" si="12"/>
        <v>16</v>
      </c>
      <c r="B26" s="492">
        <f t="shared" si="0"/>
        <v>1</v>
      </c>
      <c r="C26" s="492">
        <f t="shared" si="0"/>
        <v>2</v>
      </c>
      <c r="D26" s="492">
        <f t="shared" si="0"/>
        <v>3</v>
      </c>
      <c r="E26" s="492">
        <f t="shared" si="1"/>
        <v>1</v>
      </c>
      <c r="F26" s="492" t="str">
        <f t="shared" si="2"/>
        <v>Hospitality</v>
      </c>
      <c r="G26" s="492" t="str">
        <f t="shared" si="3"/>
        <v>Direct Install</v>
      </c>
      <c r="H26" s="492" t="str">
        <f t="shared" si="3"/>
        <v>1_50</v>
      </c>
      <c r="I26" s="492" t="str">
        <f t="shared" si="3"/>
        <v>Electric Water Heating</v>
      </c>
      <c r="J26" s="492" t="str">
        <f t="shared" si="4"/>
        <v>Commercial Showerhead Replacement_1_50gpm_Hospitality_ Electric Water Heating_Direct Install</v>
      </c>
      <c r="K26" s="493">
        <f>INDEX(InstallRatesCostAndLifetime!$A$2:$D$6,MATCH(InputForProCost!G26,InstallRatesCostAndLifetime!$A$2:$A$6,0),MATCH(InputForProCost!H26,InstallRatesCostAndLifetime!$A$2:$D$2,0))</f>
        <v>0.9</v>
      </c>
      <c r="L26" s="493">
        <f t="shared" si="5"/>
        <v>1</v>
      </c>
      <c r="M26" s="492"/>
      <c r="N26" s="492" t="str">
        <f t="shared" si="6"/>
        <v>Hospitality1_50</v>
      </c>
      <c r="O26" s="494">
        <f>VLOOKUP($N26,Impacts!$F$5:$Z$22,16,FALSE)</f>
        <v>280.84164013110251</v>
      </c>
      <c r="P26" s="494">
        <f>VLOOKUP($N26,Impacts!$F$5:$Z$22,17,FALSE)*K26</f>
        <v>11.694207648305705</v>
      </c>
      <c r="Q26" s="495">
        <f>VLOOKUP($N26,Impacts!$F$5:$Z$22,19,FALSE)*K26</f>
        <v>11.272005760893391</v>
      </c>
      <c r="R26" s="496">
        <f>VLOOKUP($N26,Impacts!$F$5:$Z$22,20,FALSE)*K26</f>
        <v>2210.6252643300008</v>
      </c>
      <c r="S26" s="497">
        <f>VLOOKUP($N26,Impacts!$F$5:$Z$22,21,FALSE)*K26</f>
        <v>29.097761202230835</v>
      </c>
      <c r="T26" s="492"/>
      <c r="U26" s="492" t="str">
        <f t="shared" si="7"/>
        <v>Commercial Showerhead Replacement_1_50gpm_Hospitality_ Electric Water Heating_Direct Install</v>
      </c>
      <c r="V26" s="492" t="s">
        <v>440</v>
      </c>
      <c r="W26" s="494">
        <f t="shared" si="13"/>
        <v>252.75747611799227</v>
      </c>
      <c r="X26" s="492">
        <v>10</v>
      </c>
      <c r="Y26" s="498">
        <f t="shared" si="8"/>
        <v>11.336666666666666</v>
      </c>
      <c r="Z26" s="492"/>
      <c r="AA26" s="499" t="s">
        <v>441</v>
      </c>
      <c r="AB26" s="497">
        <f t="shared" si="9"/>
        <v>29.097761202230835</v>
      </c>
      <c r="AC26" s="492"/>
      <c r="AD26" s="492"/>
      <c r="AE26" s="492"/>
      <c r="AF26" s="492"/>
      <c r="AG26" s="492"/>
      <c r="AH26" s="492"/>
      <c r="AI26" s="492">
        <f t="shared" si="10"/>
        <v>0</v>
      </c>
      <c r="AJ26" s="492" t="s">
        <v>442</v>
      </c>
      <c r="AL26" s="283" t="e">
        <f t="shared" ca="1" si="11"/>
        <v>#NAME?</v>
      </c>
    </row>
    <row r="27" spans="1:38" hidden="1">
      <c r="A27" s="492">
        <f t="shared" si="12"/>
        <v>17</v>
      </c>
      <c r="B27" s="492">
        <f t="shared" si="0"/>
        <v>1</v>
      </c>
      <c r="C27" s="492">
        <f t="shared" si="0"/>
        <v>2</v>
      </c>
      <c r="D27" s="492">
        <f t="shared" si="0"/>
        <v>3</v>
      </c>
      <c r="E27" s="492">
        <f t="shared" si="1"/>
        <v>2</v>
      </c>
      <c r="F27" s="492" t="str">
        <f t="shared" si="2"/>
        <v>Hospitality</v>
      </c>
      <c r="G27" s="492" t="str">
        <f t="shared" si="3"/>
        <v>Direct Install</v>
      </c>
      <c r="H27" s="492" t="str">
        <f t="shared" si="3"/>
        <v>1_50</v>
      </c>
      <c r="I27" s="492" t="str">
        <f t="shared" si="3"/>
        <v>Gas Water Heating</v>
      </c>
      <c r="J27" s="492" t="str">
        <f t="shared" si="4"/>
        <v>Commercial Showerhead Replacement_1_50gpm_Hospitality_ Gas Water Heating_Direct Install</v>
      </c>
      <c r="K27" s="493">
        <f>INDEX(InstallRatesCostAndLifetime!$A$2:$D$6,MATCH(InputForProCost!G27,InstallRatesCostAndLifetime!$A$2:$A$6,0),MATCH(InputForProCost!H27,InstallRatesCostAndLifetime!$A$2:$D$2,0))</f>
        <v>0.9</v>
      </c>
      <c r="L27" s="493">
        <f t="shared" si="5"/>
        <v>0</v>
      </c>
      <c r="M27" s="492"/>
      <c r="N27" s="492" t="str">
        <f t="shared" si="6"/>
        <v>Hospitality1_50</v>
      </c>
      <c r="O27" s="494">
        <f>VLOOKUP($N27,Impacts!$F$5:$Z$22,16,FALSE)</f>
        <v>280.84164013110251</v>
      </c>
      <c r="P27" s="494">
        <f>VLOOKUP($N27,Impacts!$F$5:$Z$22,17,FALSE)*K27</f>
        <v>11.694207648305705</v>
      </c>
      <c r="Q27" s="495">
        <f>VLOOKUP($N27,Impacts!$F$5:$Z$22,19,FALSE)*K27</f>
        <v>11.272005760893391</v>
      </c>
      <c r="R27" s="496">
        <f>VLOOKUP($N27,Impacts!$F$5:$Z$22,20,FALSE)*K27</f>
        <v>2210.6252643300008</v>
      </c>
      <c r="S27" s="497">
        <f>VLOOKUP($N27,Impacts!$F$5:$Z$22,21,FALSE)*K27</f>
        <v>29.097761202230835</v>
      </c>
      <c r="T27" s="492"/>
      <c r="U27" s="492" t="str">
        <f t="shared" si="7"/>
        <v>Commercial Showerhead Replacement_1_50gpm_Hospitality_ Gas Water Heating_Direct Install</v>
      </c>
      <c r="V27" s="492" t="s">
        <v>440</v>
      </c>
      <c r="W27" s="494">
        <f t="shared" si="13"/>
        <v>0</v>
      </c>
      <c r="X27" s="492">
        <v>10</v>
      </c>
      <c r="Y27" s="498">
        <f t="shared" si="8"/>
        <v>11.336666666666666</v>
      </c>
      <c r="Z27" s="492"/>
      <c r="AA27" s="499" t="s">
        <v>441</v>
      </c>
      <c r="AB27" s="497">
        <f t="shared" si="9"/>
        <v>29.097761202230835</v>
      </c>
      <c r="AC27" s="492"/>
      <c r="AD27" s="492"/>
      <c r="AE27" s="492"/>
      <c r="AF27" s="492"/>
      <c r="AG27" s="492"/>
      <c r="AH27" s="492"/>
      <c r="AI27" s="492">
        <f t="shared" si="10"/>
        <v>11.272005760893391</v>
      </c>
      <c r="AJ27" s="492" t="s">
        <v>442</v>
      </c>
      <c r="AL27" s="283" t="e">
        <f t="shared" ca="1" si="11"/>
        <v>#NAME?</v>
      </c>
    </row>
    <row r="28" spans="1:38">
      <c r="A28" s="492">
        <f t="shared" si="12"/>
        <v>18</v>
      </c>
      <c r="B28" s="492">
        <f t="shared" si="0"/>
        <v>1</v>
      </c>
      <c r="C28" s="492">
        <f t="shared" si="0"/>
        <v>2</v>
      </c>
      <c r="D28" s="492">
        <f t="shared" si="0"/>
        <v>3</v>
      </c>
      <c r="E28" s="492">
        <f t="shared" si="1"/>
        <v>3</v>
      </c>
      <c r="F28" s="492" t="str">
        <f t="shared" si="2"/>
        <v>Hospitality</v>
      </c>
      <c r="G28" s="492" t="str">
        <f t="shared" si="3"/>
        <v>Direct Install</v>
      </c>
      <c r="H28" s="492" t="str">
        <f t="shared" si="3"/>
        <v>1_50</v>
      </c>
      <c r="I28" s="492" t="str">
        <f t="shared" si="3"/>
        <v>Any Water Heating</v>
      </c>
      <c r="J28" s="492" t="str">
        <f t="shared" si="4"/>
        <v>Commercial Showerhead Replacement_1_50gpm_Hospitality_ Any Water Heating_Direct Install</v>
      </c>
      <c r="K28" s="493">
        <f>INDEX(InstallRatesCostAndLifetime!$A$2:$D$6,MATCH(InputForProCost!G28,InstallRatesCostAndLifetime!$A$2:$A$6,0),MATCH(InputForProCost!H28,InstallRatesCostAndLifetime!$A$2:$D$2,0))</f>
        <v>0.9</v>
      </c>
      <c r="L28" s="493">
        <f t="shared" si="5"/>
        <v>0.13</v>
      </c>
      <c r="M28" s="492"/>
      <c r="N28" s="492" t="str">
        <f t="shared" si="6"/>
        <v>Hospitality1_50</v>
      </c>
      <c r="O28" s="494">
        <f>VLOOKUP($N28,Impacts!$F$5:$Z$22,16,FALSE)</f>
        <v>280.84164013110251</v>
      </c>
      <c r="P28" s="494">
        <f>VLOOKUP($N28,Impacts!$F$5:$Z$22,17,FALSE)*K28</f>
        <v>11.694207648305705</v>
      </c>
      <c r="Q28" s="495">
        <f>VLOOKUP($N28,Impacts!$F$5:$Z$22,19,FALSE)*K28</f>
        <v>11.272005760893391</v>
      </c>
      <c r="R28" s="496">
        <f>VLOOKUP($N28,Impacts!$F$5:$Z$22,20,FALSE)*K28</f>
        <v>2210.6252643300008</v>
      </c>
      <c r="S28" s="497">
        <f>VLOOKUP($N28,Impacts!$F$5:$Z$22,21,FALSE)*K28</f>
        <v>29.097761202230835</v>
      </c>
      <c r="T28" s="492"/>
      <c r="U28" s="492" t="str">
        <f t="shared" si="7"/>
        <v>Commercial Showerhead Replacement_1_50gpm_Hospitality_ Any Water Heating_Direct Install</v>
      </c>
      <c r="V28" s="492" t="s">
        <v>440</v>
      </c>
      <c r="W28" s="494">
        <f>(O28*L28*K28)</f>
        <v>32.858471895338994</v>
      </c>
      <c r="X28" s="492">
        <v>10</v>
      </c>
      <c r="Y28" s="498">
        <f t="shared" si="8"/>
        <v>11.336666666666666</v>
      </c>
      <c r="Z28" s="492"/>
      <c r="AA28" s="499" t="s">
        <v>441</v>
      </c>
      <c r="AB28" s="497">
        <f t="shared" si="9"/>
        <v>29.097761202230835</v>
      </c>
      <c r="AC28" s="492"/>
      <c r="AD28" s="492"/>
      <c r="AE28" s="492"/>
      <c r="AF28" s="492"/>
      <c r="AG28" s="492"/>
      <c r="AH28" s="492"/>
      <c r="AI28" s="492">
        <f t="shared" si="10"/>
        <v>9.8066450119772508</v>
      </c>
      <c r="AJ28" s="492" t="s">
        <v>442</v>
      </c>
      <c r="AL28" s="283" t="e">
        <f t="shared" ca="1" si="11"/>
        <v>#NAME?</v>
      </c>
    </row>
    <row r="29" spans="1:38" hidden="1">
      <c r="A29" s="492">
        <f t="shared" si="12"/>
        <v>19</v>
      </c>
      <c r="B29" s="492">
        <f t="shared" si="0"/>
        <v>1</v>
      </c>
      <c r="C29" s="492">
        <f t="shared" si="0"/>
        <v>3</v>
      </c>
      <c r="D29" s="492">
        <f t="shared" si="0"/>
        <v>1</v>
      </c>
      <c r="E29" s="492">
        <f t="shared" si="1"/>
        <v>1</v>
      </c>
      <c r="F29" s="492" t="str">
        <f t="shared" si="2"/>
        <v>Hospitality</v>
      </c>
      <c r="G29" s="492" t="str">
        <f t="shared" si="3"/>
        <v>Mail-by-Request</v>
      </c>
      <c r="H29" s="492" t="str">
        <f t="shared" si="3"/>
        <v>2_00</v>
      </c>
      <c r="I29" s="492" t="str">
        <f t="shared" si="3"/>
        <v>Electric Water Heating</v>
      </c>
      <c r="J29" s="492" t="str">
        <f t="shared" si="4"/>
        <v>Commercial Showerhead Replacement_2_00gpm_Hospitality_ Electric Water Heating_Mail-by-Request</v>
      </c>
      <c r="K29" s="493">
        <f>INDEX(InstallRatesCostAndLifetime!$A$2:$D$6,MATCH(InputForProCost!G29,InstallRatesCostAndLifetime!$A$2:$A$6,0),MATCH(InputForProCost!H29,InstallRatesCostAndLifetime!$A$2:$D$2,0))</f>
        <v>0.6</v>
      </c>
      <c r="L29" s="493">
        <f t="shared" si="5"/>
        <v>1</v>
      </c>
      <c r="M29" s="492"/>
      <c r="N29" s="492" t="str">
        <f t="shared" si="6"/>
        <v>Hospitality2_00</v>
      </c>
      <c r="O29" s="494">
        <f>VLOOKUP($N29,Impacts!$F$5:$Z$22,16,FALSE)</f>
        <v>159.16701551210087</v>
      </c>
      <c r="P29" s="494">
        <f>VLOOKUP($N29,Impacts!$F$5:$Z$22,17,FALSE)*K29</f>
        <v>4.4549362469736007</v>
      </c>
      <c r="Q29" s="495">
        <f>VLOOKUP($N29,Impacts!$F$5:$Z$22,19,FALSE)*K29</f>
        <v>4.2589399372521166</v>
      </c>
      <c r="R29" s="496">
        <f>VLOOKUP($N29,Impacts!$F$5:$Z$22,20,FALSE)*K29</f>
        <v>842.14295784000001</v>
      </c>
      <c r="S29" s="497">
        <f>VLOOKUP($N29,Impacts!$F$5:$Z$22,21,FALSE)*K29</f>
        <v>11.084861410373646</v>
      </c>
      <c r="T29" s="492"/>
      <c r="U29" s="492" t="str">
        <f t="shared" si="7"/>
        <v>Commercial Showerhead Replacement_2_00gpm_Hospitality_ Electric Water Heating_Mail-by-Request</v>
      </c>
      <c r="V29" s="492" t="s">
        <v>440</v>
      </c>
      <c r="W29" s="494">
        <f t="shared" si="13"/>
        <v>95.500209307260519</v>
      </c>
      <c r="X29" s="492">
        <v>10</v>
      </c>
      <c r="Y29" s="498">
        <f t="shared" si="8"/>
        <v>8.1096944444444432</v>
      </c>
      <c r="Z29" s="492"/>
      <c r="AA29" s="499" t="s">
        <v>441</v>
      </c>
      <c r="AB29" s="497">
        <f t="shared" si="9"/>
        <v>11.084861410373646</v>
      </c>
      <c r="AC29" s="492"/>
      <c r="AD29" s="492"/>
      <c r="AE29" s="492"/>
      <c r="AF29" s="492"/>
      <c r="AG29" s="492"/>
      <c r="AH29" s="492"/>
      <c r="AI29" s="492">
        <f t="shared" si="10"/>
        <v>0</v>
      </c>
      <c r="AJ29" s="492" t="s">
        <v>442</v>
      </c>
      <c r="AL29" s="283" t="e">
        <f t="shared" ca="1" si="11"/>
        <v>#NAME?</v>
      </c>
    </row>
    <row r="30" spans="1:38" hidden="1">
      <c r="A30" s="492">
        <f t="shared" si="12"/>
        <v>20</v>
      </c>
      <c r="B30" s="492">
        <f t="shared" si="0"/>
        <v>1</v>
      </c>
      <c r="C30" s="492">
        <f t="shared" si="0"/>
        <v>3</v>
      </c>
      <c r="D30" s="492">
        <f t="shared" si="0"/>
        <v>1</v>
      </c>
      <c r="E30" s="492">
        <f t="shared" si="1"/>
        <v>2</v>
      </c>
      <c r="F30" s="492" t="str">
        <f t="shared" si="2"/>
        <v>Hospitality</v>
      </c>
      <c r="G30" s="492" t="str">
        <f t="shared" si="3"/>
        <v>Mail-by-Request</v>
      </c>
      <c r="H30" s="492" t="str">
        <f t="shared" si="3"/>
        <v>2_00</v>
      </c>
      <c r="I30" s="492" t="str">
        <f t="shared" si="3"/>
        <v>Gas Water Heating</v>
      </c>
      <c r="J30" s="492" t="str">
        <f t="shared" si="4"/>
        <v>Commercial Showerhead Replacement_2_00gpm_Hospitality_ Gas Water Heating_Mail-by-Request</v>
      </c>
      <c r="K30" s="493">
        <f>INDEX(InstallRatesCostAndLifetime!$A$2:$D$6,MATCH(InputForProCost!G30,InstallRatesCostAndLifetime!$A$2:$A$6,0),MATCH(InputForProCost!H30,InstallRatesCostAndLifetime!$A$2:$D$2,0))</f>
        <v>0.6</v>
      </c>
      <c r="L30" s="493">
        <f t="shared" si="5"/>
        <v>0</v>
      </c>
      <c r="M30" s="492"/>
      <c r="N30" s="492" t="str">
        <f t="shared" si="6"/>
        <v>Hospitality2_00</v>
      </c>
      <c r="O30" s="494">
        <f>VLOOKUP($N30,Impacts!$F$5:$Z$22,16,FALSE)</f>
        <v>159.16701551210087</v>
      </c>
      <c r="P30" s="494">
        <f>VLOOKUP($N30,Impacts!$F$5:$Z$22,17,FALSE)*K30</f>
        <v>4.4549362469736007</v>
      </c>
      <c r="Q30" s="495">
        <f>VLOOKUP($N30,Impacts!$F$5:$Z$22,19,FALSE)*K30</f>
        <v>4.2589399372521166</v>
      </c>
      <c r="R30" s="496">
        <f>VLOOKUP($N30,Impacts!$F$5:$Z$22,20,FALSE)*K30</f>
        <v>842.14295784000001</v>
      </c>
      <c r="S30" s="497">
        <f>VLOOKUP($N30,Impacts!$F$5:$Z$22,21,FALSE)*K30</f>
        <v>11.084861410373646</v>
      </c>
      <c r="T30" s="492"/>
      <c r="U30" s="492" t="str">
        <f t="shared" si="7"/>
        <v>Commercial Showerhead Replacement_2_00gpm_Hospitality_ Gas Water Heating_Mail-by-Request</v>
      </c>
      <c r="V30" s="492" t="s">
        <v>440</v>
      </c>
      <c r="W30" s="494">
        <f t="shared" si="13"/>
        <v>0</v>
      </c>
      <c r="X30" s="492">
        <v>10</v>
      </c>
      <c r="Y30" s="498">
        <f t="shared" si="8"/>
        <v>8.1096944444444432</v>
      </c>
      <c r="Z30" s="492"/>
      <c r="AA30" s="499" t="s">
        <v>441</v>
      </c>
      <c r="AB30" s="497">
        <f t="shared" si="9"/>
        <v>11.084861410373646</v>
      </c>
      <c r="AC30" s="492"/>
      <c r="AD30" s="492"/>
      <c r="AE30" s="492"/>
      <c r="AF30" s="492"/>
      <c r="AG30" s="492"/>
      <c r="AH30" s="492"/>
      <c r="AI30" s="492">
        <f t="shared" si="10"/>
        <v>4.2589399372521166</v>
      </c>
      <c r="AJ30" s="492" t="s">
        <v>442</v>
      </c>
      <c r="AL30" s="283" t="e">
        <f t="shared" ca="1" si="11"/>
        <v>#NAME?</v>
      </c>
    </row>
    <row r="31" spans="1:38" hidden="1">
      <c r="A31" s="492">
        <f t="shared" si="12"/>
        <v>21</v>
      </c>
      <c r="B31" s="492">
        <f t="shared" ref="B31:D50" si="14">CEILING((MOD($A31-1,B$9)+1)/C$9,1)</f>
        <v>1</v>
      </c>
      <c r="C31" s="492">
        <f t="shared" si="14"/>
        <v>3</v>
      </c>
      <c r="D31" s="492">
        <f t="shared" si="14"/>
        <v>1</v>
      </c>
      <c r="E31" s="492">
        <f t="shared" si="1"/>
        <v>3</v>
      </c>
      <c r="F31" s="492" t="str">
        <f t="shared" si="2"/>
        <v>Hospitality</v>
      </c>
      <c r="G31" s="492" t="str">
        <f t="shared" si="3"/>
        <v>Mail-by-Request</v>
      </c>
      <c r="H31" s="492" t="str">
        <f t="shared" si="3"/>
        <v>2_00</v>
      </c>
      <c r="I31" s="492" t="str">
        <f t="shared" si="3"/>
        <v>Any Water Heating</v>
      </c>
      <c r="J31" s="492" t="str">
        <f t="shared" si="4"/>
        <v>Commercial Showerhead Replacement_2_00gpm_Hospitality_ Any Water Heating_Mail-by-Request</v>
      </c>
      <c r="K31" s="493">
        <f>INDEX(InstallRatesCostAndLifetime!$A$2:$D$6,MATCH(InputForProCost!G31,InstallRatesCostAndLifetime!$A$2:$A$6,0),MATCH(InputForProCost!H31,InstallRatesCostAndLifetime!$A$2:$D$2,0))</f>
        <v>0.6</v>
      </c>
      <c r="L31" s="493">
        <f t="shared" si="5"/>
        <v>0.13</v>
      </c>
      <c r="M31" s="492"/>
      <c r="N31" s="492" t="str">
        <f t="shared" si="6"/>
        <v>Hospitality2_00</v>
      </c>
      <c r="O31" s="494">
        <f>VLOOKUP($N31,Impacts!$F$5:$Z$22,16,FALSE)</f>
        <v>159.16701551210087</v>
      </c>
      <c r="P31" s="494">
        <f>VLOOKUP($N31,Impacts!$F$5:$Z$22,17,FALSE)*K31</f>
        <v>4.4549362469736007</v>
      </c>
      <c r="Q31" s="495">
        <f>VLOOKUP($N31,Impacts!$F$5:$Z$22,19,FALSE)*K31</f>
        <v>4.2589399372521166</v>
      </c>
      <c r="R31" s="496">
        <f>VLOOKUP($N31,Impacts!$F$5:$Z$22,20,FALSE)*K31</f>
        <v>842.14295784000001</v>
      </c>
      <c r="S31" s="497">
        <f>VLOOKUP($N31,Impacts!$F$5:$Z$22,21,FALSE)*K31</f>
        <v>11.084861410373646</v>
      </c>
      <c r="T31" s="492"/>
      <c r="U31" s="492" t="str">
        <f t="shared" si="7"/>
        <v>Commercial Showerhead Replacement_2_00gpm_Hospitality_ Any Water Heating_Mail-by-Request</v>
      </c>
      <c r="V31" s="492" t="s">
        <v>440</v>
      </c>
      <c r="W31" s="494">
        <f t="shared" si="13"/>
        <v>12.415027209943867</v>
      </c>
      <c r="X31" s="492">
        <v>10</v>
      </c>
      <c r="Y31" s="498">
        <f t="shared" si="8"/>
        <v>8.1096944444444432</v>
      </c>
      <c r="Z31" s="492"/>
      <c r="AA31" s="499" t="s">
        <v>441</v>
      </c>
      <c r="AB31" s="497">
        <f t="shared" si="9"/>
        <v>11.084861410373646</v>
      </c>
      <c r="AC31" s="492"/>
      <c r="AD31" s="492"/>
      <c r="AE31" s="492"/>
      <c r="AF31" s="492"/>
      <c r="AG31" s="492"/>
      <c r="AH31" s="492"/>
      <c r="AI31" s="492">
        <f t="shared" si="10"/>
        <v>3.7052777454093415</v>
      </c>
      <c r="AJ31" s="492" t="s">
        <v>442</v>
      </c>
      <c r="AL31" s="283" t="e">
        <f t="shared" ca="1" si="11"/>
        <v>#NAME?</v>
      </c>
    </row>
    <row r="32" spans="1:38" hidden="1">
      <c r="A32" s="492">
        <f t="shared" si="12"/>
        <v>22</v>
      </c>
      <c r="B32" s="492">
        <f t="shared" si="14"/>
        <v>1</v>
      </c>
      <c r="C32" s="492">
        <f t="shared" si="14"/>
        <v>3</v>
      </c>
      <c r="D32" s="492">
        <f t="shared" si="14"/>
        <v>2</v>
      </c>
      <c r="E32" s="492">
        <f t="shared" si="1"/>
        <v>1</v>
      </c>
      <c r="F32" s="492" t="str">
        <f t="shared" si="2"/>
        <v>Hospitality</v>
      </c>
      <c r="G32" s="492" t="str">
        <f t="shared" si="3"/>
        <v>Mail-by-Request</v>
      </c>
      <c r="H32" s="492" t="str">
        <f t="shared" si="3"/>
        <v>1_75</v>
      </c>
      <c r="I32" s="492" t="str">
        <f t="shared" si="3"/>
        <v>Electric Water Heating</v>
      </c>
      <c r="J32" s="492" t="str">
        <f t="shared" si="4"/>
        <v>Commercial Showerhead Replacement_1_75gpm_Hospitality_ Electric Water Heating_Mail-by-Request</v>
      </c>
      <c r="K32" s="493">
        <f>INDEX(InstallRatesCostAndLifetime!$A$2:$D$6,MATCH(InputForProCost!G32,InstallRatesCostAndLifetime!$A$2:$A$6,0),MATCH(InputForProCost!H32,InstallRatesCostAndLifetime!$A$2:$D$2,0))</f>
        <v>0.6</v>
      </c>
      <c r="L32" s="493">
        <f t="shared" si="5"/>
        <v>1</v>
      </c>
      <c r="M32" s="492"/>
      <c r="N32" s="492" t="str">
        <f t="shared" si="6"/>
        <v>Hospitality1_75</v>
      </c>
      <c r="O32" s="494">
        <f>VLOOKUP($N32,Impacts!$F$5:$Z$22,16,FALSE)</f>
        <v>169.86544051140947</v>
      </c>
      <c r="P32" s="494">
        <f>VLOOKUP($N32,Impacts!$F$5:$Z$22,17,FALSE)*K32</f>
        <v>5.0118032778453028</v>
      </c>
      <c r="Q32" s="495">
        <f>VLOOKUP($N32,Impacts!$F$5:$Z$22,19,FALSE)*K32</f>
        <v>4.5452049611244005</v>
      </c>
      <c r="R32" s="496">
        <f>VLOOKUP($N32,Impacts!$F$5:$Z$22,20,FALSE)*K32</f>
        <v>947.41082757000038</v>
      </c>
      <c r="S32" s="497">
        <f>VLOOKUP($N32,Impacts!$F$5:$Z$22,21,FALSE)*K32</f>
        <v>12.470469086670358</v>
      </c>
      <c r="T32" s="492"/>
      <c r="U32" s="492" t="str">
        <f t="shared" si="7"/>
        <v>Commercial Showerhead Replacement_1_75gpm_Hospitality_ Electric Water Heating_Mail-by-Request</v>
      </c>
      <c r="V32" s="492" t="s">
        <v>440</v>
      </c>
      <c r="W32" s="494">
        <f t="shared" si="13"/>
        <v>101.91926430684568</v>
      </c>
      <c r="X32" s="492">
        <v>10</v>
      </c>
      <c r="Y32" s="498">
        <f t="shared" si="8"/>
        <v>8.1096944444444432</v>
      </c>
      <c r="Z32" s="492"/>
      <c r="AA32" s="499" t="s">
        <v>441</v>
      </c>
      <c r="AB32" s="497">
        <f t="shared" si="9"/>
        <v>12.470469086670358</v>
      </c>
      <c r="AC32" s="492"/>
      <c r="AD32" s="492"/>
      <c r="AE32" s="492"/>
      <c r="AF32" s="492"/>
      <c r="AG32" s="492"/>
      <c r="AH32" s="492"/>
      <c r="AI32" s="492">
        <f t="shared" si="10"/>
        <v>0</v>
      </c>
      <c r="AJ32" s="492" t="s">
        <v>442</v>
      </c>
      <c r="AL32" s="283" t="e">
        <f t="shared" ca="1" si="11"/>
        <v>#NAME?</v>
      </c>
    </row>
    <row r="33" spans="1:38" hidden="1">
      <c r="A33" s="492">
        <f t="shared" si="12"/>
        <v>23</v>
      </c>
      <c r="B33" s="492">
        <f t="shared" si="14"/>
        <v>1</v>
      </c>
      <c r="C33" s="492">
        <f t="shared" si="14"/>
        <v>3</v>
      </c>
      <c r="D33" s="492">
        <f t="shared" si="14"/>
        <v>2</v>
      </c>
      <c r="E33" s="492">
        <f t="shared" si="1"/>
        <v>2</v>
      </c>
      <c r="F33" s="492" t="str">
        <f t="shared" si="2"/>
        <v>Hospitality</v>
      </c>
      <c r="G33" s="492" t="str">
        <f t="shared" si="3"/>
        <v>Mail-by-Request</v>
      </c>
      <c r="H33" s="492" t="str">
        <f t="shared" si="3"/>
        <v>1_75</v>
      </c>
      <c r="I33" s="492" t="str">
        <f t="shared" si="3"/>
        <v>Gas Water Heating</v>
      </c>
      <c r="J33" s="492" t="str">
        <f t="shared" si="4"/>
        <v>Commercial Showerhead Replacement_1_75gpm_Hospitality_ Gas Water Heating_Mail-by-Request</v>
      </c>
      <c r="K33" s="493">
        <f>INDEX(InstallRatesCostAndLifetime!$A$2:$D$6,MATCH(InputForProCost!G33,InstallRatesCostAndLifetime!$A$2:$A$6,0),MATCH(InputForProCost!H33,InstallRatesCostAndLifetime!$A$2:$D$2,0))</f>
        <v>0.6</v>
      </c>
      <c r="L33" s="493">
        <f t="shared" si="5"/>
        <v>0</v>
      </c>
      <c r="M33" s="492"/>
      <c r="N33" s="492" t="str">
        <f t="shared" si="6"/>
        <v>Hospitality1_75</v>
      </c>
      <c r="O33" s="494">
        <f>VLOOKUP($N33,Impacts!$F$5:$Z$22,16,FALSE)</f>
        <v>169.86544051140947</v>
      </c>
      <c r="P33" s="494">
        <f>VLOOKUP($N33,Impacts!$F$5:$Z$22,17,FALSE)*K33</f>
        <v>5.0118032778453028</v>
      </c>
      <c r="Q33" s="495">
        <f>VLOOKUP($N33,Impacts!$F$5:$Z$22,19,FALSE)*K33</f>
        <v>4.5452049611244005</v>
      </c>
      <c r="R33" s="496">
        <f>VLOOKUP($N33,Impacts!$F$5:$Z$22,20,FALSE)*K33</f>
        <v>947.41082757000038</v>
      </c>
      <c r="S33" s="497">
        <f>VLOOKUP($N33,Impacts!$F$5:$Z$22,21,FALSE)*K33</f>
        <v>12.470469086670358</v>
      </c>
      <c r="T33" s="492"/>
      <c r="U33" s="492" t="str">
        <f t="shared" si="7"/>
        <v>Commercial Showerhead Replacement_1_75gpm_Hospitality_ Gas Water Heating_Mail-by-Request</v>
      </c>
      <c r="V33" s="492" t="s">
        <v>440</v>
      </c>
      <c r="W33" s="494">
        <f t="shared" si="13"/>
        <v>0</v>
      </c>
      <c r="X33" s="492">
        <v>10</v>
      </c>
      <c r="Y33" s="498">
        <f t="shared" si="8"/>
        <v>8.1096944444444432</v>
      </c>
      <c r="Z33" s="492"/>
      <c r="AA33" s="499" t="s">
        <v>441</v>
      </c>
      <c r="AB33" s="497">
        <f t="shared" si="9"/>
        <v>12.470469086670358</v>
      </c>
      <c r="AC33" s="492"/>
      <c r="AD33" s="492"/>
      <c r="AE33" s="492"/>
      <c r="AF33" s="492"/>
      <c r="AG33" s="492"/>
      <c r="AH33" s="492"/>
      <c r="AI33" s="492">
        <f t="shared" si="10"/>
        <v>4.5452049611244005</v>
      </c>
      <c r="AJ33" s="492" t="s">
        <v>442</v>
      </c>
      <c r="AL33" s="283" t="e">
        <f t="shared" ca="1" si="11"/>
        <v>#NAME?</v>
      </c>
    </row>
    <row r="34" spans="1:38" hidden="1">
      <c r="A34" s="492">
        <f t="shared" si="12"/>
        <v>24</v>
      </c>
      <c r="B34" s="492">
        <f t="shared" si="14"/>
        <v>1</v>
      </c>
      <c r="C34" s="492">
        <f t="shared" si="14"/>
        <v>3</v>
      </c>
      <c r="D34" s="492">
        <f t="shared" si="14"/>
        <v>2</v>
      </c>
      <c r="E34" s="492">
        <f t="shared" si="1"/>
        <v>3</v>
      </c>
      <c r="F34" s="492" t="str">
        <f t="shared" si="2"/>
        <v>Hospitality</v>
      </c>
      <c r="G34" s="492" t="str">
        <f t="shared" si="3"/>
        <v>Mail-by-Request</v>
      </c>
      <c r="H34" s="492" t="str">
        <f t="shared" si="3"/>
        <v>1_75</v>
      </c>
      <c r="I34" s="492" t="str">
        <f t="shared" si="3"/>
        <v>Any Water Heating</v>
      </c>
      <c r="J34" s="492" t="str">
        <f t="shared" si="4"/>
        <v>Commercial Showerhead Replacement_1_75gpm_Hospitality_ Any Water Heating_Mail-by-Request</v>
      </c>
      <c r="K34" s="493">
        <f>INDEX(InstallRatesCostAndLifetime!$A$2:$D$6,MATCH(InputForProCost!G34,InstallRatesCostAndLifetime!$A$2:$A$6,0),MATCH(InputForProCost!H34,InstallRatesCostAndLifetime!$A$2:$D$2,0))</f>
        <v>0.6</v>
      </c>
      <c r="L34" s="493">
        <f t="shared" si="5"/>
        <v>0.13</v>
      </c>
      <c r="M34" s="492"/>
      <c r="N34" s="492" t="str">
        <f t="shared" si="6"/>
        <v>Hospitality1_75</v>
      </c>
      <c r="O34" s="494">
        <f>VLOOKUP($N34,Impacts!$F$5:$Z$22,16,FALSE)</f>
        <v>169.86544051140947</v>
      </c>
      <c r="P34" s="494">
        <f>VLOOKUP($N34,Impacts!$F$5:$Z$22,17,FALSE)*K34</f>
        <v>5.0118032778453028</v>
      </c>
      <c r="Q34" s="495">
        <f>VLOOKUP($N34,Impacts!$F$5:$Z$22,19,FALSE)*K34</f>
        <v>4.5452049611244005</v>
      </c>
      <c r="R34" s="496">
        <f>VLOOKUP($N34,Impacts!$F$5:$Z$22,20,FALSE)*K34</f>
        <v>947.41082757000038</v>
      </c>
      <c r="S34" s="497">
        <f>VLOOKUP($N34,Impacts!$F$5:$Z$22,21,FALSE)*K34</f>
        <v>12.470469086670358</v>
      </c>
      <c r="T34" s="492"/>
      <c r="U34" s="492" t="str">
        <f t="shared" si="7"/>
        <v>Commercial Showerhead Replacement_1_75gpm_Hospitality_ Any Water Heating_Mail-by-Request</v>
      </c>
      <c r="V34" s="492" t="s">
        <v>440</v>
      </c>
      <c r="W34" s="494">
        <f t="shared" si="13"/>
        <v>13.24950435988994</v>
      </c>
      <c r="X34" s="492">
        <v>10</v>
      </c>
      <c r="Y34" s="498">
        <f t="shared" si="8"/>
        <v>8.1096944444444432</v>
      </c>
      <c r="Z34" s="492"/>
      <c r="AA34" s="499" t="s">
        <v>441</v>
      </c>
      <c r="AB34" s="497">
        <f t="shared" si="9"/>
        <v>12.470469086670358</v>
      </c>
      <c r="AC34" s="492"/>
      <c r="AD34" s="492"/>
      <c r="AE34" s="492"/>
      <c r="AF34" s="492"/>
      <c r="AG34" s="492"/>
      <c r="AH34" s="492"/>
      <c r="AI34" s="492">
        <f t="shared" si="10"/>
        <v>3.9543283161782283</v>
      </c>
      <c r="AJ34" s="492" t="s">
        <v>442</v>
      </c>
      <c r="AL34" s="283" t="e">
        <f t="shared" ca="1" si="11"/>
        <v>#NAME?</v>
      </c>
    </row>
    <row r="35" spans="1:38" hidden="1">
      <c r="A35" s="492">
        <f t="shared" si="12"/>
        <v>25</v>
      </c>
      <c r="B35" s="492">
        <f t="shared" si="14"/>
        <v>1</v>
      </c>
      <c r="C35" s="492">
        <f t="shared" si="14"/>
        <v>3</v>
      </c>
      <c r="D35" s="492">
        <f t="shared" si="14"/>
        <v>3</v>
      </c>
      <c r="E35" s="492">
        <f t="shared" si="1"/>
        <v>1</v>
      </c>
      <c r="F35" s="492" t="str">
        <f t="shared" si="2"/>
        <v>Hospitality</v>
      </c>
      <c r="G35" s="492" t="str">
        <f t="shared" si="3"/>
        <v>Mail-by-Request</v>
      </c>
      <c r="H35" s="492" t="str">
        <f t="shared" si="3"/>
        <v>1_50</v>
      </c>
      <c r="I35" s="492" t="str">
        <f t="shared" si="3"/>
        <v>Electric Water Heating</v>
      </c>
      <c r="J35" s="492" t="str">
        <f t="shared" si="4"/>
        <v>Commercial Showerhead Replacement_1_50gpm_Hospitality_ Electric Water Heating_Mail-by-Request</v>
      </c>
      <c r="K35" s="493">
        <f>INDEX(InstallRatesCostAndLifetime!$A$2:$D$6,MATCH(InputForProCost!G35,InstallRatesCostAndLifetime!$A$2:$A$6,0),MATCH(InputForProCost!H35,InstallRatesCostAndLifetime!$A$2:$D$2,0))</f>
        <v>0.6</v>
      </c>
      <c r="L35" s="493">
        <f t="shared" si="5"/>
        <v>1</v>
      </c>
      <c r="M35" s="492"/>
      <c r="N35" s="492" t="str">
        <f t="shared" si="6"/>
        <v>Hospitality1_50</v>
      </c>
      <c r="O35" s="494">
        <f>VLOOKUP($N35,Impacts!$F$5:$Z$22,16,FALSE)</f>
        <v>280.84164013110251</v>
      </c>
      <c r="P35" s="494">
        <f>VLOOKUP($N35,Impacts!$F$5:$Z$22,17,FALSE)*K35</f>
        <v>7.7961384322038025</v>
      </c>
      <c r="Q35" s="495">
        <f>VLOOKUP($N35,Impacts!$F$5:$Z$22,19,FALSE)*K35</f>
        <v>7.5146705072622604</v>
      </c>
      <c r="R35" s="496">
        <f>VLOOKUP($N35,Impacts!$F$5:$Z$22,20,FALSE)*K35</f>
        <v>1473.7501762200004</v>
      </c>
      <c r="S35" s="497">
        <f>VLOOKUP($N35,Impacts!$F$5:$Z$22,21,FALSE)*K35</f>
        <v>19.398507468153888</v>
      </c>
      <c r="T35" s="492"/>
      <c r="U35" s="492" t="str">
        <f t="shared" si="7"/>
        <v>Commercial Showerhead Replacement_1_50gpm_Hospitality_ Electric Water Heating_Mail-by-Request</v>
      </c>
      <c r="V35" s="492" t="s">
        <v>440</v>
      </c>
      <c r="W35" s="494">
        <f t="shared" si="13"/>
        <v>168.50498407866149</v>
      </c>
      <c r="X35" s="492">
        <v>10</v>
      </c>
      <c r="Y35" s="498">
        <f t="shared" si="8"/>
        <v>8.1096944444444432</v>
      </c>
      <c r="Z35" s="492"/>
      <c r="AA35" s="499" t="s">
        <v>441</v>
      </c>
      <c r="AB35" s="497">
        <f t="shared" si="9"/>
        <v>19.398507468153888</v>
      </c>
      <c r="AC35" s="492"/>
      <c r="AD35" s="492"/>
      <c r="AE35" s="492"/>
      <c r="AF35" s="492"/>
      <c r="AG35" s="492"/>
      <c r="AH35" s="492"/>
      <c r="AI35" s="492">
        <f t="shared" si="10"/>
        <v>0</v>
      </c>
      <c r="AJ35" s="492" t="s">
        <v>442</v>
      </c>
      <c r="AL35" s="283" t="e">
        <f t="shared" ca="1" si="11"/>
        <v>#NAME?</v>
      </c>
    </row>
    <row r="36" spans="1:38" hidden="1">
      <c r="A36" s="492">
        <f t="shared" si="12"/>
        <v>26</v>
      </c>
      <c r="B36" s="492">
        <f t="shared" si="14"/>
        <v>1</v>
      </c>
      <c r="C36" s="492">
        <f t="shared" si="14"/>
        <v>3</v>
      </c>
      <c r="D36" s="492">
        <f t="shared" si="14"/>
        <v>3</v>
      </c>
      <c r="E36" s="492">
        <f t="shared" si="1"/>
        <v>2</v>
      </c>
      <c r="F36" s="492" t="str">
        <f t="shared" si="2"/>
        <v>Hospitality</v>
      </c>
      <c r="G36" s="492" t="str">
        <f t="shared" si="3"/>
        <v>Mail-by-Request</v>
      </c>
      <c r="H36" s="492" t="str">
        <f t="shared" si="3"/>
        <v>1_50</v>
      </c>
      <c r="I36" s="492" t="str">
        <f t="shared" si="3"/>
        <v>Gas Water Heating</v>
      </c>
      <c r="J36" s="492" t="str">
        <f t="shared" si="4"/>
        <v>Commercial Showerhead Replacement_1_50gpm_Hospitality_ Gas Water Heating_Mail-by-Request</v>
      </c>
      <c r="K36" s="493">
        <f>INDEX(InstallRatesCostAndLifetime!$A$2:$D$6,MATCH(InputForProCost!G36,InstallRatesCostAndLifetime!$A$2:$A$6,0),MATCH(InputForProCost!H36,InstallRatesCostAndLifetime!$A$2:$D$2,0))</f>
        <v>0.6</v>
      </c>
      <c r="L36" s="493">
        <f t="shared" si="5"/>
        <v>0</v>
      </c>
      <c r="M36" s="492"/>
      <c r="N36" s="492" t="str">
        <f t="shared" si="6"/>
        <v>Hospitality1_50</v>
      </c>
      <c r="O36" s="494">
        <f>VLOOKUP($N36,Impacts!$F$5:$Z$22,16,FALSE)</f>
        <v>280.84164013110251</v>
      </c>
      <c r="P36" s="494">
        <f>VLOOKUP($N36,Impacts!$F$5:$Z$22,17,FALSE)*K36</f>
        <v>7.7961384322038025</v>
      </c>
      <c r="Q36" s="495">
        <f>VLOOKUP($N36,Impacts!$F$5:$Z$22,19,FALSE)*K36</f>
        <v>7.5146705072622604</v>
      </c>
      <c r="R36" s="496">
        <f>VLOOKUP($N36,Impacts!$F$5:$Z$22,20,FALSE)*K36</f>
        <v>1473.7501762200004</v>
      </c>
      <c r="S36" s="497">
        <f>VLOOKUP($N36,Impacts!$F$5:$Z$22,21,FALSE)*K36</f>
        <v>19.398507468153888</v>
      </c>
      <c r="T36" s="492"/>
      <c r="U36" s="492" t="str">
        <f t="shared" si="7"/>
        <v>Commercial Showerhead Replacement_1_50gpm_Hospitality_ Gas Water Heating_Mail-by-Request</v>
      </c>
      <c r="V36" s="492" t="s">
        <v>440</v>
      </c>
      <c r="W36" s="494">
        <f t="shared" si="13"/>
        <v>0</v>
      </c>
      <c r="X36" s="492">
        <v>10</v>
      </c>
      <c r="Y36" s="498">
        <f t="shared" si="8"/>
        <v>8.1096944444444432</v>
      </c>
      <c r="Z36" s="492"/>
      <c r="AA36" s="499" t="s">
        <v>441</v>
      </c>
      <c r="AB36" s="497">
        <f t="shared" si="9"/>
        <v>19.398507468153888</v>
      </c>
      <c r="AC36" s="492"/>
      <c r="AD36" s="492"/>
      <c r="AE36" s="492"/>
      <c r="AF36" s="492"/>
      <c r="AG36" s="492"/>
      <c r="AH36" s="492"/>
      <c r="AI36" s="492">
        <f t="shared" si="10"/>
        <v>7.5146705072622604</v>
      </c>
      <c r="AJ36" s="492" t="s">
        <v>442</v>
      </c>
      <c r="AL36" s="283" t="e">
        <f t="shared" ca="1" si="11"/>
        <v>#NAME?</v>
      </c>
    </row>
    <row r="37" spans="1:38" hidden="1">
      <c r="A37" s="492">
        <f t="shared" si="12"/>
        <v>27</v>
      </c>
      <c r="B37" s="492">
        <f t="shared" si="14"/>
        <v>1</v>
      </c>
      <c r="C37" s="492">
        <f t="shared" si="14"/>
        <v>3</v>
      </c>
      <c r="D37" s="492">
        <f t="shared" si="14"/>
        <v>3</v>
      </c>
      <c r="E37" s="492">
        <f t="shared" si="1"/>
        <v>3</v>
      </c>
      <c r="F37" s="492" t="str">
        <f t="shared" si="2"/>
        <v>Hospitality</v>
      </c>
      <c r="G37" s="492" t="str">
        <f t="shared" si="3"/>
        <v>Mail-by-Request</v>
      </c>
      <c r="H37" s="492" t="str">
        <f t="shared" si="3"/>
        <v>1_50</v>
      </c>
      <c r="I37" s="492" t="str">
        <f t="shared" si="3"/>
        <v>Any Water Heating</v>
      </c>
      <c r="J37" s="492" t="str">
        <f t="shared" si="4"/>
        <v>Commercial Showerhead Replacement_1_50gpm_Hospitality_ Any Water Heating_Mail-by-Request</v>
      </c>
      <c r="K37" s="493">
        <f>INDEX(InstallRatesCostAndLifetime!$A$2:$D$6,MATCH(InputForProCost!G37,InstallRatesCostAndLifetime!$A$2:$A$6,0),MATCH(InputForProCost!H37,InstallRatesCostAndLifetime!$A$2:$D$2,0))</f>
        <v>0.6</v>
      </c>
      <c r="L37" s="493">
        <f t="shared" si="5"/>
        <v>0.13</v>
      </c>
      <c r="M37" s="492"/>
      <c r="N37" s="492" t="str">
        <f t="shared" si="6"/>
        <v>Hospitality1_50</v>
      </c>
      <c r="O37" s="494">
        <f>VLOOKUP($N37,Impacts!$F$5:$Z$22,16,FALSE)</f>
        <v>280.84164013110251</v>
      </c>
      <c r="P37" s="494">
        <f>VLOOKUP($N37,Impacts!$F$5:$Z$22,17,FALSE)*K37</f>
        <v>7.7961384322038025</v>
      </c>
      <c r="Q37" s="495">
        <f>VLOOKUP($N37,Impacts!$F$5:$Z$22,19,FALSE)*K37</f>
        <v>7.5146705072622604</v>
      </c>
      <c r="R37" s="496">
        <f>VLOOKUP($N37,Impacts!$F$5:$Z$22,20,FALSE)*K37</f>
        <v>1473.7501762200004</v>
      </c>
      <c r="S37" s="497">
        <f>VLOOKUP($N37,Impacts!$F$5:$Z$22,21,FALSE)*K37</f>
        <v>19.398507468153888</v>
      </c>
      <c r="T37" s="492"/>
      <c r="U37" s="492" t="str">
        <f t="shared" si="7"/>
        <v>Commercial Showerhead Replacement_1_50gpm_Hospitality_ Any Water Heating_Mail-by-Request</v>
      </c>
      <c r="V37" s="492" t="s">
        <v>440</v>
      </c>
      <c r="W37" s="494">
        <f t="shared" si="13"/>
        <v>21.905647930225992</v>
      </c>
      <c r="X37" s="492">
        <v>10</v>
      </c>
      <c r="Y37" s="498">
        <f t="shared" si="8"/>
        <v>8.1096944444444432</v>
      </c>
      <c r="Z37" s="492"/>
      <c r="AA37" s="499" t="s">
        <v>441</v>
      </c>
      <c r="AB37" s="497">
        <f t="shared" si="9"/>
        <v>19.398507468153888</v>
      </c>
      <c r="AC37" s="492"/>
      <c r="AD37" s="492"/>
      <c r="AE37" s="492"/>
      <c r="AF37" s="492"/>
      <c r="AG37" s="492"/>
      <c r="AH37" s="492"/>
      <c r="AI37" s="492">
        <f t="shared" si="10"/>
        <v>6.5377633413181666</v>
      </c>
      <c r="AJ37" s="492" t="s">
        <v>442</v>
      </c>
      <c r="AL37" s="283" t="e">
        <f t="shared" ca="1" si="11"/>
        <v>#NAME?</v>
      </c>
    </row>
    <row r="38" spans="1:38" hidden="1">
      <c r="A38" s="492">
        <f t="shared" si="12"/>
        <v>28</v>
      </c>
      <c r="B38" s="492">
        <f t="shared" si="14"/>
        <v>2</v>
      </c>
      <c r="C38" s="492">
        <f t="shared" si="14"/>
        <v>1</v>
      </c>
      <c r="D38" s="492">
        <f t="shared" si="14"/>
        <v>1</v>
      </c>
      <c r="E38" s="492">
        <f t="shared" si="1"/>
        <v>1</v>
      </c>
      <c r="F38" s="492" t="str">
        <f t="shared" si="2"/>
        <v>Health Care</v>
      </c>
      <c r="G38" s="492" t="str">
        <f t="shared" si="3"/>
        <v>Retail</v>
      </c>
      <c r="H38" s="492" t="str">
        <f t="shared" si="3"/>
        <v>2_00</v>
      </c>
      <c r="I38" s="492" t="str">
        <f t="shared" si="3"/>
        <v>Electric Water Heating</v>
      </c>
      <c r="J38" s="492" t="str">
        <f t="shared" si="4"/>
        <v>Commercial Showerhead Replacement_2_00gpm_Health Care_ Electric Water Heating_Retail</v>
      </c>
      <c r="K38" s="493">
        <f>INDEX(InstallRatesCostAndLifetime!$A$2:$D$6,MATCH(InputForProCost!G38,InstallRatesCostAndLifetime!$A$2:$A$6,0),MATCH(InputForProCost!H38,InstallRatesCostAndLifetime!$A$2:$D$2,0))</f>
        <v>0.8</v>
      </c>
      <c r="L38" s="493">
        <f t="shared" si="5"/>
        <v>1</v>
      </c>
      <c r="M38" s="492"/>
      <c r="N38" s="492" t="str">
        <f t="shared" si="6"/>
        <v>Health Care2_00</v>
      </c>
      <c r="O38" s="494">
        <f>VLOOKUP($N38,Impacts!$F$5:$Z$22,16,FALSE)</f>
        <v>114.67580597833171</v>
      </c>
      <c r="P38" s="494">
        <f>VLOOKUP($N38,Impacts!$F$5:$Z$22,17,FALSE)*K38</f>
        <v>4.2795584085903524</v>
      </c>
      <c r="Q38" s="495">
        <f>VLOOKUP($N38,Impacts!$F$5:$Z$22,19,FALSE)*K38</f>
        <v>4.0912779015705159</v>
      </c>
      <c r="R38" s="496">
        <f>VLOOKUP($N38,Impacts!$F$5:$Z$22,20,FALSE)*K38</f>
        <v>808.99024737057698</v>
      </c>
      <c r="S38" s="497">
        <f>VLOOKUP($N38,Impacts!$F$5:$Z$22,21,FALSE)*K38</f>
        <v>10.648482767637768</v>
      </c>
      <c r="T38" s="492"/>
      <c r="U38" s="492" t="str">
        <f t="shared" si="7"/>
        <v>Commercial Showerhead Replacement_2_00gpm_Health Care_ Electric Water Heating_Retail</v>
      </c>
      <c r="V38" s="492" t="s">
        <v>440</v>
      </c>
      <c r="W38" s="494">
        <f t="shared" si="13"/>
        <v>91.74064478266537</v>
      </c>
      <c r="X38" s="492">
        <v>10</v>
      </c>
      <c r="Y38" s="498">
        <f t="shared" si="8"/>
        <v>3.2966774171383419</v>
      </c>
      <c r="Z38" s="492"/>
      <c r="AA38" s="499" t="s">
        <v>441</v>
      </c>
      <c r="AB38" s="497">
        <f t="shared" si="9"/>
        <v>10.648482767637768</v>
      </c>
      <c r="AC38" s="492"/>
      <c r="AD38" s="492"/>
      <c r="AE38" s="492"/>
      <c r="AF38" s="492"/>
      <c r="AG38" s="492"/>
      <c r="AH38" s="492"/>
      <c r="AI38" s="492">
        <f t="shared" si="10"/>
        <v>0</v>
      </c>
      <c r="AJ38" s="492" t="s">
        <v>442</v>
      </c>
      <c r="AL38" s="283" t="e">
        <f t="shared" ca="1" si="11"/>
        <v>#NAME?</v>
      </c>
    </row>
    <row r="39" spans="1:38" hidden="1">
      <c r="A39" s="492">
        <f t="shared" si="12"/>
        <v>29</v>
      </c>
      <c r="B39" s="492">
        <f t="shared" si="14"/>
        <v>2</v>
      </c>
      <c r="C39" s="492">
        <f t="shared" si="14"/>
        <v>1</v>
      </c>
      <c r="D39" s="492">
        <f t="shared" si="14"/>
        <v>1</v>
      </c>
      <c r="E39" s="492">
        <f t="shared" si="1"/>
        <v>2</v>
      </c>
      <c r="F39" s="492" t="str">
        <f t="shared" si="2"/>
        <v>Health Care</v>
      </c>
      <c r="G39" s="492" t="str">
        <f t="shared" si="3"/>
        <v>Retail</v>
      </c>
      <c r="H39" s="492" t="str">
        <f t="shared" si="3"/>
        <v>2_00</v>
      </c>
      <c r="I39" s="492" t="str">
        <f t="shared" si="3"/>
        <v>Gas Water Heating</v>
      </c>
      <c r="J39" s="492" t="str">
        <f t="shared" si="4"/>
        <v>Commercial Showerhead Replacement_2_00gpm_Health Care_ Gas Water Heating_Retail</v>
      </c>
      <c r="K39" s="493">
        <f>INDEX(InstallRatesCostAndLifetime!$A$2:$D$6,MATCH(InputForProCost!G39,InstallRatesCostAndLifetime!$A$2:$A$6,0),MATCH(InputForProCost!H39,InstallRatesCostAndLifetime!$A$2:$D$2,0))</f>
        <v>0.8</v>
      </c>
      <c r="L39" s="493">
        <f t="shared" si="5"/>
        <v>0</v>
      </c>
      <c r="M39" s="492"/>
      <c r="N39" s="492" t="str">
        <f t="shared" si="6"/>
        <v>Health Care2_00</v>
      </c>
      <c r="O39" s="494">
        <f>VLOOKUP($N39,Impacts!$F$5:$Z$22,16,FALSE)</f>
        <v>114.67580597833171</v>
      </c>
      <c r="P39" s="494">
        <f>VLOOKUP($N39,Impacts!$F$5:$Z$22,17,FALSE)*K39</f>
        <v>4.2795584085903524</v>
      </c>
      <c r="Q39" s="495">
        <f>VLOOKUP($N39,Impacts!$F$5:$Z$22,19,FALSE)*K39</f>
        <v>4.0912779015705159</v>
      </c>
      <c r="R39" s="496">
        <f>VLOOKUP($N39,Impacts!$F$5:$Z$22,20,FALSE)*K39</f>
        <v>808.99024737057698</v>
      </c>
      <c r="S39" s="497">
        <f>VLOOKUP($N39,Impacts!$F$5:$Z$22,21,FALSE)*K39</f>
        <v>10.648482767637768</v>
      </c>
      <c r="T39" s="492"/>
      <c r="U39" s="492" t="str">
        <f t="shared" si="7"/>
        <v>Commercial Showerhead Replacement_2_00gpm_Health Care_ Gas Water Heating_Retail</v>
      </c>
      <c r="V39" s="492" t="s">
        <v>440</v>
      </c>
      <c r="W39" s="494">
        <f t="shared" si="13"/>
        <v>0</v>
      </c>
      <c r="X39" s="492">
        <v>10</v>
      </c>
      <c r="Y39" s="498">
        <f t="shared" si="8"/>
        <v>3.2966774171383419</v>
      </c>
      <c r="Z39" s="492"/>
      <c r="AA39" s="499" t="s">
        <v>441</v>
      </c>
      <c r="AB39" s="497">
        <f t="shared" si="9"/>
        <v>10.648482767637768</v>
      </c>
      <c r="AC39" s="492"/>
      <c r="AD39" s="492"/>
      <c r="AE39" s="492"/>
      <c r="AF39" s="492"/>
      <c r="AG39" s="492"/>
      <c r="AH39" s="492"/>
      <c r="AI39" s="492">
        <f t="shared" si="10"/>
        <v>4.0912779015705159</v>
      </c>
      <c r="AJ39" s="492" t="s">
        <v>442</v>
      </c>
      <c r="AL39" s="283" t="e">
        <f t="shared" ca="1" si="11"/>
        <v>#NAME?</v>
      </c>
    </row>
    <row r="40" spans="1:38" hidden="1">
      <c r="A40" s="492">
        <f t="shared" si="12"/>
        <v>30</v>
      </c>
      <c r="B40" s="492">
        <f t="shared" si="14"/>
        <v>2</v>
      </c>
      <c r="C40" s="492">
        <f t="shared" si="14"/>
        <v>1</v>
      </c>
      <c r="D40" s="492">
        <f t="shared" si="14"/>
        <v>1</v>
      </c>
      <c r="E40" s="492">
        <f t="shared" si="1"/>
        <v>3</v>
      </c>
      <c r="F40" s="492" t="str">
        <f t="shared" si="2"/>
        <v>Health Care</v>
      </c>
      <c r="G40" s="492" t="str">
        <f t="shared" si="3"/>
        <v>Retail</v>
      </c>
      <c r="H40" s="492" t="str">
        <f t="shared" si="3"/>
        <v>2_00</v>
      </c>
      <c r="I40" s="492" t="str">
        <f t="shared" si="3"/>
        <v>Any Water Heating</v>
      </c>
      <c r="J40" s="492" t="str">
        <f t="shared" si="4"/>
        <v>Commercial Showerhead Replacement_2_00gpm_Health Care_ Any Water Heating_Retail</v>
      </c>
      <c r="K40" s="493">
        <f>INDEX(InstallRatesCostAndLifetime!$A$2:$D$6,MATCH(InputForProCost!G40,InstallRatesCostAndLifetime!$A$2:$A$6,0),MATCH(InputForProCost!H40,InstallRatesCostAndLifetime!$A$2:$D$2,0))</f>
        <v>0.8</v>
      </c>
      <c r="L40" s="493">
        <f t="shared" si="5"/>
        <v>0.29449999999999998</v>
      </c>
      <c r="M40" s="492"/>
      <c r="N40" s="492" t="str">
        <f t="shared" si="6"/>
        <v>Health Care2_00</v>
      </c>
      <c r="O40" s="494">
        <f>VLOOKUP($N40,Impacts!$F$5:$Z$22,16,FALSE)</f>
        <v>114.67580597833171</v>
      </c>
      <c r="P40" s="494">
        <f>VLOOKUP($N40,Impacts!$F$5:$Z$22,17,FALSE)*K40</f>
        <v>4.2795584085903524</v>
      </c>
      <c r="Q40" s="495">
        <f>VLOOKUP($N40,Impacts!$F$5:$Z$22,19,FALSE)*K40</f>
        <v>4.0912779015705159</v>
      </c>
      <c r="R40" s="496">
        <f>VLOOKUP($N40,Impacts!$F$5:$Z$22,20,FALSE)*K40</f>
        <v>808.99024737057698</v>
      </c>
      <c r="S40" s="497">
        <f>VLOOKUP($N40,Impacts!$F$5:$Z$22,21,FALSE)*K40</f>
        <v>10.648482767637768</v>
      </c>
      <c r="T40" s="492"/>
      <c r="U40" s="492" t="str">
        <f t="shared" si="7"/>
        <v>Commercial Showerhead Replacement_2_00gpm_Health Care_ Any Water Heating_Retail</v>
      </c>
      <c r="V40" s="492" t="s">
        <v>440</v>
      </c>
      <c r="W40" s="494">
        <f t="shared" si="13"/>
        <v>27.017619888494949</v>
      </c>
      <c r="X40" s="492">
        <v>10</v>
      </c>
      <c r="Y40" s="498">
        <f t="shared" si="8"/>
        <v>3.2966774171383419</v>
      </c>
      <c r="Z40" s="492"/>
      <c r="AA40" s="499" t="s">
        <v>441</v>
      </c>
      <c r="AB40" s="497">
        <f t="shared" si="9"/>
        <v>10.648482767637768</v>
      </c>
      <c r="AC40" s="492"/>
      <c r="AD40" s="492"/>
      <c r="AE40" s="492"/>
      <c r="AF40" s="492"/>
      <c r="AG40" s="492"/>
      <c r="AH40" s="492"/>
      <c r="AI40" s="492">
        <f t="shared" si="10"/>
        <v>2.886396559557999</v>
      </c>
      <c r="AJ40" s="492" t="s">
        <v>442</v>
      </c>
      <c r="AL40" s="283" t="e">
        <f t="shared" ca="1" si="11"/>
        <v>#NAME?</v>
      </c>
    </row>
    <row r="41" spans="1:38" hidden="1">
      <c r="A41" s="492">
        <f t="shared" si="12"/>
        <v>31</v>
      </c>
      <c r="B41" s="492">
        <f t="shared" si="14"/>
        <v>2</v>
      </c>
      <c r="C41" s="492">
        <f t="shared" si="14"/>
        <v>1</v>
      </c>
      <c r="D41" s="492">
        <f t="shared" si="14"/>
        <v>2</v>
      </c>
      <c r="E41" s="492">
        <f t="shared" si="1"/>
        <v>1</v>
      </c>
      <c r="F41" s="492" t="str">
        <f t="shared" si="2"/>
        <v>Health Care</v>
      </c>
      <c r="G41" s="492" t="str">
        <f t="shared" si="3"/>
        <v>Retail</v>
      </c>
      <c r="H41" s="492" t="str">
        <f t="shared" si="3"/>
        <v>1_75</v>
      </c>
      <c r="I41" s="492" t="str">
        <f t="shared" si="3"/>
        <v>Electric Water Heating</v>
      </c>
      <c r="J41" s="492" t="str">
        <f t="shared" si="4"/>
        <v>Commercial Showerhead Replacement_1_75gpm_Health Care_ Electric Water Heating_Retail</v>
      </c>
      <c r="K41" s="493">
        <f>INDEX(InstallRatesCostAndLifetime!$A$2:$D$6,MATCH(InputForProCost!G41,InstallRatesCostAndLifetime!$A$2:$A$6,0),MATCH(InputForProCost!H41,InstallRatesCostAndLifetime!$A$2:$D$2,0))</f>
        <v>0.75</v>
      </c>
      <c r="L41" s="493">
        <f t="shared" si="5"/>
        <v>1</v>
      </c>
      <c r="M41" s="492"/>
      <c r="N41" s="492" t="str">
        <f t="shared" si="6"/>
        <v>Health Care1_75</v>
      </c>
      <c r="O41" s="494">
        <f>VLOOKUP($N41,Impacts!$F$5:$Z$22,16,FALSE)</f>
        <v>122.38375040103244</v>
      </c>
      <c r="P41" s="494">
        <f>VLOOKUP($N41,Impacts!$F$5:$Z$22,17,FALSE)*K41</f>
        <v>4.5135967590601371</v>
      </c>
      <c r="Q41" s="495">
        <f>VLOOKUP($N41,Impacts!$F$5:$Z$22,19,FALSE)*K41</f>
        <v>4.0933814127307784</v>
      </c>
      <c r="R41" s="496">
        <f>VLOOKUP($N41,Impacts!$F$5:$Z$22,20,FALSE)*K41</f>
        <v>853.23190152365532</v>
      </c>
      <c r="S41" s="497">
        <f>VLOOKUP($N41,Impacts!$F$5:$Z$22,21,FALSE)*K41</f>
        <v>11.230821668992958</v>
      </c>
      <c r="T41" s="492"/>
      <c r="U41" s="492" t="str">
        <f t="shared" si="7"/>
        <v>Commercial Showerhead Replacement_1_75gpm_Health Care_ Electric Water Heating_Retail</v>
      </c>
      <c r="V41" s="492" t="s">
        <v>440</v>
      </c>
      <c r="W41" s="494">
        <f t="shared" si="13"/>
        <v>91.787812800774333</v>
      </c>
      <c r="X41" s="492">
        <v>10</v>
      </c>
      <c r="Y41" s="498">
        <f t="shared" si="8"/>
        <v>3.2966774171383419</v>
      </c>
      <c r="Z41" s="492"/>
      <c r="AA41" s="499" t="s">
        <v>441</v>
      </c>
      <c r="AB41" s="497">
        <f t="shared" si="9"/>
        <v>11.230821668992958</v>
      </c>
      <c r="AC41" s="492"/>
      <c r="AD41" s="492"/>
      <c r="AE41" s="492"/>
      <c r="AF41" s="492"/>
      <c r="AG41" s="492"/>
      <c r="AH41" s="492"/>
      <c r="AI41" s="492">
        <f t="shared" si="10"/>
        <v>0</v>
      </c>
      <c r="AJ41" s="492" t="s">
        <v>442</v>
      </c>
      <c r="AL41" s="283" t="e">
        <f t="shared" ca="1" si="11"/>
        <v>#NAME?</v>
      </c>
    </row>
    <row r="42" spans="1:38" hidden="1">
      <c r="A42" s="492">
        <f t="shared" si="12"/>
        <v>32</v>
      </c>
      <c r="B42" s="492">
        <f t="shared" si="14"/>
        <v>2</v>
      </c>
      <c r="C42" s="492">
        <f t="shared" si="14"/>
        <v>1</v>
      </c>
      <c r="D42" s="492">
        <f t="shared" si="14"/>
        <v>2</v>
      </c>
      <c r="E42" s="492">
        <f t="shared" si="1"/>
        <v>2</v>
      </c>
      <c r="F42" s="492" t="str">
        <f t="shared" si="2"/>
        <v>Health Care</v>
      </c>
      <c r="G42" s="492" t="str">
        <f t="shared" si="3"/>
        <v>Retail</v>
      </c>
      <c r="H42" s="492" t="str">
        <f t="shared" si="3"/>
        <v>1_75</v>
      </c>
      <c r="I42" s="492" t="str">
        <f t="shared" si="3"/>
        <v>Gas Water Heating</v>
      </c>
      <c r="J42" s="492" t="str">
        <f t="shared" si="4"/>
        <v>Commercial Showerhead Replacement_1_75gpm_Health Care_ Gas Water Heating_Retail</v>
      </c>
      <c r="K42" s="493">
        <f>INDEX(InstallRatesCostAndLifetime!$A$2:$D$6,MATCH(InputForProCost!G42,InstallRatesCostAndLifetime!$A$2:$A$6,0),MATCH(InputForProCost!H42,InstallRatesCostAndLifetime!$A$2:$D$2,0))</f>
        <v>0.75</v>
      </c>
      <c r="L42" s="493">
        <f t="shared" si="5"/>
        <v>0</v>
      </c>
      <c r="M42" s="492"/>
      <c r="N42" s="492" t="str">
        <f t="shared" si="6"/>
        <v>Health Care1_75</v>
      </c>
      <c r="O42" s="494">
        <f>VLOOKUP($N42,Impacts!$F$5:$Z$22,16,FALSE)</f>
        <v>122.38375040103244</v>
      </c>
      <c r="P42" s="494">
        <f>VLOOKUP($N42,Impacts!$F$5:$Z$22,17,FALSE)*K42</f>
        <v>4.5135967590601371</v>
      </c>
      <c r="Q42" s="495">
        <f>VLOOKUP($N42,Impacts!$F$5:$Z$22,19,FALSE)*K42</f>
        <v>4.0933814127307784</v>
      </c>
      <c r="R42" s="496">
        <f>VLOOKUP($N42,Impacts!$F$5:$Z$22,20,FALSE)*K42</f>
        <v>853.23190152365532</v>
      </c>
      <c r="S42" s="497">
        <f>VLOOKUP($N42,Impacts!$F$5:$Z$22,21,FALSE)*K42</f>
        <v>11.230821668992958</v>
      </c>
      <c r="T42" s="492"/>
      <c r="U42" s="492" t="str">
        <f t="shared" si="7"/>
        <v>Commercial Showerhead Replacement_1_75gpm_Health Care_ Gas Water Heating_Retail</v>
      </c>
      <c r="V42" s="492" t="s">
        <v>440</v>
      </c>
      <c r="W42" s="494">
        <f t="shared" si="13"/>
        <v>0</v>
      </c>
      <c r="X42" s="492">
        <v>10</v>
      </c>
      <c r="Y42" s="498">
        <f t="shared" si="8"/>
        <v>3.2966774171383419</v>
      </c>
      <c r="Z42" s="492"/>
      <c r="AA42" s="499" t="s">
        <v>441</v>
      </c>
      <c r="AB42" s="497">
        <f t="shared" si="9"/>
        <v>11.230821668992958</v>
      </c>
      <c r="AC42" s="492"/>
      <c r="AD42" s="492"/>
      <c r="AE42" s="492"/>
      <c r="AF42" s="492"/>
      <c r="AG42" s="492"/>
      <c r="AH42" s="492"/>
      <c r="AI42" s="492">
        <f t="shared" si="10"/>
        <v>4.0933814127307784</v>
      </c>
      <c r="AJ42" s="492" t="s">
        <v>442</v>
      </c>
      <c r="AL42" s="283" t="e">
        <f t="shared" ca="1" si="11"/>
        <v>#NAME?</v>
      </c>
    </row>
    <row r="43" spans="1:38" hidden="1">
      <c r="A43" s="492">
        <f t="shared" si="12"/>
        <v>33</v>
      </c>
      <c r="B43" s="492">
        <f t="shared" si="14"/>
        <v>2</v>
      </c>
      <c r="C43" s="492">
        <f t="shared" si="14"/>
        <v>1</v>
      </c>
      <c r="D43" s="492">
        <f t="shared" si="14"/>
        <v>2</v>
      </c>
      <c r="E43" s="492">
        <f t="shared" si="1"/>
        <v>3</v>
      </c>
      <c r="F43" s="492" t="str">
        <f t="shared" si="2"/>
        <v>Health Care</v>
      </c>
      <c r="G43" s="492" t="str">
        <f t="shared" ref="G43:I74" si="15">INDEX(G$1:G$3,C43)</f>
        <v>Retail</v>
      </c>
      <c r="H43" s="492" t="str">
        <f t="shared" si="15"/>
        <v>1_75</v>
      </c>
      <c r="I43" s="492" t="str">
        <f t="shared" si="15"/>
        <v>Any Water Heating</v>
      </c>
      <c r="J43" s="492" t="str">
        <f t="shared" si="4"/>
        <v>Commercial Showerhead Replacement_1_75gpm_Health Care_ Any Water Heating_Retail</v>
      </c>
      <c r="K43" s="493">
        <f>INDEX(InstallRatesCostAndLifetime!$A$2:$D$6,MATCH(InputForProCost!G43,InstallRatesCostAndLifetime!$A$2:$A$6,0),MATCH(InputForProCost!H43,InstallRatesCostAndLifetime!$A$2:$D$2,0))</f>
        <v>0.75</v>
      </c>
      <c r="L43" s="493">
        <f t="shared" ref="L43:L74" si="16">IF(I43="Electric Water Heating",1,IF(I43 = "Gas Water Heating",0,VLOOKUP(F43,table_ElectricSaturation,2,FALSE)))</f>
        <v>0.29449999999999998</v>
      </c>
      <c r="M43" s="492"/>
      <c r="N43" s="492" t="str">
        <f t="shared" si="6"/>
        <v>Health Care1_75</v>
      </c>
      <c r="O43" s="494">
        <f>VLOOKUP($N43,Impacts!$F$5:$Z$22,16,FALSE)</f>
        <v>122.38375040103244</v>
      </c>
      <c r="P43" s="494">
        <f>VLOOKUP($N43,Impacts!$F$5:$Z$22,17,FALSE)*K43</f>
        <v>4.5135967590601371</v>
      </c>
      <c r="Q43" s="495">
        <f>VLOOKUP($N43,Impacts!$F$5:$Z$22,19,FALSE)*K43</f>
        <v>4.0933814127307784</v>
      </c>
      <c r="R43" s="496">
        <f>VLOOKUP($N43,Impacts!$F$5:$Z$22,20,FALSE)*K43</f>
        <v>853.23190152365532</v>
      </c>
      <c r="S43" s="497">
        <f>VLOOKUP($N43,Impacts!$F$5:$Z$22,21,FALSE)*K43</f>
        <v>11.230821668992958</v>
      </c>
      <c r="T43" s="492"/>
      <c r="U43" s="492" t="str">
        <f t="shared" si="7"/>
        <v>Commercial Showerhead Replacement_1_75gpm_Health Care_ Any Water Heating_Retail</v>
      </c>
      <c r="V43" s="492" t="s">
        <v>440</v>
      </c>
      <c r="W43" s="494">
        <f t="shared" si="13"/>
        <v>27.03151086982804</v>
      </c>
      <c r="X43" s="492">
        <v>10</v>
      </c>
      <c r="Y43" s="498">
        <f t="shared" ref="Y43:Y74" si="17">VLOOKUP(G43,table_MeasureCosts,2,FALSE)</f>
        <v>3.2966774171383419</v>
      </c>
      <c r="Z43" s="492"/>
      <c r="AA43" s="499" t="s">
        <v>441</v>
      </c>
      <c r="AB43" s="497">
        <f t="shared" si="9"/>
        <v>11.230821668992958</v>
      </c>
      <c r="AC43" s="492"/>
      <c r="AD43" s="492"/>
      <c r="AE43" s="492"/>
      <c r="AF43" s="492"/>
      <c r="AG43" s="492"/>
      <c r="AH43" s="492"/>
      <c r="AI43" s="492">
        <f t="shared" si="10"/>
        <v>2.8878805866815642</v>
      </c>
      <c r="AJ43" s="492" t="s">
        <v>442</v>
      </c>
      <c r="AL43" s="283" t="e">
        <f t="shared" ref="AL43:AL74" ca="1" si="18">VLOOKUP(U43,INDIRECT(OutputRange),82,FALSE)</f>
        <v>#NAME?</v>
      </c>
    </row>
    <row r="44" spans="1:38" hidden="1">
      <c r="A44" s="492">
        <f t="shared" si="12"/>
        <v>34</v>
      </c>
      <c r="B44" s="492">
        <f t="shared" si="14"/>
        <v>2</v>
      </c>
      <c r="C44" s="492">
        <f t="shared" si="14"/>
        <v>1</v>
      </c>
      <c r="D44" s="492">
        <f t="shared" si="14"/>
        <v>3</v>
      </c>
      <c r="E44" s="492">
        <f t="shared" si="1"/>
        <v>1</v>
      </c>
      <c r="F44" s="492" t="str">
        <f t="shared" si="2"/>
        <v>Health Care</v>
      </c>
      <c r="G44" s="492" t="str">
        <f t="shared" si="15"/>
        <v>Retail</v>
      </c>
      <c r="H44" s="492" t="str">
        <f t="shared" si="15"/>
        <v>1_50</v>
      </c>
      <c r="I44" s="492" t="str">
        <f t="shared" si="15"/>
        <v>Electric Water Heating</v>
      </c>
      <c r="J44" s="492" t="str">
        <f t="shared" si="4"/>
        <v>Commercial Showerhead Replacement_1_50gpm_Health Care_ Electric Water Heating_Retail</v>
      </c>
      <c r="K44" s="493">
        <f>INDEX(InstallRatesCostAndLifetime!$A$2:$D$6,MATCH(InputForProCost!G44,InstallRatesCostAndLifetime!$A$2:$A$6,0),MATCH(InputForProCost!H44,InstallRatesCostAndLifetime!$A$2:$D$2,0))</f>
        <v>0.7</v>
      </c>
      <c r="L44" s="493">
        <f t="shared" si="16"/>
        <v>1</v>
      </c>
      <c r="M44" s="492"/>
      <c r="N44" s="492" t="str">
        <f t="shared" si="6"/>
        <v>Health Care1_50</v>
      </c>
      <c r="O44" s="494">
        <f>VLOOKUP($N44,Impacts!$F$5:$Z$22,16,FALSE)</f>
        <v>202.33929329322802</v>
      </c>
      <c r="P44" s="494">
        <f>VLOOKUP($N44,Impacts!$F$5:$Z$22,17,FALSE)*K44</f>
        <v>6.5530738131539783</v>
      </c>
      <c r="Q44" s="495">
        <f>VLOOKUP($N44,Impacts!$F$5:$Z$22,19,FALSE)*K44</f>
        <v>6.3164848782322842</v>
      </c>
      <c r="R44" s="496">
        <f>VLOOKUP($N44,Impacts!$F$5:$Z$22,20,FALSE)*K44</f>
        <v>1238.7663162861961</v>
      </c>
      <c r="S44" s="497">
        <f>VLOOKUP($N44,Impacts!$F$5:$Z$22,21,FALSE)*K44</f>
        <v>16.305489237945334</v>
      </c>
      <c r="T44" s="492"/>
      <c r="U44" s="492" t="str">
        <f t="shared" si="7"/>
        <v>Commercial Showerhead Replacement_1_50gpm_Health Care_ Electric Water Heating_Retail</v>
      </c>
      <c r="V44" s="492" t="s">
        <v>440</v>
      </c>
      <c r="W44" s="494">
        <f t="shared" si="13"/>
        <v>141.63750530525959</v>
      </c>
      <c r="X44" s="492">
        <v>10</v>
      </c>
      <c r="Y44" s="498">
        <f t="shared" si="17"/>
        <v>3.2966774171383419</v>
      </c>
      <c r="Z44" s="492"/>
      <c r="AA44" s="499" t="s">
        <v>441</v>
      </c>
      <c r="AB44" s="497">
        <f t="shared" si="9"/>
        <v>16.305489237945334</v>
      </c>
      <c r="AC44" s="492"/>
      <c r="AD44" s="492"/>
      <c r="AE44" s="492"/>
      <c r="AF44" s="492"/>
      <c r="AG44" s="492"/>
      <c r="AH44" s="492"/>
      <c r="AI44" s="492">
        <f t="shared" si="10"/>
        <v>0</v>
      </c>
      <c r="AJ44" s="492" t="s">
        <v>442</v>
      </c>
      <c r="AL44" s="283" t="e">
        <f t="shared" ca="1" si="18"/>
        <v>#NAME?</v>
      </c>
    </row>
    <row r="45" spans="1:38" hidden="1">
      <c r="A45" s="492">
        <f t="shared" si="12"/>
        <v>35</v>
      </c>
      <c r="B45" s="492">
        <f t="shared" si="14"/>
        <v>2</v>
      </c>
      <c r="C45" s="492">
        <f t="shared" si="14"/>
        <v>1</v>
      </c>
      <c r="D45" s="492">
        <f t="shared" si="14"/>
        <v>3</v>
      </c>
      <c r="E45" s="492">
        <f t="shared" si="1"/>
        <v>2</v>
      </c>
      <c r="F45" s="492" t="str">
        <f t="shared" si="2"/>
        <v>Health Care</v>
      </c>
      <c r="G45" s="492" t="str">
        <f t="shared" si="15"/>
        <v>Retail</v>
      </c>
      <c r="H45" s="492" t="str">
        <f t="shared" si="15"/>
        <v>1_50</v>
      </c>
      <c r="I45" s="492" t="str">
        <f t="shared" si="15"/>
        <v>Gas Water Heating</v>
      </c>
      <c r="J45" s="492" t="str">
        <f t="shared" si="4"/>
        <v>Commercial Showerhead Replacement_1_50gpm_Health Care_ Gas Water Heating_Retail</v>
      </c>
      <c r="K45" s="493">
        <f>INDEX(InstallRatesCostAndLifetime!$A$2:$D$6,MATCH(InputForProCost!G45,InstallRatesCostAndLifetime!$A$2:$A$6,0),MATCH(InputForProCost!H45,InstallRatesCostAndLifetime!$A$2:$D$2,0))</f>
        <v>0.7</v>
      </c>
      <c r="L45" s="493">
        <f t="shared" si="16"/>
        <v>0</v>
      </c>
      <c r="M45" s="492"/>
      <c r="N45" s="492" t="str">
        <f t="shared" si="6"/>
        <v>Health Care1_50</v>
      </c>
      <c r="O45" s="494">
        <f>VLOOKUP($N45,Impacts!$F$5:$Z$22,16,FALSE)</f>
        <v>202.33929329322802</v>
      </c>
      <c r="P45" s="494">
        <f>VLOOKUP($N45,Impacts!$F$5:$Z$22,17,FALSE)*K45</f>
        <v>6.5530738131539783</v>
      </c>
      <c r="Q45" s="495">
        <f>VLOOKUP($N45,Impacts!$F$5:$Z$22,19,FALSE)*K45</f>
        <v>6.3164848782322842</v>
      </c>
      <c r="R45" s="496">
        <f>VLOOKUP($N45,Impacts!$F$5:$Z$22,20,FALSE)*K45</f>
        <v>1238.7663162861961</v>
      </c>
      <c r="S45" s="497">
        <f>VLOOKUP($N45,Impacts!$F$5:$Z$22,21,FALSE)*K45</f>
        <v>16.305489237945334</v>
      </c>
      <c r="T45" s="492"/>
      <c r="U45" s="492" t="str">
        <f t="shared" si="7"/>
        <v>Commercial Showerhead Replacement_1_50gpm_Health Care_ Gas Water Heating_Retail</v>
      </c>
      <c r="V45" s="492" t="s">
        <v>440</v>
      </c>
      <c r="W45" s="494">
        <f t="shared" si="13"/>
        <v>0</v>
      </c>
      <c r="X45" s="492">
        <v>10</v>
      </c>
      <c r="Y45" s="498">
        <f t="shared" si="17"/>
        <v>3.2966774171383419</v>
      </c>
      <c r="Z45" s="492"/>
      <c r="AA45" s="499" t="s">
        <v>441</v>
      </c>
      <c r="AB45" s="497">
        <f t="shared" si="9"/>
        <v>16.305489237945334</v>
      </c>
      <c r="AC45" s="492"/>
      <c r="AD45" s="492"/>
      <c r="AE45" s="492"/>
      <c r="AF45" s="492"/>
      <c r="AG45" s="492"/>
      <c r="AH45" s="492"/>
      <c r="AI45" s="492">
        <f t="shared" si="10"/>
        <v>6.3164848782322842</v>
      </c>
      <c r="AJ45" s="492" t="s">
        <v>442</v>
      </c>
      <c r="AL45" s="283" t="e">
        <f t="shared" ca="1" si="18"/>
        <v>#NAME?</v>
      </c>
    </row>
    <row r="46" spans="1:38" hidden="1">
      <c r="A46" s="492">
        <f t="shared" si="12"/>
        <v>36</v>
      </c>
      <c r="B46" s="492">
        <f t="shared" si="14"/>
        <v>2</v>
      </c>
      <c r="C46" s="492">
        <f t="shared" si="14"/>
        <v>1</v>
      </c>
      <c r="D46" s="492">
        <f t="shared" si="14"/>
        <v>3</v>
      </c>
      <c r="E46" s="492">
        <f t="shared" si="1"/>
        <v>3</v>
      </c>
      <c r="F46" s="492" t="str">
        <f t="shared" si="2"/>
        <v>Health Care</v>
      </c>
      <c r="G46" s="492" t="str">
        <f t="shared" si="15"/>
        <v>Retail</v>
      </c>
      <c r="H46" s="492" t="str">
        <f t="shared" si="15"/>
        <v>1_50</v>
      </c>
      <c r="I46" s="492" t="str">
        <f t="shared" si="15"/>
        <v>Any Water Heating</v>
      </c>
      <c r="J46" s="492" t="str">
        <f t="shared" si="4"/>
        <v>Commercial Showerhead Replacement_1_50gpm_Health Care_ Any Water Heating_Retail</v>
      </c>
      <c r="K46" s="493">
        <f>INDEX(InstallRatesCostAndLifetime!$A$2:$D$6,MATCH(InputForProCost!G46,InstallRatesCostAndLifetime!$A$2:$A$6,0),MATCH(InputForProCost!H46,InstallRatesCostAndLifetime!$A$2:$D$2,0))</f>
        <v>0.7</v>
      </c>
      <c r="L46" s="493">
        <f t="shared" si="16"/>
        <v>0.29449999999999998</v>
      </c>
      <c r="M46" s="492"/>
      <c r="N46" s="492" t="str">
        <f t="shared" si="6"/>
        <v>Health Care1_50</v>
      </c>
      <c r="O46" s="494">
        <f>VLOOKUP($N46,Impacts!$F$5:$Z$22,16,FALSE)</f>
        <v>202.33929329322802</v>
      </c>
      <c r="P46" s="494">
        <f>VLOOKUP($N46,Impacts!$F$5:$Z$22,17,FALSE)*K46</f>
        <v>6.5530738131539783</v>
      </c>
      <c r="Q46" s="495">
        <f>VLOOKUP($N46,Impacts!$F$5:$Z$22,19,FALSE)*K46</f>
        <v>6.3164848782322842</v>
      </c>
      <c r="R46" s="496">
        <f>VLOOKUP($N46,Impacts!$F$5:$Z$22,20,FALSE)*K46</f>
        <v>1238.7663162861961</v>
      </c>
      <c r="S46" s="497">
        <f>VLOOKUP($N46,Impacts!$F$5:$Z$22,21,FALSE)*K46</f>
        <v>16.305489237945334</v>
      </c>
      <c r="T46" s="492"/>
      <c r="U46" s="492" t="str">
        <f t="shared" si="7"/>
        <v>Commercial Showerhead Replacement_1_50gpm_Health Care_ Any Water Heating_Retail</v>
      </c>
      <c r="V46" s="492" t="s">
        <v>440</v>
      </c>
      <c r="W46" s="494">
        <f t="shared" si="13"/>
        <v>41.712245312398956</v>
      </c>
      <c r="X46" s="492">
        <v>10</v>
      </c>
      <c r="Y46" s="498">
        <f t="shared" si="17"/>
        <v>3.2966774171383419</v>
      </c>
      <c r="Z46" s="492"/>
      <c r="AA46" s="499" t="s">
        <v>441</v>
      </c>
      <c r="AB46" s="497">
        <f t="shared" si="9"/>
        <v>16.305489237945334</v>
      </c>
      <c r="AC46" s="492"/>
      <c r="AD46" s="492"/>
      <c r="AE46" s="492"/>
      <c r="AF46" s="492"/>
      <c r="AG46" s="492"/>
      <c r="AH46" s="492"/>
      <c r="AI46" s="492">
        <f t="shared" si="10"/>
        <v>4.4562800815928769</v>
      </c>
      <c r="AJ46" s="492" t="s">
        <v>442</v>
      </c>
      <c r="AL46" s="283" t="e">
        <f t="shared" ca="1" si="18"/>
        <v>#NAME?</v>
      </c>
    </row>
    <row r="47" spans="1:38" hidden="1">
      <c r="A47" s="492">
        <f t="shared" si="12"/>
        <v>37</v>
      </c>
      <c r="B47" s="492">
        <f t="shared" si="14"/>
        <v>2</v>
      </c>
      <c r="C47" s="492">
        <f t="shared" si="14"/>
        <v>2</v>
      </c>
      <c r="D47" s="492">
        <f t="shared" si="14"/>
        <v>1</v>
      </c>
      <c r="E47" s="492">
        <f t="shared" si="1"/>
        <v>1</v>
      </c>
      <c r="F47" s="492" t="str">
        <f t="shared" si="2"/>
        <v>Health Care</v>
      </c>
      <c r="G47" s="492" t="str">
        <f t="shared" si="15"/>
        <v>Direct Install</v>
      </c>
      <c r="H47" s="492" t="str">
        <f t="shared" si="15"/>
        <v>2_00</v>
      </c>
      <c r="I47" s="492" t="str">
        <f t="shared" si="15"/>
        <v>Electric Water Heating</v>
      </c>
      <c r="J47" s="492" t="str">
        <f t="shared" si="4"/>
        <v>Commercial Showerhead Replacement_2_00gpm_Health Care_ Electric Water Heating_Direct Install</v>
      </c>
      <c r="K47" s="493">
        <f>INDEX(InstallRatesCostAndLifetime!$A$2:$D$6,MATCH(InputForProCost!G47,InstallRatesCostAndLifetime!$A$2:$A$6,0),MATCH(InputForProCost!H47,InstallRatesCostAndLifetime!$A$2:$D$2,0))</f>
        <v>0.9</v>
      </c>
      <c r="L47" s="493">
        <f t="shared" si="16"/>
        <v>1</v>
      </c>
      <c r="M47" s="492"/>
      <c r="N47" s="492" t="str">
        <f t="shared" si="6"/>
        <v>Health Care2_00</v>
      </c>
      <c r="O47" s="494">
        <f>VLOOKUP($N47,Impacts!$F$5:$Z$22,16,FALSE)</f>
        <v>114.67580597833171</v>
      </c>
      <c r="P47" s="494">
        <f>VLOOKUP($N47,Impacts!$F$5:$Z$22,17,FALSE)*K47</f>
        <v>4.8145032096641458</v>
      </c>
      <c r="Q47" s="495">
        <f>VLOOKUP($N47,Impacts!$F$5:$Z$22,19,FALSE)*K47</f>
        <v>4.6026876392668301</v>
      </c>
      <c r="R47" s="496">
        <f>VLOOKUP($N47,Impacts!$F$5:$Z$22,20,FALSE)*K47</f>
        <v>910.1140282918991</v>
      </c>
      <c r="S47" s="497">
        <f>VLOOKUP($N47,Impacts!$F$5:$Z$22,21,FALSE)*K47</f>
        <v>11.97954311359249</v>
      </c>
      <c r="T47" s="492"/>
      <c r="U47" s="492" t="str">
        <f t="shared" si="7"/>
        <v>Commercial Showerhead Replacement_2_00gpm_Health Care_ Electric Water Heating_Direct Install</v>
      </c>
      <c r="V47" s="492" t="s">
        <v>440</v>
      </c>
      <c r="W47" s="494">
        <f t="shared" si="13"/>
        <v>103.20822538049855</v>
      </c>
      <c r="X47" s="492">
        <v>10</v>
      </c>
      <c r="Y47" s="498">
        <f t="shared" si="17"/>
        <v>11.336666666666666</v>
      </c>
      <c r="Z47" s="492"/>
      <c r="AA47" s="499" t="s">
        <v>441</v>
      </c>
      <c r="AB47" s="497">
        <f t="shared" si="9"/>
        <v>11.97954311359249</v>
      </c>
      <c r="AC47" s="492"/>
      <c r="AD47" s="492"/>
      <c r="AE47" s="492"/>
      <c r="AF47" s="492"/>
      <c r="AG47" s="492"/>
      <c r="AH47" s="492"/>
      <c r="AI47" s="492">
        <f t="shared" si="10"/>
        <v>0</v>
      </c>
      <c r="AJ47" s="492" t="s">
        <v>442</v>
      </c>
      <c r="AL47" s="283" t="e">
        <f t="shared" ca="1" si="18"/>
        <v>#NAME?</v>
      </c>
    </row>
    <row r="48" spans="1:38" hidden="1">
      <c r="A48" s="492">
        <f t="shared" si="12"/>
        <v>38</v>
      </c>
      <c r="B48" s="492">
        <f t="shared" si="14"/>
        <v>2</v>
      </c>
      <c r="C48" s="492">
        <f t="shared" si="14"/>
        <v>2</v>
      </c>
      <c r="D48" s="492">
        <f t="shared" si="14"/>
        <v>1</v>
      </c>
      <c r="E48" s="492">
        <f t="shared" si="1"/>
        <v>2</v>
      </c>
      <c r="F48" s="492" t="str">
        <f t="shared" si="2"/>
        <v>Health Care</v>
      </c>
      <c r="G48" s="492" t="str">
        <f t="shared" si="15"/>
        <v>Direct Install</v>
      </c>
      <c r="H48" s="492" t="str">
        <f t="shared" si="15"/>
        <v>2_00</v>
      </c>
      <c r="I48" s="492" t="str">
        <f t="shared" si="15"/>
        <v>Gas Water Heating</v>
      </c>
      <c r="J48" s="492" t="str">
        <f t="shared" si="4"/>
        <v>Commercial Showerhead Replacement_2_00gpm_Health Care_ Gas Water Heating_Direct Install</v>
      </c>
      <c r="K48" s="493">
        <f>INDEX(InstallRatesCostAndLifetime!$A$2:$D$6,MATCH(InputForProCost!G48,InstallRatesCostAndLifetime!$A$2:$A$6,0),MATCH(InputForProCost!H48,InstallRatesCostAndLifetime!$A$2:$D$2,0))</f>
        <v>0.9</v>
      </c>
      <c r="L48" s="493">
        <f t="shared" si="16"/>
        <v>0</v>
      </c>
      <c r="M48" s="492"/>
      <c r="N48" s="492" t="str">
        <f t="shared" si="6"/>
        <v>Health Care2_00</v>
      </c>
      <c r="O48" s="494">
        <f>VLOOKUP($N48,Impacts!$F$5:$Z$22,16,FALSE)</f>
        <v>114.67580597833171</v>
      </c>
      <c r="P48" s="494">
        <f>VLOOKUP($N48,Impacts!$F$5:$Z$22,17,FALSE)*K48</f>
        <v>4.8145032096641458</v>
      </c>
      <c r="Q48" s="495">
        <f>VLOOKUP($N48,Impacts!$F$5:$Z$22,19,FALSE)*K48</f>
        <v>4.6026876392668301</v>
      </c>
      <c r="R48" s="496">
        <f>VLOOKUP($N48,Impacts!$F$5:$Z$22,20,FALSE)*K48</f>
        <v>910.1140282918991</v>
      </c>
      <c r="S48" s="497">
        <f>VLOOKUP($N48,Impacts!$F$5:$Z$22,21,FALSE)*K48</f>
        <v>11.97954311359249</v>
      </c>
      <c r="T48" s="492"/>
      <c r="U48" s="492" t="str">
        <f t="shared" si="7"/>
        <v>Commercial Showerhead Replacement_2_00gpm_Health Care_ Gas Water Heating_Direct Install</v>
      </c>
      <c r="V48" s="492" t="s">
        <v>440</v>
      </c>
      <c r="W48" s="494">
        <f t="shared" si="13"/>
        <v>0</v>
      </c>
      <c r="X48" s="492">
        <v>10</v>
      </c>
      <c r="Y48" s="498">
        <f t="shared" si="17"/>
        <v>11.336666666666666</v>
      </c>
      <c r="Z48" s="492"/>
      <c r="AA48" s="499" t="s">
        <v>441</v>
      </c>
      <c r="AB48" s="497">
        <f t="shared" si="9"/>
        <v>11.97954311359249</v>
      </c>
      <c r="AC48" s="492"/>
      <c r="AD48" s="492"/>
      <c r="AE48" s="492"/>
      <c r="AF48" s="492"/>
      <c r="AG48" s="492"/>
      <c r="AH48" s="492"/>
      <c r="AI48" s="492">
        <f t="shared" si="10"/>
        <v>4.6026876392668301</v>
      </c>
      <c r="AJ48" s="492" t="s">
        <v>442</v>
      </c>
      <c r="AL48" s="283" t="e">
        <f t="shared" ca="1" si="18"/>
        <v>#NAME?</v>
      </c>
    </row>
    <row r="49" spans="1:38" hidden="1">
      <c r="A49" s="492">
        <f t="shared" si="12"/>
        <v>39</v>
      </c>
      <c r="B49" s="492">
        <f t="shared" si="14"/>
        <v>2</v>
      </c>
      <c r="C49" s="492">
        <f t="shared" si="14"/>
        <v>2</v>
      </c>
      <c r="D49" s="492">
        <f t="shared" si="14"/>
        <v>1</v>
      </c>
      <c r="E49" s="492">
        <f t="shared" si="1"/>
        <v>3</v>
      </c>
      <c r="F49" s="492" t="str">
        <f t="shared" si="2"/>
        <v>Health Care</v>
      </c>
      <c r="G49" s="492" t="str">
        <f t="shared" si="15"/>
        <v>Direct Install</v>
      </c>
      <c r="H49" s="492" t="str">
        <f t="shared" si="15"/>
        <v>2_00</v>
      </c>
      <c r="I49" s="492" t="str">
        <f t="shared" si="15"/>
        <v>Any Water Heating</v>
      </c>
      <c r="J49" s="492" t="str">
        <f t="shared" si="4"/>
        <v>Commercial Showerhead Replacement_2_00gpm_Health Care_ Any Water Heating_Direct Install</v>
      </c>
      <c r="K49" s="493">
        <f>INDEX(InstallRatesCostAndLifetime!$A$2:$D$6,MATCH(InputForProCost!G49,InstallRatesCostAndLifetime!$A$2:$A$6,0),MATCH(InputForProCost!H49,InstallRatesCostAndLifetime!$A$2:$D$2,0))</f>
        <v>0.9</v>
      </c>
      <c r="L49" s="493">
        <f t="shared" si="16"/>
        <v>0.29449999999999998</v>
      </c>
      <c r="M49" s="492"/>
      <c r="N49" s="492" t="str">
        <f t="shared" si="6"/>
        <v>Health Care2_00</v>
      </c>
      <c r="O49" s="494">
        <f>VLOOKUP($N49,Impacts!$F$5:$Z$22,16,FALSE)</f>
        <v>114.67580597833171</v>
      </c>
      <c r="P49" s="494">
        <f>VLOOKUP($N49,Impacts!$F$5:$Z$22,17,FALSE)*K49</f>
        <v>4.8145032096641458</v>
      </c>
      <c r="Q49" s="495">
        <f>VLOOKUP($N49,Impacts!$F$5:$Z$22,19,FALSE)*K49</f>
        <v>4.6026876392668301</v>
      </c>
      <c r="R49" s="496">
        <f>VLOOKUP($N49,Impacts!$F$5:$Z$22,20,FALSE)*K49</f>
        <v>910.1140282918991</v>
      </c>
      <c r="S49" s="497">
        <f>VLOOKUP($N49,Impacts!$F$5:$Z$22,21,FALSE)*K49</f>
        <v>11.97954311359249</v>
      </c>
      <c r="T49" s="492"/>
      <c r="U49" s="492" t="str">
        <f t="shared" si="7"/>
        <v>Commercial Showerhead Replacement_2_00gpm_Health Care_ Any Water Heating_Direct Install</v>
      </c>
      <c r="V49" s="492" t="s">
        <v>440</v>
      </c>
      <c r="W49" s="494">
        <f t="shared" si="13"/>
        <v>30.394822374556817</v>
      </c>
      <c r="X49" s="492">
        <v>10</v>
      </c>
      <c r="Y49" s="498">
        <f t="shared" si="17"/>
        <v>11.336666666666666</v>
      </c>
      <c r="Z49" s="492"/>
      <c r="AA49" s="499" t="s">
        <v>441</v>
      </c>
      <c r="AB49" s="497">
        <f t="shared" si="9"/>
        <v>11.97954311359249</v>
      </c>
      <c r="AC49" s="492"/>
      <c r="AD49" s="492"/>
      <c r="AE49" s="492"/>
      <c r="AF49" s="492"/>
      <c r="AG49" s="492"/>
      <c r="AH49" s="492"/>
      <c r="AI49" s="492">
        <f t="shared" si="10"/>
        <v>3.2471961295027487</v>
      </c>
      <c r="AJ49" s="492" t="s">
        <v>442</v>
      </c>
      <c r="AL49" s="283" t="e">
        <f t="shared" ca="1" si="18"/>
        <v>#NAME?</v>
      </c>
    </row>
    <row r="50" spans="1:38" hidden="1">
      <c r="A50" s="492">
        <f t="shared" si="12"/>
        <v>40</v>
      </c>
      <c r="B50" s="492">
        <f t="shared" si="14"/>
        <v>2</v>
      </c>
      <c r="C50" s="492">
        <f t="shared" si="14"/>
        <v>2</v>
      </c>
      <c r="D50" s="492">
        <f t="shared" si="14"/>
        <v>2</v>
      </c>
      <c r="E50" s="492">
        <f t="shared" si="1"/>
        <v>1</v>
      </c>
      <c r="F50" s="492" t="str">
        <f t="shared" si="2"/>
        <v>Health Care</v>
      </c>
      <c r="G50" s="492" t="str">
        <f t="shared" si="15"/>
        <v>Direct Install</v>
      </c>
      <c r="H50" s="492" t="str">
        <f t="shared" si="15"/>
        <v>1_75</v>
      </c>
      <c r="I50" s="492" t="str">
        <f t="shared" si="15"/>
        <v>Electric Water Heating</v>
      </c>
      <c r="J50" s="492" t="str">
        <f t="shared" si="4"/>
        <v>Commercial Showerhead Replacement_1_75gpm_Health Care_ Electric Water Heating_Direct Install</v>
      </c>
      <c r="K50" s="493">
        <f>INDEX(InstallRatesCostAndLifetime!$A$2:$D$6,MATCH(InputForProCost!G50,InstallRatesCostAndLifetime!$A$2:$A$6,0),MATCH(InputForProCost!H50,InstallRatesCostAndLifetime!$A$2:$D$2,0))</f>
        <v>0.9</v>
      </c>
      <c r="L50" s="493">
        <f t="shared" si="16"/>
        <v>1</v>
      </c>
      <c r="M50" s="492"/>
      <c r="N50" s="492" t="str">
        <f t="shared" si="6"/>
        <v>Health Care1_75</v>
      </c>
      <c r="O50" s="494">
        <f>VLOOKUP($N50,Impacts!$F$5:$Z$22,16,FALSE)</f>
        <v>122.38375040103244</v>
      </c>
      <c r="P50" s="494">
        <f>VLOOKUP($N50,Impacts!$F$5:$Z$22,17,FALSE)*K50</f>
        <v>5.416316110872164</v>
      </c>
      <c r="Q50" s="495">
        <f>VLOOKUP($N50,Impacts!$F$5:$Z$22,19,FALSE)*K50</f>
        <v>4.9120576952769346</v>
      </c>
      <c r="R50" s="496">
        <f>VLOOKUP($N50,Impacts!$F$5:$Z$22,20,FALSE)*K50</f>
        <v>1023.8782818283864</v>
      </c>
      <c r="S50" s="497">
        <f>VLOOKUP($N50,Impacts!$F$5:$Z$22,21,FALSE)*K50</f>
        <v>13.47698600279155</v>
      </c>
      <c r="T50" s="492"/>
      <c r="U50" s="492" t="str">
        <f t="shared" si="7"/>
        <v>Commercial Showerhead Replacement_1_75gpm_Health Care_ Electric Water Heating_Direct Install</v>
      </c>
      <c r="V50" s="492" t="s">
        <v>440</v>
      </c>
      <c r="W50" s="494">
        <f t="shared" si="13"/>
        <v>110.14537536092921</v>
      </c>
      <c r="X50" s="492">
        <v>10</v>
      </c>
      <c r="Y50" s="498">
        <f t="shared" si="17"/>
        <v>11.336666666666666</v>
      </c>
      <c r="Z50" s="492"/>
      <c r="AA50" s="499" t="s">
        <v>441</v>
      </c>
      <c r="AB50" s="497">
        <f t="shared" si="9"/>
        <v>13.47698600279155</v>
      </c>
      <c r="AC50" s="492"/>
      <c r="AD50" s="492"/>
      <c r="AE50" s="492"/>
      <c r="AF50" s="492"/>
      <c r="AG50" s="492"/>
      <c r="AH50" s="492"/>
      <c r="AI50" s="492">
        <f t="shared" si="10"/>
        <v>0</v>
      </c>
      <c r="AJ50" s="492" t="s">
        <v>442</v>
      </c>
      <c r="AL50" s="283" t="e">
        <f t="shared" ca="1" si="18"/>
        <v>#NAME?</v>
      </c>
    </row>
    <row r="51" spans="1:38" hidden="1">
      <c r="A51" s="492">
        <f t="shared" si="12"/>
        <v>41</v>
      </c>
      <c r="B51" s="492">
        <f t="shared" ref="B51:D70" si="19">CEILING((MOD($A51-1,B$9)+1)/C$9,1)</f>
        <v>2</v>
      </c>
      <c r="C51" s="492">
        <f t="shared" si="19"/>
        <v>2</v>
      </c>
      <c r="D51" s="492">
        <f t="shared" si="19"/>
        <v>2</v>
      </c>
      <c r="E51" s="492">
        <f t="shared" si="1"/>
        <v>2</v>
      </c>
      <c r="F51" s="492" t="str">
        <f t="shared" si="2"/>
        <v>Health Care</v>
      </c>
      <c r="G51" s="492" t="str">
        <f t="shared" si="15"/>
        <v>Direct Install</v>
      </c>
      <c r="H51" s="492" t="str">
        <f t="shared" si="15"/>
        <v>1_75</v>
      </c>
      <c r="I51" s="492" t="str">
        <f t="shared" si="15"/>
        <v>Gas Water Heating</v>
      </c>
      <c r="J51" s="492" t="str">
        <f t="shared" si="4"/>
        <v>Commercial Showerhead Replacement_1_75gpm_Health Care_ Gas Water Heating_Direct Install</v>
      </c>
      <c r="K51" s="493">
        <f>INDEX(InstallRatesCostAndLifetime!$A$2:$D$6,MATCH(InputForProCost!G51,InstallRatesCostAndLifetime!$A$2:$A$6,0),MATCH(InputForProCost!H51,InstallRatesCostAndLifetime!$A$2:$D$2,0))</f>
        <v>0.9</v>
      </c>
      <c r="L51" s="493">
        <f t="shared" si="16"/>
        <v>0</v>
      </c>
      <c r="M51" s="492"/>
      <c r="N51" s="492" t="str">
        <f t="shared" si="6"/>
        <v>Health Care1_75</v>
      </c>
      <c r="O51" s="494">
        <f>VLOOKUP($N51,Impacts!$F$5:$Z$22,16,FALSE)</f>
        <v>122.38375040103244</v>
      </c>
      <c r="P51" s="494">
        <f>VLOOKUP($N51,Impacts!$F$5:$Z$22,17,FALSE)*K51</f>
        <v>5.416316110872164</v>
      </c>
      <c r="Q51" s="495">
        <f>VLOOKUP($N51,Impacts!$F$5:$Z$22,19,FALSE)*K51</f>
        <v>4.9120576952769346</v>
      </c>
      <c r="R51" s="496">
        <f>VLOOKUP($N51,Impacts!$F$5:$Z$22,20,FALSE)*K51</f>
        <v>1023.8782818283864</v>
      </c>
      <c r="S51" s="497">
        <f>VLOOKUP($N51,Impacts!$F$5:$Z$22,21,FALSE)*K51</f>
        <v>13.47698600279155</v>
      </c>
      <c r="T51" s="492"/>
      <c r="U51" s="492" t="str">
        <f t="shared" si="7"/>
        <v>Commercial Showerhead Replacement_1_75gpm_Health Care_ Gas Water Heating_Direct Install</v>
      </c>
      <c r="V51" s="492" t="s">
        <v>440</v>
      </c>
      <c r="W51" s="494">
        <f t="shared" si="13"/>
        <v>0</v>
      </c>
      <c r="X51" s="492">
        <v>10</v>
      </c>
      <c r="Y51" s="498">
        <f t="shared" si="17"/>
        <v>11.336666666666666</v>
      </c>
      <c r="Z51" s="492"/>
      <c r="AA51" s="499" t="s">
        <v>441</v>
      </c>
      <c r="AB51" s="497">
        <f t="shared" si="9"/>
        <v>13.47698600279155</v>
      </c>
      <c r="AC51" s="492"/>
      <c r="AD51" s="492"/>
      <c r="AE51" s="492"/>
      <c r="AF51" s="492"/>
      <c r="AG51" s="492"/>
      <c r="AH51" s="492"/>
      <c r="AI51" s="492">
        <f t="shared" si="10"/>
        <v>4.9120576952769346</v>
      </c>
      <c r="AJ51" s="492" t="s">
        <v>442</v>
      </c>
      <c r="AL51" s="283" t="e">
        <f t="shared" ca="1" si="18"/>
        <v>#NAME?</v>
      </c>
    </row>
    <row r="52" spans="1:38" hidden="1">
      <c r="A52" s="492">
        <f t="shared" si="12"/>
        <v>42</v>
      </c>
      <c r="B52" s="492">
        <f t="shared" si="19"/>
        <v>2</v>
      </c>
      <c r="C52" s="492">
        <f t="shared" si="19"/>
        <v>2</v>
      </c>
      <c r="D52" s="492">
        <f t="shared" si="19"/>
        <v>2</v>
      </c>
      <c r="E52" s="492">
        <f t="shared" si="1"/>
        <v>3</v>
      </c>
      <c r="F52" s="492" t="str">
        <f t="shared" si="2"/>
        <v>Health Care</v>
      </c>
      <c r="G52" s="492" t="str">
        <f t="shared" si="15"/>
        <v>Direct Install</v>
      </c>
      <c r="H52" s="492" t="str">
        <f t="shared" si="15"/>
        <v>1_75</v>
      </c>
      <c r="I52" s="492" t="str">
        <f t="shared" si="15"/>
        <v>Any Water Heating</v>
      </c>
      <c r="J52" s="492" t="str">
        <f t="shared" si="4"/>
        <v>Commercial Showerhead Replacement_1_75gpm_Health Care_ Any Water Heating_Direct Install</v>
      </c>
      <c r="K52" s="493">
        <f>INDEX(InstallRatesCostAndLifetime!$A$2:$D$6,MATCH(InputForProCost!G52,InstallRatesCostAndLifetime!$A$2:$A$6,0),MATCH(InputForProCost!H52,InstallRatesCostAndLifetime!$A$2:$D$2,0))</f>
        <v>0.9</v>
      </c>
      <c r="L52" s="493">
        <f t="shared" si="16"/>
        <v>0.29449999999999998</v>
      </c>
      <c r="M52" s="492"/>
      <c r="N52" s="492" t="str">
        <f t="shared" si="6"/>
        <v>Health Care1_75</v>
      </c>
      <c r="O52" s="494">
        <f>VLOOKUP($N52,Impacts!$F$5:$Z$22,16,FALSE)</f>
        <v>122.38375040103244</v>
      </c>
      <c r="P52" s="494">
        <f>VLOOKUP($N52,Impacts!$F$5:$Z$22,17,FALSE)*K52</f>
        <v>5.416316110872164</v>
      </c>
      <c r="Q52" s="495">
        <f>VLOOKUP($N52,Impacts!$F$5:$Z$22,19,FALSE)*K52</f>
        <v>4.9120576952769346</v>
      </c>
      <c r="R52" s="496">
        <f>VLOOKUP($N52,Impacts!$F$5:$Z$22,20,FALSE)*K52</f>
        <v>1023.8782818283864</v>
      </c>
      <c r="S52" s="497">
        <f>VLOOKUP($N52,Impacts!$F$5:$Z$22,21,FALSE)*K52</f>
        <v>13.47698600279155</v>
      </c>
      <c r="T52" s="492"/>
      <c r="U52" s="492" t="str">
        <f t="shared" si="7"/>
        <v>Commercial Showerhead Replacement_1_75gpm_Health Care_ Any Water Heating_Direct Install</v>
      </c>
      <c r="V52" s="492" t="s">
        <v>440</v>
      </c>
      <c r="W52" s="494">
        <f t="shared" si="13"/>
        <v>32.437813043793653</v>
      </c>
      <c r="X52" s="492">
        <v>10</v>
      </c>
      <c r="Y52" s="498">
        <f t="shared" si="17"/>
        <v>11.336666666666666</v>
      </c>
      <c r="Z52" s="492"/>
      <c r="AA52" s="499" t="s">
        <v>441</v>
      </c>
      <c r="AB52" s="497">
        <f t="shared" si="9"/>
        <v>13.47698600279155</v>
      </c>
      <c r="AC52" s="492"/>
      <c r="AD52" s="492"/>
      <c r="AE52" s="492"/>
      <c r="AF52" s="492"/>
      <c r="AG52" s="492"/>
      <c r="AH52" s="492"/>
      <c r="AI52" s="492">
        <f t="shared" si="10"/>
        <v>3.4654567040178774</v>
      </c>
      <c r="AJ52" s="492" t="s">
        <v>442</v>
      </c>
      <c r="AL52" s="283" t="e">
        <f t="shared" ca="1" si="18"/>
        <v>#NAME?</v>
      </c>
    </row>
    <row r="53" spans="1:38" hidden="1">
      <c r="A53" s="492">
        <f t="shared" si="12"/>
        <v>43</v>
      </c>
      <c r="B53" s="492">
        <f t="shared" si="19"/>
        <v>2</v>
      </c>
      <c r="C53" s="492">
        <f t="shared" si="19"/>
        <v>2</v>
      </c>
      <c r="D53" s="492">
        <f t="shared" si="19"/>
        <v>3</v>
      </c>
      <c r="E53" s="492">
        <f t="shared" si="1"/>
        <v>1</v>
      </c>
      <c r="F53" s="492" t="str">
        <f t="shared" si="2"/>
        <v>Health Care</v>
      </c>
      <c r="G53" s="492" t="str">
        <f t="shared" si="15"/>
        <v>Direct Install</v>
      </c>
      <c r="H53" s="492" t="str">
        <f t="shared" si="15"/>
        <v>1_50</v>
      </c>
      <c r="I53" s="492" t="str">
        <f t="shared" si="15"/>
        <v>Electric Water Heating</v>
      </c>
      <c r="J53" s="492" t="str">
        <f t="shared" si="4"/>
        <v>Commercial Showerhead Replacement_1_50gpm_Health Care_ Electric Water Heating_Direct Install</v>
      </c>
      <c r="K53" s="493">
        <f>INDEX(InstallRatesCostAndLifetime!$A$2:$D$6,MATCH(InputForProCost!G53,InstallRatesCostAndLifetime!$A$2:$A$6,0),MATCH(InputForProCost!H53,InstallRatesCostAndLifetime!$A$2:$D$2,0))</f>
        <v>0.9</v>
      </c>
      <c r="L53" s="493">
        <f t="shared" si="16"/>
        <v>1</v>
      </c>
      <c r="M53" s="492"/>
      <c r="N53" s="492" t="str">
        <f t="shared" si="6"/>
        <v>Health Care1_50</v>
      </c>
      <c r="O53" s="494">
        <f>VLOOKUP($N53,Impacts!$F$5:$Z$22,16,FALSE)</f>
        <v>202.33929329322802</v>
      </c>
      <c r="P53" s="494">
        <f>VLOOKUP($N53,Impacts!$F$5:$Z$22,17,FALSE)*K53</f>
        <v>8.4253806169122587</v>
      </c>
      <c r="Q53" s="495">
        <f>VLOOKUP($N53,Impacts!$F$5:$Z$22,19,FALSE)*K53</f>
        <v>8.1211948434415095</v>
      </c>
      <c r="R53" s="496">
        <f>VLOOKUP($N53,Impacts!$F$5:$Z$22,20,FALSE)*K53</f>
        <v>1592.6995495108238</v>
      </c>
      <c r="S53" s="497">
        <f>VLOOKUP($N53,Impacts!$F$5:$Z$22,21,FALSE)*K53</f>
        <v>20.964200448786858</v>
      </c>
      <c r="T53" s="492"/>
      <c r="U53" s="492" t="str">
        <f t="shared" si="7"/>
        <v>Commercial Showerhead Replacement_1_50gpm_Health Care_ Electric Water Heating_Direct Install</v>
      </c>
      <c r="V53" s="492" t="s">
        <v>440</v>
      </c>
      <c r="W53" s="494">
        <f t="shared" si="13"/>
        <v>182.10536396390523</v>
      </c>
      <c r="X53" s="492">
        <v>10</v>
      </c>
      <c r="Y53" s="498">
        <f t="shared" si="17"/>
        <v>11.336666666666666</v>
      </c>
      <c r="Z53" s="492"/>
      <c r="AA53" s="499" t="s">
        <v>441</v>
      </c>
      <c r="AB53" s="497">
        <f t="shared" si="9"/>
        <v>20.964200448786858</v>
      </c>
      <c r="AC53" s="492"/>
      <c r="AD53" s="492"/>
      <c r="AE53" s="492"/>
      <c r="AF53" s="492"/>
      <c r="AG53" s="492"/>
      <c r="AH53" s="492"/>
      <c r="AI53" s="492">
        <f t="shared" si="10"/>
        <v>0</v>
      </c>
      <c r="AJ53" s="492" t="s">
        <v>442</v>
      </c>
      <c r="AL53" s="283" t="e">
        <f t="shared" ca="1" si="18"/>
        <v>#NAME?</v>
      </c>
    </row>
    <row r="54" spans="1:38" hidden="1">
      <c r="A54" s="492">
        <f t="shared" si="12"/>
        <v>44</v>
      </c>
      <c r="B54" s="492">
        <f t="shared" si="19"/>
        <v>2</v>
      </c>
      <c r="C54" s="492">
        <f t="shared" si="19"/>
        <v>2</v>
      </c>
      <c r="D54" s="492">
        <f t="shared" si="19"/>
        <v>3</v>
      </c>
      <c r="E54" s="492">
        <f t="shared" si="1"/>
        <v>2</v>
      </c>
      <c r="F54" s="492" t="str">
        <f t="shared" si="2"/>
        <v>Health Care</v>
      </c>
      <c r="G54" s="492" t="str">
        <f t="shared" si="15"/>
        <v>Direct Install</v>
      </c>
      <c r="H54" s="492" t="str">
        <f t="shared" si="15"/>
        <v>1_50</v>
      </c>
      <c r="I54" s="492" t="str">
        <f t="shared" si="15"/>
        <v>Gas Water Heating</v>
      </c>
      <c r="J54" s="492" t="str">
        <f t="shared" si="4"/>
        <v>Commercial Showerhead Replacement_1_50gpm_Health Care_ Gas Water Heating_Direct Install</v>
      </c>
      <c r="K54" s="493">
        <f>INDEX(InstallRatesCostAndLifetime!$A$2:$D$6,MATCH(InputForProCost!G54,InstallRatesCostAndLifetime!$A$2:$A$6,0),MATCH(InputForProCost!H54,InstallRatesCostAndLifetime!$A$2:$D$2,0))</f>
        <v>0.9</v>
      </c>
      <c r="L54" s="493">
        <f t="shared" si="16"/>
        <v>0</v>
      </c>
      <c r="M54" s="492"/>
      <c r="N54" s="492" t="str">
        <f t="shared" si="6"/>
        <v>Health Care1_50</v>
      </c>
      <c r="O54" s="494">
        <f>VLOOKUP($N54,Impacts!$F$5:$Z$22,16,FALSE)</f>
        <v>202.33929329322802</v>
      </c>
      <c r="P54" s="494">
        <f>VLOOKUP($N54,Impacts!$F$5:$Z$22,17,FALSE)*K54</f>
        <v>8.4253806169122587</v>
      </c>
      <c r="Q54" s="495">
        <f>VLOOKUP($N54,Impacts!$F$5:$Z$22,19,FALSE)*K54</f>
        <v>8.1211948434415095</v>
      </c>
      <c r="R54" s="496">
        <f>VLOOKUP($N54,Impacts!$F$5:$Z$22,20,FALSE)*K54</f>
        <v>1592.6995495108238</v>
      </c>
      <c r="S54" s="497">
        <f>VLOOKUP($N54,Impacts!$F$5:$Z$22,21,FALSE)*K54</f>
        <v>20.964200448786858</v>
      </c>
      <c r="T54" s="492"/>
      <c r="U54" s="492" t="str">
        <f t="shared" si="7"/>
        <v>Commercial Showerhead Replacement_1_50gpm_Health Care_ Gas Water Heating_Direct Install</v>
      </c>
      <c r="V54" s="492" t="s">
        <v>440</v>
      </c>
      <c r="W54" s="494">
        <f t="shared" si="13"/>
        <v>0</v>
      </c>
      <c r="X54" s="492">
        <v>10</v>
      </c>
      <c r="Y54" s="498">
        <f t="shared" si="17"/>
        <v>11.336666666666666</v>
      </c>
      <c r="Z54" s="492"/>
      <c r="AA54" s="499" t="s">
        <v>441</v>
      </c>
      <c r="AB54" s="497">
        <f t="shared" si="9"/>
        <v>20.964200448786858</v>
      </c>
      <c r="AC54" s="492"/>
      <c r="AD54" s="492"/>
      <c r="AE54" s="492"/>
      <c r="AF54" s="492"/>
      <c r="AG54" s="492"/>
      <c r="AH54" s="492"/>
      <c r="AI54" s="492">
        <f t="shared" si="10"/>
        <v>8.1211948434415095</v>
      </c>
      <c r="AJ54" s="492" t="s">
        <v>442</v>
      </c>
      <c r="AL54" s="283" t="e">
        <f t="shared" ca="1" si="18"/>
        <v>#NAME?</v>
      </c>
    </row>
    <row r="55" spans="1:38">
      <c r="A55" s="492">
        <f t="shared" si="12"/>
        <v>45</v>
      </c>
      <c r="B55" s="492">
        <f t="shared" si="19"/>
        <v>2</v>
      </c>
      <c r="C55" s="492">
        <f t="shared" si="19"/>
        <v>2</v>
      </c>
      <c r="D55" s="492">
        <f t="shared" si="19"/>
        <v>3</v>
      </c>
      <c r="E55" s="492">
        <f t="shared" si="1"/>
        <v>3</v>
      </c>
      <c r="F55" s="492" t="str">
        <f t="shared" si="2"/>
        <v>Health Care</v>
      </c>
      <c r="G55" s="492" t="str">
        <f t="shared" si="15"/>
        <v>Direct Install</v>
      </c>
      <c r="H55" s="492" t="str">
        <f t="shared" si="15"/>
        <v>1_50</v>
      </c>
      <c r="I55" s="492" t="str">
        <f t="shared" si="15"/>
        <v>Any Water Heating</v>
      </c>
      <c r="J55" s="492" t="str">
        <f t="shared" si="4"/>
        <v>Commercial Showerhead Replacement_1_50gpm_Health Care_ Any Water Heating_Direct Install</v>
      </c>
      <c r="K55" s="493">
        <f>INDEX(InstallRatesCostAndLifetime!$A$2:$D$6,MATCH(InputForProCost!G55,InstallRatesCostAndLifetime!$A$2:$A$6,0),MATCH(InputForProCost!H55,InstallRatesCostAndLifetime!$A$2:$D$2,0))</f>
        <v>0.9</v>
      </c>
      <c r="L55" s="493">
        <f t="shared" si="16"/>
        <v>0.29449999999999998</v>
      </c>
      <c r="M55" s="492"/>
      <c r="N55" s="492" t="str">
        <f t="shared" si="6"/>
        <v>Health Care1_50</v>
      </c>
      <c r="O55" s="494">
        <f>VLOOKUP($N55,Impacts!$F$5:$Z$22,16,FALSE)</f>
        <v>202.33929329322802</v>
      </c>
      <c r="P55" s="494">
        <f>VLOOKUP($N55,Impacts!$F$5:$Z$22,17,FALSE)*K55</f>
        <v>8.4253806169122587</v>
      </c>
      <c r="Q55" s="495">
        <f>VLOOKUP($N55,Impacts!$F$5:$Z$22,19,FALSE)*K55</f>
        <v>8.1211948434415095</v>
      </c>
      <c r="R55" s="496">
        <f>VLOOKUP($N55,Impacts!$F$5:$Z$22,20,FALSE)*K55</f>
        <v>1592.6995495108238</v>
      </c>
      <c r="S55" s="497">
        <f>VLOOKUP($N55,Impacts!$F$5:$Z$22,21,FALSE)*K55</f>
        <v>20.964200448786858</v>
      </c>
      <c r="T55" s="492"/>
      <c r="U55" s="492" t="str">
        <f t="shared" si="7"/>
        <v>Commercial Showerhead Replacement_1_50gpm_Health Care_ Any Water Heating_Direct Install</v>
      </c>
      <c r="V55" s="492" t="s">
        <v>440</v>
      </c>
      <c r="W55" s="494">
        <f t="shared" si="13"/>
        <v>53.630029687370083</v>
      </c>
      <c r="X55" s="492">
        <v>10</v>
      </c>
      <c r="Y55" s="498">
        <f t="shared" si="17"/>
        <v>11.336666666666666</v>
      </c>
      <c r="Z55" s="492"/>
      <c r="AA55" s="499" t="s">
        <v>441</v>
      </c>
      <c r="AB55" s="497">
        <f t="shared" si="9"/>
        <v>20.964200448786858</v>
      </c>
      <c r="AC55" s="492"/>
      <c r="AD55" s="492"/>
      <c r="AE55" s="492"/>
      <c r="AF55" s="492"/>
      <c r="AG55" s="492"/>
      <c r="AH55" s="492"/>
      <c r="AI55" s="492">
        <f t="shared" si="10"/>
        <v>5.7295029620479854</v>
      </c>
      <c r="AJ55" s="492" t="s">
        <v>442</v>
      </c>
      <c r="AL55" s="283" t="e">
        <f t="shared" ca="1" si="18"/>
        <v>#NAME?</v>
      </c>
    </row>
    <row r="56" spans="1:38" hidden="1">
      <c r="A56" s="492">
        <f t="shared" si="12"/>
        <v>46</v>
      </c>
      <c r="B56" s="492">
        <f t="shared" si="19"/>
        <v>2</v>
      </c>
      <c r="C56" s="492">
        <f t="shared" si="19"/>
        <v>3</v>
      </c>
      <c r="D56" s="492">
        <f t="shared" si="19"/>
        <v>1</v>
      </c>
      <c r="E56" s="492">
        <f t="shared" si="1"/>
        <v>1</v>
      </c>
      <c r="F56" s="492" t="str">
        <f t="shared" si="2"/>
        <v>Health Care</v>
      </c>
      <c r="G56" s="492" t="str">
        <f t="shared" si="15"/>
        <v>Mail-by-Request</v>
      </c>
      <c r="H56" s="492" t="str">
        <f t="shared" si="15"/>
        <v>2_00</v>
      </c>
      <c r="I56" s="492" t="str">
        <f t="shared" si="15"/>
        <v>Electric Water Heating</v>
      </c>
      <c r="J56" s="492" t="str">
        <f t="shared" si="4"/>
        <v>Commercial Showerhead Replacement_2_00gpm_Health Care_ Electric Water Heating_Mail-by-Request</v>
      </c>
      <c r="K56" s="493">
        <f>INDEX(InstallRatesCostAndLifetime!$A$2:$D$6,MATCH(InputForProCost!G56,InstallRatesCostAndLifetime!$A$2:$A$6,0),MATCH(InputForProCost!H56,InstallRatesCostAndLifetime!$A$2:$D$2,0))</f>
        <v>0.6</v>
      </c>
      <c r="L56" s="493">
        <f t="shared" si="16"/>
        <v>1</v>
      </c>
      <c r="M56" s="492"/>
      <c r="N56" s="492" t="str">
        <f t="shared" si="6"/>
        <v>Health Care2_00</v>
      </c>
      <c r="O56" s="494">
        <f>VLOOKUP($N56,Impacts!$F$5:$Z$22,16,FALSE)</f>
        <v>114.67580597833171</v>
      </c>
      <c r="P56" s="494">
        <f>VLOOKUP($N56,Impacts!$F$5:$Z$22,17,FALSE)*K56</f>
        <v>3.2096688064427639</v>
      </c>
      <c r="Q56" s="495">
        <f>VLOOKUP($N56,Impacts!$F$5:$Z$22,19,FALSE)*K56</f>
        <v>3.0684584261778864</v>
      </c>
      <c r="R56" s="496">
        <f>VLOOKUP($N56,Impacts!$F$5:$Z$22,20,FALSE)*K56</f>
        <v>606.74268552793274</v>
      </c>
      <c r="S56" s="497">
        <f>VLOOKUP($N56,Impacts!$F$5:$Z$22,21,FALSE)*K56</f>
        <v>7.9863620757283256</v>
      </c>
      <c r="T56" s="492"/>
      <c r="U56" s="492" t="str">
        <f t="shared" si="7"/>
        <v>Commercial Showerhead Replacement_2_00gpm_Health Care_ Electric Water Heating_Mail-by-Request</v>
      </c>
      <c r="V56" s="492" t="s">
        <v>440</v>
      </c>
      <c r="W56" s="494">
        <f t="shared" si="13"/>
        <v>68.805483586999017</v>
      </c>
      <c r="X56" s="492">
        <v>10</v>
      </c>
      <c r="Y56" s="498">
        <f t="shared" si="17"/>
        <v>8.1096944444444432</v>
      </c>
      <c r="Z56" s="492"/>
      <c r="AA56" s="499" t="s">
        <v>441</v>
      </c>
      <c r="AB56" s="497">
        <f t="shared" si="9"/>
        <v>7.9863620757283256</v>
      </c>
      <c r="AC56" s="492"/>
      <c r="AD56" s="492"/>
      <c r="AE56" s="492"/>
      <c r="AF56" s="492"/>
      <c r="AG56" s="492"/>
      <c r="AH56" s="492"/>
      <c r="AI56" s="492">
        <f t="shared" si="10"/>
        <v>0</v>
      </c>
      <c r="AJ56" s="492" t="s">
        <v>442</v>
      </c>
      <c r="AL56" s="283" t="e">
        <f t="shared" ca="1" si="18"/>
        <v>#NAME?</v>
      </c>
    </row>
    <row r="57" spans="1:38" hidden="1">
      <c r="A57" s="492">
        <f t="shared" si="12"/>
        <v>47</v>
      </c>
      <c r="B57" s="492">
        <f t="shared" si="19"/>
        <v>2</v>
      </c>
      <c r="C57" s="492">
        <f t="shared" si="19"/>
        <v>3</v>
      </c>
      <c r="D57" s="492">
        <f t="shared" si="19"/>
        <v>1</v>
      </c>
      <c r="E57" s="492">
        <f t="shared" si="1"/>
        <v>2</v>
      </c>
      <c r="F57" s="492" t="str">
        <f t="shared" si="2"/>
        <v>Health Care</v>
      </c>
      <c r="G57" s="492" t="str">
        <f t="shared" si="15"/>
        <v>Mail-by-Request</v>
      </c>
      <c r="H57" s="492" t="str">
        <f t="shared" si="15"/>
        <v>2_00</v>
      </c>
      <c r="I57" s="492" t="str">
        <f t="shared" si="15"/>
        <v>Gas Water Heating</v>
      </c>
      <c r="J57" s="492" t="str">
        <f t="shared" si="4"/>
        <v>Commercial Showerhead Replacement_2_00gpm_Health Care_ Gas Water Heating_Mail-by-Request</v>
      </c>
      <c r="K57" s="493">
        <f>INDEX(InstallRatesCostAndLifetime!$A$2:$D$6,MATCH(InputForProCost!G57,InstallRatesCostAndLifetime!$A$2:$A$6,0),MATCH(InputForProCost!H57,InstallRatesCostAndLifetime!$A$2:$D$2,0))</f>
        <v>0.6</v>
      </c>
      <c r="L57" s="493">
        <f t="shared" si="16"/>
        <v>0</v>
      </c>
      <c r="M57" s="492"/>
      <c r="N57" s="492" t="str">
        <f t="shared" si="6"/>
        <v>Health Care2_00</v>
      </c>
      <c r="O57" s="494">
        <f>VLOOKUP($N57,Impacts!$F$5:$Z$22,16,FALSE)</f>
        <v>114.67580597833171</v>
      </c>
      <c r="P57" s="494">
        <f>VLOOKUP($N57,Impacts!$F$5:$Z$22,17,FALSE)*K57</f>
        <v>3.2096688064427639</v>
      </c>
      <c r="Q57" s="495">
        <f>VLOOKUP($N57,Impacts!$F$5:$Z$22,19,FALSE)*K57</f>
        <v>3.0684584261778864</v>
      </c>
      <c r="R57" s="496">
        <f>VLOOKUP($N57,Impacts!$F$5:$Z$22,20,FALSE)*K57</f>
        <v>606.74268552793274</v>
      </c>
      <c r="S57" s="497">
        <f>VLOOKUP($N57,Impacts!$F$5:$Z$22,21,FALSE)*K57</f>
        <v>7.9863620757283256</v>
      </c>
      <c r="T57" s="492"/>
      <c r="U57" s="492" t="str">
        <f t="shared" si="7"/>
        <v>Commercial Showerhead Replacement_2_00gpm_Health Care_ Gas Water Heating_Mail-by-Request</v>
      </c>
      <c r="V57" s="492" t="s">
        <v>440</v>
      </c>
      <c r="W57" s="494">
        <f t="shared" si="13"/>
        <v>0</v>
      </c>
      <c r="X57" s="492">
        <v>10</v>
      </c>
      <c r="Y57" s="498">
        <f t="shared" si="17"/>
        <v>8.1096944444444432</v>
      </c>
      <c r="Z57" s="492"/>
      <c r="AA57" s="499" t="s">
        <v>441</v>
      </c>
      <c r="AB57" s="497">
        <f t="shared" si="9"/>
        <v>7.9863620757283256</v>
      </c>
      <c r="AC57" s="492"/>
      <c r="AD57" s="492"/>
      <c r="AE57" s="492"/>
      <c r="AF57" s="492"/>
      <c r="AG57" s="492"/>
      <c r="AH57" s="492"/>
      <c r="AI57" s="492">
        <f t="shared" si="10"/>
        <v>3.0684584261778864</v>
      </c>
      <c r="AJ57" s="492" t="s">
        <v>442</v>
      </c>
      <c r="AL57" s="283" t="e">
        <f t="shared" ca="1" si="18"/>
        <v>#NAME?</v>
      </c>
    </row>
    <row r="58" spans="1:38" hidden="1">
      <c r="A58" s="492">
        <f t="shared" si="12"/>
        <v>48</v>
      </c>
      <c r="B58" s="492">
        <f t="shared" si="19"/>
        <v>2</v>
      </c>
      <c r="C58" s="492">
        <f t="shared" si="19"/>
        <v>3</v>
      </c>
      <c r="D58" s="492">
        <f t="shared" si="19"/>
        <v>1</v>
      </c>
      <c r="E58" s="492">
        <f t="shared" si="1"/>
        <v>3</v>
      </c>
      <c r="F58" s="492" t="str">
        <f t="shared" si="2"/>
        <v>Health Care</v>
      </c>
      <c r="G58" s="492" t="str">
        <f t="shared" si="15"/>
        <v>Mail-by-Request</v>
      </c>
      <c r="H58" s="492" t="str">
        <f t="shared" si="15"/>
        <v>2_00</v>
      </c>
      <c r="I58" s="492" t="str">
        <f t="shared" si="15"/>
        <v>Any Water Heating</v>
      </c>
      <c r="J58" s="492" t="str">
        <f t="shared" si="4"/>
        <v>Commercial Showerhead Replacement_2_00gpm_Health Care_ Any Water Heating_Mail-by-Request</v>
      </c>
      <c r="K58" s="493">
        <f>INDEX(InstallRatesCostAndLifetime!$A$2:$D$6,MATCH(InputForProCost!G58,InstallRatesCostAndLifetime!$A$2:$A$6,0),MATCH(InputForProCost!H58,InstallRatesCostAndLifetime!$A$2:$D$2,0))</f>
        <v>0.6</v>
      </c>
      <c r="L58" s="493">
        <f t="shared" si="16"/>
        <v>0.29449999999999998</v>
      </c>
      <c r="M58" s="492"/>
      <c r="N58" s="492" t="str">
        <f t="shared" si="6"/>
        <v>Health Care2_00</v>
      </c>
      <c r="O58" s="494">
        <f>VLOOKUP($N58,Impacts!$F$5:$Z$22,16,FALSE)</f>
        <v>114.67580597833171</v>
      </c>
      <c r="P58" s="494">
        <f>VLOOKUP($N58,Impacts!$F$5:$Z$22,17,FALSE)*K58</f>
        <v>3.2096688064427639</v>
      </c>
      <c r="Q58" s="495">
        <f>VLOOKUP($N58,Impacts!$F$5:$Z$22,19,FALSE)*K58</f>
        <v>3.0684584261778864</v>
      </c>
      <c r="R58" s="496">
        <f>VLOOKUP($N58,Impacts!$F$5:$Z$22,20,FALSE)*K58</f>
        <v>606.74268552793274</v>
      </c>
      <c r="S58" s="497">
        <f>VLOOKUP($N58,Impacts!$F$5:$Z$22,21,FALSE)*K58</f>
        <v>7.9863620757283256</v>
      </c>
      <c r="T58" s="492"/>
      <c r="U58" s="492" t="str">
        <f t="shared" si="7"/>
        <v>Commercial Showerhead Replacement_2_00gpm_Health Care_ Any Water Heating_Mail-by-Request</v>
      </c>
      <c r="V58" s="492" t="s">
        <v>440</v>
      </c>
      <c r="W58" s="494">
        <f t="shared" si="13"/>
        <v>20.263214916371211</v>
      </c>
      <c r="X58" s="492">
        <v>10</v>
      </c>
      <c r="Y58" s="498">
        <f t="shared" si="17"/>
        <v>8.1096944444444432</v>
      </c>
      <c r="Z58" s="492"/>
      <c r="AA58" s="499" t="s">
        <v>441</v>
      </c>
      <c r="AB58" s="497">
        <f t="shared" si="9"/>
        <v>7.9863620757283256</v>
      </c>
      <c r="AC58" s="492"/>
      <c r="AD58" s="492"/>
      <c r="AE58" s="492"/>
      <c r="AF58" s="492"/>
      <c r="AG58" s="492"/>
      <c r="AH58" s="492"/>
      <c r="AI58" s="492">
        <f t="shared" si="10"/>
        <v>2.1647974196684991</v>
      </c>
      <c r="AJ58" s="492" t="s">
        <v>442</v>
      </c>
      <c r="AL58" s="283" t="e">
        <f t="shared" ca="1" si="18"/>
        <v>#NAME?</v>
      </c>
    </row>
    <row r="59" spans="1:38" hidden="1">
      <c r="A59" s="492">
        <f t="shared" si="12"/>
        <v>49</v>
      </c>
      <c r="B59" s="492">
        <f t="shared" si="19"/>
        <v>2</v>
      </c>
      <c r="C59" s="492">
        <f t="shared" si="19"/>
        <v>3</v>
      </c>
      <c r="D59" s="492">
        <f t="shared" si="19"/>
        <v>2</v>
      </c>
      <c r="E59" s="492">
        <f t="shared" si="1"/>
        <v>1</v>
      </c>
      <c r="F59" s="492" t="str">
        <f t="shared" si="2"/>
        <v>Health Care</v>
      </c>
      <c r="G59" s="492" t="str">
        <f t="shared" si="15"/>
        <v>Mail-by-Request</v>
      </c>
      <c r="H59" s="492" t="str">
        <f t="shared" si="15"/>
        <v>1_75</v>
      </c>
      <c r="I59" s="492" t="str">
        <f t="shared" si="15"/>
        <v>Electric Water Heating</v>
      </c>
      <c r="J59" s="492" t="str">
        <f t="shared" si="4"/>
        <v>Commercial Showerhead Replacement_1_75gpm_Health Care_ Electric Water Heating_Mail-by-Request</v>
      </c>
      <c r="K59" s="493">
        <f>INDEX(InstallRatesCostAndLifetime!$A$2:$D$6,MATCH(InputForProCost!G59,InstallRatesCostAndLifetime!$A$2:$A$6,0),MATCH(InputForProCost!H59,InstallRatesCostAndLifetime!$A$2:$D$2,0))</f>
        <v>0.6</v>
      </c>
      <c r="L59" s="493">
        <f t="shared" si="16"/>
        <v>1</v>
      </c>
      <c r="M59" s="492"/>
      <c r="N59" s="492" t="str">
        <f t="shared" si="6"/>
        <v>Health Care1_75</v>
      </c>
      <c r="O59" s="494">
        <f>VLOOKUP($N59,Impacts!$F$5:$Z$22,16,FALSE)</f>
        <v>122.38375040103244</v>
      </c>
      <c r="P59" s="494">
        <f>VLOOKUP($N59,Impacts!$F$5:$Z$22,17,FALSE)*K59</f>
        <v>3.6108774072481093</v>
      </c>
      <c r="Q59" s="495">
        <f>VLOOKUP($N59,Impacts!$F$5:$Z$22,19,FALSE)*K59</f>
        <v>3.2747051301846226</v>
      </c>
      <c r="R59" s="496">
        <f>VLOOKUP($N59,Impacts!$F$5:$Z$22,20,FALSE)*K59</f>
        <v>682.58552121892421</v>
      </c>
      <c r="S59" s="497">
        <f>VLOOKUP($N59,Impacts!$F$5:$Z$22,21,FALSE)*K59</f>
        <v>8.9846573351943668</v>
      </c>
      <c r="T59" s="492"/>
      <c r="U59" s="492" t="str">
        <f t="shared" si="7"/>
        <v>Commercial Showerhead Replacement_1_75gpm_Health Care_ Electric Water Heating_Mail-by-Request</v>
      </c>
      <c r="V59" s="492" t="s">
        <v>440</v>
      </c>
      <c r="W59" s="494">
        <f t="shared" si="13"/>
        <v>73.430250240619458</v>
      </c>
      <c r="X59" s="492">
        <v>10</v>
      </c>
      <c r="Y59" s="498">
        <f t="shared" si="17"/>
        <v>8.1096944444444432</v>
      </c>
      <c r="Z59" s="492"/>
      <c r="AA59" s="499" t="s">
        <v>441</v>
      </c>
      <c r="AB59" s="497">
        <f t="shared" si="9"/>
        <v>8.9846573351943668</v>
      </c>
      <c r="AC59" s="492"/>
      <c r="AD59" s="492"/>
      <c r="AE59" s="492"/>
      <c r="AF59" s="492"/>
      <c r="AG59" s="492"/>
      <c r="AH59" s="492"/>
      <c r="AI59" s="492">
        <f t="shared" si="10"/>
        <v>0</v>
      </c>
      <c r="AJ59" s="492" t="s">
        <v>442</v>
      </c>
      <c r="AL59" s="283" t="e">
        <f t="shared" ca="1" si="18"/>
        <v>#NAME?</v>
      </c>
    </row>
    <row r="60" spans="1:38" hidden="1">
      <c r="A60" s="492">
        <f t="shared" si="12"/>
        <v>50</v>
      </c>
      <c r="B60" s="492">
        <f t="shared" si="19"/>
        <v>2</v>
      </c>
      <c r="C60" s="492">
        <f t="shared" si="19"/>
        <v>3</v>
      </c>
      <c r="D60" s="492">
        <f t="shared" si="19"/>
        <v>2</v>
      </c>
      <c r="E60" s="492">
        <f t="shared" si="1"/>
        <v>2</v>
      </c>
      <c r="F60" s="492" t="str">
        <f t="shared" si="2"/>
        <v>Health Care</v>
      </c>
      <c r="G60" s="492" t="str">
        <f t="shared" si="15"/>
        <v>Mail-by-Request</v>
      </c>
      <c r="H60" s="492" t="str">
        <f t="shared" si="15"/>
        <v>1_75</v>
      </c>
      <c r="I60" s="492" t="str">
        <f t="shared" si="15"/>
        <v>Gas Water Heating</v>
      </c>
      <c r="J60" s="492" t="str">
        <f t="shared" si="4"/>
        <v>Commercial Showerhead Replacement_1_75gpm_Health Care_ Gas Water Heating_Mail-by-Request</v>
      </c>
      <c r="K60" s="493">
        <f>INDEX(InstallRatesCostAndLifetime!$A$2:$D$6,MATCH(InputForProCost!G60,InstallRatesCostAndLifetime!$A$2:$A$6,0),MATCH(InputForProCost!H60,InstallRatesCostAndLifetime!$A$2:$D$2,0))</f>
        <v>0.6</v>
      </c>
      <c r="L60" s="493">
        <f t="shared" si="16"/>
        <v>0</v>
      </c>
      <c r="M60" s="492"/>
      <c r="N60" s="492" t="str">
        <f t="shared" si="6"/>
        <v>Health Care1_75</v>
      </c>
      <c r="O60" s="494">
        <f>VLOOKUP($N60,Impacts!$F$5:$Z$22,16,FALSE)</f>
        <v>122.38375040103244</v>
      </c>
      <c r="P60" s="494">
        <f>VLOOKUP($N60,Impacts!$F$5:$Z$22,17,FALSE)*K60</f>
        <v>3.6108774072481093</v>
      </c>
      <c r="Q60" s="495">
        <f>VLOOKUP($N60,Impacts!$F$5:$Z$22,19,FALSE)*K60</f>
        <v>3.2747051301846226</v>
      </c>
      <c r="R60" s="496">
        <f>VLOOKUP($N60,Impacts!$F$5:$Z$22,20,FALSE)*K60</f>
        <v>682.58552121892421</v>
      </c>
      <c r="S60" s="497">
        <f>VLOOKUP($N60,Impacts!$F$5:$Z$22,21,FALSE)*K60</f>
        <v>8.9846573351943668</v>
      </c>
      <c r="T60" s="492"/>
      <c r="U60" s="492" t="str">
        <f t="shared" si="7"/>
        <v>Commercial Showerhead Replacement_1_75gpm_Health Care_ Gas Water Heating_Mail-by-Request</v>
      </c>
      <c r="V60" s="492" t="s">
        <v>440</v>
      </c>
      <c r="W60" s="494">
        <f t="shared" si="13"/>
        <v>0</v>
      </c>
      <c r="X60" s="492">
        <v>10</v>
      </c>
      <c r="Y60" s="498">
        <f t="shared" si="17"/>
        <v>8.1096944444444432</v>
      </c>
      <c r="Z60" s="492"/>
      <c r="AA60" s="499" t="s">
        <v>441</v>
      </c>
      <c r="AB60" s="497">
        <f t="shared" si="9"/>
        <v>8.9846573351943668</v>
      </c>
      <c r="AC60" s="492"/>
      <c r="AD60" s="492"/>
      <c r="AE60" s="492"/>
      <c r="AF60" s="492"/>
      <c r="AG60" s="492"/>
      <c r="AH60" s="492"/>
      <c r="AI60" s="492">
        <f t="shared" si="10"/>
        <v>3.2747051301846226</v>
      </c>
      <c r="AJ60" s="492" t="s">
        <v>442</v>
      </c>
      <c r="AL60" s="283" t="e">
        <f t="shared" ca="1" si="18"/>
        <v>#NAME?</v>
      </c>
    </row>
    <row r="61" spans="1:38" hidden="1">
      <c r="A61" s="492">
        <f t="shared" si="12"/>
        <v>51</v>
      </c>
      <c r="B61" s="492">
        <f t="shared" si="19"/>
        <v>2</v>
      </c>
      <c r="C61" s="492">
        <f t="shared" si="19"/>
        <v>3</v>
      </c>
      <c r="D61" s="492">
        <f t="shared" si="19"/>
        <v>2</v>
      </c>
      <c r="E61" s="492">
        <f t="shared" si="1"/>
        <v>3</v>
      </c>
      <c r="F61" s="492" t="str">
        <f t="shared" si="2"/>
        <v>Health Care</v>
      </c>
      <c r="G61" s="492" t="str">
        <f t="shared" si="15"/>
        <v>Mail-by-Request</v>
      </c>
      <c r="H61" s="492" t="str">
        <f t="shared" si="15"/>
        <v>1_75</v>
      </c>
      <c r="I61" s="492" t="str">
        <f t="shared" si="15"/>
        <v>Any Water Heating</v>
      </c>
      <c r="J61" s="492" t="str">
        <f t="shared" si="4"/>
        <v>Commercial Showerhead Replacement_1_75gpm_Health Care_ Any Water Heating_Mail-by-Request</v>
      </c>
      <c r="K61" s="493">
        <f>INDEX(InstallRatesCostAndLifetime!$A$2:$D$6,MATCH(InputForProCost!G61,InstallRatesCostAndLifetime!$A$2:$A$6,0),MATCH(InputForProCost!H61,InstallRatesCostAndLifetime!$A$2:$D$2,0))</f>
        <v>0.6</v>
      </c>
      <c r="L61" s="493">
        <f t="shared" si="16"/>
        <v>0.29449999999999998</v>
      </c>
      <c r="M61" s="492"/>
      <c r="N61" s="492" t="str">
        <f t="shared" si="6"/>
        <v>Health Care1_75</v>
      </c>
      <c r="O61" s="494">
        <f>VLOOKUP($N61,Impacts!$F$5:$Z$22,16,FALSE)</f>
        <v>122.38375040103244</v>
      </c>
      <c r="P61" s="494">
        <f>VLOOKUP($N61,Impacts!$F$5:$Z$22,17,FALSE)*K61</f>
        <v>3.6108774072481093</v>
      </c>
      <c r="Q61" s="495">
        <f>VLOOKUP($N61,Impacts!$F$5:$Z$22,19,FALSE)*K61</f>
        <v>3.2747051301846226</v>
      </c>
      <c r="R61" s="496">
        <f>VLOOKUP($N61,Impacts!$F$5:$Z$22,20,FALSE)*K61</f>
        <v>682.58552121892421</v>
      </c>
      <c r="S61" s="497">
        <f>VLOOKUP($N61,Impacts!$F$5:$Z$22,21,FALSE)*K61</f>
        <v>8.9846573351943668</v>
      </c>
      <c r="T61" s="492"/>
      <c r="U61" s="492" t="str">
        <f t="shared" si="7"/>
        <v>Commercial Showerhead Replacement_1_75gpm_Health Care_ Any Water Heating_Mail-by-Request</v>
      </c>
      <c r="V61" s="492" t="s">
        <v>440</v>
      </c>
      <c r="W61" s="494">
        <f t="shared" si="13"/>
        <v>21.625208695862433</v>
      </c>
      <c r="X61" s="492">
        <v>10</v>
      </c>
      <c r="Y61" s="498">
        <f t="shared" si="17"/>
        <v>8.1096944444444432</v>
      </c>
      <c r="Z61" s="492"/>
      <c r="AA61" s="499" t="s">
        <v>441</v>
      </c>
      <c r="AB61" s="497">
        <f t="shared" si="9"/>
        <v>8.9846573351943668</v>
      </c>
      <c r="AC61" s="492"/>
      <c r="AD61" s="492"/>
      <c r="AE61" s="492"/>
      <c r="AF61" s="492"/>
      <c r="AG61" s="492"/>
      <c r="AH61" s="492"/>
      <c r="AI61" s="492">
        <f t="shared" si="10"/>
        <v>2.3103044693452515</v>
      </c>
      <c r="AJ61" s="492" t="s">
        <v>442</v>
      </c>
      <c r="AL61" s="283" t="e">
        <f t="shared" ca="1" si="18"/>
        <v>#NAME?</v>
      </c>
    </row>
    <row r="62" spans="1:38" hidden="1">
      <c r="A62" s="492">
        <f t="shared" si="12"/>
        <v>52</v>
      </c>
      <c r="B62" s="492">
        <f t="shared" si="19"/>
        <v>2</v>
      </c>
      <c r="C62" s="492">
        <f t="shared" si="19"/>
        <v>3</v>
      </c>
      <c r="D62" s="492">
        <f t="shared" si="19"/>
        <v>3</v>
      </c>
      <c r="E62" s="492">
        <f t="shared" si="1"/>
        <v>1</v>
      </c>
      <c r="F62" s="492" t="str">
        <f t="shared" si="2"/>
        <v>Health Care</v>
      </c>
      <c r="G62" s="492" t="str">
        <f t="shared" si="15"/>
        <v>Mail-by-Request</v>
      </c>
      <c r="H62" s="492" t="str">
        <f t="shared" si="15"/>
        <v>1_50</v>
      </c>
      <c r="I62" s="492" t="str">
        <f t="shared" si="15"/>
        <v>Electric Water Heating</v>
      </c>
      <c r="J62" s="492" t="str">
        <f t="shared" si="4"/>
        <v>Commercial Showerhead Replacement_1_50gpm_Health Care_ Electric Water Heating_Mail-by-Request</v>
      </c>
      <c r="K62" s="493">
        <f>INDEX(InstallRatesCostAndLifetime!$A$2:$D$6,MATCH(InputForProCost!G62,InstallRatesCostAndLifetime!$A$2:$A$6,0),MATCH(InputForProCost!H62,InstallRatesCostAndLifetime!$A$2:$D$2,0))</f>
        <v>0.6</v>
      </c>
      <c r="L62" s="493">
        <f t="shared" si="16"/>
        <v>1</v>
      </c>
      <c r="M62" s="492"/>
      <c r="N62" s="492" t="str">
        <f t="shared" si="6"/>
        <v>Health Care1_50</v>
      </c>
      <c r="O62" s="494">
        <f>VLOOKUP($N62,Impacts!$F$5:$Z$22,16,FALSE)</f>
        <v>202.33929329322802</v>
      </c>
      <c r="P62" s="494">
        <f>VLOOKUP($N62,Impacts!$F$5:$Z$22,17,FALSE)*K62</f>
        <v>5.6169204112748385</v>
      </c>
      <c r="Q62" s="495">
        <f>VLOOKUP($N62,Impacts!$F$5:$Z$22,19,FALSE)*K62</f>
        <v>5.4141298956276724</v>
      </c>
      <c r="R62" s="496">
        <f>VLOOKUP($N62,Impacts!$F$5:$Z$22,20,FALSE)*K62</f>
        <v>1061.7996996738823</v>
      </c>
      <c r="S62" s="497">
        <f>VLOOKUP($N62,Impacts!$F$5:$Z$22,21,FALSE)*K62</f>
        <v>13.976133632524572</v>
      </c>
      <c r="T62" s="492"/>
      <c r="U62" s="492" t="str">
        <f t="shared" si="7"/>
        <v>Commercial Showerhead Replacement_1_50gpm_Health Care_ Electric Water Heating_Mail-by-Request</v>
      </c>
      <c r="V62" s="492" t="s">
        <v>440</v>
      </c>
      <c r="W62" s="494">
        <f t="shared" si="13"/>
        <v>121.4035759759368</v>
      </c>
      <c r="X62" s="492">
        <v>10</v>
      </c>
      <c r="Y62" s="498">
        <f t="shared" si="17"/>
        <v>8.1096944444444432</v>
      </c>
      <c r="Z62" s="492"/>
      <c r="AA62" s="499" t="s">
        <v>441</v>
      </c>
      <c r="AB62" s="497">
        <f t="shared" si="9"/>
        <v>13.976133632524572</v>
      </c>
      <c r="AC62" s="492"/>
      <c r="AD62" s="492"/>
      <c r="AE62" s="492"/>
      <c r="AF62" s="492"/>
      <c r="AG62" s="492"/>
      <c r="AH62" s="492"/>
      <c r="AI62" s="492">
        <f t="shared" si="10"/>
        <v>0</v>
      </c>
      <c r="AJ62" s="492" t="s">
        <v>442</v>
      </c>
      <c r="AL62" s="283" t="e">
        <f t="shared" ca="1" si="18"/>
        <v>#NAME?</v>
      </c>
    </row>
    <row r="63" spans="1:38" hidden="1">
      <c r="A63" s="492">
        <f t="shared" si="12"/>
        <v>53</v>
      </c>
      <c r="B63" s="492">
        <f t="shared" si="19"/>
        <v>2</v>
      </c>
      <c r="C63" s="492">
        <f t="shared" si="19"/>
        <v>3</v>
      </c>
      <c r="D63" s="492">
        <f t="shared" si="19"/>
        <v>3</v>
      </c>
      <c r="E63" s="492">
        <f t="shared" si="1"/>
        <v>2</v>
      </c>
      <c r="F63" s="492" t="str">
        <f t="shared" si="2"/>
        <v>Health Care</v>
      </c>
      <c r="G63" s="492" t="str">
        <f t="shared" si="15"/>
        <v>Mail-by-Request</v>
      </c>
      <c r="H63" s="492" t="str">
        <f t="shared" si="15"/>
        <v>1_50</v>
      </c>
      <c r="I63" s="492" t="str">
        <f t="shared" si="15"/>
        <v>Gas Water Heating</v>
      </c>
      <c r="J63" s="492" t="str">
        <f t="shared" si="4"/>
        <v>Commercial Showerhead Replacement_1_50gpm_Health Care_ Gas Water Heating_Mail-by-Request</v>
      </c>
      <c r="K63" s="493">
        <f>INDEX(InstallRatesCostAndLifetime!$A$2:$D$6,MATCH(InputForProCost!G63,InstallRatesCostAndLifetime!$A$2:$A$6,0),MATCH(InputForProCost!H63,InstallRatesCostAndLifetime!$A$2:$D$2,0))</f>
        <v>0.6</v>
      </c>
      <c r="L63" s="493">
        <f t="shared" si="16"/>
        <v>0</v>
      </c>
      <c r="M63" s="492"/>
      <c r="N63" s="492" t="str">
        <f t="shared" si="6"/>
        <v>Health Care1_50</v>
      </c>
      <c r="O63" s="494">
        <f>VLOOKUP($N63,Impacts!$F$5:$Z$22,16,FALSE)</f>
        <v>202.33929329322802</v>
      </c>
      <c r="P63" s="494">
        <f>VLOOKUP($N63,Impacts!$F$5:$Z$22,17,FALSE)*K63</f>
        <v>5.6169204112748385</v>
      </c>
      <c r="Q63" s="495">
        <f>VLOOKUP($N63,Impacts!$F$5:$Z$22,19,FALSE)*K63</f>
        <v>5.4141298956276724</v>
      </c>
      <c r="R63" s="496">
        <f>VLOOKUP($N63,Impacts!$F$5:$Z$22,20,FALSE)*K63</f>
        <v>1061.7996996738823</v>
      </c>
      <c r="S63" s="497">
        <f>VLOOKUP($N63,Impacts!$F$5:$Z$22,21,FALSE)*K63</f>
        <v>13.976133632524572</v>
      </c>
      <c r="T63" s="492"/>
      <c r="U63" s="492" t="str">
        <f t="shared" si="7"/>
        <v>Commercial Showerhead Replacement_1_50gpm_Health Care_ Gas Water Heating_Mail-by-Request</v>
      </c>
      <c r="V63" s="492" t="s">
        <v>440</v>
      </c>
      <c r="W63" s="494">
        <f t="shared" si="13"/>
        <v>0</v>
      </c>
      <c r="X63" s="492">
        <v>10</v>
      </c>
      <c r="Y63" s="498">
        <f t="shared" si="17"/>
        <v>8.1096944444444432</v>
      </c>
      <c r="Z63" s="492"/>
      <c r="AA63" s="499" t="s">
        <v>441</v>
      </c>
      <c r="AB63" s="497">
        <f t="shared" si="9"/>
        <v>13.976133632524572</v>
      </c>
      <c r="AC63" s="492"/>
      <c r="AD63" s="492"/>
      <c r="AE63" s="492"/>
      <c r="AF63" s="492"/>
      <c r="AG63" s="492"/>
      <c r="AH63" s="492"/>
      <c r="AI63" s="492">
        <f t="shared" si="10"/>
        <v>5.4141298956276724</v>
      </c>
      <c r="AJ63" s="492" t="s">
        <v>442</v>
      </c>
      <c r="AL63" s="283" t="e">
        <f t="shared" ca="1" si="18"/>
        <v>#NAME?</v>
      </c>
    </row>
    <row r="64" spans="1:38" hidden="1">
      <c r="A64" s="492">
        <f t="shared" si="12"/>
        <v>54</v>
      </c>
      <c r="B64" s="492">
        <f t="shared" si="19"/>
        <v>2</v>
      </c>
      <c r="C64" s="492">
        <f t="shared" si="19"/>
        <v>3</v>
      </c>
      <c r="D64" s="492">
        <f t="shared" si="19"/>
        <v>3</v>
      </c>
      <c r="E64" s="492">
        <f t="shared" si="1"/>
        <v>3</v>
      </c>
      <c r="F64" s="492" t="str">
        <f t="shared" si="2"/>
        <v>Health Care</v>
      </c>
      <c r="G64" s="492" t="str">
        <f t="shared" si="15"/>
        <v>Mail-by-Request</v>
      </c>
      <c r="H64" s="492" t="str">
        <f t="shared" si="15"/>
        <v>1_50</v>
      </c>
      <c r="I64" s="492" t="str">
        <f t="shared" si="15"/>
        <v>Any Water Heating</v>
      </c>
      <c r="J64" s="492" t="str">
        <f t="shared" si="4"/>
        <v>Commercial Showerhead Replacement_1_50gpm_Health Care_ Any Water Heating_Mail-by-Request</v>
      </c>
      <c r="K64" s="493">
        <f>INDEX(InstallRatesCostAndLifetime!$A$2:$D$6,MATCH(InputForProCost!G64,InstallRatesCostAndLifetime!$A$2:$A$6,0),MATCH(InputForProCost!H64,InstallRatesCostAndLifetime!$A$2:$D$2,0))</f>
        <v>0.6</v>
      </c>
      <c r="L64" s="493">
        <f t="shared" si="16"/>
        <v>0.29449999999999998</v>
      </c>
      <c r="M64" s="492"/>
      <c r="N64" s="492" t="str">
        <f t="shared" si="6"/>
        <v>Health Care1_50</v>
      </c>
      <c r="O64" s="494">
        <f>VLOOKUP($N64,Impacts!$F$5:$Z$22,16,FALSE)</f>
        <v>202.33929329322802</v>
      </c>
      <c r="P64" s="494">
        <f>VLOOKUP($N64,Impacts!$F$5:$Z$22,17,FALSE)*K64</f>
        <v>5.6169204112748385</v>
      </c>
      <c r="Q64" s="495">
        <f>VLOOKUP($N64,Impacts!$F$5:$Z$22,19,FALSE)*K64</f>
        <v>5.4141298956276724</v>
      </c>
      <c r="R64" s="496">
        <f>VLOOKUP($N64,Impacts!$F$5:$Z$22,20,FALSE)*K64</f>
        <v>1061.7996996738823</v>
      </c>
      <c r="S64" s="497">
        <f>VLOOKUP($N64,Impacts!$F$5:$Z$22,21,FALSE)*K64</f>
        <v>13.976133632524572</v>
      </c>
      <c r="T64" s="492"/>
      <c r="U64" s="492" t="str">
        <f t="shared" si="7"/>
        <v>Commercial Showerhead Replacement_1_50gpm_Health Care_ Any Water Heating_Mail-by-Request</v>
      </c>
      <c r="V64" s="492" t="s">
        <v>440</v>
      </c>
      <c r="W64" s="494">
        <f t="shared" si="13"/>
        <v>35.753353124913389</v>
      </c>
      <c r="X64" s="492">
        <v>10</v>
      </c>
      <c r="Y64" s="498">
        <f t="shared" si="17"/>
        <v>8.1096944444444432</v>
      </c>
      <c r="Z64" s="492"/>
      <c r="AA64" s="499" t="s">
        <v>441</v>
      </c>
      <c r="AB64" s="497">
        <f t="shared" si="9"/>
        <v>13.976133632524572</v>
      </c>
      <c r="AC64" s="492"/>
      <c r="AD64" s="492"/>
      <c r="AE64" s="492"/>
      <c r="AF64" s="492"/>
      <c r="AG64" s="492"/>
      <c r="AH64" s="492"/>
      <c r="AI64" s="492">
        <f t="shared" si="10"/>
        <v>3.8196686413653231</v>
      </c>
      <c r="AJ64" s="492" t="s">
        <v>442</v>
      </c>
      <c r="AL64" s="283" t="e">
        <f t="shared" ca="1" si="18"/>
        <v>#NAME?</v>
      </c>
    </row>
    <row r="65" spans="1:38" hidden="1">
      <c r="A65" s="492">
        <f t="shared" si="12"/>
        <v>55</v>
      </c>
      <c r="B65" s="492">
        <f t="shared" si="19"/>
        <v>3</v>
      </c>
      <c r="C65" s="492">
        <f t="shared" si="19"/>
        <v>1</v>
      </c>
      <c r="D65" s="492">
        <f t="shared" si="19"/>
        <v>1</v>
      </c>
      <c r="E65" s="492">
        <f t="shared" si="1"/>
        <v>1</v>
      </c>
      <c r="F65" s="492" t="str">
        <f t="shared" si="2"/>
        <v>Commercial - Employee Shower</v>
      </c>
      <c r="G65" s="492" t="str">
        <f t="shared" si="15"/>
        <v>Retail</v>
      </c>
      <c r="H65" s="492" t="str">
        <f t="shared" si="15"/>
        <v>2_00</v>
      </c>
      <c r="I65" s="492" t="str">
        <f t="shared" si="15"/>
        <v>Electric Water Heating</v>
      </c>
      <c r="J65" s="492" t="str">
        <f t="shared" si="4"/>
        <v>Commercial Showerhead Replacement_2_00gpm_Commercial - Employee Shower_ Electric Water Heating_Retail</v>
      </c>
      <c r="K65" s="493">
        <f>INDEX(InstallRatesCostAndLifetime!$A$2:$D$6,MATCH(InputForProCost!G65,InstallRatesCostAndLifetime!$A$2:$A$6,0),MATCH(InputForProCost!H65,InstallRatesCostAndLifetime!$A$2:$D$2,0))</f>
        <v>0.8</v>
      </c>
      <c r="L65" s="493">
        <f t="shared" si="16"/>
        <v>1</v>
      </c>
      <c r="M65" s="492"/>
      <c r="N65" s="492" t="str">
        <f t="shared" si="6"/>
        <v>Commercial - Employee Shower2_00</v>
      </c>
      <c r="O65" s="494">
        <f>VLOOKUP($N65,Impacts!$F$5:$Z$22,16,FALSE)</f>
        <v>85.915004218058471</v>
      </c>
      <c r="P65" s="494">
        <f>VLOOKUP($N65,Impacts!$F$5:$Z$22,17,FALSE)*K65</f>
        <v>3.2062410688000016</v>
      </c>
      <c r="Q65" s="495">
        <f>VLOOKUP($N65,Impacts!$F$5:$Z$22,19,FALSE)*K65</f>
        <v>3.0651814929218575</v>
      </c>
      <c r="R65" s="496">
        <f>VLOOKUP($N65,Impacts!$F$5:$Z$22,20,FALSE)*K65</f>
        <v>606.09472000000028</v>
      </c>
      <c r="S65" s="497">
        <f>VLOOKUP($N65,Impacts!$F$5:$Z$22,21,FALSE)*K65</f>
        <v>7.9778331104155313</v>
      </c>
      <c r="T65" s="492"/>
      <c r="U65" s="492" t="str">
        <f t="shared" si="7"/>
        <v>Commercial Showerhead Replacement_2_00gpm_Commercial - Employee Shower_ Electric Water Heating_Retail</v>
      </c>
      <c r="V65" s="492" t="s">
        <v>440</v>
      </c>
      <c r="W65" s="494">
        <f t="shared" si="13"/>
        <v>68.732003374446776</v>
      </c>
      <c r="X65" s="492">
        <v>10</v>
      </c>
      <c r="Y65" s="498">
        <f t="shared" si="17"/>
        <v>3.2966774171383419</v>
      </c>
      <c r="Z65" s="492"/>
      <c r="AA65" s="499" t="s">
        <v>441</v>
      </c>
      <c r="AB65" s="497">
        <f t="shared" si="9"/>
        <v>7.9778331104155313</v>
      </c>
      <c r="AC65" s="492"/>
      <c r="AD65" s="492"/>
      <c r="AE65" s="492"/>
      <c r="AF65" s="492"/>
      <c r="AG65" s="492"/>
      <c r="AH65" s="492"/>
      <c r="AI65" s="492">
        <f t="shared" si="10"/>
        <v>0</v>
      </c>
      <c r="AJ65" s="492" t="s">
        <v>442</v>
      </c>
      <c r="AL65" s="283" t="e">
        <f t="shared" ca="1" si="18"/>
        <v>#NAME?</v>
      </c>
    </row>
    <row r="66" spans="1:38" hidden="1">
      <c r="A66" s="492">
        <f t="shared" si="12"/>
        <v>56</v>
      </c>
      <c r="B66" s="492">
        <f t="shared" si="19"/>
        <v>3</v>
      </c>
      <c r="C66" s="492">
        <f t="shared" si="19"/>
        <v>1</v>
      </c>
      <c r="D66" s="492">
        <f t="shared" si="19"/>
        <v>1</v>
      </c>
      <c r="E66" s="492">
        <f t="shared" si="1"/>
        <v>2</v>
      </c>
      <c r="F66" s="492" t="str">
        <f t="shared" si="2"/>
        <v>Commercial - Employee Shower</v>
      </c>
      <c r="G66" s="492" t="str">
        <f t="shared" si="15"/>
        <v>Retail</v>
      </c>
      <c r="H66" s="492" t="str">
        <f t="shared" si="15"/>
        <v>2_00</v>
      </c>
      <c r="I66" s="492" t="str">
        <f t="shared" si="15"/>
        <v>Gas Water Heating</v>
      </c>
      <c r="J66" s="492" t="str">
        <f t="shared" si="4"/>
        <v>Commercial Showerhead Replacement_2_00gpm_Commercial - Employee Shower_ Gas Water Heating_Retail</v>
      </c>
      <c r="K66" s="493">
        <f>INDEX(InstallRatesCostAndLifetime!$A$2:$D$6,MATCH(InputForProCost!G66,InstallRatesCostAndLifetime!$A$2:$A$6,0),MATCH(InputForProCost!H66,InstallRatesCostAndLifetime!$A$2:$D$2,0))</f>
        <v>0.8</v>
      </c>
      <c r="L66" s="493">
        <f t="shared" si="16"/>
        <v>0</v>
      </c>
      <c r="M66" s="492"/>
      <c r="N66" s="492" t="str">
        <f t="shared" si="6"/>
        <v>Commercial - Employee Shower2_00</v>
      </c>
      <c r="O66" s="494">
        <f>VLOOKUP($N66,Impacts!$F$5:$Z$22,16,FALSE)</f>
        <v>85.915004218058471</v>
      </c>
      <c r="P66" s="494">
        <f>VLOOKUP($N66,Impacts!$F$5:$Z$22,17,FALSE)*K66</f>
        <v>3.2062410688000016</v>
      </c>
      <c r="Q66" s="495">
        <f>VLOOKUP($N66,Impacts!$F$5:$Z$22,19,FALSE)*K66</f>
        <v>3.0651814929218575</v>
      </c>
      <c r="R66" s="496">
        <f>VLOOKUP($N66,Impacts!$F$5:$Z$22,20,FALSE)*K66</f>
        <v>606.09472000000028</v>
      </c>
      <c r="S66" s="497">
        <f>VLOOKUP($N66,Impacts!$F$5:$Z$22,21,FALSE)*K66</f>
        <v>7.9778331104155313</v>
      </c>
      <c r="T66" s="492"/>
      <c r="U66" s="492" t="str">
        <f t="shared" si="7"/>
        <v>Commercial Showerhead Replacement_2_00gpm_Commercial - Employee Shower_ Gas Water Heating_Retail</v>
      </c>
      <c r="V66" s="492" t="s">
        <v>440</v>
      </c>
      <c r="W66" s="494">
        <f t="shared" si="13"/>
        <v>0</v>
      </c>
      <c r="X66" s="492">
        <v>10</v>
      </c>
      <c r="Y66" s="498">
        <f t="shared" si="17"/>
        <v>3.2966774171383419</v>
      </c>
      <c r="Z66" s="492"/>
      <c r="AA66" s="499" t="s">
        <v>441</v>
      </c>
      <c r="AB66" s="497">
        <f t="shared" si="9"/>
        <v>7.9778331104155313</v>
      </c>
      <c r="AC66" s="492"/>
      <c r="AD66" s="492"/>
      <c r="AE66" s="492"/>
      <c r="AF66" s="492"/>
      <c r="AG66" s="492"/>
      <c r="AH66" s="492"/>
      <c r="AI66" s="492">
        <f t="shared" si="10"/>
        <v>3.0651814929218575</v>
      </c>
      <c r="AJ66" s="492" t="s">
        <v>442</v>
      </c>
      <c r="AL66" s="283" t="e">
        <f t="shared" ca="1" si="18"/>
        <v>#NAME?</v>
      </c>
    </row>
    <row r="67" spans="1:38" hidden="1">
      <c r="A67" s="492">
        <f t="shared" si="12"/>
        <v>57</v>
      </c>
      <c r="B67" s="492">
        <f t="shared" si="19"/>
        <v>3</v>
      </c>
      <c r="C67" s="492">
        <f t="shared" si="19"/>
        <v>1</v>
      </c>
      <c r="D67" s="492">
        <f t="shared" si="19"/>
        <v>1</v>
      </c>
      <c r="E67" s="492">
        <f t="shared" si="1"/>
        <v>3</v>
      </c>
      <c r="F67" s="492" t="str">
        <f t="shared" si="2"/>
        <v>Commercial - Employee Shower</v>
      </c>
      <c r="G67" s="492" t="str">
        <f t="shared" si="15"/>
        <v>Retail</v>
      </c>
      <c r="H67" s="492" t="str">
        <f t="shared" si="15"/>
        <v>2_00</v>
      </c>
      <c r="I67" s="492" t="str">
        <f t="shared" si="15"/>
        <v>Any Water Heating</v>
      </c>
      <c r="J67" s="492" t="str">
        <f t="shared" si="4"/>
        <v>Commercial Showerhead Replacement_2_00gpm_Commercial - Employee Shower_ Any Water Heating_Retail</v>
      </c>
      <c r="K67" s="493">
        <f>INDEX(InstallRatesCostAndLifetime!$A$2:$D$6,MATCH(InputForProCost!G67,InstallRatesCostAndLifetime!$A$2:$A$6,0),MATCH(InputForProCost!H67,InstallRatesCostAndLifetime!$A$2:$D$2,0))</f>
        <v>0.8</v>
      </c>
      <c r="L67" s="493">
        <f t="shared" si="16"/>
        <v>0.49</v>
      </c>
      <c r="M67" s="492"/>
      <c r="N67" s="492" t="str">
        <f t="shared" si="6"/>
        <v>Commercial - Employee Shower2_00</v>
      </c>
      <c r="O67" s="494">
        <f>VLOOKUP($N67,Impacts!$F$5:$Z$22,16,FALSE)</f>
        <v>85.915004218058471</v>
      </c>
      <c r="P67" s="494">
        <f>VLOOKUP($N67,Impacts!$F$5:$Z$22,17,FALSE)*K67</f>
        <v>3.2062410688000016</v>
      </c>
      <c r="Q67" s="495">
        <f>VLOOKUP($N67,Impacts!$F$5:$Z$22,19,FALSE)*K67</f>
        <v>3.0651814929218575</v>
      </c>
      <c r="R67" s="496">
        <f>VLOOKUP($N67,Impacts!$F$5:$Z$22,20,FALSE)*K67</f>
        <v>606.09472000000028</v>
      </c>
      <c r="S67" s="497">
        <f>VLOOKUP($N67,Impacts!$F$5:$Z$22,21,FALSE)*K67</f>
        <v>7.9778331104155313</v>
      </c>
      <c r="T67" s="492"/>
      <c r="U67" s="492" t="str">
        <f t="shared" si="7"/>
        <v>Commercial Showerhead Replacement_2_00gpm_Commercial - Employee Shower_ Any Water Heating_Retail</v>
      </c>
      <c r="V67" s="492" t="s">
        <v>440</v>
      </c>
      <c r="W67" s="494">
        <f t="shared" si="13"/>
        <v>33.678681653478918</v>
      </c>
      <c r="X67" s="492">
        <v>10</v>
      </c>
      <c r="Y67" s="498">
        <f t="shared" si="17"/>
        <v>3.2966774171383419</v>
      </c>
      <c r="Z67" s="492"/>
      <c r="AA67" s="499" t="s">
        <v>441</v>
      </c>
      <c r="AB67" s="497">
        <f t="shared" si="9"/>
        <v>7.9778331104155313</v>
      </c>
      <c r="AC67" s="492"/>
      <c r="AD67" s="492"/>
      <c r="AE67" s="492"/>
      <c r="AF67" s="492"/>
      <c r="AG67" s="492"/>
      <c r="AH67" s="492"/>
      <c r="AI67" s="492">
        <f t="shared" si="10"/>
        <v>1.5632425613901473</v>
      </c>
      <c r="AJ67" s="492" t="s">
        <v>442</v>
      </c>
      <c r="AL67" s="283" t="e">
        <f t="shared" ca="1" si="18"/>
        <v>#NAME?</v>
      </c>
    </row>
    <row r="68" spans="1:38" hidden="1">
      <c r="A68" s="492">
        <f t="shared" si="12"/>
        <v>58</v>
      </c>
      <c r="B68" s="492">
        <f t="shared" si="19"/>
        <v>3</v>
      </c>
      <c r="C68" s="492">
        <f t="shared" si="19"/>
        <v>1</v>
      </c>
      <c r="D68" s="492">
        <f t="shared" si="19"/>
        <v>2</v>
      </c>
      <c r="E68" s="492">
        <f t="shared" si="1"/>
        <v>1</v>
      </c>
      <c r="F68" s="492" t="str">
        <f t="shared" si="2"/>
        <v>Commercial - Employee Shower</v>
      </c>
      <c r="G68" s="492" t="str">
        <f t="shared" si="15"/>
        <v>Retail</v>
      </c>
      <c r="H68" s="492" t="str">
        <f t="shared" si="15"/>
        <v>1_75</v>
      </c>
      <c r="I68" s="492" t="str">
        <f t="shared" si="15"/>
        <v>Electric Water Heating</v>
      </c>
      <c r="J68" s="492" t="str">
        <f t="shared" si="4"/>
        <v>Commercial Showerhead Replacement_1_75gpm_Commercial - Employee Shower_ Electric Water Heating_Retail</v>
      </c>
      <c r="K68" s="493">
        <f>INDEX(InstallRatesCostAndLifetime!$A$2:$D$6,MATCH(InputForProCost!G68,InstallRatesCostAndLifetime!$A$2:$A$6,0),MATCH(InputForProCost!H68,InstallRatesCostAndLifetime!$A$2:$D$2,0))</f>
        <v>0.75</v>
      </c>
      <c r="L68" s="493">
        <f t="shared" si="16"/>
        <v>1</v>
      </c>
      <c r="M68" s="492"/>
      <c r="N68" s="492" t="str">
        <f t="shared" si="6"/>
        <v>Commercial - Employee Shower1_75</v>
      </c>
      <c r="O68" s="494">
        <f>VLOOKUP($N68,Impacts!$F$5:$Z$22,16,FALSE)</f>
        <v>91.689788811366952</v>
      </c>
      <c r="P68" s="494">
        <f>VLOOKUP($N68,Impacts!$F$5:$Z$22,17,FALSE)*K68</f>
        <v>3.3815823772500009</v>
      </c>
      <c r="Q68" s="495">
        <f>VLOOKUP($N68,Impacts!$F$5:$Z$22,19,FALSE)*K68</f>
        <v>3.0667574414723386</v>
      </c>
      <c r="R68" s="496">
        <f>VLOOKUP($N68,Impacts!$F$5:$Z$22,20,FALSE)*K68</f>
        <v>639.24052500000016</v>
      </c>
      <c r="S68" s="497">
        <f>VLOOKUP($N68,Impacts!$F$5:$Z$22,21,FALSE)*K68</f>
        <v>8.4141208586413789</v>
      </c>
      <c r="T68" s="492"/>
      <c r="U68" s="492" t="str">
        <f t="shared" si="7"/>
        <v>Commercial Showerhead Replacement_1_75gpm_Commercial - Employee Shower_ Electric Water Heating_Retail</v>
      </c>
      <c r="V68" s="492" t="s">
        <v>440</v>
      </c>
      <c r="W68" s="494">
        <f t="shared" si="13"/>
        <v>68.767341608525214</v>
      </c>
      <c r="X68" s="492">
        <v>10</v>
      </c>
      <c r="Y68" s="498">
        <f t="shared" si="17"/>
        <v>3.2966774171383419</v>
      </c>
      <c r="Z68" s="492"/>
      <c r="AA68" s="499" t="s">
        <v>441</v>
      </c>
      <c r="AB68" s="497">
        <f t="shared" si="9"/>
        <v>8.4141208586413789</v>
      </c>
      <c r="AC68" s="492"/>
      <c r="AD68" s="492"/>
      <c r="AE68" s="492"/>
      <c r="AF68" s="492"/>
      <c r="AG68" s="492"/>
      <c r="AH68" s="492"/>
      <c r="AI68" s="492">
        <f t="shared" si="10"/>
        <v>0</v>
      </c>
      <c r="AJ68" s="492" t="s">
        <v>442</v>
      </c>
      <c r="AL68" s="283" t="e">
        <f t="shared" ca="1" si="18"/>
        <v>#NAME?</v>
      </c>
    </row>
    <row r="69" spans="1:38" hidden="1">
      <c r="A69" s="492">
        <f t="shared" si="12"/>
        <v>59</v>
      </c>
      <c r="B69" s="492">
        <f t="shared" si="19"/>
        <v>3</v>
      </c>
      <c r="C69" s="492">
        <f t="shared" si="19"/>
        <v>1</v>
      </c>
      <c r="D69" s="492">
        <f t="shared" si="19"/>
        <v>2</v>
      </c>
      <c r="E69" s="492">
        <f t="shared" si="1"/>
        <v>2</v>
      </c>
      <c r="F69" s="492" t="str">
        <f t="shared" si="2"/>
        <v>Commercial - Employee Shower</v>
      </c>
      <c r="G69" s="492" t="str">
        <f t="shared" si="15"/>
        <v>Retail</v>
      </c>
      <c r="H69" s="492" t="str">
        <f t="shared" si="15"/>
        <v>1_75</v>
      </c>
      <c r="I69" s="492" t="str">
        <f t="shared" si="15"/>
        <v>Gas Water Heating</v>
      </c>
      <c r="J69" s="492" t="str">
        <f t="shared" si="4"/>
        <v>Commercial Showerhead Replacement_1_75gpm_Commercial - Employee Shower_ Gas Water Heating_Retail</v>
      </c>
      <c r="K69" s="493">
        <f>INDEX(InstallRatesCostAndLifetime!$A$2:$D$6,MATCH(InputForProCost!G69,InstallRatesCostAndLifetime!$A$2:$A$6,0),MATCH(InputForProCost!H69,InstallRatesCostAndLifetime!$A$2:$D$2,0))</f>
        <v>0.75</v>
      </c>
      <c r="L69" s="493">
        <f t="shared" si="16"/>
        <v>0</v>
      </c>
      <c r="M69" s="492"/>
      <c r="N69" s="492" t="str">
        <f t="shared" si="6"/>
        <v>Commercial - Employee Shower1_75</v>
      </c>
      <c r="O69" s="494">
        <f>VLOOKUP($N69,Impacts!$F$5:$Z$22,16,FALSE)</f>
        <v>91.689788811366952</v>
      </c>
      <c r="P69" s="494">
        <f>VLOOKUP($N69,Impacts!$F$5:$Z$22,17,FALSE)*K69</f>
        <v>3.3815823772500009</v>
      </c>
      <c r="Q69" s="495">
        <f>VLOOKUP($N69,Impacts!$F$5:$Z$22,19,FALSE)*K69</f>
        <v>3.0667574414723386</v>
      </c>
      <c r="R69" s="496">
        <f>VLOOKUP($N69,Impacts!$F$5:$Z$22,20,FALSE)*K69</f>
        <v>639.24052500000016</v>
      </c>
      <c r="S69" s="497">
        <f>VLOOKUP($N69,Impacts!$F$5:$Z$22,21,FALSE)*K69</f>
        <v>8.4141208586413789</v>
      </c>
      <c r="T69" s="492"/>
      <c r="U69" s="492" t="str">
        <f t="shared" si="7"/>
        <v>Commercial Showerhead Replacement_1_75gpm_Commercial - Employee Shower_ Gas Water Heating_Retail</v>
      </c>
      <c r="V69" s="492" t="s">
        <v>440</v>
      </c>
      <c r="W69" s="494">
        <f t="shared" si="13"/>
        <v>0</v>
      </c>
      <c r="X69" s="492">
        <v>10</v>
      </c>
      <c r="Y69" s="498">
        <f t="shared" si="17"/>
        <v>3.2966774171383419</v>
      </c>
      <c r="Z69" s="492"/>
      <c r="AA69" s="499" t="s">
        <v>441</v>
      </c>
      <c r="AB69" s="497">
        <f t="shared" si="9"/>
        <v>8.4141208586413789</v>
      </c>
      <c r="AC69" s="492"/>
      <c r="AD69" s="492"/>
      <c r="AE69" s="492"/>
      <c r="AF69" s="492"/>
      <c r="AG69" s="492"/>
      <c r="AH69" s="492"/>
      <c r="AI69" s="492">
        <f t="shared" si="10"/>
        <v>3.0667574414723386</v>
      </c>
      <c r="AJ69" s="492" t="s">
        <v>442</v>
      </c>
      <c r="AL69" s="283" t="e">
        <f t="shared" ca="1" si="18"/>
        <v>#NAME?</v>
      </c>
    </row>
    <row r="70" spans="1:38" hidden="1">
      <c r="A70" s="492">
        <f t="shared" si="12"/>
        <v>60</v>
      </c>
      <c r="B70" s="492">
        <f t="shared" si="19"/>
        <v>3</v>
      </c>
      <c r="C70" s="492">
        <f t="shared" si="19"/>
        <v>1</v>
      </c>
      <c r="D70" s="492">
        <f t="shared" si="19"/>
        <v>2</v>
      </c>
      <c r="E70" s="492">
        <f t="shared" si="1"/>
        <v>3</v>
      </c>
      <c r="F70" s="492" t="str">
        <f t="shared" si="2"/>
        <v>Commercial - Employee Shower</v>
      </c>
      <c r="G70" s="492" t="str">
        <f t="shared" si="15"/>
        <v>Retail</v>
      </c>
      <c r="H70" s="492" t="str">
        <f t="shared" si="15"/>
        <v>1_75</v>
      </c>
      <c r="I70" s="492" t="str">
        <f t="shared" si="15"/>
        <v>Any Water Heating</v>
      </c>
      <c r="J70" s="492" t="str">
        <f t="shared" si="4"/>
        <v>Commercial Showerhead Replacement_1_75gpm_Commercial - Employee Shower_ Any Water Heating_Retail</v>
      </c>
      <c r="K70" s="493">
        <f>INDEX(InstallRatesCostAndLifetime!$A$2:$D$6,MATCH(InputForProCost!G70,InstallRatesCostAndLifetime!$A$2:$A$6,0),MATCH(InputForProCost!H70,InstallRatesCostAndLifetime!$A$2:$D$2,0))</f>
        <v>0.75</v>
      </c>
      <c r="L70" s="493">
        <f t="shared" si="16"/>
        <v>0.49</v>
      </c>
      <c r="M70" s="492"/>
      <c r="N70" s="492" t="str">
        <f t="shared" si="6"/>
        <v>Commercial - Employee Shower1_75</v>
      </c>
      <c r="O70" s="494">
        <f>VLOOKUP($N70,Impacts!$F$5:$Z$22,16,FALSE)</f>
        <v>91.689788811366952</v>
      </c>
      <c r="P70" s="494">
        <f>VLOOKUP($N70,Impacts!$F$5:$Z$22,17,FALSE)*K70</f>
        <v>3.3815823772500009</v>
      </c>
      <c r="Q70" s="495">
        <f>VLOOKUP($N70,Impacts!$F$5:$Z$22,19,FALSE)*K70</f>
        <v>3.0667574414723386</v>
      </c>
      <c r="R70" s="496">
        <f>VLOOKUP($N70,Impacts!$F$5:$Z$22,20,FALSE)*K70</f>
        <v>639.24052500000016</v>
      </c>
      <c r="S70" s="497">
        <f>VLOOKUP($N70,Impacts!$F$5:$Z$22,21,FALSE)*K70</f>
        <v>8.4141208586413789</v>
      </c>
      <c r="T70" s="492"/>
      <c r="U70" s="492" t="str">
        <f t="shared" si="7"/>
        <v>Commercial Showerhead Replacement_1_75gpm_Commercial - Employee Shower_ Any Water Heating_Retail</v>
      </c>
      <c r="V70" s="492" t="s">
        <v>440</v>
      </c>
      <c r="W70" s="494">
        <f t="shared" si="13"/>
        <v>33.695997388177354</v>
      </c>
      <c r="X70" s="492">
        <v>10</v>
      </c>
      <c r="Y70" s="498">
        <f t="shared" si="17"/>
        <v>3.2966774171383419</v>
      </c>
      <c r="Z70" s="492"/>
      <c r="AA70" s="499" t="s">
        <v>441</v>
      </c>
      <c r="AB70" s="497">
        <f t="shared" si="9"/>
        <v>8.4141208586413789</v>
      </c>
      <c r="AC70" s="492"/>
      <c r="AD70" s="492"/>
      <c r="AE70" s="492"/>
      <c r="AF70" s="492"/>
      <c r="AG70" s="492"/>
      <c r="AH70" s="492"/>
      <c r="AI70" s="492">
        <f t="shared" si="10"/>
        <v>1.5640462951508927</v>
      </c>
      <c r="AJ70" s="492" t="s">
        <v>442</v>
      </c>
      <c r="AL70" s="283" t="e">
        <f t="shared" ca="1" si="18"/>
        <v>#NAME?</v>
      </c>
    </row>
    <row r="71" spans="1:38" hidden="1">
      <c r="A71" s="492">
        <f t="shared" si="12"/>
        <v>61</v>
      </c>
      <c r="B71" s="492">
        <f t="shared" ref="B71:D90" si="20">CEILING((MOD($A71-1,B$9)+1)/C$9,1)</f>
        <v>3</v>
      </c>
      <c r="C71" s="492">
        <f t="shared" si="20"/>
        <v>1</v>
      </c>
      <c r="D71" s="492">
        <f t="shared" si="20"/>
        <v>3</v>
      </c>
      <c r="E71" s="492">
        <f t="shared" si="1"/>
        <v>1</v>
      </c>
      <c r="F71" s="492" t="str">
        <f t="shared" si="2"/>
        <v>Commercial - Employee Shower</v>
      </c>
      <c r="G71" s="492" t="str">
        <f t="shared" si="15"/>
        <v>Retail</v>
      </c>
      <c r="H71" s="492" t="str">
        <f t="shared" si="15"/>
        <v>1_50</v>
      </c>
      <c r="I71" s="492" t="str">
        <f t="shared" si="15"/>
        <v>Electric Water Heating</v>
      </c>
      <c r="J71" s="492" t="str">
        <f t="shared" si="4"/>
        <v>Commercial Showerhead Replacement_1_50gpm_Commercial - Employee Shower_ Electric Water Heating_Retail</v>
      </c>
      <c r="K71" s="493">
        <f>INDEX(InstallRatesCostAndLifetime!$A$2:$D$6,MATCH(InputForProCost!G71,InstallRatesCostAndLifetime!$A$2:$A$6,0),MATCH(InputForProCost!H71,InstallRatesCostAndLifetime!$A$2:$D$2,0))</f>
        <v>0.7</v>
      </c>
      <c r="L71" s="493">
        <f t="shared" si="16"/>
        <v>1</v>
      </c>
      <c r="M71" s="492"/>
      <c r="N71" s="492" t="str">
        <f t="shared" si="6"/>
        <v>Commercial - Employee Shower1_50</v>
      </c>
      <c r="O71" s="494">
        <f>VLOOKUP($N71,Impacts!$F$5:$Z$22,16,FALSE)</f>
        <v>151.59240511508943</v>
      </c>
      <c r="P71" s="494">
        <f>VLOOKUP($N71,Impacts!$F$5:$Z$22,17,FALSE)*K71</f>
        <v>4.9095566366000005</v>
      </c>
      <c r="Q71" s="495">
        <f>VLOOKUP($N71,Impacts!$F$5:$Z$22,19,FALSE)*K71</f>
        <v>4.7323044327167834</v>
      </c>
      <c r="R71" s="496">
        <f>VLOOKUP($N71,Impacts!$F$5:$Z$22,20,FALSE)*K71</f>
        <v>928.08254000000011</v>
      </c>
      <c r="S71" s="497">
        <f>VLOOKUP($N71,Impacts!$F$5:$Z$22,21,FALSE)*K71</f>
        <v>12.216056950323779</v>
      </c>
      <c r="T71" s="492"/>
      <c r="U71" s="492" t="str">
        <f t="shared" si="7"/>
        <v>Commercial Showerhead Replacement_1_50gpm_Commercial - Employee Shower_ Electric Water Heating_Retail</v>
      </c>
      <c r="V71" s="492" t="s">
        <v>440</v>
      </c>
      <c r="W71" s="494">
        <f t="shared" si="13"/>
        <v>106.1146835805626</v>
      </c>
      <c r="X71" s="492">
        <v>10</v>
      </c>
      <c r="Y71" s="498">
        <f t="shared" si="17"/>
        <v>3.2966774171383419</v>
      </c>
      <c r="Z71" s="492"/>
      <c r="AA71" s="499" t="s">
        <v>441</v>
      </c>
      <c r="AB71" s="497">
        <f t="shared" si="9"/>
        <v>12.216056950323779</v>
      </c>
      <c r="AC71" s="492"/>
      <c r="AD71" s="492"/>
      <c r="AE71" s="492"/>
      <c r="AF71" s="492"/>
      <c r="AG71" s="492"/>
      <c r="AH71" s="492"/>
      <c r="AI71" s="492">
        <f t="shared" si="10"/>
        <v>0</v>
      </c>
      <c r="AJ71" s="492" t="s">
        <v>442</v>
      </c>
      <c r="AL71" s="283" t="e">
        <f t="shared" ca="1" si="18"/>
        <v>#NAME?</v>
      </c>
    </row>
    <row r="72" spans="1:38" hidden="1">
      <c r="A72" s="492">
        <f t="shared" si="12"/>
        <v>62</v>
      </c>
      <c r="B72" s="492">
        <f t="shared" si="20"/>
        <v>3</v>
      </c>
      <c r="C72" s="492">
        <f t="shared" si="20"/>
        <v>1</v>
      </c>
      <c r="D72" s="492">
        <f t="shared" si="20"/>
        <v>3</v>
      </c>
      <c r="E72" s="492">
        <f t="shared" si="1"/>
        <v>2</v>
      </c>
      <c r="F72" s="492" t="str">
        <f t="shared" si="2"/>
        <v>Commercial - Employee Shower</v>
      </c>
      <c r="G72" s="492" t="str">
        <f t="shared" si="15"/>
        <v>Retail</v>
      </c>
      <c r="H72" s="492" t="str">
        <f t="shared" si="15"/>
        <v>1_50</v>
      </c>
      <c r="I72" s="492" t="str">
        <f t="shared" si="15"/>
        <v>Gas Water Heating</v>
      </c>
      <c r="J72" s="492" t="str">
        <f t="shared" si="4"/>
        <v>Commercial Showerhead Replacement_1_50gpm_Commercial - Employee Shower_ Gas Water Heating_Retail</v>
      </c>
      <c r="K72" s="493">
        <f>INDEX(InstallRatesCostAndLifetime!$A$2:$D$6,MATCH(InputForProCost!G72,InstallRatesCostAndLifetime!$A$2:$A$6,0),MATCH(InputForProCost!H72,InstallRatesCostAndLifetime!$A$2:$D$2,0))</f>
        <v>0.7</v>
      </c>
      <c r="L72" s="493">
        <f t="shared" si="16"/>
        <v>0</v>
      </c>
      <c r="M72" s="492"/>
      <c r="N72" s="492" t="str">
        <f t="shared" si="6"/>
        <v>Commercial - Employee Shower1_50</v>
      </c>
      <c r="O72" s="494">
        <f>VLOOKUP($N72,Impacts!$F$5:$Z$22,16,FALSE)</f>
        <v>151.59240511508943</v>
      </c>
      <c r="P72" s="494">
        <f>VLOOKUP($N72,Impacts!$F$5:$Z$22,17,FALSE)*K72</f>
        <v>4.9095566366000005</v>
      </c>
      <c r="Q72" s="495">
        <f>VLOOKUP($N72,Impacts!$F$5:$Z$22,19,FALSE)*K72</f>
        <v>4.7323044327167834</v>
      </c>
      <c r="R72" s="496">
        <f>VLOOKUP($N72,Impacts!$F$5:$Z$22,20,FALSE)*K72</f>
        <v>928.08254000000011</v>
      </c>
      <c r="S72" s="497">
        <f>VLOOKUP($N72,Impacts!$F$5:$Z$22,21,FALSE)*K72</f>
        <v>12.216056950323779</v>
      </c>
      <c r="T72" s="492"/>
      <c r="U72" s="492" t="str">
        <f t="shared" si="7"/>
        <v>Commercial Showerhead Replacement_1_50gpm_Commercial - Employee Shower_ Gas Water Heating_Retail</v>
      </c>
      <c r="V72" s="492" t="s">
        <v>440</v>
      </c>
      <c r="W72" s="494">
        <f t="shared" si="13"/>
        <v>0</v>
      </c>
      <c r="X72" s="492">
        <v>10</v>
      </c>
      <c r="Y72" s="498">
        <f t="shared" si="17"/>
        <v>3.2966774171383419</v>
      </c>
      <c r="Z72" s="492"/>
      <c r="AA72" s="499" t="s">
        <v>441</v>
      </c>
      <c r="AB72" s="497">
        <f t="shared" si="9"/>
        <v>12.216056950323779</v>
      </c>
      <c r="AC72" s="492"/>
      <c r="AD72" s="492"/>
      <c r="AE72" s="492"/>
      <c r="AF72" s="492"/>
      <c r="AG72" s="492"/>
      <c r="AH72" s="492"/>
      <c r="AI72" s="492">
        <f t="shared" si="10"/>
        <v>4.7323044327167834</v>
      </c>
      <c r="AJ72" s="492" t="s">
        <v>442</v>
      </c>
      <c r="AL72" s="283" t="e">
        <f t="shared" ca="1" si="18"/>
        <v>#NAME?</v>
      </c>
    </row>
    <row r="73" spans="1:38" hidden="1">
      <c r="A73" s="492">
        <f t="shared" si="12"/>
        <v>63</v>
      </c>
      <c r="B73" s="492">
        <f t="shared" si="20"/>
        <v>3</v>
      </c>
      <c r="C73" s="492">
        <f t="shared" si="20"/>
        <v>1</v>
      </c>
      <c r="D73" s="492">
        <f t="shared" si="20"/>
        <v>3</v>
      </c>
      <c r="E73" s="492">
        <f t="shared" si="1"/>
        <v>3</v>
      </c>
      <c r="F73" s="492" t="str">
        <f t="shared" si="2"/>
        <v>Commercial - Employee Shower</v>
      </c>
      <c r="G73" s="492" t="str">
        <f t="shared" si="15"/>
        <v>Retail</v>
      </c>
      <c r="H73" s="492" t="str">
        <f t="shared" si="15"/>
        <v>1_50</v>
      </c>
      <c r="I73" s="492" t="str">
        <f t="shared" si="15"/>
        <v>Any Water Heating</v>
      </c>
      <c r="J73" s="492" t="str">
        <f t="shared" si="4"/>
        <v>Commercial Showerhead Replacement_1_50gpm_Commercial - Employee Shower_ Any Water Heating_Retail</v>
      </c>
      <c r="K73" s="493">
        <f>INDEX(InstallRatesCostAndLifetime!$A$2:$D$6,MATCH(InputForProCost!G73,InstallRatesCostAndLifetime!$A$2:$A$6,0),MATCH(InputForProCost!H73,InstallRatesCostAndLifetime!$A$2:$D$2,0))</f>
        <v>0.7</v>
      </c>
      <c r="L73" s="493">
        <f t="shared" si="16"/>
        <v>0.49</v>
      </c>
      <c r="M73" s="492"/>
      <c r="N73" s="492" t="str">
        <f t="shared" si="6"/>
        <v>Commercial - Employee Shower1_50</v>
      </c>
      <c r="O73" s="494">
        <f>VLOOKUP($N73,Impacts!$F$5:$Z$22,16,FALSE)</f>
        <v>151.59240511508943</v>
      </c>
      <c r="P73" s="494">
        <f>VLOOKUP($N73,Impacts!$F$5:$Z$22,17,FALSE)*K73</f>
        <v>4.9095566366000005</v>
      </c>
      <c r="Q73" s="495">
        <f>VLOOKUP($N73,Impacts!$F$5:$Z$22,19,FALSE)*K73</f>
        <v>4.7323044327167834</v>
      </c>
      <c r="R73" s="496">
        <f>VLOOKUP($N73,Impacts!$F$5:$Z$22,20,FALSE)*K73</f>
        <v>928.08254000000011</v>
      </c>
      <c r="S73" s="497">
        <f>VLOOKUP($N73,Impacts!$F$5:$Z$22,21,FALSE)*K73</f>
        <v>12.216056950323779</v>
      </c>
      <c r="T73" s="492"/>
      <c r="U73" s="492" t="str">
        <f t="shared" si="7"/>
        <v>Commercial Showerhead Replacement_1_50gpm_Commercial - Employee Shower_ Any Water Heating_Retail</v>
      </c>
      <c r="V73" s="492" t="s">
        <v>440</v>
      </c>
      <c r="W73" s="494">
        <f t="shared" si="13"/>
        <v>51.996194954475676</v>
      </c>
      <c r="X73" s="492">
        <v>10</v>
      </c>
      <c r="Y73" s="498">
        <f t="shared" si="17"/>
        <v>3.2966774171383419</v>
      </c>
      <c r="Z73" s="492"/>
      <c r="AA73" s="499" t="s">
        <v>441</v>
      </c>
      <c r="AB73" s="497">
        <f t="shared" si="9"/>
        <v>12.216056950323779</v>
      </c>
      <c r="AC73" s="492"/>
      <c r="AD73" s="492"/>
      <c r="AE73" s="492"/>
      <c r="AF73" s="492"/>
      <c r="AG73" s="492"/>
      <c r="AH73" s="492"/>
      <c r="AI73" s="492">
        <f t="shared" si="10"/>
        <v>2.4134752606855594</v>
      </c>
      <c r="AJ73" s="492" t="s">
        <v>442</v>
      </c>
      <c r="AL73" s="283" t="e">
        <f t="shared" ca="1" si="18"/>
        <v>#NAME?</v>
      </c>
    </row>
    <row r="74" spans="1:38" hidden="1">
      <c r="A74" s="492">
        <f t="shared" si="12"/>
        <v>64</v>
      </c>
      <c r="B74" s="492">
        <f t="shared" si="20"/>
        <v>3</v>
      </c>
      <c r="C74" s="492">
        <f t="shared" si="20"/>
        <v>2</v>
      </c>
      <c r="D74" s="492">
        <f t="shared" si="20"/>
        <v>1</v>
      </c>
      <c r="E74" s="492">
        <f t="shared" si="1"/>
        <v>1</v>
      </c>
      <c r="F74" s="492" t="str">
        <f t="shared" si="2"/>
        <v>Commercial - Employee Shower</v>
      </c>
      <c r="G74" s="492" t="str">
        <f t="shared" si="15"/>
        <v>Direct Install</v>
      </c>
      <c r="H74" s="492" t="str">
        <f t="shared" si="15"/>
        <v>2_00</v>
      </c>
      <c r="I74" s="492" t="str">
        <f t="shared" si="15"/>
        <v>Electric Water Heating</v>
      </c>
      <c r="J74" s="492" t="str">
        <f t="shared" si="4"/>
        <v>Commercial Showerhead Replacement_2_00gpm_Commercial - Employee Shower_ Electric Water Heating_Direct Install</v>
      </c>
      <c r="K74" s="493">
        <f>INDEX(InstallRatesCostAndLifetime!$A$2:$D$6,MATCH(InputForProCost!G74,InstallRatesCostAndLifetime!$A$2:$A$6,0),MATCH(InputForProCost!H74,InstallRatesCostAndLifetime!$A$2:$D$2,0))</f>
        <v>0.9</v>
      </c>
      <c r="L74" s="493">
        <f t="shared" si="16"/>
        <v>1</v>
      </c>
      <c r="M74" s="492"/>
      <c r="N74" s="492" t="str">
        <f t="shared" si="6"/>
        <v>Commercial - Employee Shower2_00</v>
      </c>
      <c r="O74" s="494">
        <f>VLOOKUP($N74,Impacts!$F$5:$Z$22,16,FALSE)</f>
        <v>85.915004218058471</v>
      </c>
      <c r="P74" s="494">
        <f>VLOOKUP($N74,Impacts!$F$5:$Z$22,17,FALSE)*K74</f>
        <v>3.6070212024000017</v>
      </c>
      <c r="Q74" s="495">
        <f>VLOOKUP($N74,Impacts!$F$5:$Z$22,19,FALSE)*K74</f>
        <v>3.4483291795370898</v>
      </c>
      <c r="R74" s="496">
        <f>VLOOKUP($N74,Impacts!$F$5:$Z$22,20,FALSE)*K74</f>
        <v>681.85656000000029</v>
      </c>
      <c r="S74" s="497">
        <f>VLOOKUP($N74,Impacts!$F$5:$Z$22,21,FALSE)*K74</f>
        <v>8.9750622492174728</v>
      </c>
      <c r="T74" s="492"/>
      <c r="U74" s="492" t="str">
        <f t="shared" si="7"/>
        <v>Commercial Showerhead Replacement_2_00gpm_Commercial - Employee Shower_ Electric Water Heating_Direct Install</v>
      </c>
      <c r="V74" s="492" t="s">
        <v>440</v>
      </c>
      <c r="W74" s="494">
        <f t="shared" si="13"/>
        <v>77.323503796252623</v>
      </c>
      <c r="X74" s="492">
        <v>10</v>
      </c>
      <c r="Y74" s="498">
        <f t="shared" si="17"/>
        <v>11.336666666666666</v>
      </c>
      <c r="Z74" s="492"/>
      <c r="AA74" s="499" t="s">
        <v>441</v>
      </c>
      <c r="AB74" s="497">
        <f t="shared" si="9"/>
        <v>8.9750622492174728</v>
      </c>
      <c r="AC74" s="492"/>
      <c r="AD74" s="492"/>
      <c r="AE74" s="492"/>
      <c r="AF74" s="492"/>
      <c r="AG74" s="492"/>
      <c r="AH74" s="492"/>
      <c r="AI74" s="492">
        <f t="shared" si="10"/>
        <v>0</v>
      </c>
      <c r="AJ74" s="492" t="s">
        <v>442</v>
      </c>
      <c r="AL74" s="283" t="e">
        <f t="shared" ca="1" si="18"/>
        <v>#NAME?</v>
      </c>
    </row>
    <row r="75" spans="1:38" hidden="1">
      <c r="A75" s="492">
        <f t="shared" si="12"/>
        <v>65</v>
      </c>
      <c r="B75" s="492">
        <f t="shared" si="20"/>
        <v>3</v>
      </c>
      <c r="C75" s="492">
        <f t="shared" si="20"/>
        <v>2</v>
      </c>
      <c r="D75" s="492">
        <f t="shared" si="20"/>
        <v>1</v>
      </c>
      <c r="E75" s="492">
        <f t="shared" ref="E75:E138" si="21">MOD($A75-1,E$9)+1</f>
        <v>2</v>
      </c>
      <c r="F75" s="492" t="str">
        <f t="shared" ref="F75:F138" si="22">INDEX(F$1:F$6,B75)</f>
        <v>Commercial - Employee Shower</v>
      </c>
      <c r="G75" s="492" t="str">
        <f t="shared" ref="G75:I106" si="23">INDEX(G$1:G$3,C75)</f>
        <v>Direct Install</v>
      </c>
      <c r="H75" s="492" t="str">
        <f t="shared" si="23"/>
        <v>2_00</v>
      </c>
      <c r="I75" s="492" t="str">
        <f t="shared" si="23"/>
        <v>Gas Water Heating</v>
      </c>
      <c r="J75" s="492" t="str">
        <f t="shared" ref="J75:J138" si="24">"Commercial Showerhead Replacement_"&amp;H75&amp;"gpm_"&amp;F75&amp;"_ "&amp;I75&amp;"_"&amp;G75</f>
        <v>Commercial Showerhead Replacement_2_00gpm_Commercial - Employee Shower_ Gas Water Heating_Direct Install</v>
      </c>
      <c r="K75" s="493">
        <f>INDEX(InstallRatesCostAndLifetime!$A$2:$D$6,MATCH(InputForProCost!G75,InstallRatesCostAndLifetime!$A$2:$A$6,0),MATCH(InputForProCost!H75,InstallRatesCostAndLifetime!$A$2:$D$2,0))</f>
        <v>0.9</v>
      </c>
      <c r="L75" s="493">
        <f t="shared" ref="L75:L106" si="25">IF(I75="Electric Water Heating",1,IF(I75 = "Gas Water Heating",0,VLOOKUP(F75,table_ElectricSaturation,2,FALSE)))</f>
        <v>0</v>
      </c>
      <c r="M75" s="492"/>
      <c r="N75" s="492" t="str">
        <f t="shared" ref="N75:N138" si="26">F75&amp;H75</f>
        <v>Commercial - Employee Shower2_00</v>
      </c>
      <c r="O75" s="494">
        <f>VLOOKUP($N75,Impacts!$F$5:$Z$22,16,FALSE)</f>
        <v>85.915004218058471</v>
      </c>
      <c r="P75" s="494">
        <f>VLOOKUP($N75,Impacts!$F$5:$Z$22,17,FALSE)*K75</f>
        <v>3.6070212024000017</v>
      </c>
      <c r="Q75" s="495">
        <f>VLOOKUP($N75,Impacts!$F$5:$Z$22,19,FALSE)*K75</f>
        <v>3.4483291795370898</v>
      </c>
      <c r="R75" s="496">
        <f>VLOOKUP($N75,Impacts!$F$5:$Z$22,20,FALSE)*K75</f>
        <v>681.85656000000029</v>
      </c>
      <c r="S75" s="497">
        <f>VLOOKUP($N75,Impacts!$F$5:$Z$22,21,FALSE)*K75</f>
        <v>8.9750622492174728</v>
      </c>
      <c r="T75" s="492"/>
      <c r="U75" s="492" t="str">
        <f t="shared" ref="U75:U138" si="27">J75</f>
        <v>Commercial Showerhead Replacement_2_00gpm_Commercial - Employee Shower_ Gas Water Heating_Direct Install</v>
      </c>
      <c r="V75" s="492" t="s">
        <v>440</v>
      </c>
      <c r="W75" s="494">
        <f t="shared" ref="W75:W138" si="28">(O75*L75*K75)</f>
        <v>0</v>
      </c>
      <c r="X75" s="492">
        <v>10</v>
      </c>
      <c r="Y75" s="498">
        <f t="shared" ref="Y75:Y106" si="29">VLOOKUP(G75,table_MeasureCosts,2,FALSE)</f>
        <v>11.336666666666666</v>
      </c>
      <c r="Z75" s="492"/>
      <c r="AA75" s="499" t="s">
        <v>441</v>
      </c>
      <c r="AB75" s="497">
        <f t="shared" ref="AB75:AB138" si="30">S75</f>
        <v>8.9750622492174728</v>
      </c>
      <c r="AC75" s="492"/>
      <c r="AD75" s="492"/>
      <c r="AE75" s="492"/>
      <c r="AF75" s="492"/>
      <c r="AG75" s="492"/>
      <c r="AH75" s="492"/>
      <c r="AI75" s="492">
        <f t="shared" ref="AI75:AI138" si="31">Q75*(1-L75)</f>
        <v>3.4483291795370898</v>
      </c>
      <c r="AJ75" s="492" t="s">
        <v>442</v>
      </c>
      <c r="AL75" s="283" t="e">
        <f t="shared" ref="AL75:AL106" ca="1" si="32">VLOOKUP(U75,INDIRECT(OutputRange),82,FALSE)</f>
        <v>#NAME?</v>
      </c>
    </row>
    <row r="76" spans="1:38" hidden="1">
      <c r="A76" s="492">
        <f t="shared" ref="A76:A139" si="33">A75+1</f>
        <v>66</v>
      </c>
      <c r="B76" s="492">
        <f t="shared" si="20"/>
        <v>3</v>
      </c>
      <c r="C76" s="492">
        <f t="shared" si="20"/>
        <v>2</v>
      </c>
      <c r="D76" s="492">
        <f t="shared" si="20"/>
        <v>1</v>
      </c>
      <c r="E76" s="492">
        <f t="shared" si="21"/>
        <v>3</v>
      </c>
      <c r="F76" s="492" t="str">
        <f t="shared" si="22"/>
        <v>Commercial - Employee Shower</v>
      </c>
      <c r="G76" s="492" t="str">
        <f t="shared" si="23"/>
        <v>Direct Install</v>
      </c>
      <c r="H76" s="492" t="str">
        <f t="shared" si="23"/>
        <v>2_00</v>
      </c>
      <c r="I76" s="492" t="str">
        <f t="shared" si="23"/>
        <v>Any Water Heating</v>
      </c>
      <c r="J76" s="492" t="str">
        <f t="shared" si="24"/>
        <v>Commercial Showerhead Replacement_2_00gpm_Commercial - Employee Shower_ Any Water Heating_Direct Install</v>
      </c>
      <c r="K76" s="493">
        <f>INDEX(InstallRatesCostAndLifetime!$A$2:$D$6,MATCH(InputForProCost!G76,InstallRatesCostAndLifetime!$A$2:$A$6,0),MATCH(InputForProCost!H76,InstallRatesCostAndLifetime!$A$2:$D$2,0))</f>
        <v>0.9</v>
      </c>
      <c r="L76" s="493">
        <f t="shared" si="25"/>
        <v>0.49</v>
      </c>
      <c r="M76" s="492"/>
      <c r="N76" s="492" t="str">
        <f t="shared" si="26"/>
        <v>Commercial - Employee Shower2_00</v>
      </c>
      <c r="O76" s="494">
        <f>VLOOKUP($N76,Impacts!$F$5:$Z$22,16,FALSE)</f>
        <v>85.915004218058471</v>
      </c>
      <c r="P76" s="494">
        <f>VLOOKUP($N76,Impacts!$F$5:$Z$22,17,FALSE)*K76</f>
        <v>3.6070212024000017</v>
      </c>
      <c r="Q76" s="495">
        <f>VLOOKUP($N76,Impacts!$F$5:$Z$22,19,FALSE)*K76</f>
        <v>3.4483291795370898</v>
      </c>
      <c r="R76" s="496">
        <f>VLOOKUP($N76,Impacts!$F$5:$Z$22,20,FALSE)*K76</f>
        <v>681.85656000000029</v>
      </c>
      <c r="S76" s="497">
        <f>VLOOKUP($N76,Impacts!$F$5:$Z$22,21,FALSE)*K76</f>
        <v>8.9750622492174728</v>
      </c>
      <c r="T76" s="492"/>
      <c r="U76" s="492" t="str">
        <f t="shared" si="27"/>
        <v>Commercial Showerhead Replacement_2_00gpm_Commercial - Employee Shower_ Any Water Heating_Direct Install</v>
      </c>
      <c r="V76" s="492" t="s">
        <v>440</v>
      </c>
      <c r="W76" s="494">
        <f t="shared" si="28"/>
        <v>37.888516860163783</v>
      </c>
      <c r="X76" s="492">
        <v>10</v>
      </c>
      <c r="Y76" s="498">
        <f t="shared" si="29"/>
        <v>11.336666666666666</v>
      </c>
      <c r="Z76" s="492"/>
      <c r="AA76" s="499" t="s">
        <v>441</v>
      </c>
      <c r="AB76" s="497">
        <f t="shared" si="30"/>
        <v>8.9750622492174728</v>
      </c>
      <c r="AC76" s="492"/>
      <c r="AD76" s="492"/>
      <c r="AE76" s="492"/>
      <c r="AF76" s="492"/>
      <c r="AG76" s="492"/>
      <c r="AH76" s="492"/>
      <c r="AI76" s="492">
        <f t="shared" si="31"/>
        <v>1.7586478815639159</v>
      </c>
      <c r="AJ76" s="492" t="s">
        <v>442</v>
      </c>
      <c r="AL76" s="283" t="e">
        <f t="shared" ca="1" si="32"/>
        <v>#NAME?</v>
      </c>
    </row>
    <row r="77" spans="1:38" hidden="1">
      <c r="A77" s="492">
        <f t="shared" si="33"/>
        <v>67</v>
      </c>
      <c r="B77" s="492">
        <f t="shared" si="20"/>
        <v>3</v>
      </c>
      <c r="C77" s="492">
        <f t="shared" si="20"/>
        <v>2</v>
      </c>
      <c r="D77" s="492">
        <f t="shared" si="20"/>
        <v>2</v>
      </c>
      <c r="E77" s="492">
        <f t="shared" si="21"/>
        <v>1</v>
      </c>
      <c r="F77" s="492" t="str">
        <f t="shared" si="22"/>
        <v>Commercial - Employee Shower</v>
      </c>
      <c r="G77" s="492" t="str">
        <f t="shared" si="23"/>
        <v>Direct Install</v>
      </c>
      <c r="H77" s="492" t="str">
        <f t="shared" si="23"/>
        <v>1_75</v>
      </c>
      <c r="I77" s="492" t="str">
        <f t="shared" si="23"/>
        <v>Electric Water Heating</v>
      </c>
      <c r="J77" s="492" t="str">
        <f t="shared" si="24"/>
        <v>Commercial Showerhead Replacement_1_75gpm_Commercial - Employee Shower_ Electric Water Heating_Direct Install</v>
      </c>
      <c r="K77" s="493">
        <f>INDEX(InstallRatesCostAndLifetime!$A$2:$D$6,MATCH(InputForProCost!G77,InstallRatesCostAndLifetime!$A$2:$A$6,0),MATCH(InputForProCost!H77,InstallRatesCostAndLifetime!$A$2:$D$2,0))</f>
        <v>0.9</v>
      </c>
      <c r="L77" s="493">
        <f t="shared" si="25"/>
        <v>1</v>
      </c>
      <c r="M77" s="492"/>
      <c r="N77" s="492" t="str">
        <f t="shared" si="26"/>
        <v>Commercial - Employee Shower1_75</v>
      </c>
      <c r="O77" s="494">
        <f>VLOOKUP($N77,Impacts!$F$5:$Z$22,16,FALSE)</f>
        <v>91.689788811366952</v>
      </c>
      <c r="P77" s="494">
        <f>VLOOKUP($N77,Impacts!$F$5:$Z$22,17,FALSE)*K77</f>
        <v>4.0578988527000011</v>
      </c>
      <c r="Q77" s="495">
        <f>VLOOKUP($N77,Impacts!$F$5:$Z$22,19,FALSE)*K77</f>
        <v>3.6801089297668064</v>
      </c>
      <c r="R77" s="496">
        <f>VLOOKUP($N77,Impacts!$F$5:$Z$22,20,FALSE)*K77</f>
        <v>767.08863000000019</v>
      </c>
      <c r="S77" s="497">
        <f>VLOOKUP($N77,Impacts!$F$5:$Z$22,21,FALSE)*K77</f>
        <v>10.096945030369655</v>
      </c>
      <c r="T77" s="492"/>
      <c r="U77" s="492" t="str">
        <f t="shared" si="27"/>
        <v>Commercial Showerhead Replacement_1_75gpm_Commercial - Employee Shower_ Electric Water Heating_Direct Install</v>
      </c>
      <c r="V77" s="492" t="s">
        <v>440</v>
      </c>
      <c r="W77" s="494">
        <f t="shared" si="28"/>
        <v>82.520809930230257</v>
      </c>
      <c r="X77" s="492">
        <v>10</v>
      </c>
      <c r="Y77" s="498">
        <f t="shared" si="29"/>
        <v>11.336666666666666</v>
      </c>
      <c r="Z77" s="492"/>
      <c r="AA77" s="499" t="s">
        <v>441</v>
      </c>
      <c r="AB77" s="497">
        <f t="shared" si="30"/>
        <v>10.096945030369655</v>
      </c>
      <c r="AC77" s="492"/>
      <c r="AD77" s="492"/>
      <c r="AE77" s="492"/>
      <c r="AF77" s="492"/>
      <c r="AG77" s="492"/>
      <c r="AH77" s="492"/>
      <c r="AI77" s="492">
        <f t="shared" si="31"/>
        <v>0</v>
      </c>
      <c r="AJ77" s="492" t="s">
        <v>442</v>
      </c>
      <c r="AL77" s="283" t="e">
        <f t="shared" ca="1" si="32"/>
        <v>#NAME?</v>
      </c>
    </row>
    <row r="78" spans="1:38" hidden="1">
      <c r="A78" s="492">
        <f t="shared" si="33"/>
        <v>68</v>
      </c>
      <c r="B78" s="492">
        <f t="shared" si="20"/>
        <v>3</v>
      </c>
      <c r="C78" s="492">
        <f t="shared" si="20"/>
        <v>2</v>
      </c>
      <c r="D78" s="492">
        <f t="shared" si="20"/>
        <v>2</v>
      </c>
      <c r="E78" s="492">
        <f t="shared" si="21"/>
        <v>2</v>
      </c>
      <c r="F78" s="492" t="str">
        <f t="shared" si="22"/>
        <v>Commercial - Employee Shower</v>
      </c>
      <c r="G78" s="492" t="str">
        <f t="shared" si="23"/>
        <v>Direct Install</v>
      </c>
      <c r="H78" s="492" t="str">
        <f t="shared" si="23"/>
        <v>1_75</v>
      </c>
      <c r="I78" s="492" t="str">
        <f t="shared" si="23"/>
        <v>Gas Water Heating</v>
      </c>
      <c r="J78" s="492" t="str">
        <f t="shared" si="24"/>
        <v>Commercial Showerhead Replacement_1_75gpm_Commercial - Employee Shower_ Gas Water Heating_Direct Install</v>
      </c>
      <c r="K78" s="493">
        <f>INDEX(InstallRatesCostAndLifetime!$A$2:$D$6,MATCH(InputForProCost!G78,InstallRatesCostAndLifetime!$A$2:$A$6,0),MATCH(InputForProCost!H78,InstallRatesCostAndLifetime!$A$2:$D$2,0))</f>
        <v>0.9</v>
      </c>
      <c r="L78" s="493">
        <f t="shared" si="25"/>
        <v>0</v>
      </c>
      <c r="M78" s="492"/>
      <c r="N78" s="492" t="str">
        <f t="shared" si="26"/>
        <v>Commercial - Employee Shower1_75</v>
      </c>
      <c r="O78" s="494">
        <f>VLOOKUP($N78,Impacts!$F$5:$Z$22,16,FALSE)</f>
        <v>91.689788811366952</v>
      </c>
      <c r="P78" s="494">
        <f>VLOOKUP($N78,Impacts!$F$5:$Z$22,17,FALSE)*K78</f>
        <v>4.0578988527000011</v>
      </c>
      <c r="Q78" s="495">
        <f>VLOOKUP($N78,Impacts!$F$5:$Z$22,19,FALSE)*K78</f>
        <v>3.6801089297668064</v>
      </c>
      <c r="R78" s="496">
        <f>VLOOKUP($N78,Impacts!$F$5:$Z$22,20,FALSE)*K78</f>
        <v>767.08863000000019</v>
      </c>
      <c r="S78" s="497">
        <f>VLOOKUP($N78,Impacts!$F$5:$Z$22,21,FALSE)*K78</f>
        <v>10.096945030369655</v>
      </c>
      <c r="T78" s="492"/>
      <c r="U78" s="492" t="str">
        <f t="shared" si="27"/>
        <v>Commercial Showerhead Replacement_1_75gpm_Commercial - Employee Shower_ Gas Water Heating_Direct Install</v>
      </c>
      <c r="V78" s="492" t="s">
        <v>440</v>
      </c>
      <c r="W78" s="494">
        <f t="shared" si="28"/>
        <v>0</v>
      </c>
      <c r="X78" s="492">
        <v>10</v>
      </c>
      <c r="Y78" s="498">
        <f t="shared" si="29"/>
        <v>11.336666666666666</v>
      </c>
      <c r="Z78" s="492"/>
      <c r="AA78" s="499" t="s">
        <v>441</v>
      </c>
      <c r="AB78" s="497">
        <f t="shared" si="30"/>
        <v>10.096945030369655</v>
      </c>
      <c r="AC78" s="492"/>
      <c r="AD78" s="492"/>
      <c r="AE78" s="492"/>
      <c r="AF78" s="492"/>
      <c r="AG78" s="492"/>
      <c r="AH78" s="492"/>
      <c r="AI78" s="492">
        <f t="shared" si="31"/>
        <v>3.6801089297668064</v>
      </c>
      <c r="AJ78" s="492" t="s">
        <v>442</v>
      </c>
      <c r="AL78" s="283" t="e">
        <f t="shared" ca="1" si="32"/>
        <v>#NAME?</v>
      </c>
    </row>
    <row r="79" spans="1:38" hidden="1">
      <c r="A79" s="492">
        <f t="shared" si="33"/>
        <v>69</v>
      </c>
      <c r="B79" s="492">
        <f t="shared" si="20"/>
        <v>3</v>
      </c>
      <c r="C79" s="492">
        <f t="shared" si="20"/>
        <v>2</v>
      </c>
      <c r="D79" s="492">
        <f t="shared" si="20"/>
        <v>2</v>
      </c>
      <c r="E79" s="492">
        <f t="shared" si="21"/>
        <v>3</v>
      </c>
      <c r="F79" s="492" t="str">
        <f t="shared" si="22"/>
        <v>Commercial - Employee Shower</v>
      </c>
      <c r="G79" s="492" t="str">
        <f t="shared" si="23"/>
        <v>Direct Install</v>
      </c>
      <c r="H79" s="492" t="str">
        <f t="shared" si="23"/>
        <v>1_75</v>
      </c>
      <c r="I79" s="492" t="str">
        <f t="shared" si="23"/>
        <v>Any Water Heating</v>
      </c>
      <c r="J79" s="492" t="str">
        <f t="shared" si="24"/>
        <v>Commercial Showerhead Replacement_1_75gpm_Commercial - Employee Shower_ Any Water Heating_Direct Install</v>
      </c>
      <c r="K79" s="493">
        <f>INDEX(InstallRatesCostAndLifetime!$A$2:$D$6,MATCH(InputForProCost!G79,InstallRatesCostAndLifetime!$A$2:$A$6,0),MATCH(InputForProCost!H79,InstallRatesCostAndLifetime!$A$2:$D$2,0))</f>
        <v>0.9</v>
      </c>
      <c r="L79" s="493">
        <f t="shared" si="25"/>
        <v>0.49</v>
      </c>
      <c r="M79" s="492"/>
      <c r="N79" s="492" t="str">
        <f t="shared" si="26"/>
        <v>Commercial - Employee Shower1_75</v>
      </c>
      <c r="O79" s="494">
        <f>VLOOKUP($N79,Impacts!$F$5:$Z$22,16,FALSE)</f>
        <v>91.689788811366952</v>
      </c>
      <c r="P79" s="494">
        <f>VLOOKUP($N79,Impacts!$F$5:$Z$22,17,FALSE)*K79</f>
        <v>4.0578988527000011</v>
      </c>
      <c r="Q79" s="495">
        <f>VLOOKUP($N79,Impacts!$F$5:$Z$22,19,FALSE)*K79</f>
        <v>3.6801089297668064</v>
      </c>
      <c r="R79" s="496">
        <f>VLOOKUP($N79,Impacts!$F$5:$Z$22,20,FALSE)*K79</f>
        <v>767.08863000000019</v>
      </c>
      <c r="S79" s="497">
        <f>VLOOKUP($N79,Impacts!$F$5:$Z$22,21,FALSE)*K79</f>
        <v>10.096945030369655</v>
      </c>
      <c r="T79" s="492"/>
      <c r="U79" s="492" t="str">
        <f t="shared" si="27"/>
        <v>Commercial Showerhead Replacement_1_75gpm_Commercial - Employee Shower_ Any Water Heating_Direct Install</v>
      </c>
      <c r="V79" s="492" t="s">
        <v>440</v>
      </c>
      <c r="W79" s="494">
        <f t="shared" si="28"/>
        <v>40.43519686581282</v>
      </c>
      <c r="X79" s="492">
        <v>10</v>
      </c>
      <c r="Y79" s="498">
        <f t="shared" si="29"/>
        <v>11.336666666666666</v>
      </c>
      <c r="Z79" s="492"/>
      <c r="AA79" s="499" t="s">
        <v>441</v>
      </c>
      <c r="AB79" s="497">
        <f t="shared" si="30"/>
        <v>10.096945030369655</v>
      </c>
      <c r="AC79" s="492"/>
      <c r="AD79" s="492"/>
      <c r="AE79" s="492"/>
      <c r="AF79" s="492"/>
      <c r="AG79" s="492"/>
      <c r="AH79" s="492"/>
      <c r="AI79" s="492">
        <f t="shared" si="31"/>
        <v>1.8768555541810712</v>
      </c>
      <c r="AJ79" s="492" t="s">
        <v>442</v>
      </c>
      <c r="AL79" s="283" t="e">
        <f t="shared" ca="1" si="32"/>
        <v>#NAME?</v>
      </c>
    </row>
    <row r="80" spans="1:38" hidden="1">
      <c r="A80" s="492">
        <f t="shared" si="33"/>
        <v>70</v>
      </c>
      <c r="B80" s="492">
        <f t="shared" si="20"/>
        <v>3</v>
      </c>
      <c r="C80" s="492">
        <f t="shared" si="20"/>
        <v>2</v>
      </c>
      <c r="D80" s="492">
        <f t="shared" si="20"/>
        <v>3</v>
      </c>
      <c r="E80" s="492">
        <f t="shared" si="21"/>
        <v>1</v>
      </c>
      <c r="F80" s="492" t="str">
        <f t="shared" si="22"/>
        <v>Commercial - Employee Shower</v>
      </c>
      <c r="G80" s="492" t="str">
        <f t="shared" si="23"/>
        <v>Direct Install</v>
      </c>
      <c r="H80" s="492" t="str">
        <f t="shared" si="23"/>
        <v>1_50</v>
      </c>
      <c r="I80" s="492" t="str">
        <f t="shared" si="23"/>
        <v>Electric Water Heating</v>
      </c>
      <c r="J80" s="492" t="str">
        <f t="shared" si="24"/>
        <v>Commercial Showerhead Replacement_1_50gpm_Commercial - Employee Shower_ Electric Water Heating_Direct Install</v>
      </c>
      <c r="K80" s="493">
        <f>INDEX(InstallRatesCostAndLifetime!$A$2:$D$6,MATCH(InputForProCost!G80,InstallRatesCostAndLifetime!$A$2:$A$6,0),MATCH(InputForProCost!H80,InstallRatesCostAndLifetime!$A$2:$D$2,0))</f>
        <v>0.9</v>
      </c>
      <c r="L80" s="493">
        <f t="shared" si="25"/>
        <v>1</v>
      </c>
      <c r="M80" s="492"/>
      <c r="N80" s="492" t="str">
        <f t="shared" si="26"/>
        <v>Commercial - Employee Shower1_50</v>
      </c>
      <c r="O80" s="494">
        <f>VLOOKUP($N80,Impacts!$F$5:$Z$22,16,FALSE)</f>
        <v>151.59240511508943</v>
      </c>
      <c r="P80" s="494">
        <f>VLOOKUP($N80,Impacts!$F$5:$Z$22,17,FALSE)*K80</f>
        <v>6.3122871042000019</v>
      </c>
      <c r="Q80" s="495">
        <f>VLOOKUP($N80,Impacts!$F$5:$Z$22,19,FALSE)*K80</f>
        <v>6.0843914134930079</v>
      </c>
      <c r="R80" s="496">
        <f>VLOOKUP($N80,Impacts!$F$5:$Z$22,20,FALSE)*K80</f>
        <v>1193.2489800000003</v>
      </c>
      <c r="S80" s="497">
        <f>VLOOKUP($N80,Impacts!$F$5:$Z$22,21,FALSE)*K80</f>
        <v>15.706358936130574</v>
      </c>
      <c r="T80" s="492"/>
      <c r="U80" s="492" t="str">
        <f t="shared" si="27"/>
        <v>Commercial Showerhead Replacement_1_50gpm_Commercial - Employee Shower_ Electric Water Heating_Direct Install</v>
      </c>
      <c r="V80" s="492" t="s">
        <v>440</v>
      </c>
      <c r="W80" s="494">
        <f t="shared" si="28"/>
        <v>136.43316460358051</v>
      </c>
      <c r="X80" s="492">
        <v>10</v>
      </c>
      <c r="Y80" s="498">
        <f t="shared" si="29"/>
        <v>11.336666666666666</v>
      </c>
      <c r="Z80" s="492"/>
      <c r="AA80" s="499" t="s">
        <v>441</v>
      </c>
      <c r="AB80" s="497">
        <f t="shared" si="30"/>
        <v>15.706358936130574</v>
      </c>
      <c r="AC80" s="492"/>
      <c r="AD80" s="492"/>
      <c r="AE80" s="492"/>
      <c r="AF80" s="492"/>
      <c r="AG80" s="492"/>
      <c r="AH80" s="492"/>
      <c r="AI80" s="492">
        <f t="shared" si="31"/>
        <v>0</v>
      </c>
      <c r="AJ80" s="492" t="s">
        <v>442</v>
      </c>
      <c r="AL80" s="283" t="e">
        <f t="shared" ca="1" si="32"/>
        <v>#NAME?</v>
      </c>
    </row>
    <row r="81" spans="1:38" hidden="1">
      <c r="A81" s="492">
        <f t="shared" si="33"/>
        <v>71</v>
      </c>
      <c r="B81" s="492">
        <f t="shared" si="20"/>
        <v>3</v>
      </c>
      <c r="C81" s="492">
        <f t="shared" si="20"/>
        <v>2</v>
      </c>
      <c r="D81" s="492">
        <f t="shared" si="20"/>
        <v>3</v>
      </c>
      <c r="E81" s="492">
        <f t="shared" si="21"/>
        <v>2</v>
      </c>
      <c r="F81" s="492" t="str">
        <f t="shared" si="22"/>
        <v>Commercial - Employee Shower</v>
      </c>
      <c r="G81" s="492" t="str">
        <f t="shared" si="23"/>
        <v>Direct Install</v>
      </c>
      <c r="H81" s="492" t="str">
        <f t="shared" si="23"/>
        <v>1_50</v>
      </c>
      <c r="I81" s="492" t="str">
        <f t="shared" si="23"/>
        <v>Gas Water Heating</v>
      </c>
      <c r="J81" s="492" t="str">
        <f t="shared" si="24"/>
        <v>Commercial Showerhead Replacement_1_50gpm_Commercial - Employee Shower_ Gas Water Heating_Direct Install</v>
      </c>
      <c r="K81" s="493">
        <f>INDEX(InstallRatesCostAndLifetime!$A$2:$D$6,MATCH(InputForProCost!G81,InstallRatesCostAndLifetime!$A$2:$A$6,0),MATCH(InputForProCost!H81,InstallRatesCostAndLifetime!$A$2:$D$2,0))</f>
        <v>0.9</v>
      </c>
      <c r="L81" s="493">
        <f t="shared" si="25"/>
        <v>0</v>
      </c>
      <c r="M81" s="492"/>
      <c r="N81" s="492" t="str">
        <f t="shared" si="26"/>
        <v>Commercial - Employee Shower1_50</v>
      </c>
      <c r="O81" s="494">
        <f>VLOOKUP($N81,Impacts!$F$5:$Z$22,16,FALSE)</f>
        <v>151.59240511508943</v>
      </c>
      <c r="P81" s="494">
        <f>VLOOKUP($N81,Impacts!$F$5:$Z$22,17,FALSE)*K81</f>
        <v>6.3122871042000019</v>
      </c>
      <c r="Q81" s="495">
        <f>VLOOKUP($N81,Impacts!$F$5:$Z$22,19,FALSE)*K81</f>
        <v>6.0843914134930079</v>
      </c>
      <c r="R81" s="496">
        <f>VLOOKUP($N81,Impacts!$F$5:$Z$22,20,FALSE)*K81</f>
        <v>1193.2489800000003</v>
      </c>
      <c r="S81" s="497">
        <f>VLOOKUP($N81,Impacts!$F$5:$Z$22,21,FALSE)*K81</f>
        <v>15.706358936130574</v>
      </c>
      <c r="T81" s="492"/>
      <c r="U81" s="492" t="str">
        <f t="shared" si="27"/>
        <v>Commercial Showerhead Replacement_1_50gpm_Commercial - Employee Shower_ Gas Water Heating_Direct Install</v>
      </c>
      <c r="V81" s="492" t="s">
        <v>440</v>
      </c>
      <c r="W81" s="494">
        <f t="shared" si="28"/>
        <v>0</v>
      </c>
      <c r="X81" s="492">
        <v>10</v>
      </c>
      <c r="Y81" s="498">
        <f t="shared" si="29"/>
        <v>11.336666666666666</v>
      </c>
      <c r="Z81" s="492"/>
      <c r="AA81" s="499" t="s">
        <v>441</v>
      </c>
      <c r="AB81" s="497">
        <f t="shared" si="30"/>
        <v>15.706358936130574</v>
      </c>
      <c r="AC81" s="492"/>
      <c r="AD81" s="492"/>
      <c r="AE81" s="492"/>
      <c r="AF81" s="492"/>
      <c r="AG81" s="492"/>
      <c r="AH81" s="492"/>
      <c r="AI81" s="492">
        <f t="shared" si="31"/>
        <v>6.0843914134930079</v>
      </c>
      <c r="AJ81" s="492" t="s">
        <v>442</v>
      </c>
      <c r="AL81" s="283" t="e">
        <f t="shared" ca="1" si="32"/>
        <v>#NAME?</v>
      </c>
    </row>
    <row r="82" spans="1:38">
      <c r="A82" s="492">
        <f t="shared" si="33"/>
        <v>72</v>
      </c>
      <c r="B82" s="492">
        <f t="shared" si="20"/>
        <v>3</v>
      </c>
      <c r="C82" s="492">
        <f t="shared" si="20"/>
        <v>2</v>
      </c>
      <c r="D82" s="492">
        <f t="shared" si="20"/>
        <v>3</v>
      </c>
      <c r="E82" s="492">
        <f t="shared" si="21"/>
        <v>3</v>
      </c>
      <c r="F82" s="492" t="str">
        <f t="shared" si="22"/>
        <v>Commercial - Employee Shower</v>
      </c>
      <c r="G82" s="492" t="str">
        <f t="shared" si="23"/>
        <v>Direct Install</v>
      </c>
      <c r="H82" s="492" t="str">
        <f t="shared" si="23"/>
        <v>1_50</v>
      </c>
      <c r="I82" s="492" t="str">
        <f t="shared" si="23"/>
        <v>Any Water Heating</v>
      </c>
      <c r="J82" s="492" t="str">
        <f t="shared" si="24"/>
        <v>Commercial Showerhead Replacement_1_50gpm_Commercial - Employee Shower_ Any Water Heating_Direct Install</v>
      </c>
      <c r="K82" s="493">
        <f>INDEX(InstallRatesCostAndLifetime!$A$2:$D$6,MATCH(InputForProCost!G82,InstallRatesCostAndLifetime!$A$2:$A$6,0),MATCH(InputForProCost!H82,InstallRatesCostAndLifetime!$A$2:$D$2,0))</f>
        <v>0.9</v>
      </c>
      <c r="L82" s="493">
        <f t="shared" si="25"/>
        <v>0.49</v>
      </c>
      <c r="M82" s="492"/>
      <c r="N82" s="492" t="str">
        <f t="shared" si="26"/>
        <v>Commercial - Employee Shower1_50</v>
      </c>
      <c r="O82" s="494">
        <f>VLOOKUP($N82,Impacts!$F$5:$Z$22,16,FALSE)</f>
        <v>151.59240511508943</v>
      </c>
      <c r="P82" s="494">
        <f>VLOOKUP($N82,Impacts!$F$5:$Z$22,17,FALSE)*K82</f>
        <v>6.3122871042000019</v>
      </c>
      <c r="Q82" s="495">
        <f>VLOOKUP($N82,Impacts!$F$5:$Z$22,19,FALSE)*K82</f>
        <v>6.0843914134930079</v>
      </c>
      <c r="R82" s="496">
        <f>VLOOKUP($N82,Impacts!$F$5:$Z$22,20,FALSE)*K82</f>
        <v>1193.2489800000003</v>
      </c>
      <c r="S82" s="497">
        <f>VLOOKUP($N82,Impacts!$F$5:$Z$22,21,FALSE)*K82</f>
        <v>15.706358936130574</v>
      </c>
      <c r="T82" s="492"/>
      <c r="U82" s="492" t="str">
        <f t="shared" si="27"/>
        <v>Commercial Showerhead Replacement_1_50gpm_Commercial - Employee Shower_ Any Water Heating_Direct Install</v>
      </c>
      <c r="V82" s="492" t="s">
        <v>440</v>
      </c>
      <c r="W82" s="494">
        <f t="shared" si="28"/>
        <v>66.852250655754446</v>
      </c>
      <c r="X82" s="492">
        <v>10</v>
      </c>
      <c r="Y82" s="498">
        <f t="shared" si="29"/>
        <v>11.336666666666666</v>
      </c>
      <c r="Z82" s="492"/>
      <c r="AA82" s="499" t="s">
        <v>441</v>
      </c>
      <c r="AB82" s="497">
        <f t="shared" si="30"/>
        <v>15.706358936130574</v>
      </c>
      <c r="AC82" s="492"/>
      <c r="AD82" s="492"/>
      <c r="AE82" s="492"/>
      <c r="AF82" s="492"/>
      <c r="AG82" s="492"/>
      <c r="AH82" s="492"/>
      <c r="AI82" s="492">
        <f t="shared" si="31"/>
        <v>3.1030396208814341</v>
      </c>
      <c r="AJ82" s="492" t="s">
        <v>442</v>
      </c>
      <c r="AL82" s="283" t="e">
        <f t="shared" ca="1" si="32"/>
        <v>#NAME?</v>
      </c>
    </row>
    <row r="83" spans="1:38" hidden="1">
      <c r="A83" s="492">
        <f t="shared" si="33"/>
        <v>73</v>
      </c>
      <c r="B83" s="492">
        <f t="shared" si="20"/>
        <v>3</v>
      </c>
      <c r="C83" s="492">
        <f t="shared" si="20"/>
        <v>3</v>
      </c>
      <c r="D83" s="492">
        <f t="shared" si="20"/>
        <v>1</v>
      </c>
      <c r="E83" s="492">
        <f t="shared" si="21"/>
        <v>1</v>
      </c>
      <c r="F83" s="492" t="str">
        <f t="shared" si="22"/>
        <v>Commercial - Employee Shower</v>
      </c>
      <c r="G83" s="492" t="str">
        <f t="shared" si="23"/>
        <v>Mail-by-Request</v>
      </c>
      <c r="H83" s="492" t="str">
        <f t="shared" si="23"/>
        <v>2_00</v>
      </c>
      <c r="I83" s="492" t="str">
        <f t="shared" si="23"/>
        <v>Electric Water Heating</v>
      </c>
      <c r="J83" s="492" t="str">
        <f t="shared" si="24"/>
        <v>Commercial Showerhead Replacement_2_00gpm_Commercial - Employee Shower_ Electric Water Heating_Mail-by-Request</v>
      </c>
      <c r="K83" s="493">
        <f>INDEX(InstallRatesCostAndLifetime!$A$2:$D$6,MATCH(InputForProCost!G83,InstallRatesCostAndLifetime!$A$2:$A$6,0),MATCH(InputForProCost!H83,InstallRatesCostAndLifetime!$A$2:$D$2,0))</f>
        <v>0.6</v>
      </c>
      <c r="L83" s="493">
        <f t="shared" si="25"/>
        <v>1</v>
      </c>
      <c r="M83" s="492"/>
      <c r="N83" s="492" t="str">
        <f t="shared" si="26"/>
        <v>Commercial - Employee Shower2_00</v>
      </c>
      <c r="O83" s="494">
        <f>VLOOKUP($N83,Impacts!$F$5:$Z$22,16,FALSE)</f>
        <v>85.915004218058471</v>
      </c>
      <c r="P83" s="494">
        <f>VLOOKUP($N83,Impacts!$F$5:$Z$22,17,FALSE)*K83</f>
        <v>2.404680801600001</v>
      </c>
      <c r="Q83" s="495">
        <f>VLOOKUP($N83,Impacts!$F$5:$Z$22,19,FALSE)*K83</f>
        <v>2.2988861196913928</v>
      </c>
      <c r="R83" s="496">
        <f>VLOOKUP($N83,Impacts!$F$5:$Z$22,20,FALSE)*K83</f>
        <v>454.57104000000015</v>
      </c>
      <c r="S83" s="497">
        <f>VLOOKUP($N83,Impacts!$F$5:$Z$22,21,FALSE)*K83</f>
        <v>5.9833748328116485</v>
      </c>
      <c r="T83" s="492"/>
      <c r="U83" s="492" t="str">
        <f t="shared" si="27"/>
        <v>Commercial Showerhead Replacement_2_00gpm_Commercial - Employee Shower_ Electric Water Heating_Mail-by-Request</v>
      </c>
      <c r="V83" s="492" t="s">
        <v>440</v>
      </c>
      <c r="W83" s="494">
        <f t="shared" si="28"/>
        <v>51.549002530835082</v>
      </c>
      <c r="X83" s="492">
        <v>10</v>
      </c>
      <c r="Y83" s="498">
        <f t="shared" si="29"/>
        <v>8.1096944444444432</v>
      </c>
      <c r="Z83" s="492"/>
      <c r="AA83" s="499" t="s">
        <v>441</v>
      </c>
      <c r="AB83" s="497">
        <f t="shared" si="30"/>
        <v>5.9833748328116485</v>
      </c>
      <c r="AC83" s="492"/>
      <c r="AD83" s="492"/>
      <c r="AE83" s="492"/>
      <c r="AF83" s="492"/>
      <c r="AG83" s="492"/>
      <c r="AH83" s="492"/>
      <c r="AI83" s="492">
        <f t="shared" si="31"/>
        <v>0</v>
      </c>
      <c r="AJ83" s="492" t="s">
        <v>442</v>
      </c>
      <c r="AL83" s="283" t="e">
        <f t="shared" ca="1" si="32"/>
        <v>#NAME?</v>
      </c>
    </row>
    <row r="84" spans="1:38" hidden="1">
      <c r="A84" s="492">
        <f t="shared" si="33"/>
        <v>74</v>
      </c>
      <c r="B84" s="492">
        <f t="shared" si="20"/>
        <v>3</v>
      </c>
      <c r="C84" s="492">
        <f t="shared" si="20"/>
        <v>3</v>
      </c>
      <c r="D84" s="492">
        <f t="shared" si="20"/>
        <v>1</v>
      </c>
      <c r="E84" s="492">
        <f t="shared" si="21"/>
        <v>2</v>
      </c>
      <c r="F84" s="492" t="str">
        <f t="shared" si="22"/>
        <v>Commercial - Employee Shower</v>
      </c>
      <c r="G84" s="492" t="str">
        <f t="shared" si="23"/>
        <v>Mail-by-Request</v>
      </c>
      <c r="H84" s="492" t="str">
        <f t="shared" si="23"/>
        <v>2_00</v>
      </c>
      <c r="I84" s="492" t="str">
        <f t="shared" si="23"/>
        <v>Gas Water Heating</v>
      </c>
      <c r="J84" s="492" t="str">
        <f t="shared" si="24"/>
        <v>Commercial Showerhead Replacement_2_00gpm_Commercial - Employee Shower_ Gas Water Heating_Mail-by-Request</v>
      </c>
      <c r="K84" s="493">
        <f>INDEX(InstallRatesCostAndLifetime!$A$2:$D$6,MATCH(InputForProCost!G84,InstallRatesCostAndLifetime!$A$2:$A$6,0),MATCH(InputForProCost!H84,InstallRatesCostAndLifetime!$A$2:$D$2,0))</f>
        <v>0.6</v>
      </c>
      <c r="L84" s="493">
        <f t="shared" si="25"/>
        <v>0</v>
      </c>
      <c r="M84" s="492"/>
      <c r="N84" s="492" t="str">
        <f t="shared" si="26"/>
        <v>Commercial - Employee Shower2_00</v>
      </c>
      <c r="O84" s="494">
        <f>VLOOKUP($N84,Impacts!$F$5:$Z$22,16,FALSE)</f>
        <v>85.915004218058471</v>
      </c>
      <c r="P84" s="494">
        <f>VLOOKUP($N84,Impacts!$F$5:$Z$22,17,FALSE)*K84</f>
        <v>2.404680801600001</v>
      </c>
      <c r="Q84" s="495">
        <f>VLOOKUP($N84,Impacts!$F$5:$Z$22,19,FALSE)*K84</f>
        <v>2.2988861196913928</v>
      </c>
      <c r="R84" s="496">
        <f>VLOOKUP($N84,Impacts!$F$5:$Z$22,20,FALSE)*K84</f>
        <v>454.57104000000015</v>
      </c>
      <c r="S84" s="497">
        <f>VLOOKUP($N84,Impacts!$F$5:$Z$22,21,FALSE)*K84</f>
        <v>5.9833748328116485</v>
      </c>
      <c r="T84" s="492"/>
      <c r="U84" s="492" t="str">
        <f t="shared" si="27"/>
        <v>Commercial Showerhead Replacement_2_00gpm_Commercial - Employee Shower_ Gas Water Heating_Mail-by-Request</v>
      </c>
      <c r="V84" s="492" t="s">
        <v>440</v>
      </c>
      <c r="W84" s="494">
        <f t="shared" si="28"/>
        <v>0</v>
      </c>
      <c r="X84" s="492">
        <v>10</v>
      </c>
      <c r="Y84" s="498">
        <f t="shared" si="29"/>
        <v>8.1096944444444432</v>
      </c>
      <c r="Z84" s="492"/>
      <c r="AA84" s="499" t="s">
        <v>441</v>
      </c>
      <c r="AB84" s="497">
        <f t="shared" si="30"/>
        <v>5.9833748328116485</v>
      </c>
      <c r="AC84" s="492"/>
      <c r="AD84" s="492"/>
      <c r="AE84" s="492"/>
      <c r="AF84" s="492"/>
      <c r="AG84" s="492"/>
      <c r="AH84" s="492"/>
      <c r="AI84" s="492">
        <f t="shared" si="31"/>
        <v>2.2988861196913928</v>
      </c>
      <c r="AJ84" s="492" t="s">
        <v>442</v>
      </c>
      <c r="AL84" s="283" t="e">
        <f t="shared" ca="1" si="32"/>
        <v>#NAME?</v>
      </c>
    </row>
    <row r="85" spans="1:38" hidden="1">
      <c r="A85" s="492">
        <f t="shared" si="33"/>
        <v>75</v>
      </c>
      <c r="B85" s="492">
        <f t="shared" si="20"/>
        <v>3</v>
      </c>
      <c r="C85" s="492">
        <f t="shared" si="20"/>
        <v>3</v>
      </c>
      <c r="D85" s="492">
        <f t="shared" si="20"/>
        <v>1</v>
      </c>
      <c r="E85" s="492">
        <f t="shared" si="21"/>
        <v>3</v>
      </c>
      <c r="F85" s="492" t="str">
        <f t="shared" si="22"/>
        <v>Commercial - Employee Shower</v>
      </c>
      <c r="G85" s="492" t="str">
        <f t="shared" si="23"/>
        <v>Mail-by-Request</v>
      </c>
      <c r="H85" s="492" t="str">
        <f t="shared" si="23"/>
        <v>2_00</v>
      </c>
      <c r="I85" s="492" t="str">
        <f t="shared" si="23"/>
        <v>Any Water Heating</v>
      </c>
      <c r="J85" s="492" t="str">
        <f t="shared" si="24"/>
        <v>Commercial Showerhead Replacement_2_00gpm_Commercial - Employee Shower_ Any Water Heating_Mail-by-Request</v>
      </c>
      <c r="K85" s="493">
        <f>INDEX(InstallRatesCostAndLifetime!$A$2:$D$6,MATCH(InputForProCost!G85,InstallRatesCostAndLifetime!$A$2:$A$6,0),MATCH(InputForProCost!H85,InstallRatesCostAndLifetime!$A$2:$D$2,0))</f>
        <v>0.6</v>
      </c>
      <c r="L85" s="493">
        <f t="shared" si="25"/>
        <v>0.49</v>
      </c>
      <c r="M85" s="492"/>
      <c r="N85" s="492" t="str">
        <f t="shared" si="26"/>
        <v>Commercial - Employee Shower2_00</v>
      </c>
      <c r="O85" s="494">
        <f>VLOOKUP($N85,Impacts!$F$5:$Z$22,16,FALSE)</f>
        <v>85.915004218058471</v>
      </c>
      <c r="P85" s="494">
        <f>VLOOKUP($N85,Impacts!$F$5:$Z$22,17,FALSE)*K85</f>
        <v>2.404680801600001</v>
      </c>
      <c r="Q85" s="495">
        <f>VLOOKUP($N85,Impacts!$F$5:$Z$22,19,FALSE)*K85</f>
        <v>2.2988861196913928</v>
      </c>
      <c r="R85" s="496">
        <f>VLOOKUP($N85,Impacts!$F$5:$Z$22,20,FALSE)*K85</f>
        <v>454.57104000000015</v>
      </c>
      <c r="S85" s="497">
        <f>VLOOKUP($N85,Impacts!$F$5:$Z$22,21,FALSE)*K85</f>
        <v>5.9833748328116485</v>
      </c>
      <c r="T85" s="492"/>
      <c r="U85" s="492" t="str">
        <f t="shared" si="27"/>
        <v>Commercial Showerhead Replacement_2_00gpm_Commercial - Employee Shower_ Any Water Heating_Mail-by-Request</v>
      </c>
      <c r="V85" s="492" t="s">
        <v>440</v>
      </c>
      <c r="W85" s="494">
        <f t="shared" si="28"/>
        <v>25.259011240109189</v>
      </c>
      <c r="X85" s="492">
        <v>10</v>
      </c>
      <c r="Y85" s="498">
        <f t="shared" si="29"/>
        <v>8.1096944444444432</v>
      </c>
      <c r="Z85" s="492"/>
      <c r="AA85" s="499" t="s">
        <v>441</v>
      </c>
      <c r="AB85" s="497">
        <f t="shared" si="30"/>
        <v>5.9833748328116485</v>
      </c>
      <c r="AC85" s="492"/>
      <c r="AD85" s="492"/>
      <c r="AE85" s="492"/>
      <c r="AF85" s="492"/>
      <c r="AG85" s="492"/>
      <c r="AH85" s="492"/>
      <c r="AI85" s="492">
        <f t="shared" si="31"/>
        <v>1.1724319210426104</v>
      </c>
      <c r="AJ85" s="492" t="s">
        <v>442</v>
      </c>
      <c r="AL85" s="283" t="e">
        <f t="shared" ca="1" si="32"/>
        <v>#NAME?</v>
      </c>
    </row>
    <row r="86" spans="1:38" hidden="1">
      <c r="A86" s="492">
        <f t="shared" si="33"/>
        <v>76</v>
      </c>
      <c r="B86" s="492">
        <f t="shared" si="20"/>
        <v>3</v>
      </c>
      <c r="C86" s="492">
        <f t="shared" si="20"/>
        <v>3</v>
      </c>
      <c r="D86" s="492">
        <f t="shared" si="20"/>
        <v>2</v>
      </c>
      <c r="E86" s="492">
        <f t="shared" si="21"/>
        <v>1</v>
      </c>
      <c r="F86" s="492" t="str">
        <f t="shared" si="22"/>
        <v>Commercial - Employee Shower</v>
      </c>
      <c r="G86" s="492" t="str">
        <f t="shared" si="23"/>
        <v>Mail-by-Request</v>
      </c>
      <c r="H86" s="492" t="str">
        <f t="shared" si="23"/>
        <v>1_75</v>
      </c>
      <c r="I86" s="492" t="str">
        <f t="shared" si="23"/>
        <v>Electric Water Heating</v>
      </c>
      <c r="J86" s="492" t="str">
        <f t="shared" si="24"/>
        <v>Commercial Showerhead Replacement_1_75gpm_Commercial - Employee Shower_ Electric Water Heating_Mail-by-Request</v>
      </c>
      <c r="K86" s="493">
        <f>INDEX(InstallRatesCostAndLifetime!$A$2:$D$6,MATCH(InputForProCost!G86,InstallRatesCostAndLifetime!$A$2:$A$6,0),MATCH(InputForProCost!H86,InstallRatesCostAndLifetime!$A$2:$D$2,0))</f>
        <v>0.6</v>
      </c>
      <c r="L86" s="493">
        <f t="shared" si="25"/>
        <v>1</v>
      </c>
      <c r="M86" s="492"/>
      <c r="N86" s="492" t="str">
        <f t="shared" si="26"/>
        <v>Commercial - Employee Shower1_75</v>
      </c>
      <c r="O86" s="494">
        <f>VLOOKUP($N86,Impacts!$F$5:$Z$22,16,FALSE)</f>
        <v>91.689788811366952</v>
      </c>
      <c r="P86" s="494">
        <f>VLOOKUP($N86,Impacts!$F$5:$Z$22,17,FALSE)*K86</f>
        <v>2.7052659018000003</v>
      </c>
      <c r="Q86" s="495">
        <f>VLOOKUP($N86,Impacts!$F$5:$Z$22,19,FALSE)*K86</f>
        <v>2.4534059531778709</v>
      </c>
      <c r="R86" s="496">
        <f>VLOOKUP($N86,Impacts!$F$5:$Z$22,20,FALSE)*K86</f>
        <v>511.39242000000013</v>
      </c>
      <c r="S86" s="497">
        <f>VLOOKUP($N86,Impacts!$F$5:$Z$22,21,FALSE)*K86</f>
        <v>6.7312966869131037</v>
      </c>
      <c r="T86" s="492"/>
      <c r="U86" s="492" t="str">
        <f t="shared" si="27"/>
        <v>Commercial Showerhead Replacement_1_75gpm_Commercial - Employee Shower_ Electric Water Heating_Mail-by-Request</v>
      </c>
      <c r="V86" s="492" t="s">
        <v>440</v>
      </c>
      <c r="W86" s="494">
        <f t="shared" si="28"/>
        <v>55.013873286820171</v>
      </c>
      <c r="X86" s="492">
        <v>10</v>
      </c>
      <c r="Y86" s="498">
        <f t="shared" si="29"/>
        <v>8.1096944444444432</v>
      </c>
      <c r="Z86" s="492"/>
      <c r="AA86" s="499" t="s">
        <v>441</v>
      </c>
      <c r="AB86" s="497">
        <f t="shared" si="30"/>
        <v>6.7312966869131037</v>
      </c>
      <c r="AC86" s="492"/>
      <c r="AD86" s="492"/>
      <c r="AE86" s="492"/>
      <c r="AF86" s="492"/>
      <c r="AG86" s="492"/>
      <c r="AH86" s="492"/>
      <c r="AI86" s="492">
        <f t="shared" si="31"/>
        <v>0</v>
      </c>
      <c r="AJ86" s="492" t="s">
        <v>442</v>
      </c>
      <c r="AL86" s="283" t="e">
        <f t="shared" ca="1" si="32"/>
        <v>#NAME?</v>
      </c>
    </row>
    <row r="87" spans="1:38" hidden="1">
      <c r="A87" s="492">
        <f t="shared" si="33"/>
        <v>77</v>
      </c>
      <c r="B87" s="492">
        <f t="shared" si="20"/>
        <v>3</v>
      </c>
      <c r="C87" s="492">
        <f t="shared" si="20"/>
        <v>3</v>
      </c>
      <c r="D87" s="492">
        <f t="shared" si="20"/>
        <v>2</v>
      </c>
      <c r="E87" s="492">
        <f t="shared" si="21"/>
        <v>2</v>
      </c>
      <c r="F87" s="492" t="str">
        <f t="shared" si="22"/>
        <v>Commercial - Employee Shower</v>
      </c>
      <c r="G87" s="492" t="str">
        <f t="shared" si="23"/>
        <v>Mail-by-Request</v>
      </c>
      <c r="H87" s="492" t="str">
        <f t="shared" si="23"/>
        <v>1_75</v>
      </c>
      <c r="I87" s="492" t="str">
        <f t="shared" si="23"/>
        <v>Gas Water Heating</v>
      </c>
      <c r="J87" s="492" t="str">
        <f t="shared" si="24"/>
        <v>Commercial Showerhead Replacement_1_75gpm_Commercial - Employee Shower_ Gas Water Heating_Mail-by-Request</v>
      </c>
      <c r="K87" s="493">
        <f>INDEX(InstallRatesCostAndLifetime!$A$2:$D$6,MATCH(InputForProCost!G87,InstallRatesCostAndLifetime!$A$2:$A$6,0),MATCH(InputForProCost!H87,InstallRatesCostAndLifetime!$A$2:$D$2,0))</f>
        <v>0.6</v>
      </c>
      <c r="L87" s="493">
        <f t="shared" si="25"/>
        <v>0</v>
      </c>
      <c r="M87" s="492"/>
      <c r="N87" s="492" t="str">
        <f t="shared" si="26"/>
        <v>Commercial - Employee Shower1_75</v>
      </c>
      <c r="O87" s="494">
        <f>VLOOKUP($N87,Impacts!$F$5:$Z$22,16,FALSE)</f>
        <v>91.689788811366952</v>
      </c>
      <c r="P87" s="494">
        <f>VLOOKUP($N87,Impacts!$F$5:$Z$22,17,FALSE)*K87</f>
        <v>2.7052659018000003</v>
      </c>
      <c r="Q87" s="495">
        <f>VLOOKUP($N87,Impacts!$F$5:$Z$22,19,FALSE)*K87</f>
        <v>2.4534059531778709</v>
      </c>
      <c r="R87" s="496">
        <f>VLOOKUP($N87,Impacts!$F$5:$Z$22,20,FALSE)*K87</f>
        <v>511.39242000000013</v>
      </c>
      <c r="S87" s="497">
        <f>VLOOKUP($N87,Impacts!$F$5:$Z$22,21,FALSE)*K87</f>
        <v>6.7312966869131037</v>
      </c>
      <c r="T87" s="492"/>
      <c r="U87" s="492" t="str">
        <f t="shared" si="27"/>
        <v>Commercial Showerhead Replacement_1_75gpm_Commercial - Employee Shower_ Gas Water Heating_Mail-by-Request</v>
      </c>
      <c r="V87" s="492" t="s">
        <v>440</v>
      </c>
      <c r="W87" s="494">
        <f t="shared" si="28"/>
        <v>0</v>
      </c>
      <c r="X87" s="492">
        <v>10</v>
      </c>
      <c r="Y87" s="498">
        <f t="shared" si="29"/>
        <v>8.1096944444444432</v>
      </c>
      <c r="Z87" s="492"/>
      <c r="AA87" s="499" t="s">
        <v>441</v>
      </c>
      <c r="AB87" s="497">
        <f t="shared" si="30"/>
        <v>6.7312966869131037</v>
      </c>
      <c r="AC87" s="492"/>
      <c r="AD87" s="492"/>
      <c r="AE87" s="492"/>
      <c r="AF87" s="492"/>
      <c r="AG87" s="492"/>
      <c r="AH87" s="492"/>
      <c r="AI87" s="492">
        <f t="shared" si="31"/>
        <v>2.4534059531778709</v>
      </c>
      <c r="AJ87" s="492" t="s">
        <v>442</v>
      </c>
      <c r="AL87" s="283" t="e">
        <f t="shared" ca="1" si="32"/>
        <v>#NAME?</v>
      </c>
    </row>
    <row r="88" spans="1:38" hidden="1">
      <c r="A88" s="492">
        <f t="shared" si="33"/>
        <v>78</v>
      </c>
      <c r="B88" s="492">
        <f t="shared" si="20"/>
        <v>3</v>
      </c>
      <c r="C88" s="492">
        <f t="shared" si="20"/>
        <v>3</v>
      </c>
      <c r="D88" s="492">
        <f t="shared" si="20"/>
        <v>2</v>
      </c>
      <c r="E88" s="492">
        <f t="shared" si="21"/>
        <v>3</v>
      </c>
      <c r="F88" s="492" t="str">
        <f t="shared" si="22"/>
        <v>Commercial - Employee Shower</v>
      </c>
      <c r="G88" s="492" t="str">
        <f t="shared" si="23"/>
        <v>Mail-by-Request</v>
      </c>
      <c r="H88" s="492" t="str">
        <f t="shared" si="23"/>
        <v>1_75</v>
      </c>
      <c r="I88" s="492" t="str">
        <f t="shared" si="23"/>
        <v>Any Water Heating</v>
      </c>
      <c r="J88" s="492" t="str">
        <f t="shared" si="24"/>
        <v>Commercial Showerhead Replacement_1_75gpm_Commercial - Employee Shower_ Any Water Heating_Mail-by-Request</v>
      </c>
      <c r="K88" s="493">
        <f>INDEX(InstallRatesCostAndLifetime!$A$2:$D$6,MATCH(InputForProCost!G88,InstallRatesCostAndLifetime!$A$2:$A$6,0),MATCH(InputForProCost!H88,InstallRatesCostAndLifetime!$A$2:$D$2,0))</f>
        <v>0.6</v>
      </c>
      <c r="L88" s="493">
        <f t="shared" si="25"/>
        <v>0.49</v>
      </c>
      <c r="M88" s="492"/>
      <c r="N88" s="492" t="str">
        <f t="shared" si="26"/>
        <v>Commercial - Employee Shower1_75</v>
      </c>
      <c r="O88" s="494">
        <f>VLOOKUP($N88,Impacts!$F$5:$Z$22,16,FALSE)</f>
        <v>91.689788811366952</v>
      </c>
      <c r="P88" s="494">
        <f>VLOOKUP($N88,Impacts!$F$5:$Z$22,17,FALSE)*K88</f>
        <v>2.7052659018000003</v>
      </c>
      <c r="Q88" s="495">
        <f>VLOOKUP($N88,Impacts!$F$5:$Z$22,19,FALSE)*K88</f>
        <v>2.4534059531778709</v>
      </c>
      <c r="R88" s="496">
        <f>VLOOKUP($N88,Impacts!$F$5:$Z$22,20,FALSE)*K88</f>
        <v>511.39242000000013</v>
      </c>
      <c r="S88" s="497">
        <f>VLOOKUP($N88,Impacts!$F$5:$Z$22,21,FALSE)*K88</f>
        <v>6.7312966869131037</v>
      </c>
      <c r="T88" s="492"/>
      <c r="U88" s="492" t="str">
        <f t="shared" si="27"/>
        <v>Commercial Showerhead Replacement_1_75gpm_Commercial - Employee Shower_ Any Water Heating_Mail-by-Request</v>
      </c>
      <c r="V88" s="492" t="s">
        <v>440</v>
      </c>
      <c r="W88" s="494">
        <f t="shared" si="28"/>
        <v>26.95679791054188</v>
      </c>
      <c r="X88" s="492">
        <v>10</v>
      </c>
      <c r="Y88" s="498">
        <f t="shared" si="29"/>
        <v>8.1096944444444432</v>
      </c>
      <c r="Z88" s="492"/>
      <c r="AA88" s="499" t="s">
        <v>441</v>
      </c>
      <c r="AB88" s="497">
        <f t="shared" si="30"/>
        <v>6.7312966869131037</v>
      </c>
      <c r="AC88" s="492"/>
      <c r="AD88" s="492"/>
      <c r="AE88" s="492"/>
      <c r="AF88" s="492"/>
      <c r="AG88" s="492"/>
      <c r="AH88" s="492"/>
      <c r="AI88" s="492">
        <f t="shared" si="31"/>
        <v>1.2512370361207141</v>
      </c>
      <c r="AJ88" s="492" t="s">
        <v>442</v>
      </c>
      <c r="AL88" s="283" t="e">
        <f t="shared" ca="1" si="32"/>
        <v>#NAME?</v>
      </c>
    </row>
    <row r="89" spans="1:38" hidden="1">
      <c r="A89" s="492">
        <f t="shared" si="33"/>
        <v>79</v>
      </c>
      <c r="B89" s="492">
        <f t="shared" si="20"/>
        <v>3</v>
      </c>
      <c r="C89" s="492">
        <f t="shared" si="20"/>
        <v>3</v>
      </c>
      <c r="D89" s="492">
        <f t="shared" si="20"/>
        <v>3</v>
      </c>
      <c r="E89" s="492">
        <f t="shared" si="21"/>
        <v>1</v>
      </c>
      <c r="F89" s="492" t="str">
        <f t="shared" si="22"/>
        <v>Commercial - Employee Shower</v>
      </c>
      <c r="G89" s="492" t="str">
        <f t="shared" si="23"/>
        <v>Mail-by-Request</v>
      </c>
      <c r="H89" s="492" t="str">
        <f t="shared" si="23"/>
        <v>1_50</v>
      </c>
      <c r="I89" s="492" t="str">
        <f t="shared" si="23"/>
        <v>Electric Water Heating</v>
      </c>
      <c r="J89" s="492" t="str">
        <f t="shared" si="24"/>
        <v>Commercial Showerhead Replacement_1_50gpm_Commercial - Employee Shower_ Electric Water Heating_Mail-by-Request</v>
      </c>
      <c r="K89" s="493">
        <f>INDEX(InstallRatesCostAndLifetime!$A$2:$D$6,MATCH(InputForProCost!G89,InstallRatesCostAndLifetime!$A$2:$A$6,0),MATCH(InputForProCost!H89,InstallRatesCostAndLifetime!$A$2:$D$2,0))</f>
        <v>0.6</v>
      </c>
      <c r="L89" s="493">
        <f t="shared" si="25"/>
        <v>1</v>
      </c>
      <c r="M89" s="492"/>
      <c r="N89" s="492" t="str">
        <f t="shared" si="26"/>
        <v>Commercial - Employee Shower1_50</v>
      </c>
      <c r="O89" s="494">
        <f>VLOOKUP($N89,Impacts!$F$5:$Z$22,16,FALSE)</f>
        <v>151.59240511508943</v>
      </c>
      <c r="P89" s="494">
        <f>VLOOKUP($N89,Impacts!$F$5:$Z$22,17,FALSE)*K89</f>
        <v>4.2081914028000007</v>
      </c>
      <c r="Q89" s="495">
        <f>VLOOKUP($N89,Impacts!$F$5:$Z$22,19,FALSE)*K89</f>
        <v>4.0562609423286711</v>
      </c>
      <c r="R89" s="496">
        <f>VLOOKUP($N89,Impacts!$F$5:$Z$22,20,FALSE)*K89</f>
        <v>795.49932000000013</v>
      </c>
      <c r="S89" s="497">
        <f>VLOOKUP($N89,Impacts!$F$5:$Z$22,21,FALSE)*K89</f>
        <v>10.470905957420383</v>
      </c>
      <c r="T89" s="492"/>
      <c r="U89" s="492" t="str">
        <f t="shared" si="27"/>
        <v>Commercial Showerhead Replacement_1_50gpm_Commercial - Employee Shower_ Electric Water Heating_Mail-by-Request</v>
      </c>
      <c r="V89" s="492" t="s">
        <v>440</v>
      </c>
      <c r="W89" s="494">
        <f t="shared" si="28"/>
        <v>90.955443069053658</v>
      </c>
      <c r="X89" s="492">
        <v>10</v>
      </c>
      <c r="Y89" s="498">
        <f t="shared" si="29"/>
        <v>8.1096944444444432</v>
      </c>
      <c r="Z89" s="492"/>
      <c r="AA89" s="499" t="s">
        <v>441</v>
      </c>
      <c r="AB89" s="497">
        <f t="shared" si="30"/>
        <v>10.470905957420383</v>
      </c>
      <c r="AC89" s="492"/>
      <c r="AD89" s="492"/>
      <c r="AE89" s="492"/>
      <c r="AF89" s="492"/>
      <c r="AG89" s="492"/>
      <c r="AH89" s="492"/>
      <c r="AI89" s="492">
        <f t="shared" si="31"/>
        <v>0</v>
      </c>
      <c r="AJ89" s="492" t="s">
        <v>442</v>
      </c>
      <c r="AL89" s="283" t="e">
        <f t="shared" ca="1" si="32"/>
        <v>#NAME?</v>
      </c>
    </row>
    <row r="90" spans="1:38" hidden="1">
      <c r="A90" s="492">
        <f t="shared" si="33"/>
        <v>80</v>
      </c>
      <c r="B90" s="492">
        <f t="shared" si="20"/>
        <v>3</v>
      </c>
      <c r="C90" s="492">
        <f t="shared" si="20"/>
        <v>3</v>
      </c>
      <c r="D90" s="492">
        <f t="shared" si="20"/>
        <v>3</v>
      </c>
      <c r="E90" s="492">
        <f t="shared" si="21"/>
        <v>2</v>
      </c>
      <c r="F90" s="492" t="str">
        <f t="shared" si="22"/>
        <v>Commercial - Employee Shower</v>
      </c>
      <c r="G90" s="492" t="str">
        <f t="shared" si="23"/>
        <v>Mail-by-Request</v>
      </c>
      <c r="H90" s="492" t="str">
        <f t="shared" si="23"/>
        <v>1_50</v>
      </c>
      <c r="I90" s="492" t="str">
        <f t="shared" si="23"/>
        <v>Gas Water Heating</v>
      </c>
      <c r="J90" s="492" t="str">
        <f t="shared" si="24"/>
        <v>Commercial Showerhead Replacement_1_50gpm_Commercial - Employee Shower_ Gas Water Heating_Mail-by-Request</v>
      </c>
      <c r="K90" s="493">
        <f>INDEX(InstallRatesCostAndLifetime!$A$2:$D$6,MATCH(InputForProCost!G90,InstallRatesCostAndLifetime!$A$2:$A$6,0),MATCH(InputForProCost!H90,InstallRatesCostAndLifetime!$A$2:$D$2,0))</f>
        <v>0.6</v>
      </c>
      <c r="L90" s="493">
        <f t="shared" si="25"/>
        <v>0</v>
      </c>
      <c r="M90" s="492"/>
      <c r="N90" s="492" t="str">
        <f t="shared" si="26"/>
        <v>Commercial - Employee Shower1_50</v>
      </c>
      <c r="O90" s="494">
        <f>VLOOKUP($N90,Impacts!$F$5:$Z$22,16,FALSE)</f>
        <v>151.59240511508943</v>
      </c>
      <c r="P90" s="494">
        <f>VLOOKUP($N90,Impacts!$F$5:$Z$22,17,FALSE)*K90</f>
        <v>4.2081914028000007</v>
      </c>
      <c r="Q90" s="495">
        <f>VLOOKUP($N90,Impacts!$F$5:$Z$22,19,FALSE)*K90</f>
        <v>4.0562609423286711</v>
      </c>
      <c r="R90" s="496">
        <f>VLOOKUP($N90,Impacts!$F$5:$Z$22,20,FALSE)*K90</f>
        <v>795.49932000000013</v>
      </c>
      <c r="S90" s="497">
        <f>VLOOKUP($N90,Impacts!$F$5:$Z$22,21,FALSE)*K90</f>
        <v>10.470905957420383</v>
      </c>
      <c r="T90" s="492"/>
      <c r="U90" s="492" t="str">
        <f t="shared" si="27"/>
        <v>Commercial Showerhead Replacement_1_50gpm_Commercial - Employee Shower_ Gas Water Heating_Mail-by-Request</v>
      </c>
      <c r="V90" s="492" t="s">
        <v>440</v>
      </c>
      <c r="W90" s="494">
        <f t="shared" si="28"/>
        <v>0</v>
      </c>
      <c r="X90" s="492">
        <v>10</v>
      </c>
      <c r="Y90" s="498">
        <f t="shared" si="29"/>
        <v>8.1096944444444432</v>
      </c>
      <c r="Z90" s="492"/>
      <c r="AA90" s="499" t="s">
        <v>441</v>
      </c>
      <c r="AB90" s="497">
        <f t="shared" si="30"/>
        <v>10.470905957420383</v>
      </c>
      <c r="AC90" s="492"/>
      <c r="AD90" s="492"/>
      <c r="AE90" s="492"/>
      <c r="AF90" s="492"/>
      <c r="AG90" s="492"/>
      <c r="AH90" s="492"/>
      <c r="AI90" s="492">
        <f t="shared" si="31"/>
        <v>4.0562609423286711</v>
      </c>
      <c r="AJ90" s="492" t="s">
        <v>442</v>
      </c>
      <c r="AL90" s="283" t="e">
        <f t="shared" ca="1" si="32"/>
        <v>#NAME?</v>
      </c>
    </row>
    <row r="91" spans="1:38" hidden="1">
      <c r="A91" s="492">
        <f t="shared" si="33"/>
        <v>81</v>
      </c>
      <c r="B91" s="492">
        <f t="shared" ref="B91:D110" si="34">CEILING((MOD($A91-1,B$9)+1)/C$9,1)</f>
        <v>3</v>
      </c>
      <c r="C91" s="492">
        <f t="shared" si="34"/>
        <v>3</v>
      </c>
      <c r="D91" s="492">
        <f t="shared" si="34"/>
        <v>3</v>
      </c>
      <c r="E91" s="492">
        <f t="shared" si="21"/>
        <v>3</v>
      </c>
      <c r="F91" s="492" t="str">
        <f t="shared" si="22"/>
        <v>Commercial - Employee Shower</v>
      </c>
      <c r="G91" s="492" t="str">
        <f t="shared" si="23"/>
        <v>Mail-by-Request</v>
      </c>
      <c r="H91" s="492" t="str">
        <f t="shared" si="23"/>
        <v>1_50</v>
      </c>
      <c r="I91" s="492" t="str">
        <f t="shared" si="23"/>
        <v>Any Water Heating</v>
      </c>
      <c r="J91" s="492" t="str">
        <f t="shared" si="24"/>
        <v>Commercial Showerhead Replacement_1_50gpm_Commercial - Employee Shower_ Any Water Heating_Mail-by-Request</v>
      </c>
      <c r="K91" s="493">
        <f>INDEX(InstallRatesCostAndLifetime!$A$2:$D$6,MATCH(InputForProCost!G91,InstallRatesCostAndLifetime!$A$2:$A$6,0),MATCH(InputForProCost!H91,InstallRatesCostAndLifetime!$A$2:$D$2,0))</f>
        <v>0.6</v>
      </c>
      <c r="L91" s="493">
        <f t="shared" si="25"/>
        <v>0.49</v>
      </c>
      <c r="M91" s="492"/>
      <c r="N91" s="492" t="str">
        <f t="shared" si="26"/>
        <v>Commercial - Employee Shower1_50</v>
      </c>
      <c r="O91" s="494">
        <f>VLOOKUP($N91,Impacts!$F$5:$Z$22,16,FALSE)</f>
        <v>151.59240511508943</v>
      </c>
      <c r="P91" s="494">
        <f>VLOOKUP($N91,Impacts!$F$5:$Z$22,17,FALSE)*K91</f>
        <v>4.2081914028000007</v>
      </c>
      <c r="Q91" s="495">
        <f>VLOOKUP($N91,Impacts!$F$5:$Z$22,19,FALSE)*K91</f>
        <v>4.0562609423286711</v>
      </c>
      <c r="R91" s="496">
        <f>VLOOKUP($N91,Impacts!$F$5:$Z$22,20,FALSE)*K91</f>
        <v>795.49932000000013</v>
      </c>
      <c r="S91" s="497">
        <f>VLOOKUP($N91,Impacts!$F$5:$Z$22,21,FALSE)*K91</f>
        <v>10.470905957420383</v>
      </c>
      <c r="T91" s="492"/>
      <c r="U91" s="492" t="str">
        <f t="shared" si="27"/>
        <v>Commercial Showerhead Replacement_1_50gpm_Commercial - Employee Shower_ Any Water Heating_Mail-by-Request</v>
      </c>
      <c r="V91" s="492" t="s">
        <v>440</v>
      </c>
      <c r="W91" s="494">
        <f t="shared" si="28"/>
        <v>44.568167103836295</v>
      </c>
      <c r="X91" s="492">
        <v>10</v>
      </c>
      <c r="Y91" s="498">
        <f t="shared" si="29"/>
        <v>8.1096944444444432</v>
      </c>
      <c r="Z91" s="492"/>
      <c r="AA91" s="499" t="s">
        <v>441</v>
      </c>
      <c r="AB91" s="497">
        <f t="shared" si="30"/>
        <v>10.470905957420383</v>
      </c>
      <c r="AC91" s="492"/>
      <c r="AD91" s="492"/>
      <c r="AE91" s="492"/>
      <c r="AF91" s="492"/>
      <c r="AG91" s="492"/>
      <c r="AH91" s="492"/>
      <c r="AI91" s="492">
        <f t="shared" si="31"/>
        <v>2.0686930805876225</v>
      </c>
      <c r="AJ91" s="492" t="s">
        <v>442</v>
      </c>
      <c r="AL91" s="283" t="e">
        <f t="shared" ca="1" si="32"/>
        <v>#NAME?</v>
      </c>
    </row>
    <row r="92" spans="1:38" hidden="1">
      <c r="A92" s="492">
        <f t="shared" si="33"/>
        <v>82</v>
      </c>
      <c r="B92" s="492">
        <f t="shared" si="34"/>
        <v>4</v>
      </c>
      <c r="C92" s="492">
        <f t="shared" si="34"/>
        <v>1</v>
      </c>
      <c r="D92" s="492">
        <f t="shared" si="34"/>
        <v>1</v>
      </c>
      <c r="E92" s="492">
        <f t="shared" si="21"/>
        <v>1</v>
      </c>
      <c r="F92" s="492" t="str">
        <f t="shared" si="22"/>
        <v>School</v>
      </c>
      <c r="G92" s="492" t="str">
        <f t="shared" si="23"/>
        <v>Retail</v>
      </c>
      <c r="H92" s="492" t="str">
        <f t="shared" si="23"/>
        <v>2_00</v>
      </c>
      <c r="I92" s="492" t="str">
        <f t="shared" si="23"/>
        <v>Electric Water Heating</v>
      </c>
      <c r="J92" s="492" t="str">
        <f t="shared" si="24"/>
        <v>Commercial Showerhead Replacement_2_00gpm_School_ Electric Water Heating_Retail</v>
      </c>
      <c r="K92" s="493">
        <f>INDEX(InstallRatesCostAndLifetime!$A$2:$D$6,MATCH(InputForProCost!G92,InstallRatesCostAndLifetime!$A$2:$A$6,0),MATCH(InputForProCost!H92,InstallRatesCostAndLifetime!$A$2:$D$2,0))</f>
        <v>0.8</v>
      </c>
      <c r="L92" s="493">
        <f t="shared" si="25"/>
        <v>1</v>
      </c>
      <c r="M92" s="492"/>
      <c r="N92" s="492" t="str">
        <f t="shared" si="26"/>
        <v>School2_00</v>
      </c>
      <c r="O92" s="494">
        <f>VLOOKUP($N92,Impacts!$F$5:$Z$22,16,FALSE)</f>
        <v>93.325572524948825</v>
      </c>
      <c r="P92" s="494">
        <f>VLOOKUP($N92,Impacts!$F$5:$Z$22,17,FALSE)*K92</f>
        <v>3.482794258373207</v>
      </c>
      <c r="Q92" s="495">
        <f>VLOOKUP($N92,Impacts!$F$5:$Z$22,19,FALSE)*K92</f>
        <v>3.3295676386602908</v>
      </c>
      <c r="R92" s="496">
        <f>VLOOKUP($N92,Impacts!$F$5:$Z$22,20,FALSE)*K92</f>
        <v>658.37320574162698</v>
      </c>
      <c r="S92" s="497">
        <f>VLOOKUP($N92,Impacts!$F$5:$Z$22,21,FALSE)*K92</f>
        <v>8.6659582841704452</v>
      </c>
      <c r="T92" s="492"/>
      <c r="U92" s="492" t="str">
        <f t="shared" si="27"/>
        <v>Commercial Showerhead Replacement_2_00gpm_School_ Electric Water Heating_Retail</v>
      </c>
      <c r="V92" s="492" t="s">
        <v>440</v>
      </c>
      <c r="W92" s="494">
        <f t="shared" si="28"/>
        <v>74.660458019959066</v>
      </c>
      <c r="X92" s="492">
        <v>10</v>
      </c>
      <c r="Y92" s="498">
        <f t="shared" si="29"/>
        <v>3.2966774171383419</v>
      </c>
      <c r="Z92" s="492"/>
      <c r="AA92" s="499" t="s">
        <v>441</v>
      </c>
      <c r="AB92" s="497">
        <f t="shared" si="30"/>
        <v>8.6659582841704452</v>
      </c>
      <c r="AC92" s="492"/>
      <c r="AD92" s="492"/>
      <c r="AE92" s="492"/>
      <c r="AF92" s="492"/>
      <c r="AG92" s="492"/>
      <c r="AH92" s="492"/>
      <c r="AI92" s="492">
        <f t="shared" si="31"/>
        <v>0</v>
      </c>
      <c r="AJ92" s="492" t="s">
        <v>442</v>
      </c>
      <c r="AL92" s="283" t="e">
        <f t="shared" ca="1" si="32"/>
        <v>#NAME?</v>
      </c>
    </row>
    <row r="93" spans="1:38" hidden="1">
      <c r="A93" s="492">
        <f t="shared" si="33"/>
        <v>83</v>
      </c>
      <c r="B93" s="492">
        <f t="shared" si="34"/>
        <v>4</v>
      </c>
      <c r="C93" s="492">
        <f t="shared" si="34"/>
        <v>1</v>
      </c>
      <c r="D93" s="492">
        <f t="shared" si="34"/>
        <v>1</v>
      </c>
      <c r="E93" s="492">
        <f t="shared" si="21"/>
        <v>2</v>
      </c>
      <c r="F93" s="492" t="str">
        <f t="shared" si="22"/>
        <v>School</v>
      </c>
      <c r="G93" s="492" t="str">
        <f t="shared" si="23"/>
        <v>Retail</v>
      </c>
      <c r="H93" s="492" t="str">
        <f t="shared" si="23"/>
        <v>2_00</v>
      </c>
      <c r="I93" s="492" t="str">
        <f t="shared" si="23"/>
        <v>Gas Water Heating</v>
      </c>
      <c r="J93" s="492" t="str">
        <f t="shared" si="24"/>
        <v>Commercial Showerhead Replacement_2_00gpm_School_ Gas Water Heating_Retail</v>
      </c>
      <c r="K93" s="493">
        <f>INDEX(InstallRatesCostAndLifetime!$A$2:$D$6,MATCH(InputForProCost!G93,InstallRatesCostAndLifetime!$A$2:$A$6,0),MATCH(InputForProCost!H93,InstallRatesCostAndLifetime!$A$2:$D$2,0))</f>
        <v>0.8</v>
      </c>
      <c r="L93" s="493">
        <f t="shared" si="25"/>
        <v>0</v>
      </c>
      <c r="M93" s="492"/>
      <c r="N93" s="492" t="str">
        <f t="shared" si="26"/>
        <v>School2_00</v>
      </c>
      <c r="O93" s="494">
        <f>VLOOKUP($N93,Impacts!$F$5:$Z$22,16,FALSE)</f>
        <v>93.325572524948825</v>
      </c>
      <c r="P93" s="494">
        <f>VLOOKUP($N93,Impacts!$F$5:$Z$22,17,FALSE)*K93</f>
        <v>3.482794258373207</v>
      </c>
      <c r="Q93" s="495">
        <f>VLOOKUP($N93,Impacts!$F$5:$Z$22,19,FALSE)*K93</f>
        <v>3.3295676386602908</v>
      </c>
      <c r="R93" s="496">
        <f>VLOOKUP($N93,Impacts!$F$5:$Z$22,20,FALSE)*K93</f>
        <v>658.37320574162698</v>
      </c>
      <c r="S93" s="497">
        <f>VLOOKUP($N93,Impacts!$F$5:$Z$22,21,FALSE)*K93</f>
        <v>8.6659582841704452</v>
      </c>
      <c r="T93" s="492"/>
      <c r="U93" s="492" t="str">
        <f t="shared" si="27"/>
        <v>Commercial Showerhead Replacement_2_00gpm_School_ Gas Water Heating_Retail</v>
      </c>
      <c r="V93" s="492" t="s">
        <v>440</v>
      </c>
      <c r="W93" s="494">
        <f t="shared" si="28"/>
        <v>0</v>
      </c>
      <c r="X93" s="492">
        <v>10</v>
      </c>
      <c r="Y93" s="498">
        <f t="shared" si="29"/>
        <v>3.2966774171383419</v>
      </c>
      <c r="Z93" s="492"/>
      <c r="AA93" s="499" t="s">
        <v>441</v>
      </c>
      <c r="AB93" s="497">
        <f t="shared" si="30"/>
        <v>8.6659582841704452</v>
      </c>
      <c r="AC93" s="492"/>
      <c r="AD93" s="492"/>
      <c r="AE93" s="492"/>
      <c r="AF93" s="492"/>
      <c r="AG93" s="492"/>
      <c r="AH93" s="492"/>
      <c r="AI93" s="492">
        <f t="shared" si="31"/>
        <v>3.3295676386602908</v>
      </c>
      <c r="AJ93" s="492" t="s">
        <v>442</v>
      </c>
      <c r="AL93" s="283" t="e">
        <f t="shared" ca="1" si="32"/>
        <v>#NAME?</v>
      </c>
    </row>
    <row r="94" spans="1:38" hidden="1">
      <c r="A94" s="492">
        <f t="shared" si="33"/>
        <v>84</v>
      </c>
      <c r="B94" s="492">
        <f t="shared" si="34"/>
        <v>4</v>
      </c>
      <c r="C94" s="492">
        <f t="shared" si="34"/>
        <v>1</v>
      </c>
      <c r="D94" s="492">
        <f t="shared" si="34"/>
        <v>1</v>
      </c>
      <c r="E94" s="492">
        <f t="shared" si="21"/>
        <v>3</v>
      </c>
      <c r="F94" s="492" t="str">
        <f t="shared" si="22"/>
        <v>School</v>
      </c>
      <c r="G94" s="492" t="str">
        <f t="shared" si="23"/>
        <v>Retail</v>
      </c>
      <c r="H94" s="492" t="str">
        <f t="shared" si="23"/>
        <v>2_00</v>
      </c>
      <c r="I94" s="492" t="str">
        <f t="shared" si="23"/>
        <v>Any Water Heating</v>
      </c>
      <c r="J94" s="492" t="str">
        <f t="shared" si="24"/>
        <v>Commercial Showerhead Replacement_2_00gpm_School_ Any Water Heating_Retail</v>
      </c>
      <c r="K94" s="493">
        <f>INDEX(InstallRatesCostAndLifetime!$A$2:$D$6,MATCH(InputForProCost!G94,InstallRatesCostAndLifetime!$A$2:$A$6,0),MATCH(InputForProCost!H94,InstallRatesCostAndLifetime!$A$2:$D$2,0))</f>
        <v>0.8</v>
      </c>
      <c r="L94" s="493">
        <f t="shared" si="25"/>
        <v>0.12</v>
      </c>
      <c r="M94" s="492"/>
      <c r="N94" s="492" t="str">
        <f t="shared" si="26"/>
        <v>School2_00</v>
      </c>
      <c r="O94" s="494">
        <f>VLOOKUP($N94,Impacts!$F$5:$Z$22,16,FALSE)</f>
        <v>93.325572524948825</v>
      </c>
      <c r="P94" s="494">
        <f>VLOOKUP($N94,Impacts!$F$5:$Z$22,17,FALSE)*K94</f>
        <v>3.482794258373207</v>
      </c>
      <c r="Q94" s="495">
        <f>VLOOKUP($N94,Impacts!$F$5:$Z$22,19,FALSE)*K94</f>
        <v>3.3295676386602908</v>
      </c>
      <c r="R94" s="496">
        <f>VLOOKUP($N94,Impacts!$F$5:$Z$22,20,FALSE)*K94</f>
        <v>658.37320574162698</v>
      </c>
      <c r="S94" s="497">
        <f>VLOOKUP($N94,Impacts!$F$5:$Z$22,21,FALSE)*K94</f>
        <v>8.6659582841704452</v>
      </c>
      <c r="T94" s="492"/>
      <c r="U94" s="492" t="str">
        <f t="shared" si="27"/>
        <v>Commercial Showerhead Replacement_2_00gpm_School_ Any Water Heating_Retail</v>
      </c>
      <c r="V94" s="492" t="s">
        <v>440</v>
      </c>
      <c r="W94" s="494">
        <f t="shared" si="28"/>
        <v>8.9592549623950877</v>
      </c>
      <c r="X94" s="492">
        <v>10</v>
      </c>
      <c r="Y94" s="498">
        <f t="shared" si="29"/>
        <v>3.2966774171383419</v>
      </c>
      <c r="Z94" s="492"/>
      <c r="AA94" s="499" t="s">
        <v>441</v>
      </c>
      <c r="AB94" s="497">
        <f t="shared" si="30"/>
        <v>8.6659582841704452</v>
      </c>
      <c r="AC94" s="492"/>
      <c r="AD94" s="492"/>
      <c r="AE94" s="492"/>
      <c r="AF94" s="492"/>
      <c r="AG94" s="492"/>
      <c r="AH94" s="492"/>
      <c r="AI94" s="492">
        <f t="shared" si="31"/>
        <v>2.9300195220210559</v>
      </c>
      <c r="AJ94" s="492" t="s">
        <v>442</v>
      </c>
      <c r="AL94" s="283" t="e">
        <f t="shared" ca="1" si="32"/>
        <v>#NAME?</v>
      </c>
    </row>
    <row r="95" spans="1:38" hidden="1">
      <c r="A95" s="492">
        <f t="shared" si="33"/>
        <v>85</v>
      </c>
      <c r="B95" s="492">
        <f t="shared" si="34"/>
        <v>4</v>
      </c>
      <c r="C95" s="492">
        <f t="shared" si="34"/>
        <v>1</v>
      </c>
      <c r="D95" s="492">
        <f t="shared" si="34"/>
        <v>2</v>
      </c>
      <c r="E95" s="492">
        <f t="shared" si="21"/>
        <v>1</v>
      </c>
      <c r="F95" s="492" t="str">
        <f t="shared" si="22"/>
        <v>School</v>
      </c>
      <c r="G95" s="492" t="str">
        <f t="shared" si="23"/>
        <v>Retail</v>
      </c>
      <c r="H95" s="492" t="str">
        <f t="shared" si="23"/>
        <v>1_75</v>
      </c>
      <c r="I95" s="492" t="str">
        <f t="shared" si="23"/>
        <v>Electric Water Heating</v>
      </c>
      <c r="J95" s="492" t="str">
        <f t="shared" si="24"/>
        <v>Commercial Showerhead Replacement_1_75gpm_School_ Electric Water Heating_Retail</v>
      </c>
      <c r="K95" s="493">
        <f>INDEX(InstallRatesCostAndLifetime!$A$2:$D$6,MATCH(InputForProCost!G95,InstallRatesCostAndLifetime!$A$2:$A$6,0),MATCH(InputForProCost!H95,InstallRatesCostAndLifetime!$A$2:$D$2,0))</f>
        <v>0.75</v>
      </c>
      <c r="L95" s="493">
        <f t="shared" si="25"/>
        <v>1</v>
      </c>
      <c r="M95" s="492"/>
      <c r="N95" s="492" t="str">
        <f t="shared" si="26"/>
        <v>School1_75</v>
      </c>
      <c r="O95" s="494">
        <f>VLOOKUP($N95,Impacts!$F$5:$Z$22,16,FALSE)</f>
        <v>99.598459121228416</v>
      </c>
      <c r="P95" s="494">
        <f>VLOOKUP($N95,Impacts!$F$5:$Z$22,17,FALSE)*K95</f>
        <v>3.6732595693779908</v>
      </c>
      <c r="Q95" s="495">
        <f>VLOOKUP($N95,Impacts!$F$5:$Z$22,19,FALSE)*K95</f>
        <v>3.3312795200956931</v>
      </c>
      <c r="R95" s="496">
        <f>VLOOKUP($N95,Impacts!$F$5:$Z$22,20,FALSE)*K95</f>
        <v>694.37799043062205</v>
      </c>
      <c r="S95" s="497">
        <f>VLOOKUP($N95,Impacts!$F$5:$Z$22,21,FALSE)*K95</f>
        <v>9.1398778778360139</v>
      </c>
      <c r="T95" s="492"/>
      <c r="U95" s="492" t="str">
        <f t="shared" si="27"/>
        <v>Commercial Showerhead Replacement_1_75gpm_School_ Electric Water Heating_Retail</v>
      </c>
      <c r="V95" s="492" t="s">
        <v>440</v>
      </c>
      <c r="W95" s="494">
        <f t="shared" si="28"/>
        <v>74.698844340921312</v>
      </c>
      <c r="X95" s="492">
        <v>10</v>
      </c>
      <c r="Y95" s="498">
        <f t="shared" si="29"/>
        <v>3.2966774171383419</v>
      </c>
      <c r="Z95" s="492"/>
      <c r="AA95" s="499" t="s">
        <v>441</v>
      </c>
      <c r="AB95" s="497">
        <f t="shared" si="30"/>
        <v>9.1398778778360139</v>
      </c>
      <c r="AC95" s="492"/>
      <c r="AD95" s="492"/>
      <c r="AE95" s="492"/>
      <c r="AF95" s="492"/>
      <c r="AG95" s="492"/>
      <c r="AH95" s="492"/>
      <c r="AI95" s="492">
        <f t="shared" si="31"/>
        <v>0</v>
      </c>
      <c r="AJ95" s="492" t="s">
        <v>442</v>
      </c>
      <c r="AL95" s="283" t="e">
        <f t="shared" ca="1" si="32"/>
        <v>#NAME?</v>
      </c>
    </row>
    <row r="96" spans="1:38" hidden="1">
      <c r="A96" s="492">
        <f t="shared" si="33"/>
        <v>86</v>
      </c>
      <c r="B96" s="492">
        <f t="shared" si="34"/>
        <v>4</v>
      </c>
      <c r="C96" s="492">
        <f t="shared" si="34"/>
        <v>1</v>
      </c>
      <c r="D96" s="492">
        <f t="shared" si="34"/>
        <v>2</v>
      </c>
      <c r="E96" s="492">
        <f t="shared" si="21"/>
        <v>2</v>
      </c>
      <c r="F96" s="492" t="str">
        <f t="shared" si="22"/>
        <v>School</v>
      </c>
      <c r="G96" s="492" t="str">
        <f t="shared" si="23"/>
        <v>Retail</v>
      </c>
      <c r="H96" s="492" t="str">
        <f t="shared" si="23"/>
        <v>1_75</v>
      </c>
      <c r="I96" s="492" t="str">
        <f t="shared" si="23"/>
        <v>Gas Water Heating</v>
      </c>
      <c r="J96" s="492" t="str">
        <f t="shared" si="24"/>
        <v>Commercial Showerhead Replacement_1_75gpm_School_ Gas Water Heating_Retail</v>
      </c>
      <c r="K96" s="493">
        <f>INDEX(InstallRatesCostAndLifetime!$A$2:$D$6,MATCH(InputForProCost!G96,InstallRatesCostAndLifetime!$A$2:$A$6,0),MATCH(InputForProCost!H96,InstallRatesCostAndLifetime!$A$2:$D$2,0))</f>
        <v>0.75</v>
      </c>
      <c r="L96" s="493">
        <f t="shared" si="25"/>
        <v>0</v>
      </c>
      <c r="M96" s="492"/>
      <c r="N96" s="492" t="str">
        <f t="shared" si="26"/>
        <v>School1_75</v>
      </c>
      <c r="O96" s="494">
        <f>VLOOKUP($N96,Impacts!$F$5:$Z$22,16,FALSE)</f>
        <v>99.598459121228416</v>
      </c>
      <c r="P96" s="494">
        <f>VLOOKUP($N96,Impacts!$F$5:$Z$22,17,FALSE)*K96</f>
        <v>3.6732595693779908</v>
      </c>
      <c r="Q96" s="495">
        <f>VLOOKUP($N96,Impacts!$F$5:$Z$22,19,FALSE)*K96</f>
        <v>3.3312795200956931</v>
      </c>
      <c r="R96" s="496">
        <f>VLOOKUP($N96,Impacts!$F$5:$Z$22,20,FALSE)*K96</f>
        <v>694.37799043062205</v>
      </c>
      <c r="S96" s="497">
        <f>VLOOKUP($N96,Impacts!$F$5:$Z$22,21,FALSE)*K96</f>
        <v>9.1398778778360139</v>
      </c>
      <c r="T96" s="492"/>
      <c r="U96" s="492" t="str">
        <f t="shared" si="27"/>
        <v>Commercial Showerhead Replacement_1_75gpm_School_ Gas Water Heating_Retail</v>
      </c>
      <c r="V96" s="492" t="s">
        <v>440</v>
      </c>
      <c r="W96" s="494">
        <f t="shared" si="28"/>
        <v>0</v>
      </c>
      <c r="X96" s="492">
        <v>10</v>
      </c>
      <c r="Y96" s="498">
        <f t="shared" si="29"/>
        <v>3.2966774171383419</v>
      </c>
      <c r="Z96" s="492"/>
      <c r="AA96" s="499" t="s">
        <v>441</v>
      </c>
      <c r="AB96" s="497">
        <f t="shared" si="30"/>
        <v>9.1398778778360139</v>
      </c>
      <c r="AC96" s="492"/>
      <c r="AD96" s="492"/>
      <c r="AE96" s="492"/>
      <c r="AF96" s="492"/>
      <c r="AG96" s="492"/>
      <c r="AH96" s="492"/>
      <c r="AI96" s="492">
        <f t="shared" si="31"/>
        <v>3.3312795200956931</v>
      </c>
      <c r="AJ96" s="492" t="s">
        <v>442</v>
      </c>
      <c r="AL96" s="283" t="e">
        <f t="shared" ca="1" si="32"/>
        <v>#NAME?</v>
      </c>
    </row>
    <row r="97" spans="1:38" hidden="1">
      <c r="A97" s="492">
        <f t="shared" si="33"/>
        <v>87</v>
      </c>
      <c r="B97" s="492">
        <f t="shared" si="34"/>
        <v>4</v>
      </c>
      <c r="C97" s="492">
        <f t="shared" si="34"/>
        <v>1</v>
      </c>
      <c r="D97" s="492">
        <f t="shared" si="34"/>
        <v>2</v>
      </c>
      <c r="E97" s="492">
        <f t="shared" si="21"/>
        <v>3</v>
      </c>
      <c r="F97" s="492" t="str">
        <f t="shared" si="22"/>
        <v>School</v>
      </c>
      <c r="G97" s="492" t="str">
        <f t="shared" si="23"/>
        <v>Retail</v>
      </c>
      <c r="H97" s="492" t="str">
        <f t="shared" si="23"/>
        <v>1_75</v>
      </c>
      <c r="I97" s="492" t="str">
        <f t="shared" si="23"/>
        <v>Any Water Heating</v>
      </c>
      <c r="J97" s="492" t="str">
        <f t="shared" si="24"/>
        <v>Commercial Showerhead Replacement_1_75gpm_School_ Any Water Heating_Retail</v>
      </c>
      <c r="K97" s="493">
        <f>INDEX(InstallRatesCostAndLifetime!$A$2:$D$6,MATCH(InputForProCost!G97,InstallRatesCostAndLifetime!$A$2:$A$6,0),MATCH(InputForProCost!H97,InstallRatesCostAndLifetime!$A$2:$D$2,0))</f>
        <v>0.75</v>
      </c>
      <c r="L97" s="493">
        <f t="shared" si="25"/>
        <v>0.12</v>
      </c>
      <c r="M97" s="492"/>
      <c r="N97" s="492" t="str">
        <f t="shared" si="26"/>
        <v>School1_75</v>
      </c>
      <c r="O97" s="494">
        <f>VLOOKUP($N97,Impacts!$F$5:$Z$22,16,FALSE)</f>
        <v>99.598459121228416</v>
      </c>
      <c r="P97" s="494">
        <f>VLOOKUP($N97,Impacts!$F$5:$Z$22,17,FALSE)*K97</f>
        <v>3.6732595693779908</v>
      </c>
      <c r="Q97" s="495">
        <f>VLOOKUP($N97,Impacts!$F$5:$Z$22,19,FALSE)*K97</f>
        <v>3.3312795200956931</v>
      </c>
      <c r="R97" s="496">
        <f>VLOOKUP($N97,Impacts!$F$5:$Z$22,20,FALSE)*K97</f>
        <v>694.37799043062205</v>
      </c>
      <c r="S97" s="497">
        <f>VLOOKUP($N97,Impacts!$F$5:$Z$22,21,FALSE)*K97</f>
        <v>9.1398778778360139</v>
      </c>
      <c r="T97" s="492"/>
      <c r="U97" s="492" t="str">
        <f t="shared" si="27"/>
        <v>Commercial Showerhead Replacement_1_75gpm_School_ Any Water Heating_Retail</v>
      </c>
      <c r="V97" s="492" t="s">
        <v>440</v>
      </c>
      <c r="W97" s="494">
        <f t="shared" si="28"/>
        <v>8.9638613209105564</v>
      </c>
      <c r="X97" s="492">
        <v>10</v>
      </c>
      <c r="Y97" s="498">
        <f t="shared" si="29"/>
        <v>3.2966774171383419</v>
      </c>
      <c r="Z97" s="492"/>
      <c r="AA97" s="499" t="s">
        <v>441</v>
      </c>
      <c r="AB97" s="497">
        <f t="shared" si="30"/>
        <v>9.1398778778360139</v>
      </c>
      <c r="AC97" s="492"/>
      <c r="AD97" s="492"/>
      <c r="AE97" s="492"/>
      <c r="AF97" s="492"/>
      <c r="AG97" s="492"/>
      <c r="AH97" s="492"/>
      <c r="AI97" s="492">
        <f t="shared" si="31"/>
        <v>2.9315259776842097</v>
      </c>
      <c r="AJ97" s="492" t="s">
        <v>442</v>
      </c>
      <c r="AL97" s="283" t="e">
        <f t="shared" ca="1" si="32"/>
        <v>#NAME?</v>
      </c>
    </row>
    <row r="98" spans="1:38" hidden="1">
      <c r="A98" s="492">
        <f t="shared" si="33"/>
        <v>88</v>
      </c>
      <c r="B98" s="492">
        <f t="shared" si="34"/>
        <v>4</v>
      </c>
      <c r="C98" s="492">
        <f t="shared" si="34"/>
        <v>1</v>
      </c>
      <c r="D98" s="492">
        <f t="shared" si="34"/>
        <v>3</v>
      </c>
      <c r="E98" s="492">
        <f t="shared" si="21"/>
        <v>1</v>
      </c>
      <c r="F98" s="492" t="str">
        <f t="shared" si="22"/>
        <v>School</v>
      </c>
      <c r="G98" s="492" t="str">
        <f t="shared" si="23"/>
        <v>Retail</v>
      </c>
      <c r="H98" s="492" t="str">
        <f t="shared" si="23"/>
        <v>1_50</v>
      </c>
      <c r="I98" s="492" t="str">
        <f t="shared" si="23"/>
        <v>Electric Water Heating</v>
      </c>
      <c r="J98" s="492" t="str">
        <f t="shared" si="24"/>
        <v>Commercial Showerhead Replacement_1_50gpm_School_ Electric Water Heating_Retail</v>
      </c>
      <c r="K98" s="493">
        <f>INDEX(InstallRatesCostAndLifetime!$A$2:$D$6,MATCH(InputForProCost!G98,InstallRatesCostAndLifetime!$A$2:$A$6,0),MATCH(InputForProCost!H98,InstallRatesCostAndLifetime!$A$2:$D$2,0))</f>
        <v>0.7</v>
      </c>
      <c r="L98" s="493">
        <f t="shared" si="25"/>
        <v>1</v>
      </c>
      <c r="M98" s="492"/>
      <c r="N98" s="492" t="str">
        <f t="shared" si="26"/>
        <v>School1_50</v>
      </c>
      <c r="O98" s="494">
        <f>VLOOKUP($N98,Impacts!$F$5:$Z$22,16,FALSE)</f>
        <v>164.66795441099504</v>
      </c>
      <c r="P98" s="494">
        <f>VLOOKUP($N98,Impacts!$F$5:$Z$22,17,FALSE)*K98</f>
        <v>5.3330287081339716</v>
      </c>
      <c r="Q98" s="495">
        <f>VLOOKUP($N98,Impacts!$F$5:$Z$22,19,FALSE)*K98</f>
        <v>5.1404876780861253</v>
      </c>
      <c r="R98" s="496">
        <f>VLOOKUP($N98,Impacts!$F$5:$Z$22,20,FALSE)*K98</f>
        <v>1008.1339712918661</v>
      </c>
      <c r="S98" s="497">
        <f>VLOOKUP($N98,Impacts!$F$5:$Z$22,21,FALSE)*K98</f>
        <v>13.269748622635992</v>
      </c>
      <c r="T98" s="492"/>
      <c r="U98" s="492" t="str">
        <f t="shared" si="27"/>
        <v>Commercial Showerhead Replacement_1_50gpm_School_ Electric Water Heating_Retail</v>
      </c>
      <c r="V98" s="492" t="s">
        <v>440</v>
      </c>
      <c r="W98" s="494">
        <f t="shared" si="28"/>
        <v>115.26756808769652</v>
      </c>
      <c r="X98" s="492">
        <v>10</v>
      </c>
      <c r="Y98" s="498">
        <f t="shared" si="29"/>
        <v>3.2966774171383419</v>
      </c>
      <c r="Z98" s="492"/>
      <c r="AA98" s="499" t="s">
        <v>441</v>
      </c>
      <c r="AB98" s="497">
        <f t="shared" si="30"/>
        <v>13.269748622635992</v>
      </c>
      <c r="AC98" s="492"/>
      <c r="AD98" s="492"/>
      <c r="AE98" s="492"/>
      <c r="AF98" s="492"/>
      <c r="AG98" s="492"/>
      <c r="AH98" s="492"/>
      <c r="AI98" s="492">
        <f t="shared" si="31"/>
        <v>0</v>
      </c>
      <c r="AJ98" s="492" t="s">
        <v>442</v>
      </c>
      <c r="AL98" s="283" t="e">
        <f t="shared" ca="1" si="32"/>
        <v>#NAME?</v>
      </c>
    </row>
    <row r="99" spans="1:38" hidden="1">
      <c r="A99" s="492">
        <f t="shared" si="33"/>
        <v>89</v>
      </c>
      <c r="B99" s="492">
        <f t="shared" si="34"/>
        <v>4</v>
      </c>
      <c r="C99" s="492">
        <f t="shared" si="34"/>
        <v>1</v>
      </c>
      <c r="D99" s="492">
        <f t="shared" si="34"/>
        <v>3</v>
      </c>
      <c r="E99" s="492">
        <f t="shared" si="21"/>
        <v>2</v>
      </c>
      <c r="F99" s="492" t="str">
        <f t="shared" si="22"/>
        <v>School</v>
      </c>
      <c r="G99" s="492" t="str">
        <f t="shared" si="23"/>
        <v>Retail</v>
      </c>
      <c r="H99" s="492" t="str">
        <f t="shared" si="23"/>
        <v>1_50</v>
      </c>
      <c r="I99" s="492" t="str">
        <f t="shared" si="23"/>
        <v>Gas Water Heating</v>
      </c>
      <c r="J99" s="492" t="str">
        <f t="shared" si="24"/>
        <v>Commercial Showerhead Replacement_1_50gpm_School_ Gas Water Heating_Retail</v>
      </c>
      <c r="K99" s="493">
        <f>INDEX(InstallRatesCostAndLifetime!$A$2:$D$6,MATCH(InputForProCost!G99,InstallRatesCostAndLifetime!$A$2:$A$6,0),MATCH(InputForProCost!H99,InstallRatesCostAndLifetime!$A$2:$D$2,0))</f>
        <v>0.7</v>
      </c>
      <c r="L99" s="493">
        <f t="shared" si="25"/>
        <v>0</v>
      </c>
      <c r="M99" s="492"/>
      <c r="N99" s="492" t="str">
        <f t="shared" si="26"/>
        <v>School1_50</v>
      </c>
      <c r="O99" s="494">
        <f>VLOOKUP($N99,Impacts!$F$5:$Z$22,16,FALSE)</f>
        <v>164.66795441099504</v>
      </c>
      <c r="P99" s="494">
        <f>VLOOKUP($N99,Impacts!$F$5:$Z$22,17,FALSE)*K99</f>
        <v>5.3330287081339716</v>
      </c>
      <c r="Q99" s="495">
        <f>VLOOKUP($N99,Impacts!$F$5:$Z$22,19,FALSE)*K99</f>
        <v>5.1404876780861253</v>
      </c>
      <c r="R99" s="496">
        <f>VLOOKUP($N99,Impacts!$F$5:$Z$22,20,FALSE)*K99</f>
        <v>1008.1339712918661</v>
      </c>
      <c r="S99" s="497">
        <f>VLOOKUP($N99,Impacts!$F$5:$Z$22,21,FALSE)*K99</f>
        <v>13.269748622635992</v>
      </c>
      <c r="T99" s="492"/>
      <c r="U99" s="492" t="str">
        <f t="shared" si="27"/>
        <v>Commercial Showerhead Replacement_1_50gpm_School_ Gas Water Heating_Retail</v>
      </c>
      <c r="V99" s="492" t="s">
        <v>440</v>
      </c>
      <c r="W99" s="494">
        <f t="shared" si="28"/>
        <v>0</v>
      </c>
      <c r="X99" s="492">
        <v>10</v>
      </c>
      <c r="Y99" s="498">
        <f t="shared" si="29"/>
        <v>3.2966774171383419</v>
      </c>
      <c r="Z99" s="492"/>
      <c r="AA99" s="499" t="s">
        <v>441</v>
      </c>
      <c r="AB99" s="497">
        <f t="shared" si="30"/>
        <v>13.269748622635992</v>
      </c>
      <c r="AC99" s="492"/>
      <c r="AD99" s="492"/>
      <c r="AE99" s="492"/>
      <c r="AF99" s="492"/>
      <c r="AG99" s="492"/>
      <c r="AH99" s="492"/>
      <c r="AI99" s="492">
        <f t="shared" si="31"/>
        <v>5.1404876780861253</v>
      </c>
      <c r="AJ99" s="492" t="s">
        <v>442</v>
      </c>
      <c r="AL99" s="283" t="e">
        <f t="shared" ca="1" si="32"/>
        <v>#NAME?</v>
      </c>
    </row>
    <row r="100" spans="1:38" hidden="1">
      <c r="A100" s="492">
        <f t="shared" si="33"/>
        <v>90</v>
      </c>
      <c r="B100" s="492">
        <f t="shared" si="34"/>
        <v>4</v>
      </c>
      <c r="C100" s="492">
        <f t="shared" si="34"/>
        <v>1</v>
      </c>
      <c r="D100" s="492">
        <f t="shared" si="34"/>
        <v>3</v>
      </c>
      <c r="E100" s="492">
        <f t="shared" si="21"/>
        <v>3</v>
      </c>
      <c r="F100" s="492" t="str">
        <f t="shared" si="22"/>
        <v>School</v>
      </c>
      <c r="G100" s="492" t="str">
        <f t="shared" si="23"/>
        <v>Retail</v>
      </c>
      <c r="H100" s="492" t="str">
        <f t="shared" si="23"/>
        <v>1_50</v>
      </c>
      <c r="I100" s="492" t="str">
        <f t="shared" si="23"/>
        <v>Any Water Heating</v>
      </c>
      <c r="J100" s="492" t="str">
        <f t="shared" si="24"/>
        <v>Commercial Showerhead Replacement_1_50gpm_School_ Any Water Heating_Retail</v>
      </c>
      <c r="K100" s="493">
        <f>INDEX(InstallRatesCostAndLifetime!$A$2:$D$6,MATCH(InputForProCost!G100,InstallRatesCostAndLifetime!$A$2:$A$6,0),MATCH(InputForProCost!H100,InstallRatesCostAndLifetime!$A$2:$D$2,0))</f>
        <v>0.7</v>
      </c>
      <c r="L100" s="493">
        <f t="shared" si="25"/>
        <v>0.12</v>
      </c>
      <c r="M100" s="492"/>
      <c r="N100" s="492" t="str">
        <f t="shared" si="26"/>
        <v>School1_50</v>
      </c>
      <c r="O100" s="494">
        <f>VLOOKUP($N100,Impacts!$F$5:$Z$22,16,FALSE)</f>
        <v>164.66795441099504</v>
      </c>
      <c r="P100" s="494">
        <f>VLOOKUP($N100,Impacts!$F$5:$Z$22,17,FALSE)*K100</f>
        <v>5.3330287081339716</v>
      </c>
      <c r="Q100" s="495">
        <f>VLOOKUP($N100,Impacts!$F$5:$Z$22,19,FALSE)*K100</f>
        <v>5.1404876780861253</v>
      </c>
      <c r="R100" s="496">
        <f>VLOOKUP($N100,Impacts!$F$5:$Z$22,20,FALSE)*K100</f>
        <v>1008.1339712918661</v>
      </c>
      <c r="S100" s="497">
        <f>VLOOKUP($N100,Impacts!$F$5:$Z$22,21,FALSE)*K100</f>
        <v>13.269748622635992</v>
      </c>
      <c r="T100" s="492"/>
      <c r="U100" s="492" t="str">
        <f t="shared" si="27"/>
        <v>Commercial Showerhead Replacement_1_50gpm_School_ Any Water Heating_Retail</v>
      </c>
      <c r="V100" s="492" t="s">
        <v>440</v>
      </c>
      <c r="W100" s="494">
        <f t="shared" si="28"/>
        <v>13.832108170523583</v>
      </c>
      <c r="X100" s="492">
        <v>10</v>
      </c>
      <c r="Y100" s="498">
        <f t="shared" si="29"/>
        <v>3.2966774171383419</v>
      </c>
      <c r="Z100" s="492"/>
      <c r="AA100" s="499" t="s">
        <v>441</v>
      </c>
      <c r="AB100" s="497">
        <f t="shared" si="30"/>
        <v>13.269748622635992</v>
      </c>
      <c r="AC100" s="492"/>
      <c r="AD100" s="492"/>
      <c r="AE100" s="492"/>
      <c r="AF100" s="492"/>
      <c r="AG100" s="492"/>
      <c r="AH100" s="492"/>
      <c r="AI100" s="492">
        <f t="shared" si="31"/>
        <v>4.5236291567157902</v>
      </c>
      <c r="AJ100" s="492" t="s">
        <v>442</v>
      </c>
      <c r="AL100" s="283" t="e">
        <f t="shared" ca="1" si="32"/>
        <v>#NAME?</v>
      </c>
    </row>
    <row r="101" spans="1:38" hidden="1">
      <c r="A101" s="492">
        <f t="shared" si="33"/>
        <v>91</v>
      </c>
      <c r="B101" s="492">
        <f t="shared" si="34"/>
        <v>4</v>
      </c>
      <c r="C101" s="492">
        <f t="shared" si="34"/>
        <v>2</v>
      </c>
      <c r="D101" s="492">
        <f t="shared" si="34"/>
        <v>1</v>
      </c>
      <c r="E101" s="492">
        <f t="shared" si="21"/>
        <v>1</v>
      </c>
      <c r="F101" s="492" t="str">
        <f t="shared" si="22"/>
        <v>School</v>
      </c>
      <c r="G101" s="492" t="str">
        <f t="shared" si="23"/>
        <v>Direct Install</v>
      </c>
      <c r="H101" s="492" t="str">
        <f t="shared" si="23"/>
        <v>2_00</v>
      </c>
      <c r="I101" s="492" t="str">
        <f t="shared" si="23"/>
        <v>Electric Water Heating</v>
      </c>
      <c r="J101" s="492" t="str">
        <f t="shared" si="24"/>
        <v>Commercial Showerhead Replacement_2_00gpm_School_ Electric Water Heating_Direct Install</v>
      </c>
      <c r="K101" s="493">
        <f>INDEX(InstallRatesCostAndLifetime!$A$2:$D$6,MATCH(InputForProCost!G101,InstallRatesCostAndLifetime!$A$2:$A$6,0),MATCH(InputForProCost!H101,InstallRatesCostAndLifetime!$A$2:$D$2,0))</f>
        <v>0.9</v>
      </c>
      <c r="L101" s="493">
        <f t="shared" si="25"/>
        <v>1</v>
      </c>
      <c r="M101" s="492"/>
      <c r="N101" s="492" t="str">
        <f t="shared" si="26"/>
        <v>School2_00</v>
      </c>
      <c r="O101" s="494">
        <f>VLOOKUP($N101,Impacts!$F$5:$Z$22,16,FALSE)</f>
        <v>93.325572524948825</v>
      </c>
      <c r="P101" s="494">
        <f>VLOOKUP($N101,Impacts!$F$5:$Z$22,17,FALSE)*K101</f>
        <v>3.9181435406698575</v>
      </c>
      <c r="Q101" s="495">
        <f>VLOOKUP($N101,Impacts!$F$5:$Z$22,19,FALSE)*K101</f>
        <v>3.7457635934928271</v>
      </c>
      <c r="R101" s="496">
        <f>VLOOKUP($N101,Impacts!$F$5:$Z$22,20,FALSE)*K101</f>
        <v>740.66985645933039</v>
      </c>
      <c r="S101" s="497">
        <f>VLOOKUP($N101,Impacts!$F$5:$Z$22,21,FALSE)*K101</f>
        <v>9.7492030696917507</v>
      </c>
      <c r="T101" s="492"/>
      <c r="U101" s="492" t="str">
        <f t="shared" si="27"/>
        <v>Commercial Showerhead Replacement_2_00gpm_School_ Electric Water Heating_Direct Install</v>
      </c>
      <c r="V101" s="492" t="s">
        <v>440</v>
      </c>
      <c r="W101" s="494">
        <f t="shared" si="28"/>
        <v>83.993015272453945</v>
      </c>
      <c r="X101" s="492">
        <v>10</v>
      </c>
      <c r="Y101" s="498">
        <f t="shared" si="29"/>
        <v>11.336666666666666</v>
      </c>
      <c r="Z101" s="492"/>
      <c r="AA101" s="499" t="s">
        <v>441</v>
      </c>
      <c r="AB101" s="497">
        <f t="shared" si="30"/>
        <v>9.7492030696917507</v>
      </c>
      <c r="AC101" s="492"/>
      <c r="AD101" s="492"/>
      <c r="AE101" s="492"/>
      <c r="AF101" s="492"/>
      <c r="AG101" s="492"/>
      <c r="AH101" s="492"/>
      <c r="AI101" s="492">
        <f t="shared" si="31"/>
        <v>0</v>
      </c>
      <c r="AJ101" s="492" t="s">
        <v>442</v>
      </c>
      <c r="AL101" s="283" t="e">
        <f t="shared" ca="1" si="32"/>
        <v>#NAME?</v>
      </c>
    </row>
    <row r="102" spans="1:38" hidden="1">
      <c r="A102" s="492">
        <f t="shared" si="33"/>
        <v>92</v>
      </c>
      <c r="B102" s="492">
        <f t="shared" si="34"/>
        <v>4</v>
      </c>
      <c r="C102" s="492">
        <f t="shared" si="34"/>
        <v>2</v>
      </c>
      <c r="D102" s="492">
        <f t="shared" si="34"/>
        <v>1</v>
      </c>
      <c r="E102" s="492">
        <f t="shared" si="21"/>
        <v>2</v>
      </c>
      <c r="F102" s="492" t="str">
        <f t="shared" si="22"/>
        <v>School</v>
      </c>
      <c r="G102" s="492" t="str">
        <f t="shared" si="23"/>
        <v>Direct Install</v>
      </c>
      <c r="H102" s="492" t="str">
        <f t="shared" si="23"/>
        <v>2_00</v>
      </c>
      <c r="I102" s="492" t="str">
        <f t="shared" si="23"/>
        <v>Gas Water Heating</v>
      </c>
      <c r="J102" s="492" t="str">
        <f t="shared" si="24"/>
        <v>Commercial Showerhead Replacement_2_00gpm_School_ Gas Water Heating_Direct Install</v>
      </c>
      <c r="K102" s="493">
        <f>INDEX(InstallRatesCostAndLifetime!$A$2:$D$6,MATCH(InputForProCost!G102,InstallRatesCostAndLifetime!$A$2:$A$6,0),MATCH(InputForProCost!H102,InstallRatesCostAndLifetime!$A$2:$D$2,0))</f>
        <v>0.9</v>
      </c>
      <c r="L102" s="493">
        <f t="shared" si="25"/>
        <v>0</v>
      </c>
      <c r="M102" s="492"/>
      <c r="N102" s="492" t="str">
        <f t="shared" si="26"/>
        <v>School2_00</v>
      </c>
      <c r="O102" s="494">
        <f>VLOOKUP($N102,Impacts!$F$5:$Z$22,16,FALSE)</f>
        <v>93.325572524948825</v>
      </c>
      <c r="P102" s="494">
        <f>VLOOKUP($N102,Impacts!$F$5:$Z$22,17,FALSE)*K102</f>
        <v>3.9181435406698575</v>
      </c>
      <c r="Q102" s="495">
        <f>VLOOKUP($N102,Impacts!$F$5:$Z$22,19,FALSE)*K102</f>
        <v>3.7457635934928271</v>
      </c>
      <c r="R102" s="496">
        <f>VLOOKUP($N102,Impacts!$F$5:$Z$22,20,FALSE)*K102</f>
        <v>740.66985645933039</v>
      </c>
      <c r="S102" s="497">
        <f>VLOOKUP($N102,Impacts!$F$5:$Z$22,21,FALSE)*K102</f>
        <v>9.7492030696917507</v>
      </c>
      <c r="T102" s="492"/>
      <c r="U102" s="492" t="str">
        <f t="shared" si="27"/>
        <v>Commercial Showerhead Replacement_2_00gpm_School_ Gas Water Heating_Direct Install</v>
      </c>
      <c r="V102" s="492" t="s">
        <v>440</v>
      </c>
      <c r="W102" s="494">
        <f t="shared" si="28"/>
        <v>0</v>
      </c>
      <c r="X102" s="492">
        <v>10</v>
      </c>
      <c r="Y102" s="498">
        <f t="shared" si="29"/>
        <v>11.336666666666666</v>
      </c>
      <c r="Z102" s="492"/>
      <c r="AA102" s="499" t="s">
        <v>441</v>
      </c>
      <c r="AB102" s="497">
        <f t="shared" si="30"/>
        <v>9.7492030696917507</v>
      </c>
      <c r="AC102" s="492"/>
      <c r="AD102" s="492"/>
      <c r="AE102" s="492"/>
      <c r="AF102" s="492"/>
      <c r="AG102" s="492"/>
      <c r="AH102" s="492"/>
      <c r="AI102" s="492">
        <f t="shared" si="31"/>
        <v>3.7457635934928271</v>
      </c>
      <c r="AJ102" s="492" t="s">
        <v>442</v>
      </c>
      <c r="AL102" s="283" t="e">
        <f t="shared" ca="1" si="32"/>
        <v>#NAME?</v>
      </c>
    </row>
    <row r="103" spans="1:38" hidden="1">
      <c r="A103" s="492">
        <f t="shared" si="33"/>
        <v>93</v>
      </c>
      <c r="B103" s="492">
        <f t="shared" si="34"/>
        <v>4</v>
      </c>
      <c r="C103" s="492">
        <f t="shared" si="34"/>
        <v>2</v>
      </c>
      <c r="D103" s="492">
        <f t="shared" si="34"/>
        <v>1</v>
      </c>
      <c r="E103" s="492">
        <f t="shared" si="21"/>
        <v>3</v>
      </c>
      <c r="F103" s="492" t="str">
        <f t="shared" si="22"/>
        <v>School</v>
      </c>
      <c r="G103" s="492" t="str">
        <f t="shared" si="23"/>
        <v>Direct Install</v>
      </c>
      <c r="H103" s="492" t="str">
        <f t="shared" si="23"/>
        <v>2_00</v>
      </c>
      <c r="I103" s="492" t="str">
        <f t="shared" si="23"/>
        <v>Any Water Heating</v>
      </c>
      <c r="J103" s="492" t="str">
        <f t="shared" si="24"/>
        <v>Commercial Showerhead Replacement_2_00gpm_School_ Any Water Heating_Direct Install</v>
      </c>
      <c r="K103" s="493">
        <f>INDEX(InstallRatesCostAndLifetime!$A$2:$D$6,MATCH(InputForProCost!G103,InstallRatesCostAndLifetime!$A$2:$A$6,0),MATCH(InputForProCost!H103,InstallRatesCostAndLifetime!$A$2:$D$2,0))</f>
        <v>0.9</v>
      </c>
      <c r="L103" s="493">
        <f t="shared" si="25"/>
        <v>0.12</v>
      </c>
      <c r="M103" s="492"/>
      <c r="N103" s="492" t="str">
        <f t="shared" si="26"/>
        <v>School2_00</v>
      </c>
      <c r="O103" s="494">
        <f>VLOOKUP($N103,Impacts!$F$5:$Z$22,16,FALSE)</f>
        <v>93.325572524948825</v>
      </c>
      <c r="P103" s="494">
        <f>VLOOKUP($N103,Impacts!$F$5:$Z$22,17,FALSE)*K103</f>
        <v>3.9181435406698575</v>
      </c>
      <c r="Q103" s="495">
        <f>VLOOKUP($N103,Impacts!$F$5:$Z$22,19,FALSE)*K103</f>
        <v>3.7457635934928271</v>
      </c>
      <c r="R103" s="496">
        <f>VLOOKUP($N103,Impacts!$F$5:$Z$22,20,FALSE)*K103</f>
        <v>740.66985645933039</v>
      </c>
      <c r="S103" s="497">
        <f>VLOOKUP($N103,Impacts!$F$5:$Z$22,21,FALSE)*K103</f>
        <v>9.7492030696917507</v>
      </c>
      <c r="T103" s="492"/>
      <c r="U103" s="492" t="str">
        <f t="shared" si="27"/>
        <v>Commercial Showerhead Replacement_2_00gpm_School_ Any Water Heating_Direct Install</v>
      </c>
      <c r="V103" s="492" t="s">
        <v>440</v>
      </c>
      <c r="W103" s="494">
        <f t="shared" si="28"/>
        <v>10.079161832694474</v>
      </c>
      <c r="X103" s="492">
        <v>10</v>
      </c>
      <c r="Y103" s="498">
        <f t="shared" si="29"/>
        <v>11.336666666666666</v>
      </c>
      <c r="Z103" s="492"/>
      <c r="AA103" s="499" t="s">
        <v>441</v>
      </c>
      <c r="AB103" s="497">
        <f t="shared" si="30"/>
        <v>9.7492030696917507</v>
      </c>
      <c r="AC103" s="492"/>
      <c r="AD103" s="492"/>
      <c r="AE103" s="492"/>
      <c r="AF103" s="492"/>
      <c r="AG103" s="492"/>
      <c r="AH103" s="492"/>
      <c r="AI103" s="492">
        <f t="shared" si="31"/>
        <v>3.2962719622736878</v>
      </c>
      <c r="AJ103" s="492" t="s">
        <v>442</v>
      </c>
      <c r="AL103" s="283" t="e">
        <f t="shared" ca="1" si="32"/>
        <v>#NAME?</v>
      </c>
    </row>
    <row r="104" spans="1:38" hidden="1">
      <c r="A104" s="492">
        <f t="shared" si="33"/>
        <v>94</v>
      </c>
      <c r="B104" s="492">
        <f t="shared" si="34"/>
        <v>4</v>
      </c>
      <c r="C104" s="492">
        <f t="shared" si="34"/>
        <v>2</v>
      </c>
      <c r="D104" s="492">
        <f t="shared" si="34"/>
        <v>2</v>
      </c>
      <c r="E104" s="492">
        <f t="shared" si="21"/>
        <v>1</v>
      </c>
      <c r="F104" s="492" t="str">
        <f t="shared" si="22"/>
        <v>School</v>
      </c>
      <c r="G104" s="492" t="str">
        <f t="shared" si="23"/>
        <v>Direct Install</v>
      </c>
      <c r="H104" s="492" t="str">
        <f t="shared" si="23"/>
        <v>1_75</v>
      </c>
      <c r="I104" s="492" t="str">
        <f t="shared" si="23"/>
        <v>Electric Water Heating</v>
      </c>
      <c r="J104" s="492" t="str">
        <f t="shared" si="24"/>
        <v>Commercial Showerhead Replacement_1_75gpm_School_ Electric Water Heating_Direct Install</v>
      </c>
      <c r="K104" s="493">
        <f>INDEX(InstallRatesCostAndLifetime!$A$2:$D$6,MATCH(InputForProCost!G104,InstallRatesCostAndLifetime!$A$2:$A$6,0),MATCH(InputForProCost!H104,InstallRatesCostAndLifetime!$A$2:$D$2,0))</f>
        <v>0.9</v>
      </c>
      <c r="L104" s="493">
        <f t="shared" si="25"/>
        <v>1</v>
      </c>
      <c r="M104" s="492"/>
      <c r="N104" s="492" t="str">
        <f t="shared" si="26"/>
        <v>School1_75</v>
      </c>
      <c r="O104" s="494">
        <f>VLOOKUP($N104,Impacts!$F$5:$Z$22,16,FALSE)</f>
        <v>99.598459121228416</v>
      </c>
      <c r="P104" s="494">
        <f>VLOOKUP($N104,Impacts!$F$5:$Z$22,17,FALSE)*K104</f>
        <v>4.4079114832535895</v>
      </c>
      <c r="Q104" s="495">
        <f>VLOOKUP($N104,Impacts!$F$5:$Z$22,19,FALSE)*K104</f>
        <v>3.9975354241148318</v>
      </c>
      <c r="R104" s="496">
        <f>VLOOKUP($N104,Impacts!$F$5:$Z$22,20,FALSE)*K104</f>
        <v>833.2535885167465</v>
      </c>
      <c r="S104" s="497">
        <f>VLOOKUP($N104,Impacts!$F$5:$Z$22,21,FALSE)*K104</f>
        <v>10.967853453403217</v>
      </c>
      <c r="T104" s="492"/>
      <c r="U104" s="492" t="str">
        <f t="shared" si="27"/>
        <v>Commercial Showerhead Replacement_1_75gpm_School_ Electric Water Heating_Direct Install</v>
      </c>
      <c r="V104" s="492" t="s">
        <v>440</v>
      </c>
      <c r="W104" s="494">
        <f t="shared" si="28"/>
        <v>89.638613209105571</v>
      </c>
      <c r="X104" s="492">
        <v>10</v>
      </c>
      <c r="Y104" s="498">
        <f t="shared" si="29"/>
        <v>11.336666666666666</v>
      </c>
      <c r="Z104" s="492"/>
      <c r="AA104" s="499" t="s">
        <v>441</v>
      </c>
      <c r="AB104" s="497">
        <f t="shared" si="30"/>
        <v>10.967853453403217</v>
      </c>
      <c r="AC104" s="492"/>
      <c r="AD104" s="492"/>
      <c r="AE104" s="492"/>
      <c r="AF104" s="492"/>
      <c r="AG104" s="492"/>
      <c r="AH104" s="492"/>
      <c r="AI104" s="492">
        <f t="shared" si="31"/>
        <v>0</v>
      </c>
      <c r="AJ104" s="492" t="s">
        <v>442</v>
      </c>
      <c r="AL104" s="283" t="e">
        <f t="shared" ca="1" si="32"/>
        <v>#NAME?</v>
      </c>
    </row>
    <row r="105" spans="1:38" hidden="1">
      <c r="A105" s="492">
        <f t="shared" si="33"/>
        <v>95</v>
      </c>
      <c r="B105" s="492">
        <f t="shared" si="34"/>
        <v>4</v>
      </c>
      <c r="C105" s="492">
        <f t="shared" si="34"/>
        <v>2</v>
      </c>
      <c r="D105" s="492">
        <f t="shared" si="34"/>
        <v>2</v>
      </c>
      <c r="E105" s="492">
        <f t="shared" si="21"/>
        <v>2</v>
      </c>
      <c r="F105" s="492" t="str">
        <f t="shared" si="22"/>
        <v>School</v>
      </c>
      <c r="G105" s="492" t="str">
        <f t="shared" si="23"/>
        <v>Direct Install</v>
      </c>
      <c r="H105" s="492" t="str">
        <f t="shared" si="23"/>
        <v>1_75</v>
      </c>
      <c r="I105" s="492" t="str">
        <f t="shared" si="23"/>
        <v>Gas Water Heating</v>
      </c>
      <c r="J105" s="492" t="str">
        <f t="shared" si="24"/>
        <v>Commercial Showerhead Replacement_1_75gpm_School_ Gas Water Heating_Direct Install</v>
      </c>
      <c r="K105" s="493">
        <f>INDEX(InstallRatesCostAndLifetime!$A$2:$D$6,MATCH(InputForProCost!G105,InstallRatesCostAndLifetime!$A$2:$A$6,0),MATCH(InputForProCost!H105,InstallRatesCostAndLifetime!$A$2:$D$2,0))</f>
        <v>0.9</v>
      </c>
      <c r="L105" s="493">
        <f t="shared" si="25"/>
        <v>0</v>
      </c>
      <c r="M105" s="492"/>
      <c r="N105" s="492" t="str">
        <f t="shared" si="26"/>
        <v>School1_75</v>
      </c>
      <c r="O105" s="494">
        <f>VLOOKUP($N105,Impacts!$F$5:$Z$22,16,FALSE)</f>
        <v>99.598459121228416</v>
      </c>
      <c r="P105" s="494">
        <f>VLOOKUP($N105,Impacts!$F$5:$Z$22,17,FALSE)*K105</f>
        <v>4.4079114832535895</v>
      </c>
      <c r="Q105" s="495">
        <f>VLOOKUP($N105,Impacts!$F$5:$Z$22,19,FALSE)*K105</f>
        <v>3.9975354241148318</v>
      </c>
      <c r="R105" s="496">
        <f>VLOOKUP($N105,Impacts!$F$5:$Z$22,20,FALSE)*K105</f>
        <v>833.2535885167465</v>
      </c>
      <c r="S105" s="497">
        <f>VLOOKUP($N105,Impacts!$F$5:$Z$22,21,FALSE)*K105</f>
        <v>10.967853453403217</v>
      </c>
      <c r="T105" s="492"/>
      <c r="U105" s="492" t="str">
        <f t="shared" si="27"/>
        <v>Commercial Showerhead Replacement_1_75gpm_School_ Gas Water Heating_Direct Install</v>
      </c>
      <c r="V105" s="492" t="s">
        <v>440</v>
      </c>
      <c r="W105" s="494">
        <f t="shared" si="28"/>
        <v>0</v>
      </c>
      <c r="X105" s="492">
        <v>10</v>
      </c>
      <c r="Y105" s="498">
        <f t="shared" si="29"/>
        <v>11.336666666666666</v>
      </c>
      <c r="Z105" s="492"/>
      <c r="AA105" s="499" t="s">
        <v>441</v>
      </c>
      <c r="AB105" s="497">
        <f t="shared" si="30"/>
        <v>10.967853453403217</v>
      </c>
      <c r="AC105" s="492"/>
      <c r="AD105" s="492"/>
      <c r="AE105" s="492"/>
      <c r="AF105" s="492"/>
      <c r="AG105" s="492"/>
      <c r="AH105" s="492"/>
      <c r="AI105" s="492">
        <f t="shared" si="31"/>
        <v>3.9975354241148318</v>
      </c>
      <c r="AJ105" s="492" t="s">
        <v>442</v>
      </c>
      <c r="AL105" s="283" t="e">
        <f t="shared" ca="1" si="32"/>
        <v>#NAME?</v>
      </c>
    </row>
    <row r="106" spans="1:38" hidden="1">
      <c r="A106" s="492">
        <f t="shared" si="33"/>
        <v>96</v>
      </c>
      <c r="B106" s="492">
        <f t="shared" si="34"/>
        <v>4</v>
      </c>
      <c r="C106" s="492">
        <f t="shared" si="34"/>
        <v>2</v>
      </c>
      <c r="D106" s="492">
        <f t="shared" si="34"/>
        <v>2</v>
      </c>
      <c r="E106" s="492">
        <f t="shared" si="21"/>
        <v>3</v>
      </c>
      <c r="F106" s="492" t="str">
        <f t="shared" si="22"/>
        <v>School</v>
      </c>
      <c r="G106" s="492" t="str">
        <f t="shared" si="23"/>
        <v>Direct Install</v>
      </c>
      <c r="H106" s="492" t="str">
        <f t="shared" si="23"/>
        <v>1_75</v>
      </c>
      <c r="I106" s="492" t="str">
        <f t="shared" si="23"/>
        <v>Any Water Heating</v>
      </c>
      <c r="J106" s="492" t="str">
        <f t="shared" si="24"/>
        <v>Commercial Showerhead Replacement_1_75gpm_School_ Any Water Heating_Direct Install</v>
      </c>
      <c r="K106" s="493">
        <f>INDEX(InstallRatesCostAndLifetime!$A$2:$D$6,MATCH(InputForProCost!G106,InstallRatesCostAndLifetime!$A$2:$A$6,0),MATCH(InputForProCost!H106,InstallRatesCostAndLifetime!$A$2:$D$2,0))</f>
        <v>0.9</v>
      </c>
      <c r="L106" s="493">
        <f t="shared" si="25"/>
        <v>0.12</v>
      </c>
      <c r="M106" s="492"/>
      <c r="N106" s="492" t="str">
        <f t="shared" si="26"/>
        <v>School1_75</v>
      </c>
      <c r="O106" s="494">
        <f>VLOOKUP($N106,Impacts!$F$5:$Z$22,16,FALSE)</f>
        <v>99.598459121228416</v>
      </c>
      <c r="P106" s="494">
        <f>VLOOKUP($N106,Impacts!$F$5:$Z$22,17,FALSE)*K106</f>
        <v>4.4079114832535895</v>
      </c>
      <c r="Q106" s="495">
        <f>VLOOKUP($N106,Impacts!$F$5:$Z$22,19,FALSE)*K106</f>
        <v>3.9975354241148318</v>
      </c>
      <c r="R106" s="496">
        <f>VLOOKUP($N106,Impacts!$F$5:$Z$22,20,FALSE)*K106</f>
        <v>833.2535885167465</v>
      </c>
      <c r="S106" s="497">
        <f>VLOOKUP($N106,Impacts!$F$5:$Z$22,21,FALSE)*K106</f>
        <v>10.967853453403217</v>
      </c>
      <c r="T106" s="492"/>
      <c r="U106" s="492" t="str">
        <f t="shared" si="27"/>
        <v>Commercial Showerhead Replacement_1_75gpm_School_ Any Water Heating_Direct Install</v>
      </c>
      <c r="V106" s="492" t="s">
        <v>440</v>
      </c>
      <c r="W106" s="494">
        <f t="shared" si="28"/>
        <v>10.756633585092668</v>
      </c>
      <c r="X106" s="492">
        <v>10</v>
      </c>
      <c r="Y106" s="498">
        <f t="shared" si="29"/>
        <v>11.336666666666666</v>
      </c>
      <c r="Z106" s="492"/>
      <c r="AA106" s="499" t="s">
        <v>441</v>
      </c>
      <c r="AB106" s="497">
        <f t="shared" si="30"/>
        <v>10.967853453403217</v>
      </c>
      <c r="AC106" s="492"/>
      <c r="AD106" s="492"/>
      <c r="AE106" s="492"/>
      <c r="AF106" s="492"/>
      <c r="AG106" s="492"/>
      <c r="AH106" s="492"/>
      <c r="AI106" s="492">
        <f t="shared" si="31"/>
        <v>3.5178311732210519</v>
      </c>
      <c r="AJ106" s="492" t="s">
        <v>442</v>
      </c>
      <c r="AL106" s="283" t="e">
        <f t="shared" ca="1" si="32"/>
        <v>#NAME?</v>
      </c>
    </row>
    <row r="107" spans="1:38" hidden="1">
      <c r="A107" s="492">
        <f t="shared" si="33"/>
        <v>97</v>
      </c>
      <c r="B107" s="492">
        <f t="shared" si="34"/>
        <v>4</v>
      </c>
      <c r="C107" s="492">
        <f t="shared" si="34"/>
        <v>2</v>
      </c>
      <c r="D107" s="492">
        <f t="shared" si="34"/>
        <v>3</v>
      </c>
      <c r="E107" s="492">
        <f t="shared" si="21"/>
        <v>1</v>
      </c>
      <c r="F107" s="492" t="str">
        <f t="shared" si="22"/>
        <v>School</v>
      </c>
      <c r="G107" s="492" t="str">
        <f t="shared" ref="G107:I138" si="35">INDEX(G$1:G$3,C107)</f>
        <v>Direct Install</v>
      </c>
      <c r="H107" s="492" t="str">
        <f t="shared" si="35"/>
        <v>1_50</v>
      </c>
      <c r="I107" s="492" t="str">
        <f t="shared" si="35"/>
        <v>Electric Water Heating</v>
      </c>
      <c r="J107" s="492" t="str">
        <f t="shared" si="24"/>
        <v>Commercial Showerhead Replacement_1_50gpm_School_ Electric Water Heating_Direct Install</v>
      </c>
      <c r="K107" s="493">
        <f>INDEX(InstallRatesCostAndLifetime!$A$2:$D$6,MATCH(InputForProCost!G107,InstallRatesCostAndLifetime!$A$2:$A$6,0),MATCH(InputForProCost!H107,InstallRatesCostAndLifetime!$A$2:$D$2,0))</f>
        <v>0.9</v>
      </c>
      <c r="L107" s="493">
        <f t="shared" ref="L107:L138" si="36">IF(I107="Electric Water Heating",1,IF(I107 = "Gas Water Heating",0,VLOOKUP(F107,table_ElectricSaturation,2,FALSE)))</f>
        <v>1</v>
      </c>
      <c r="M107" s="492"/>
      <c r="N107" s="492" t="str">
        <f t="shared" si="26"/>
        <v>School1_50</v>
      </c>
      <c r="O107" s="494">
        <f>VLOOKUP($N107,Impacts!$F$5:$Z$22,16,FALSE)</f>
        <v>164.66795441099504</v>
      </c>
      <c r="P107" s="494">
        <f>VLOOKUP($N107,Impacts!$F$5:$Z$22,17,FALSE)*K107</f>
        <v>6.85675119617225</v>
      </c>
      <c r="Q107" s="495">
        <f>VLOOKUP($N107,Impacts!$F$5:$Z$22,19,FALSE)*K107</f>
        <v>6.6091984432535904</v>
      </c>
      <c r="R107" s="496">
        <f>VLOOKUP($N107,Impacts!$F$5:$Z$22,20,FALSE)*K107</f>
        <v>1296.1722488038281</v>
      </c>
      <c r="S107" s="497">
        <f>VLOOKUP($N107,Impacts!$F$5:$Z$22,21,FALSE)*K107</f>
        <v>17.061105371960561</v>
      </c>
      <c r="T107" s="492"/>
      <c r="U107" s="492" t="str">
        <f t="shared" si="27"/>
        <v>Commercial Showerhead Replacement_1_50gpm_School_ Electric Water Heating_Direct Install</v>
      </c>
      <c r="V107" s="492" t="s">
        <v>440</v>
      </c>
      <c r="W107" s="494">
        <f t="shared" si="28"/>
        <v>148.20115896989554</v>
      </c>
      <c r="X107" s="492">
        <v>10</v>
      </c>
      <c r="Y107" s="498">
        <f t="shared" ref="Y107:Y138" si="37">VLOOKUP(G107,table_MeasureCosts,2,FALSE)</f>
        <v>11.336666666666666</v>
      </c>
      <c r="Z107" s="492"/>
      <c r="AA107" s="499" t="s">
        <v>441</v>
      </c>
      <c r="AB107" s="497">
        <f t="shared" si="30"/>
        <v>17.061105371960561</v>
      </c>
      <c r="AC107" s="492"/>
      <c r="AD107" s="492"/>
      <c r="AE107" s="492"/>
      <c r="AF107" s="492"/>
      <c r="AG107" s="492"/>
      <c r="AH107" s="492"/>
      <c r="AI107" s="492">
        <f t="shared" si="31"/>
        <v>0</v>
      </c>
      <c r="AJ107" s="492" t="s">
        <v>442</v>
      </c>
      <c r="AL107" s="283" t="e">
        <f t="shared" ref="AL107:AL138" ca="1" si="38">VLOOKUP(U107,INDIRECT(OutputRange),82,FALSE)</f>
        <v>#NAME?</v>
      </c>
    </row>
    <row r="108" spans="1:38" hidden="1">
      <c r="A108" s="492">
        <f t="shared" si="33"/>
        <v>98</v>
      </c>
      <c r="B108" s="492">
        <f t="shared" si="34"/>
        <v>4</v>
      </c>
      <c r="C108" s="492">
        <f t="shared" si="34"/>
        <v>2</v>
      </c>
      <c r="D108" s="492">
        <f t="shared" si="34"/>
        <v>3</v>
      </c>
      <c r="E108" s="492">
        <f t="shared" si="21"/>
        <v>2</v>
      </c>
      <c r="F108" s="492" t="str">
        <f t="shared" si="22"/>
        <v>School</v>
      </c>
      <c r="G108" s="492" t="str">
        <f t="shared" si="35"/>
        <v>Direct Install</v>
      </c>
      <c r="H108" s="492" t="str">
        <f t="shared" si="35"/>
        <v>1_50</v>
      </c>
      <c r="I108" s="492" t="str">
        <f t="shared" si="35"/>
        <v>Gas Water Heating</v>
      </c>
      <c r="J108" s="492" t="str">
        <f t="shared" si="24"/>
        <v>Commercial Showerhead Replacement_1_50gpm_School_ Gas Water Heating_Direct Install</v>
      </c>
      <c r="K108" s="493">
        <f>INDEX(InstallRatesCostAndLifetime!$A$2:$D$6,MATCH(InputForProCost!G108,InstallRatesCostAndLifetime!$A$2:$A$6,0),MATCH(InputForProCost!H108,InstallRatesCostAndLifetime!$A$2:$D$2,0))</f>
        <v>0.9</v>
      </c>
      <c r="L108" s="493">
        <f t="shared" si="36"/>
        <v>0</v>
      </c>
      <c r="M108" s="492"/>
      <c r="N108" s="492" t="str">
        <f t="shared" si="26"/>
        <v>School1_50</v>
      </c>
      <c r="O108" s="494">
        <f>VLOOKUP($N108,Impacts!$F$5:$Z$22,16,FALSE)</f>
        <v>164.66795441099504</v>
      </c>
      <c r="P108" s="494">
        <f>VLOOKUP($N108,Impacts!$F$5:$Z$22,17,FALSE)*K108</f>
        <v>6.85675119617225</v>
      </c>
      <c r="Q108" s="495">
        <f>VLOOKUP($N108,Impacts!$F$5:$Z$22,19,FALSE)*K108</f>
        <v>6.6091984432535904</v>
      </c>
      <c r="R108" s="496">
        <f>VLOOKUP($N108,Impacts!$F$5:$Z$22,20,FALSE)*K108</f>
        <v>1296.1722488038281</v>
      </c>
      <c r="S108" s="497">
        <f>VLOOKUP($N108,Impacts!$F$5:$Z$22,21,FALSE)*K108</f>
        <v>17.061105371960561</v>
      </c>
      <c r="T108" s="492"/>
      <c r="U108" s="492" t="str">
        <f t="shared" si="27"/>
        <v>Commercial Showerhead Replacement_1_50gpm_School_ Gas Water Heating_Direct Install</v>
      </c>
      <c r="V108" s="492" t="s">
        <v>440</v>
      </c>
      <c r="W108" s="494">
        <f t="shared" si="28"/>
        <v>0</v>
      </c>
      <c r="X108" s="492">
        <v>10</v>
      </c>
      <c r="Y108" s="498">
        <f t="shared" si="37"/>
        <v>11.336666666666666</v>
      </c>
      <c r="Z108" s="492"/>
      <c r="AA108" s="499" t="s">
        <v>441</v>
      </c>
      <c r="AB108" s="497">
        <f t="shared" si="30"/>
        <v>17.061105371960561</v>
      </c>
      <c r="AC108" s="492"/>
      <c r="AD108" s="492"/>
      <c r="AE108" s="492"/>
      <c r="AF108" s="492"/>
      <c r="AG108" s="492"/>
      <c r="AH108" s="492"/>
      <c r="AI108" s="492">
        <f t="shared" si="31"/>
        <v>6.6091984432535904</v>
      </c>
      <c r="AJ108" s="492" t="s">
        <v>442</v>
      </c>
      <c r="AL108" s="283" t="e">
        <f t="shared" ca="1" si="38"/>
        <v>#NAME?</v>
      </c>
    </row>
    <row r="109" spans="1:38">
      <c r="A109" s="492">
        <f t="shared" si="33"/>
        <v>99</v>
      </c>
      <c r="B109" s="492">
        <f t="shared" si="34"/>
        <v>4</v>
      </c>
      <c r="C109" s="492">
        <f t="shared" si="34"/>
        <v>2</v>
      </c>
      <c r="D109" s="492">
        <f t="shared" si="34"/>
        <v>3</v>
      </c>
      <c r="E109" s="492">
        <f t="shared" si="21"/>
        <v>3</v>
      </c>
      <c r="F109" s="492" t="str">
        <f t="shared" si="22"/>
        <v>School</v>
      </c>
      <c r="G109" s="492" t="str">
        <f t="shared" si="35"/>
        <v>Direct Install</v>
      </c>
      <c r="H109" s="492" t="str">
        <f t="shared" si="35"/>
        <v>1_50</v>
      </c>
      <c r="I109" s="492" t="str">
        <f t="shared" si="35"/>
        <v>Any Water Heating</v>
      </c>
      <c r="J109" s="492" t="str">
        <f t="shared" si="24"/>
        <v>Commercial Showerhead Replacement_1_50gpm_School_ Any Water Heating_Direct Install</v>
      </c>
      <c r="K109" s="493">
        <f>INDEX(InstallRatesCostAndLifetime!$A$2:$D$6,MATCH(InputForProCost!G109,InstallRatesCostAndLifetime!$A$2:$A$6,0),MATCH(InputForProCost!H109,InstallRatesCostAndLifetime!$A$2:$D$2,0))</f>
        <v>0.9</v>
      </c>
      <c r="L109" s="493">
        <f t="shared" si="36"/>
        <v>0.12</v>
      </c>
      <c r="M109" s="492"/>
      <c r="N109" s="492" t="str">
        <f t="shared" si="26"/>
        <v>School1_50</v>
      </c>
      <c r="O109" s="494">
        <f>VLOOKUP($N109,Impacts!$F$5:$Z$22,16,FALSE)</f>
        <v>164.66795441099504</v>
      </c>
      <c r="P109" s="494">
        <f>VLOOKUP($N109,Impacts!$F$5:$Z$22,17,FALSE)*K109</f>
        <v>6.85675119617225</v>
      </c>
      <c r="Q109" s="495">
        <f>VLOOKUP($N109,Impacts!$F$5:$Z$22,19,FALSE)*K109</f>
        <v>6.6091984432535904</v>
      </c>
      <c r="R109" s="496">
        <f>VLOOKUP($N109,Impacts!$F$5:$Z$22,20,FALSE)*K109</f>
        <v>1296.1722488038281</v>
      </c>
      <c r="S109" s="497">
        <f>VLOOKUP($N109,Impacts!$F$5:$Z$22,21,FALSE)*K109</f>
        <v>17.061105371960561</v>
      </c>
      <c r="T109" s="492"/>
      <c r="U109" s="492" t="str">
        <f t="shared" si="27"/>
        <v>Commercial Showerhead Replacement_1_50gpm_School_ Any Water Heating_Direct Install</v>
      </c>
      <c r="V109" s="492" t="s">
        <v>440</v>
      </c>
      <c r="W109" s="494">
        <f t="shared" si="28"/>
        <v>17.784139076387465</v>
      </c>
      <c r="X109" s="492">
        <v>10</v>
      </c>
      <c r="Y109" s="498">
        <f t="shared" si="37"/>
        <v>11.336666666666666</v>
      </c>
      <c r="Z109" s="492"/>
      <c r="AA109" s="499" t="s">
        <v>441</v>
      </c>
      <c r="AB109" s="497">
        <f t="shared" si="30"/>
        <v>17.061105371960561</v>
      </c>
      <c r="AC109" s="492"/>
      <c r="AD109" s="492"/>
      <c r="AE109" s="492"/>
      <c r="AF109" s="492"/>
      <c r="AG109" s="492"/>
      <c r="AH109" s="492"/>
      <c r="AI109" s="492">
        <f t="shared" si="31"/>
        <v>5.8160946300631595</v>
      </c>
      <c r="AJ109" s="492" t="s">
        <v>442</v>
      </c>
      <c r="AL109" s="283" t="e">
        <f t="shared" ca="1" si="38"/>
        <v>#NAME?</v>
      </c>
    </row>
    <row r="110" spans="1:38" hidden="1">
      <c r="A110" s="492">
        <f t="shared" si="33"/>
        <v>100</v>
      </c>
      <c r="B110" s="492">
        <f t="shared" si="34"/>
        <v>4</v>
      </c>
      <c r="C110" s="492">
        <f t="shared" si="34"/>
        <v>3</v>
      </c>
      <c r="D110" s="492">
        <f t="shared" si="34"/>
        <v>1</v>
      </c>
      <c r="E110" s="492">
        <f t="shared" si="21"/>
        <v>1</v>
      </c>
      <c r="F110" s="492" t="str">
        <f t="shared" si="22"/>
        <v>School</v>
      </c>
      <c r="G110" s="492" t="str">
        <f t="shared" si="35"/>
        <v>Mail-by-Request</v>
      </c>
      <c r="H110" s="492" t="str">
        <f t="shared" si="35"/>
        <v>2_00</v>
      </c>
      <c r="I110" s="492" t="str">
        <f t="shared" si="35"/>
        <v>Electric Water Heating</v>
      </c>
      <c r="J110" s="492" t="str">
        <f t="shared" si="24"/>
        <v>Commercial Showerhead Replacement_2_00gpm_School_ Electric Water Heating_Mail-by-Request</v>
      </c>
      <c r="K110" s="493">
        <f>INDEX(InstallRatesCostAndLifetime!$A$2:$D$6,MATCH(InputForProCost!G110,InstallRatesCostAndLifetime!$A$2:$A$6,0),MATCH(InputForProCost!H110,InstallRatesCostAndLifetime!$A$2:$D$2,0))</f>
        <v>0.6</v>
      </c>
      <c r="L110" s="493">
        <f t="shared" si="36"/>
        <v>1</v>
      </c>
      <c r="M110" s="492"/>
      <c r="N110" s="492" t="str">
        <f t="shared" si="26"/>
        <v>School2_00</v>
      </c>
      <c r="O110" s="494">
        <f>VLOOKUP($N110,Impacts!$F$5:$Z$22,16,FALSE)</f>
        <v>93.325572524948825</v>
      </c>
      <c r="P110" s="494">
        <f>VLOOKUP($N110,Impacts!$F$5:$Z$22,17,FALSE)*K110</f>
        <v>2.6120956937799051</v>
      </c>
      <c r="Q110" s="495">
        <f>VLOOKUP($N110,Impacts!$F$5:$Z$22,19,FALSE)*K110</f>
        <v>2.4971757289952179</v>
      </c>
      <c r="R110" s="496">
        <f>VLOOKUP($N110,Impacts!$F$5:$Z$22,20,FALSE)*K110</f>
        <v>493.7799043062202</v>
      </c>
      <c r="S110" s="497">
        <f>VLOOKUP($N110,Impacts!$F$5:$Z$22,21,FALSE)*K110</f>
        <v>6.4994687131278335</v>
      </c>
      <c r="T110" s="492"/>
      <c r="U110" s="492" t="str">
        <f t="shared" si="27"/>
        <v>Commercial Showerhead Replacement_2_00gpm_School_ Electric Water Heating_Mail-by-Request</v>
      </c>
      <c r="V110" s="492" t="s">
        <v>440</v>
      </c>
      <c r="W110" s="494">
        <f t="shared" si="28"/>
        <v>55.995343514969292</v>
      </c>
      <c r="X110" s="492">
        <v>10</v>
      </c>
      <c r="Y110" s="498">
        <f t="shared" si="37"/>
        <v>8.1096944444444432</v>
      </c>
      <c r="Z110" s="492"/>
      <c r="AA110" s="499" t="s">
        <v>441</v>
      </c>
      <c r="AB110" s="497">
        <f t="shared" si="30"/>
        <v>6.4994687131278335</v>
      </c>
      <c r="AC110" s="492"/>
      <c r="AD110" s="492"/>
      <c r="AE110" s="492"/>
      <c r="AF110" s="492"/>
      <c r="AG110" s="492"/>
      <c r="AH110" s="492"/>
      <c r="AI110" s="492">
        <f t="shared" si="31"/>
        <v>0</v>
      </c>
      <c r="AJ110" s="492" t="s">
        <v>442</v>
      </c>
      <c r="AL110" s="283" t="e">
        <f t="shared" ca="1" si="38"/>
        <v>#NAME?</v>
      </c>
    </row>
    <row r="111" spans="1:38" hidden="1">
      <c r="A111" s="492">
        <f t="shared" si="33"/>
        <v>101</v>
      </c>
      <c r="B111" s="492">
        <f t="shared" ref="B111:D130" si="39">CEILING((MOD($A111-1,B$9)+1)/C$9,1)</f>
        <v>4</v>
      </c>
      <c r="C111" s="492">
        <f t="shared" si="39"/>
        <v>3</v>
      </c>
      <c r="D111" s="492">
        <f t="shared" si="39"/>
        <v>1</v>
      </c>
      <c r="E111" s="492">
        <f t="shared" si="21"/>
        <v>2</v>
      </c>
      <c r="F111" s="492" t="str">
        <f t="shared" si="22"/>
        <v>School</v>
      </c>
      <c r="G111" s="492" t="str">
        <f t="shared" si="35"/>
        <v>Mail-by-Request</v>
      </c>
      <c r="H111" s="492" t="str">
        <f t="shared" si="35"/>
        <v>2_00</v>
      </c>
      <c r="I111" s="492" t="str">
        <f t="shared" si="35"/>
        <v>Gas Water Heating</v>
      </c>
      <c r="J111" s="492" t="str">
        <f t="shared" si="24"/>
        <v>Commercial Showerhead Replacement_2_00gpm_School_ Gas Water Heating_Mail-by-Request</v>
      </c>
      <c r="K111" s="493">
        <f>INDEX(InstallRatesCostAndLifetime!$A$2:$D$6,MATCH(InputForProCost!G111,InstallRatesCostAndLifetime!$A$2:$A$6,0),MATCH(InputForProCost!H111,InstallRatesCostAndLifetime!$A$2:$D$2,0))</f>
        <v>0.6</v>
      </c>
      <c r="L111" s="493">
        <f t="shared" si="36"/>
        <v>0</v>
      </c>
      <c r="M111" s="492"/>
      <c r="N111" s="492" t="str">
        <f t="shared" si="26"/>
        <v>School2_00</v>
      </c>
      <c r="O111" s="494">
        <f>VLOOKUP($N111,Impacts!$F$5:$Z$22,16,FALSE)</f>
        <v>93.325572524948825</v>
      </c>
      <c r="P111" s="494">
        <f>VLOOKUP($N111,Impacts!$F$5:$Z$22,17,FALSE)*K111</f>
        <v>2.6120956937799051</v>
      </c>
      <c r="Q111" s="495">
        <f>VLOOKUP($N111,Impacts!$F$5:$Z$22,19,FALSE)*K111</f>
        <v>2.4971757289952179</v>
      </c>
      <c r="R111" s="496">
        <f>VLOOKUP($N111,Impacts!$F$5:$Z$22,20,FALSE)*K111</f>
        <v>493.7799043062202</v>
      </c>
      <c r="S111" s="497">
        <f>VLOOKUP($N111,Impacts!$F$5:$Z$22,21,FALSE)*K111</f>
        <v>6.4994687131278335</v>
      </c>
      <c r="T111" s="492"/>
      <c r="U111" s="492" t="str">
        <f t="shared" si="27"/>
        <v>Commercial Showerhead Replacement_2_00gpm_School_ Gas Water Heating_Mail-by-Request</v>
      </c>
      <c r="V111" s="492" t="s">
        <v>440</v>
      </c>
      <c r="W111" s="494">
        <f t="shared" si="28"/>
        <v>0</v>
      </c>
      <c r="X111" s="492">
        <v>10</v>
      </c>
      <c r="Y111" s="498">
        <f t="shared" si="37"/>
        <v>8.1096944444444432</v>
      </c>
      <c r="Z111" s="492"/>
      <c r="AA111" s="499" t="s">
        <v>441</v>
      </c>
      <c r="AB111" s="497">
        <f t="shared" si="30"/>
        <v>6.4994687131278335</v>
      </c>
      <c r="AC111" s="492"/>
      <c r="AD111" s="492"/>
      <c r="AE111" s="492"/>
      <c r="AF111" s="492"/>
      <c r="AG111" s="492"/>
      <c r="AH111" s="492"/>
      <c r="AI111" s="492">
        <f t="shared" si="31"/>
        <v>2.4971757289952179</v>
      </c>
      <c r="AJ111" s="492" t="s">
        <v>442</v>
      </c>
      <c r="AL111" s="283" t="e">
        <f t="shared" ca="1" si="38"/>
        <v>#NAME?</v>
      </c>
    </row>
    <row r="112" spans="1:38" hidden="1">
      <c r="A112" s="492">
        <f t="shared" si="33"/>
        <v>102</v>
      </c>
      <c r="B112" s="492">
        <f t="shared" si="39"/>
        <v>4</v>
      </c>
      <c r="C112" s="492">
        <f t="shared" si="39"/>
        <v>3</v>
      </c>
      <c r="D112" s="492">
        <f t="shared" si="39"/>
        <v>1</v>
      </c>
      <c r="E112" s="492">
        <f t="shared" si="21"/>
        <v>3</v>
      </c>
      <c r="F112" s="492" t="str">
        <f t="shared" si="22"/>
        <v>School</v>
      </c>
      <c r="G112" s="492" t="str">
        <f t="shared" si="35"/>
        <v>Mail-by-Request</v>
      </c>
      <c r="H112" s="492" t="str">
        <f t="shared" si="35"/>
        <v>2_00</v>
      </c>
      <c r="I112" s="492" t="str">
        <f t="shared" si="35"/>
        <v>Any Water Heating</v>
      </c>
      <c r="J112" s="492" t="str">
        <f t="shared" si="24"/>
        <v>Commercial Showerhead Replacement_2_00gpm_School_ Any Water Heating_Mail-by-Request</v>
      </c>
      <c r="K112" s="493">
        <f>INDEX(InstallRatesCostAndLifetime!$A$2:$D$6,MATCH(InputForProCost!G112,InstallRatesCostAndLifetime!$A$2:$A$6,0),MATCH(InputForProCost!H112,InstallRatesCostAndLifetime!$A$2:$D$2,0))</f>
        <v>0.6</v>
      </c>
      <c r="L112" s="493">
        <f t="shared" si="36"/>
        <v>0.12</v>
      </c>
      <c r="M112" s="492"/>
      <c r="N112" s="492" t="str">
        <f t="shared" si="26"/>
        <v>School2_00</v>
      </c>
      <c r="O112" s="494">
        <f>VLOOKUP($N112,Impacts!$F$5:$Z$22,16,FALSE)</f>
        <v>93.325572524948825</v>
      </c>
      <c r="P112" s="494">
        <f>VLOOKUP($N112,Impacts!$F$5:$Z$22,17,FALSE)*K112</f>
        <v>2.6120956937799051</v>
      </c>
      <c r="Q112" s="495">
        <f>VLOOKUP($N112,Impacts!$F$5:$Z$22,19,FALSE)*K112</f>
        <v>2.4971757289952179</v>
      </c>
      <c r="R112" s="496">
        <f>VLOOKUP($N112,Impacts!$F$5:$Z$22,20,FALSE)*K112</f>
        <v>493.7799043062202</v>
      </c>
      <c r="S112" s="497">
        <f>VLOOKUP($N112,Impacts!$F$5:$Z$22,21,FALSE)*K112</f>
        <v>6.4994687131278335</v>
      </c>
      <c r="T112" s="492"/>
      <c r="U112" s="492" t="str">
        <f t="shared" si="27"/>
        <v>Commercial Showerhead Replacement_2_00gpm_School_ Any Water Heating_Mail-by-Request</v>
      </c>
      <c r="V112" s="492" t="s">
        <v>440</v>
      </c>
      <c r="W112" s="494">
        <f t="shared" si="28"/>
        <v>6.7194412217963153</v>
      </c>
      <c r="X112" s="492">
        <v>10</v>
      </c>
      <c r="Y112" s="498">
        <f t="shared" si="37"/>
        <v>8.1096944444444432</v>
      </c>
      <c r="Z112" s="492"/>
      <c r="AA112" s="499" t="s">
        <v>441</v>
      </c>
      <c r="AB112" s="497">
        <f t="shared" si="30"/>
        <v>6.4994687131278335</v>
      </c>
      <c r="AC112" s="492"/>
      <c r="AD112" s="492"/>
      <c r="AE112" s="492"/>
      <c r="AF112" s="492"/>
      <c r="AG112" s="492"/>
      <c r="AH112" s="492"/>
      <c r="AI112" s="492">
        <f t="shared" si="31"/>
        <v>2.1975146415157916</v>
      </c>
      <c r="AJ112" s="492" t="s">
        <v>442</v>
      </c>
      <c r="AL112" s="283" t="e">
        <f t="shared" ca="1" si="38"/>
        <v>#NAME?</v>
      </c>
    </row>
    <row r="113" spans="1:38" hidden="1">
      <c r="A113" s="492">
        <f t="shared" si="33"/>
        <v>103</v>
      </c>
      <c r="B113" s="492">
        <f t="shared" si="39"/>
        <v>4</v>
      </c>
      <c r="C113" s="492">
        <f t="shared" si="39"/>
        <v>3</v>
      </c>
      <c r="D113" s="492">
        <f t="shared" si="39"/>
        <v>2</v>
      </c>
      <c r="E113" s="492">
        <f t="shared" si="21"/>
        <v>1</v>
      </c>
      <c r="F113" s="492" t="str">
        <f t="shared" si="22"/>
        <v>School</v>
      </c>
      <c r="G113" s="492" t="str">
        <f t="shared" si="35"/>
        <v>Mail-by-Request</v>
      </c>
      <c r="H113" s="492" t="str">
        <f t="shared" si="35"/>
        <v>1_75</v>
      </c>
      <c r="I113" s="492" t="str">
        <f t="shared" si="35"/>
        <v>Electric Water Heating</v>
      </c>
      <c r="J113" s="492" t="str">
        <f t="shared" si="24"/>
        <v>Commercial Showerhead Replacement_1_75gpm_School_ Electric Water Heating_Mail-by-Request</v>
      </c>
      <c r="K113" s="493">
        <f>INDEX(InstallRatesCostAndLifetime!$A$2:$D$6,MATCH(InputForProCost!G113,InstallRatesCostAndLifetime!$A$2:$A$6,0),MATCH(InputForProCost!H113,InstallRatesCostAndLifetime!$A$2:$D$2,0))</f>
        <v>0.6</v>
      </c>
      <c r="L113" s="493">
        <f t="shared" si="36"/>
        <v>1</v>
      </c>
      <c r="M113" s="492"/>
      <c r="N113" s="492" t="str">
        <f t="shared" si="26"/>
        <v>School1_75</v>
      </c>
      <c r="O113" s="494">
        <f>VLOOKUP($N113,Impacts!$F$5:$Z$22,16,FALSE)</f>
        <v>99.598459121228416</v>
      </c>
      <c r="P113" s="494">
        <f>VLOOKUP($N113,Impacts!$F$5:$Z$22,17,FALSE)*K113</f>
        <v>2.9386076555023926</v>
      </c>
      <c r="Q113" s="495">
        <f>VLOOKUP($N113,Impacts!$F$5:$Z$22,19,FALSE)*K113</f>
        <v>2.6650236160765544</v>
      </c>
      <c r="R113" s="496">
        <f>VLOOKUP($N113,Impacts!$F$5:$Z$22,20,FALSE)*K113</f>
        <v>555.50239234449759</v>
      </c>
      <c r="S113" s="497">
        <f>VLOOKUP($N113,Impacts!$F$5:$Z$22,21,FALSE)*K113</f>
        <v>7.3119023022688108</v>
      </c>
      <c r="T113" s="492"/>
      <c r="U113" s="492" t="str">
        <f t="shared" si="27"/>
        <v>Commercial Showerhead Replacement_1_75gpm_School_ Electric Water Heating_Mail-by-Request</v>
      </c>
      <c r="V113" s="492" t="s">
        <v>440</v>
      </c>
      <c r="W113" s="494">
        <f t="shared" si="28"/>
        <v>59.759075472737045</v>
      </c>
      <c r="X113" s="492">
        <v>10</v>
      </c>
      <c r="Y113" s="498">
        <f t="shared" si="37"/>
        <v>8.1096944444444432</v>
      </c>
      <c r="Z113" s="492"/>
      <c r="AA113" s="499" t="s">
        <v>441</v>
      </c>
      <c r="AB113" s="497">
        <f t="shared" si="30"/>
        <v>7.3119023022688108</v>
      </c>
      <c r="AC113" s="492"/>
      <c r="AD113" s="492"/>
      <c r="AE113" s="492"/>
      <c r="AF113" s="492"/>
      <c r="AG113" s="492"/>
      <c r="AH113" s="492"/>
      <c r="AI113" s="492">
        <f t="shared" si="31"/>
        <v>0</v>
      </c>
      <c r="AJ113" s="492" t="s">
        <v>442</v>
      </c>
      <c r="AL113" s="283" t="e">
        <f t="shared" ca="1" si="38"/>
        <v>#NAME?</v>
      </c>
    </row>
    <row r="114" spans="1:38" hidden="1">
      <c r="A114" s="492">
        <f t="shared" si="33"/>
        <v>104</v>
      </c>
      <c r="B114" s="492">
        <f t="shared" si="39"/>
        <v>4</v>
      </c>
      <c r="C114" s="492">
        <f t="shared" si="39"/>
        <v>3</v>
      </c>
      <c r="D114" s="492">
        <f t="shared" si="39"/>
        <v>2</v>
      </c>
      <c r="E114" s="492">
        <f t="shared" si="21"/>
        <v>2</v>
      </c>
      <c r="F114" s="492" t="str">
        <f t="shared" si="22"/>
        <v>School</v>
      </c>
      <c r="G114" s="492" t="str">
        <f t="shared" si="35"/>
        <v>Mail-by-Request</v>
      </c>
      <c r="H114" s="492" t="str">
        <f t="shared" si="35"/>
        <v>1_75</v>
      </c>
      <c r="I114" s="492" t="str">
        <f t="shared" si="35"/>
        <v>Gas Water Heating</v>
      </c>
      <c r="J114" s="492" t="str">
        <f t="shared" si="24"/>
        <v>Commercial Showerhead Replacement_1_75gpm_School_ Gas Water Heating_Mail-by-Request</v>
      </c>
      <c r="K114" s="493">
        <f>INDEX(InstallRatesCostAndLifetime!$A$2:$D$6,MATCH(InputForProCost!G114,InstallRatesCostAndLifetime!$A$2:$A$6,0),MATCH(InputForProCost!H114,InstallRatesCostAndLifetime!$A$2:$D$2,0))</f>
        <v>0.6</v>
      </c>
      <c r="L114" s="493">
        <f t="shared" si="36"/>
        <v>0</v>
      </c>
      <c r="M114" s="492"/>
      <c r="N114" s="492" t="str">
        <f t="shared" si="26"/>
        <v>School1_75</v>
      </c>
      <c r="O114" s="494">
        <f>VLOOKUP($N114,Impacts!$F$5:$Z$22,16,FALSE)</f>
        <v>99.598459121228416</v>
      </c>
      <c r="P114" s="494">
        <f>VLOOKUP($N114,Impacts!$F$5:$Z$22,17,FALSE)*K114</f>
        <v>2.9386076555023926</v>
      </c>
      <c r="Q114" s="495">
        <f>VLOOKUP($N114,Impacts!$F$5:$Z$22,19,FALSE)*K114</f>
        <v>2.6650236160765544</v>
      </c>
      <c r="R114" s="496">
        <f>VLOOKUP($N114,Impacts!$F$5:$Z$22,20,FALSE)*K114</f>
        <v>555.50239234449759</v>
      </c>
      <c r="S114" s="497">
        <f>VLOOKUP($N114,Impacts!$F$5:$Z$22,21,FALSE)*K114</f>
        <v>7.3119023022688108</v>
      </c>
      <c r="T114" s="492"/>
      <c r="U114" s="492" t="str">
        <f t="shared" si="27"/>
        <v>Commercial Showerhead Replacement_1_75gpm_School_ Gas Water Heating_Mail-by-Request</v>
      </c>
      <c r="V114" s="492" t="s">
        <v>440</v>
      </c>
      <c r="W114" s="494">
        <f t="shared" si="28"/>
        <v>0</v>
      </c>
      <c r="X114" s="492">
        <v>10</v>
      </c>
      <c r="Y114" s="498">
        <f t="shared" si="37"/>
        <v>8.1096944444444432</v>
      </c>
      <c r="Z114" s="492"/>
      <c r="AA114" s="499" t="s">
        <v>441</v>
      </c>
      <c r="AB114" s="497">
        <f t="shared" si="30"/>
        <v>7.3119023022688108</v>
      </c>
      <c r="AC114" s="492"/>
      <c r="AD114" s="492"/>
      <c r="AE114" s="492"/>
      <c r="AF114" s="492"/>
      <c r="AG114" s="492"/>
      <c r="AH114" s="492"/>
      <c r="AI114" s="492">
        <f t="shared" si="31"/>
        <v>2.6650236160765544</v>
      </c>
      <c r="AJ114" s="492" t="s">
        <v>442</v>
      </c>
      <c r="AL114" s="283" t="e">
        <f t="shared" ca="1" si="38"/>
        <v>#NAME?</v>
      </c>
    </row>
    <row r="115" spans="1:38" hidden="1">
      <c r="A115" s="492">
        <f t="shared" si="33"/>
        <v>105</v>
      </c>
      <c r="B115" s="492">
        <f t="shared" si="39"/>
        <v>4</v>
      </c>
      <c r="C115" s="492">
        <f t="shared" si="39"/>
        <v>3</v>
      </c>
      <c r="D115" s="492">
        <f t="shared" si="39"/>
        <v>2</v>
      </c>
      <c r="E115" s="492">
        <f t="shared" si="21"/>
        <v>3</v>
      </c>
      <c r="F115" s="492" t="str">
        <f t="shared" si="22"/>
        <v>School</v>
      </c>
      <c r="G115" s="492" t="str">
        <f t="shared" si="35"/>
        <v>Mail-by-Request</v>
      </c>
      <c r="H115" s="492" t="str">
        <f t="shared" si="35"/>
        <v>1_75</v>
      </c>
      <c r="I115" s="492" t="str">
        <f t="shared" si="35"/>
        <v>Any Water Heating</v>
      </c>
      <c r="J115" s="492" t="str">
        <f t="shared" si="24"/>
        <v>Commercial Showerhead Replacement_1_75gpm_School_ Any Water Heating_Mail-by-Request</v>
      </c>
      <c r="K115" s="493">
        <f>INDEX(InstallRatesCostAndLifetime!$A$2:$D$6,MATCH(InputForProCost!G115,InstallRatesCostAndLifetime!$A$2:$A$6,0),MATCH(InputForProCost!H115,InstallRatesCostAndLifetime!$A$2:$D$2,0))</f>
        <v>0.6</v>
      </c>
      <c r="L115" s="493">
        <f t="shared" si="36"/>
        <v>0.12</v>
      </c>
      <c r="M115" s="492"/>
      <c r="N115" s="492" t="str">
        <f t="shared" si="26"/>
        <v>School1_75</v>
      </c>
      <c r="O115" s="494">
        <f>VLOOKUP($N115,Impacts!$F$5:$Z$22,16,FALSE)</f>
        <v>99.598459121228416</v>
      </c>
      <c r="P115" s="494">
        <f>VLOOKUP($N115,Impacts!$F$5:$Z$22,17,FALSE)*K115</f>
        <v>2.9386076555023926</v>
      </c>
      <c r="Q115" s="495">
        <f>VLOOKUP($N115,Impacts!$F$5:$Z$22,19,FALSE)*K115</f>
        <v>2.6650236160765544</v>
      </c>
      <c r="R115" s="496">
        <f>VLOOKUP($N115,Impacts!$F$5:$Z$22,20,FALSE)*K115</f>
        <v>555.50239234449759</v>
      </c>
      <c r="S115" s="497">
        <f>VLOOKUP($N115,Impacts!$F$5:$Z$22,21,FALSE)*K115</f>
        <v>7.3119023022688108</v>
      </c>
      <c r="T115" s="492"/>
      <c r="U115" s="492" t="str">
        <f t="shared" si="27"/>
        <v>Commercial Showerhead Replacement_1_75gpm_School_ Any Water Heating_Mail-by-Request</v>
      </c>
      <c r="V115" s="492" t="s">
        <v>440</v>
      </c>
      <c r="W115" s="494">
        <f t="shared" si="28"/>
        <v>7.1710890567284453</v>
      </c>
      <c r="X115" s="492">
        <v>10</v>
      </c>
      <c r="Y115" s="498">
        <f t="shared" si="37"/>
        <v>8.1096944444444432</v>
      </c>
      <c r="Z115" s="492"/>
      <c r="AA115" s="499" t="s">
        <v>441</v>
      </c>
      <c r="AB115" s="497">
        <f t="shared" si="30"/>
        <v>7.3119023022688108</v>
      </c>
      <c r="AC115" s="492"/>
      <c r="AD115" s="492"/>
      <c r="AE115" s="492"/>
      <c r="AF115" s="492"/>
      <c r="AG115" s="492"/>
      <c r="AH115" s="492"/>
      <c r="AI115" s="492">
        <f t="shared" si="31"/>
        <v>2.3452207821473681</v>
      </c>
      <c r="AJ115" s="492" t="s">
        <v>442</v>
      </c>
      <c r="AL115" s="283" t="e">
        <f t="shared" ca="1" si="38"/>
        <v>#NAME?</v>
      </c>
    </row>
    <row r="116" spans="1:38" hidden="1">
      <c r="A116" s="492">
        <f t="shared" si="33"/>
        <v>106</v>
      </c>
      <c r="B116" s="492">
        <f t="shared" si="39"/>
        <v>4</v>
      </c>
      <c r="C116" s="492">
        <f t="shared" si="39"/>
        <v>3</v>
      </c>
      <c r="D116" s="492">
        <f t="shared" si="39"/>
        <v>3</v>
      </c>
      <c r="E116" s="492">
        <f t="shared" si="21"/>
        <v>1</v>
      </c>
      <c r="F116" s="492" t="str">
        <f t="shared" si="22"/>
        <v>School</v>
      </c>
      <c r="G116" s="492" t="str">
        <f t="shared" si="35"/>
        <v>Mail-by-Request</v>
      </c>
      <c r="H116" s="492" t="str">
        <f t="shared" si="35"/>
        <v>1_50</v>
      </c>
      <c r="I116" s="492" t="str">
        <f t="shared" si="35"/>
        <v>Electric Water Heating</v>
      </c>
      <c r="J116" s="492" t="str">
        <f t="shared" si="24"/>
        <v>Commercial Showerhead Replacement_1_50gpm_School_ Electric Water Heating_Mail-by-Request</v>
      </c>
      <c r="K116" s="493">
        <f>INDEX(InstallRatesCostAndLifetime!$A$2:$D$6,MATCH(InputForProCost!G116,InstallRatesCostAndLifetime!$A$2:$A$6,0),MATCH(InputForProCost!H116,InstallRatesCostAndLifetime!$A$2:$D$2,0))</f>
        <v>0.6</v>
      </c>
      <c r="L116" s="493">
        <f t="shared" si="36"/>
        <v>1</v>
      </c>
      <c r="M116" s="492"/>
      <c r="N116" s="492" t="str">
        <f t="shared" si="26"/>
        <v>School1_50</v>
      </c>
      <c r="O116" s="494">
        <f>VLOOKUP($N116,Impacts!$F$5:$Z$22,16,FALSE)</f>
        <v>164.66795441099504</v>
      </c>
      <c r="P116" s="494">
        <f>VLOOKUP($N116,Impacts!$F$5:$Z$22,17,FALSE)*K116</f>
        <v>4.5711674641148328</v>
      </c>
      <c r="Q116" s="495">
        <f>VLOOKUP($N116,Impacts!$F$5:$Z$22,19,FALSE)*K116</f>
        <v>4.4061322955023927</v>
      </c>
      <c r="R116" s="496">
        <f>VLOOKUP($N116,Impacts!$F$5:$Z$22,20,FALSE)*K116</f>
        <v>864.11483253588528</v>
      </c>
      <c r="S116" s="497">
        <f>VLOOKUP($N116,Impacts!$F$5:$Z$22,21,FALSE)*K116</f>
        <v>11.374070247973707</v>
      </c>
      <c r="T116" s="492"/>
      <c r="U116" s="492" t="str">
        <f t="shared" si="27"/>
        <v>Commercial Showerhead Replacement_1_50gpm_School_ Electric Water Heating_Mail-by-Request</v>
      </c>
      <c r="V116" s="492" t="s">
        <v>440</v>
      </c>
      <c r="W116" s="494">
        <f t="shared" si="28"/>
        <v>98.800772646597025</v>
      </c>
      <c r="X116" s="492">
        <v>10</v>
      </c>
      <c r="Y116" s="498">
        <f t="shared" si="37"/>
        <v>8.1096944444444432</v>
      </c>
      <c r="Z116" s="492"/>
      <c r="AA116" s="499" t="s">
        <v>441</v>
      </c>
      <c r="AB116" s="497">
        <f t="shared" si="30"/>
        <v>11.374070247973707</v>
      </c>
      <c r="AC116" s="492"/>
      <c r="AD116" s="492"/>
      <c r="AE116" s="492"/>
      <c r="AF116" s="492"/>
      <c r="AG116" s="492"/>
      <c r="AH116" s="492"/>
      <c r="AI116" s="492">
        <f t="shared" si="31"/>
        <v>0</v>
      </c>
      <c r="AJ116" s="492" t="s">
        <v>442</v>
      </c>
      <c r="AL116" s="283" t="e">
        <f t="shared" ca="1" si="38"/>
        <v>#NAME?</v>
      </c>
    </row>
    <row r="117" spans="1:38" hidden="1">
      <c r="A117" s="492">
        <f t="shared" si="33"/>
        <v>107</v>
      </c>
      <c r="B117" s="492">
        <f t="shared" si="39"/>
        <v>4</v>
      </c>
      <c r="C117" s="492">
        <f t="shared" si="39"/>
        <v>3</v>
      </c>
      <c r="D117" s="492">
        <f t="shared" si="39"/>
        <v>3</v>
      </c>
      <c r="E117" s="492">
        <f t="shared" si="21"/>
        <v>2</v>
      </c>
      <c r="F117" s="492" t="str">
        <f t="shared" si="22"/>
        <v>School</v>
      </c>
      <c r="G117" s="492" t="str">
        <f t="shared" si="35"/>
        <v>Mail-by-Request</v>
      </c>
      <c r="H117" s="492" t="str">
        <f t="shared" si="35"/>
        <v>1_50</v>
      </c>
      <c r="I117" s="492" t="str">
        <f t="shared" si="35"/>
        <v>Gas Water Heating</v>
      </c>
      <c r="J117" s="492" t="str">
        <f t="shared" si="24"/>
        <v>Commercial Showerhead Replacement_1_50gpm_School_ Gas Water Heating_Mail-by-Request</v>
      </c>
      <c r="K117" s="493">
        <f>INDEX(InstallRatesCostAndLifetime!$A$2:$D$6,MATCH(InputForProCost!G117,InstallRatesCostAndLifetime!$A$2:$A$6,0),MATCH(InputForProCost!H117,InstallRatesCostAndLifetime!$A$2:$D$2,0))</f>
        <v>0.6</v>
      </c>
      <c r="L117" s="493">
        <f t="shared" si="36"/>
        <v>0</v>
      </c>
      <c r="M117" s="492"/>
      <c r="N117" s="492" t="str">
        <f t="shared" si="26"/>
        <v>School1_50</v>
      </c>
      <c r="O117" s="494">
        <f>VLOOKUP($N117,Impacts!$F$5:$Z$22,16,FALSE)</f>
        <v>164.66795441099504</v>
      </c>
      <c r="P117" s="494">
        <f>VLOOKUP($N117,Impacts!$F$5:$Z$22,17,FALSE)*K117</f>
        <v>4.5711674641148328</v>
      </c>
      <c r="Q117" s="495">
        <f>VLOOKUP($N117,Impacts!$F$5:$Z$22,19,FALSE)*K117</f>
        <v>4.4061322955023927</v>
      </c>
      <c r="R117" s="496">
        <f>VLOOKUP($N117,Impacts!$F$5:$Z$22,20,FALSE)*K117</f>
        <v>864.11483253588528</v>
      </c>
      <c r="S117" s="497">
        <f>VLOOKUP($N117,Impacts!$F$5:$Z$22,21,FALSE)*K117</f>
        <v>11.374070247973707</v>
      </c>
      <c r="T117" s="492"/>
      <c r="U117" s="492" t="str">
        <f t="shared" si="27"/>
        <v>Commercial Showerhead Replacement_1_50gpm_School_ Gas Water Heating_Mail-by-Request</v>
      </c>
      <c r="V117" s="492" t="s">
        <v>440</v>
      </c>
      <c r="W117" s="494">
        <f t="shared" si="28"/>
        <v>0</v>
      </c>
      <c r="X117" s="492">
        <v>10</v>
      </c>
      <c r="Y117" s="498">
        <f t="shared" si="37"/>
        <v>8.1096944444444432</v>
      </c>
      <c r="Z117" s="492"/>
      <c r="AA117" s="499" t="s">
        <v>441</v>
      </c>
      <c r="AB117" s="497">
        <f t="shared" si="30"/>
        <v>11.374070247973707</v>
      </c>
      <c r="AC117" s="492"/>
      <c r="AD117" s="492"/>
      <c r="AE117" s="492"/>
      <c r="AF117" s="492"/>
      <c r="AG117" s="492"/>
      <c r="AH117" s="492"/>
      <c r="AI117" s="492">
        <f t="shared" si="31"/>
        <v>4.4061322955023927</v>
      </c>
      <c r="AJ117" s="492" t="s">
        <v>442</v>
      </c>
      <c r="AL117" s="283" t="e">
        <f t="shared" ca="1" si="38"/>
        <v>#NAME?</v>
      </c>
    </row>
    <row r="118" spans="1:38" hidden="1">
      <c r="A118" s="492">
        <f t="shared" si="33"/>
        <v>108</v>
      </c>
      <c r="B118" s="492">
        <f t="shared" si="39"/>
        <v>4</v>
      </c>
      <c r="C118" s="492">
        <f t="shared" si="39"/>
        <v>3</v>
      </c>
      <c r="D118" s="492">
        <f t="shared" si="39"/>
        <v>3</v>
      </c>
      <c r="E118" s="492">
        <f t="shared" si="21"/>
        <v>3</v>
      </c>
      <c r="F118" s="492" t="str">
        <f t="shared" si="22"/>
        <v>School</v>
      </c>
      <c r="G118" s="492" t="str">
        <f t="shared" si="35"/>
        <v>Mail-by-Request</v>
      </c>
      <c r="H118" s="492" t="str">
        <f t="shared" si="35"/>
        <v>1_50</v>
      </c>
      <c r="I118" s="492" t="str">
        <f t="shared" si="35"/>
        <v>Any Water Heating</v>
      </c>
      <c r="J118" s="492" t="str">
        <f t="shared" si="24"/>
        <v>Commercial Showerhead Replacement_1_50gpm_School_ Any Water Heating_Mail-by-Request</v>
      </c>
      <c r="K118" s="493">
        <f>INDEX(InstallRatesCostAndLifetime!$A$2:$D$6,MATCH(InputForProCost!G118,InstallRatesCostAndLifetime!$A$2:$A$6,0),MATCH(InputForProCost!H118,InstallRatesCostAndLifetime!$A$2:$D$2,0))</f>
        <v>0.6</v>
      </c>
      <c r="L118" s="493">
        <f t="shared" si="36"/>
        <v>0.12</v>
      </c>
      <c r="M118" s="492"/>
      <c r="N118" s="492" t="str">
        <f t="shared" si="26"/>
        <v>School1_50</v>
      </c>
      <c r="O118" s="494">
        <f>VLOOKUP($N118,Impacts!$F$5:$Z$22,16,FALSE)</f>
        <v>164.66795441099504</v>
      </c>
      <c r="P118" s="494">
        <f>VLOOKUP($N118,Impacts!$F$5:$Z$22,17,FALSE)*K118</f>
        <v>4.5711674641148328</v>
      </c>
      <c r="Q118" s="495">
        <f>VLOOKUP($N118,Impacts!$F$5:$Z$22,19,FALSE)*K118</f>
        <v>4.4061322955023927</v>
      </c>
      <c r="R118" s="496">
        <f>VLOOKUP($N118,Impacts!$F$5:$Z$22,20,FALSE)*K118</f>
        <v>864.11483253588528</v>
      </c>
      <c r="S118" s="497">
        <f>VLOOKUP($N118,Impacts!$F$5:$Z$22,21,FALSE)*K118</f>
        <v>11.374070247973707</v>
      </c>
      <c r="T118" s="492"/>
      <c r="U118" s="492" t="str">
        <f t="shared" si="27"/>
        <v>Commercial Showerhead Replacement_1_50gpm_School_ Any Water Heating_Mail-by-Request</v>
      </c>
      <c r="V118" s="492" t="s">
        <v>440</v>
      </c>
      <c r="W118" s="494">
        <f t="shared" si="28"/>
        <v>11.856092717591642</v>
      </c>
      <c r="X118" s="492">
        <v>10</v>
      </c>
      <c r="Y118" s="498">
        <f t="shared" si="37"/>
        <v>8.1096944444444432</v>
      </c>
      <c r="Z118" s="492"/>
      <c r="AA118" s="499" t="s">
        <v>441</v>
      </c>
      <c r="AB118" s="497">
        <f t="shared" si="30"/>
        <v>11.374070247973707</v>
      </c>
      <c r="AC118" s="492"/>
      <c r="AD118" s="492"/>
      <c r="AE118" s="492"/>
      <c r="AF118" s="492"/>
      <c r="AG118" s="492"/>
      <c r="AH118" s="492"/>
      <c r="AI118" s="492">
        <f t="shared" si="31"/>
        <v>3.8773964200421056</v>
      </c>
      <c r="AJ118" s="492" t="s">
        <v>442</v>
      </c>
      <c r="AL118" s="283" t="e">
        <f t="shared" ca="1" si="38"/>
        <v>#NAME?</v>
      </c>
    </row>
    <row r="119" spans="1:38" hidden="1">
      <c r="A119" s="492">
        <f t="shared" si="33"/>
        <v>109</v>
      </c>
      <c r="B119" s="492">
        <f t="shared" si="39"/>
        <v>5</v>
      </c>
      <c r="C119" s="492">
        <f t="shared" si="39"/>
        <v>1</v>
      </c>
      <c r="D119" s="492">
        <f t="shared" si="39"/>
        <v>1</v>
      </c>
      <c r="E119" s="492">
        <f t="shared" si="21"/>
        <v>1</v>
      </c>
      <c r="F119" s="492" t="str">
        <f t="shared" si="22"/>
        <v>Any Commercial Except Fitness Center</v>
      </c>
      <c r="G119" s="492" t="str">
        <f t="shared" si="35"/>
        <v>Retail</v>
      </c>
      <c r="H119" s="492" t="str">
        <f t="shared" si="35"/>
        <v>2_00</v>
      </c>
      <c r="I119" s="492" t="str">
        <f t="shared" si="35"/>
        <v>Electric Water Heating</v>
      </c>
      <c r="J119" s="492" t="str">
        <f t="shared" si="24"/>
        <v>Commercial Showerhead Replacement_2_00gpm_Any Commercial Except Fitness Center_ Electric Water Heating_Retail</v>
      </c>
      <c r="K119" s="493">
        <f>INDEX(InstallRatesCostAndLifetime!$A$2:$D$6,MATCH(InputForProCost!G119,InstallRatesCostAndLifetime!$A$2:$A$6,0),MATCH(InputForProCost!H119,InstallRatesCostAndLifetime!$A$2:$D$2,0))</f>
        <v>0.8</v>
      </c>
      <c r="L119" s="493">
        <f t="shared" si="36"/>
        <v>1</v>
      </c>
      <c r="M119" s="492"/>
      <c r="N119" s="492" t="str">
        <f t="shared" si="26"/>
        <v>Any Commercial Except Fitness Center2_00</v>
      </c>
      <c r="O119" s="494">
        <f>VLOOKUP($N119,Impacts!$F$5:$Z$22,16,FALSE)</f>
        <v>137.4012997554845</v>
      </c>
      <c r="P119" s="494">
        <f>VLOOKUP($N119,Impacts!$F$5:$Z$22,17,FALSE)*K119</f>
        <v>5.1276455631010327</v>
      </c>
      <c r="Q119" s="495">
        <f>VLOOKUP($N119,Impacts!$F$5:$Z$22,19,FALSE)*K119</f>
        <v>4.9020531971922594</v>
      </c>
      <c r="R119" s="496">
        <f>VLOOKUP($N119,Impacts!$F$5:$Z$22,20,FALSE)*K119</f>
        <v>969.30918017032752</v>
      </c>
      <c r="S119" s="497">
        <f>VLOOKUP($N119,Impacts!$F$5:$Z$22,21,FALSE)*K119</f>
        <v>12.758710176179342</v>
      </c>
      <c r="T119" s="492"/>
      <c r="U119" s="492" t="str">
        <f t="shared" si="27"/>
        <v>Commercial Showerhead Replacement_2_00gpm_Any Commercial Except Fitness Center_ Electric Water Heating_Retail</v>
      </c>
      <c r="V119" s="492" t="s">
        <v>440</v>
      </c>
      <c r="W119" s="494">
        <f t="shared" si="28"/>
        <v>109.9210398043876</v>
      </c>
      <c r="X119" s="492">
        <v>10</v>
      </c>
      <c r="Y119" s="498">
        <f t="shared" si="37"/>
        <v>3.2966774171383419</v>
      </c>
      <c r="Z119" s="492"/>
      <c r="AA119" s="499" t="s">
        <v>441</v>
      </c>
      <c r="AB119" s="497">
        <f t="shared" si="30"/>
        <v>12.758710176179342</v>
      </c>
      <c r="AC119" s="492"/>
      <c r="AD119" s="492"/>
      <c r="AE119" s="492"/>
      <c r="AF119" s="492"/>
      <c r="AG119" s="492"/>
      <c r="AH119" s="492"/>
      <c r="AI119" s="492">
        <f t="shared" si="31"/>
        <v>0</v>
      </c>
      <c r="AJ119" s="492" t="s">
        <v>442</v>
      </c>
      <c r="AL119" s="283" t="e">
        <f t="shared" ca="1" si="38"/>
        <v>#NAME?</v>
      </c>
    </row>
    <row r="120" spans="1:38" hidden="1">
      <c r="A120" s="492">
        <f t="shared" si="33"/>
        <v>110</v>
      </c>
      <c r="B120" s="492">
        <f t="shared" si="39"/>
        <v>5</v>
      </c>
      <c r="C120" s="492">
        <f t="shared" si="39"/>
        <v>1</v>
      </c>
      <c r="D120" s="492">
        <f t="shared" si="39"/>
        <v>1</v>
      </c>
      <c r="E120" s="492">
        <f t="shared" si="21"/>
        <v>2</v>
      </c>
      <c r="F120" s="492" t="str">
        <f t="shared" si="22"/>
        <v>Any Commercial Except Fitness Center</v>
      </c>
      <c r="G120" s="492" t="str">
        <f t="shared" si="35"/>
        <v>Retail</v>
      </c>
      <c r="H120" s="492" t="str">
        <f t="shared" si="35"/>
        <v>2_00</v>
      </c>
      <c r="I120" s="492" t="str">
        <f t="shared" si="35"/>
        <v>Gas Water Heating</v>
      </c>
      <c r="J120" s="492" t="str">
        <f t="shared" si="24"/>
        <v>Commercial Showerhead Replacement_2_00gpm_Any Commercial Except Fitness Center_ Gas Water Heating_Retail</v>
      </c>
      <c r="K120" s="493">
        <f>INDEX(InstallRatesCostAndLifetime!$A$2:$D$6,MATCH(InputForProCost!G120,InstallRatesCostAndLifetime!$A$2:$A$6,0),MATCH(InputForProCost!H120,InstallRatesCostAndLifetime!$A$2:$D$2,0))</f>
        <v>0.8</v>
      </c>
      <c r="L120" s="493">
        <f t="shared" si="36"/>
        <v>0</v>
      </c>
      <c r="M120" s="492"/>
      <c r="N120" s="492" t="str">
        <f t="shared" si="26"/>
        <v>Any Commercial Except Fitness Center2_00</v>
      </c>
      <c r="O120" s="494">
        <f>VLOOKUP($N120,Impacts!$F$5:$Z$22,16,FALSE)</f>
        <v>137.4012997554845</v>
      </c>
      <c r="P120" s="494">
        <f>VLOOKUP($N120,Impacts!$F$5:$Z$22,17,FALSE)*K120</f>
        <v>5.1276455631010327</v>
      </c>
      <c r="Q120" s="495">
        <f>VLOOKUP($N120,Impacts!$F$5:$Z$22,19,FALSE)*K120</f>
        <v>4.9020531971922594</v>
      </c>
      <c r="R120" s="496">
        <f>VLOOKUP($N120,Impacts!$F$5:$Z$22,20,FALSE)*K120</f>
        <v>969.30918017032752</v>
      </c>
      <c r="S120" s="497">
        <f>VLOOKUP($N120,Impacts!$F$5:$Z$22,21,FALSE)*K120</f>
        <v>12.758710176179342</v>
      </c>
      <c r="T120" s="492"/>
      <c r="U120" s="492" t="str">
        <f t="shared" si="27"/>
        <v>Commercial Showerhead Replacement_2_00gpm_Any Commercial Except Fitness Center_ Gas Water Heating_Retail</v>
      </c>
      <c r="V120" s="492" t="s">
        <v>440</v>
      </c>
      <c r="W120" s="494">
        <f t="shared" si="28"/>
        <v>0</v>
      </c>
      <c r="X120" s="492">
        <v>10</v>
      </c>
      <c r="Y120" s="498">
        <f t="shared" si="37"/>
        <v>3.2966774171383419</v>
      </c>
      <c r="Z120" s="492"/>
      <c r="AA120" s="499" t="s">
        <v>441</v>
      </c>
      <c r="AB120" s="497">
        <f t="shared" si="30"/>
        <v>12.758710176179342</v>
      </c>
      <c r="AC120" s="492"/>
      <c r="AD120" s="492"/>
      <c r="AE120" s="492"/>
      <c r="AF120" s="492"/>
      <c r="AG120" s="492"/>
      <c r="AH120" s="492"/>
      <c r="AI120" s="492">
        <f t="shared" si="31"/>
        <v>4.9020531971922594</v>
      </c>
      <c r="AJ120" s="492" t="s">
        <v>442</v>
      </c>
      <c r="AL120" s="283" t="e">
        <f t="shared" ca="1" si="38"/>
        <v>#NAME?</v>
      </c>
    </row>
    <row r="121" spans="1:38" hidden="1">
      <c r="A121" s="492">
        <f t="shared" si="33"/>
        <v>111</v>
      </c>
      <c r="B121" s="492">
        <f t="shared" si="39"/>
        <v>5</v>
      </c>
      <c r="C121" s="492">
        <f t="shared" si="39"/>
        <v>1</v>
      </c>
      <c r="D121" s="492">
        <f t="shared" si="39"/>
        <v>1</v>
      </c>
      <c r="E121" s="492">
        <f t="shared" si="21"/>
        <v>3</v>
      </c>
      <c r="F121" s="492" t="str">
        <f t="shared" si="22"/>
        <v>Any Commercial Except Fitness Center</v>
      </c>
      <c r="G121" s="492" t="str">
        <f t="shared" si="35"/>
        <v>Retail</v>
      </c>
      <c r="H121" s="492" t="str">
        <f t="shared" si="35"/>
        <v>2_00</v>
      </c>
      <c r="I121" s="492" t="str">
        <f t="shared" si="35"/>
        <v>Any Water Heating</v>
      </c>
      <c r="J121" s="492" t="str">
        <f t="shared" si="24"/>
        <v>Commercial Showerhead Replacement_2_00gpm_Any Commercial Except Fitness Center_ Any Water Heating_Retail</v>
      </c>
      <c r="K121" s="493">
        <f>INDEX(InstallRatesCostAndLifetime!$A$2:$D$6,MATCH(InputForProCost!G121,InstallRatesCostAndLifetime!$A$2:$A$6,0),MATCH(InputForProCost!H121,InstallRatesCostAndLifetime!$A$2:$D$2,0))</f>
        <v>0.8</v>
      </c>
      <c r="L121" s="493">
        <f t="shared" si="36"/>
        <v>0.22510541424141675</v>
      </c>
      <c r="M121" s="492"/>
      <c r="N121" s="492" t="str">
        <f t="shared" si="26"/>
        <v>Any Commercial Except Fitness Center2_00</v>
      </c>
      <c r="O121" s="494">
        <f>VLOOKUP($N121,Impacts!$F$5:$Z$22,16,FALSE)</f>
        <v>137.4012997554845</v>
      </c>
      <c r="P121" s="494">
        <f>VLOOKUP($N121,Impacts!$F$5:$Z$22,17,FALSE)*K121</f>
        <v>5.1276455631010327</v>
      </c>
      <c r="Q121" s="495">
        <f>VLOOKUP($N121,Impacts!$F$5:$Z$22,19,FALSE)*K121</f>
        <v>4.9020531971922594</v>
      </c>
      <c r="R121" s="496">
        <f>VLOOKUP($N121,Impacts!$F$5:$Z$22,20,FALSE)*K121</f>
        <v>969.30918017032752</v>
      </c>
      <c r="S121" s="497">
        <f>VLOOKUP($N121,Impacts!$F$5:$Z$22,21,FALSE)*K121</f>
        <v>12.758710176179342</v>
      </c>
      <c r="T121" s="492"/>
      <c r="U121" s="492" t="str">
        <f t="shared" si="27"/>
        <v>Commercial Showerhead Replacement_2_00gpm_Any Commercial Except Fitness Center_ Any Water Heating_Retail</v>
      </c>
      <c r="V121" s="492" t="s">
        <v>440</v>
      </c>
      <c r="W121" s="494">
        <f t="shared" si="28"/>
        <v>24.743821199013933</v>
      </c>
      <c r="X121" s="492">
        <v>10</v>
      </c>
      <c r="Y121" s="498">
        <f t="shared" si="37"/>
        <v>3.2966774171383419</v>
      </c>
      <c r="Z121" s="492"/>
      <c r="AA121" s="499" t="s">
        <v>441</v>
      </c>
      <c r="AB121" s="497">
        <f t="shared" si="30"/>
        <v>12.758710176179342</v>
      </c>
      <c r="AC121" s="492"/>
      <c r="AD121" s="492"/>
      <c r="AE121" s="492"/>
      <c r="AF121" s="492"/>
      <c r="AG121" s="492"/>
      <c r="AH121" s="492"/>
      <c r="AI121" s="492">
        <f t="shared" si="31"/>
        <v>3.7985744816048346</v>
      </c>
      <c r="AJ121" s="492" t="s">
        <v>442</v>
      </c>
      <c r="AL121" s="283" t="e">
        <f t="shared" ca="1" si="38"/>
        <v>#NAME?</v>
      </c>
    </row>
    <row r="122" spans="1:38" hidden="1">
      <c r="A122" s="492">
        <f t="shared" si="33"/>
        <v>112</v>
      </c>
      <c r="B122" s="492">
        <f t="shared" si="39"/>
        <v>5</v>
      </c>
      <c r="C122" s="492">
        <f t="shared" si="39"/>
        <v>1</v>
      </c>
      <c r="D122" s="492">
        <f t="shared" si="39"/>
        <v>2</v>
      </c>
      <c r="E122" s="492">
        <f t="shared" si="21"/>
        <v>1</v>
      </c>
      <c r="F122" s="492" t="str">
        <f t="shared" si="22"/>
        <v>Any Commercial Except Fitness Center</v>
      </c>
      <c r="G122" s="492" t="str">
        <f t="shared" si="35"/>
        <v>Retail</v>
      </c>
      <c r="H122" s="492" t="str">
        <f t="shared" si="35"/>
        <v>1_75</v>
      </c>
      <c r="I122" s="492" t="str">
        <f t="shared" si="35"/>
        <v>Electric Water Heating</v>
      </c>
      <c r="J122" s="492" t="str">
        <f t="shared" si="24"/>
        <v>Commercial Showerhead Replacement_1_75gpm_Any Commercial Except Fitness Center_ Electric Water Heating_Retail</v>
      </c>
      <c r="K122" s="493">
        <f>INDEX(InstallRatesCostAndLifetime!$A$2:$D$6,MATCH(InputForProCost!G122,InstallRatesCostAndLifetime!$A$2:$A$6,0),MATCH(InputForProCost!H122,InstallRatesCostAndLifetime!$A$2:$D$2,0))</f>
        <v>0.75</v>
      </c>
      <c r="L122" s="493">
        <f t="shared" si="36"/>
        <v>1</v>
      </c>
      <c r="M122" s="492"/>
      <c r="N122" s="492" t="str">
        <f t="shared" si="26"/>
        <v>Any Commercial Except Fitness Center1_75</v>
      </c>
      <c r="O122" s="494">
        <f>VLOOKUP($N122,Impacts!$F$5:$Z$22,16,FALSE)</f>
        <v>146.63674024868033</v>
      </c>
      <c r="P122" s="494">
        <f>VLOOKUP($N122,Impacts!$F$5:$Z$22,17,FALSE)*K122</f>
        <v>5.4080636798331234</v>
      </c>
      <c r="Q122" s="495">
        <f>VLOOKUP($N122,Impacts!$F$5:$Z$22,19,FALSE)*K122</f>
        <v>4.9045735646316224</v>
      </c>
      <c r="R122" s="496">
        <f>VLOOKUP($N122,Impacts!$F$5:$Z$22,20,FALSE)*K122</f>
        <v>1022.3182759608928</v>
      </c>
      <c r="S122" s="497">
        <f>VLOOKUP($N122,Impacts!$F$5:$Z$22,21,FALSE)*K122</f>
        <v>13.456452138939159</v>
      </c>
      <c r="T122" s="492"/>
      <c r="U122" s="492" t="str">
        <f t="shared" si="27"/>
        <v>Commercial Showerhead Replacement_1_75gpm_Any Commercial Except Fitness Center_ Electric Water Heating_Retail</v>
      </c>
      <c r="V122" s="492" t="s">
        <v>440</v>
      </c>
      <c r="W122" s="494">
        <f t="shared" si="28"/>
        <v>109.97755518651024</v>
      </c>
      <c r="X122" s="492">
        <v>10</v>
      </c>
      <c r="Y122" s="498">
        <f t="shared" si="37"/>
        <v>3.2966774171383419</v>
      </c>
      <c r="Z122" s="492"/>
      <c r="AA122" s="499" t="s">
        <v>441</v>
      </c>
      <c r="AB122" s="497">
        <f t="shared" si="30"/>
        <v>13.456452138939159</v>
      </c>
      <c r="AC122" s="492"/>
      <c r="AD122" s="492"/>
      <c r="AE122" s="492"/>
      <c r="AF122" s="492"/>
      <c r="AG122" s="492"/>
      <c r="AH122" s="492"/>
      <c r="AI122" s="492">
        <f t="shared" si="31"/>
        <v>0</v>
      </c>
      <c r="AJ122" s="492" t="s">
        <v>442</v>
      </c>
      <c r="AL122" s="283" t="e">
        <f t="shared" ca="1" si="38"/>
        <v>#NAME?</v>
      </c>
    </row>
    <row r="123" spans="1:38" hidden="1">
      <c r="A123" s="492">
        <f t="shared" si="33"/>
        <v>113</v>
      </c>
      <c r="B123" s="492">
        <f t="shared" si="39"/>
        <v>5</v>
      </c>
      <c r="C123" s="492">
        <f t="shared" si="39"/>
        <v>1</v>
      </c>
      <c r="D123" s="492">
        <f t="shared" si="39"/>
        <v>2</v>
      </c>
      <c r="E123" s="492">
        <f t="shared" si="21"/>
        <v>2</v>
      </c>
      <c r="F123" s="492" t="str">
        <f t="shared" si="22"/>
        <v>Any Commercial Except Fitness Center</v>
      </c>
      <c r="G123" s="492" t="str">
        <f t="shared" si="35"/>
        <v>Retail</v>
      </c>
      <c r="H123" s="492" t="str">
        <f t="shared" si="35"/>
        <v>1_75</v>
      </c>
      <c r="I123" s="492" t="str">
        <f t="shared" si="35"/>
        <v>Gas Water Heating</v>
      </c>
      <c r="J123" s="492" t="str">
        <f t="shared" si="24"/>
        <v>Commercial Showerhead Replacement_1_75gpm_Any Commercial Except Fitness Center_ Gas Water Heating_Retail</v>
      </c>
      <c r="K123" s="493">
        <f>INDEX(InstallRatesCostAndLifetime!$A$2:$D$6,MATCH(InputForProCost!G123,InstallRatesCostAndLifetime!$A$2:$A$6,0),MATCH(InputForProCost!H123,InstallRatesCostAndLifetime!$A$2:$D$2,0))</f>
        <v>0.75</v>
      </c>
      <c r="L123" s="493">
        <f t="shared" si="36"/>
        <v>0</v>
      </c>
      <c r="M123" s="492"/>
      <c r="N123" s="492" t="str">
        <f t="shared" si="26"/>
        <v>Any Commercial Except Fitness Center1_75</v>
      </c>
      <c r="O123" s="494">
        <f>VLOOKUP($N123,Impacts!$F$5:$Z$22,16,FALSE)</f>
        <v>146.63674024868033</v>
      </c>
      <c r="P123" s="494">
        <f>VLOOKUP($N123,Impacts!$F$5:$Z$22,17,FALSE)*K123</f>
        <v>5.4080636798331234</v>
      </c>
      <c r="Q123" s="495">
        <f>VLOOKUP($N123,Impacts!$F$5:$Z$22,19,FALSE)*K123</f>
        <v>4.9045735646316224</v>
      </c>
      <c r="R123" s="496">
        <f>VLOOKUP($N123,Impacts!$F$5:$Z$22,20,FALSE)*K123</f>
        <v>1022.3182759608928</v>
      </c>
      <c r="S123" s="497">
        <f>VLOOKUP($N123,Impacts!$F$5:$Z$22,21,FALSE)*K123</f>
        <v>13.456452138939159</v>
      </c>
      <c r="T123" s="492"/>
      <c r="U123" s="492" t="str">
        <f t="shared" si="27"/>
        <v>Commercial Showerhead Replacement_1_75gpm_Any Commercial Except Fitness Center_ Gas Water Heating_Retail</v>
      </c>
      <c r="V123" s="492" t="s">
        <v>440</v>
      </c>
      <c r="W123" s="494">
        <f t="shared" si="28"/>
        <v>0</v>
      </c>
      <c r="X123" s="492">
        <v>10</v>
      </c>
      <c r="Y123" s="498">
        <f t="shared" si="37"/>
        <v>3.2966774171383419</v>
      </c>
      <c r="Z123" s="492"/>
      <c r="AA123" s="499" t="s">
        <v>441</v>
      </c>
      <c r="AB123" s="497">
        <f t="shared" si="30"/>
        <v>13.456452138939159</v>
      </c>
      <c r="AC123" s="492"/>
      <c r="AD123" s="492"/>
      <c r="AE123" s="492"/>
      <c r="AF123" s="492"/>
      <c r="AG123" s="492"/>
      <c r="AH123" s="492"/>
      <c r="AI123" s="492">
        <f t="shared" si="31"/>
        <v>4.9045735646316224</v>
      </c>
      <c r="AJ123" s="492" t="s">
        <v>442</v>
      </c>
      <c r="AL123" s="283" t="e">
        <f t="shared" ca="1" si="38"/>
        <v>#NAME?</v>
      </c>
    </row>
    <row r="124" spans="1:38" hidden="1">
      <c r="A124" s="492">
        <f t="shared" si="33"/>
        <v>114</v>
      </c>
      <c r="B124" s="492">
        <f t="shared" si="39"/>
        <v>5</v>
      </c>
      <c r="C124" s="492">
        <f t="shared" si="39"/>
        <v>1</v>
      </c>
      <c r="D124" s="492">
        <f t="shared" si="39"/>
        <v>2</v>
      </c>
      <c r="E124" s="492">
        <f t="shared" si="21"/>
        <v>3</v>
      </c>
      <c r="F124" s="492" t="str">
        <f t="shared" si="22"/>
        <v>Any Commercial Except Fitness Center</v>
      </c>
      <c r="G124" s="492" t="str">
        <f t="shared" si="35"/>
        <v>Retail</v>
      </c>
      <c r="H124" s="492" t="str">
        <f t="shared" si="35"/>
        <v>1_75</v>
      </c>
      <c r="I124" s="492" t="str">
        <f t="shared" si="35"/>
        <v>Any Water Heating</v>
      </c>
      <c r="J124" s="492" t="str">
        <f t="shared" si="24"/>
        <v>Commercial Showerhead Replacement_1_75gpm_Any Commercial Except Fitness Center_ Any Water Heating_Retail</v>
      </c>
      <c r="K124" s="493">
        <f>INDEX(InstallRatesCostAndLifetime!$A$2:$D$6,MATCH(InputForProCost!G124,InstallRatesCostAndLifetime!$A$2:$A$6,0),MATCH(InputForProCost!H124,InstallRatesCostAndLifetime!$A$2:$D$2,0))</f>
        <v>0.75</v>
      </c>
      <c r="L124" s="493">
        <f t="shared" si="36"/>
        <v>0.22510541424141675</v>
      </c>
      <c r="M124" s="492"/>
      <c r="N124" s="492" t="str">
        <f t="shared" si="26"/>
        <v>Any Commercial Except Fitness Center1_75</v>
      </c>
      <c r="O124" s="494">
        <f>VLOOKUP($N124,Impacts!$F$5:$Z$22,16,FALSE)</f>
        <v>146.63674024868033</v>
      </c>
      <c r="P124" s="494">
        <f>VLOOKUP($N124,Impacts!$F$5:$Z$22,17,FALSE)*K124</f>
        <v>5.4080636798331234</v>
      </c>
      <c r="Q124" s="495">
        <f>VLOOKUP($N124,Impacts!$F$5:$Z$22,19,FALSE)*K124</f>
        <v>4.9045735646316224</v>
      </c>
      <c r="R124" s="496">
        <f>VLOOKUP($N124,Impacts!$F$5:$Z$22,20,FALSE)*K124</f>
        <v>1022.3182759608928</v>
      </c>
      <c r="S124" s="497">
        <f>VLOOKUP($N124,Impacts!$F$5:$Z$22,21,FALSE)*K124</f>
        <v>13.456452138939159</v>
      </c>
      <c r="T124" s="492"/>
      <c r="U124" s="492" t="str">
        <f t="shared" si="27"/>
        <v>Commercial Showerhead Replacement_1_75gpm_Any Commercial Except Fitness Center_ Any Water Heating_Retail</v>
      </c>
      <c r="V124" s="492" t="s">
        <v>440</v>
      </c>
      <c r="W124" s="494">
        <f t="shared" si="28"/>
        <v>24.756543117517658</v>
      </c>
      <c r="X124" s="492">
        <v>10</v>
      </c>
      <c r="Y124" s="498">
        <f t="shared" si="37"/>
        <v>3.2966774171383419</v>
      </c>
      <c r="Z124" s="492"/>
      <c r="AA124" s="499" t="s">
        <v>441</v>
      </c>
      <c r="AB124" s="497">
        <f t="shared" si="30"/>
        <v>13.456452138939159</v>
      </c>
      <c r="AC124" s="492"/>
      <c r="AD124" s="492"/>
      <c r="AE124" s="492"/>
      <c r="AF124" s="492"/>
      <c r="AG124" s="492"/>
      <c r="AH124" s="492"/>
      <c r="AI124" s="492">
        <f t="shared" si="31"/>
        <v>3.8005275006877191</v>
      </c>
      <c r="AJ124" s="492" t="s">
        <v>442</v>
      </c>
      <c r="AL124" s="283" t="e">
        <f t="shared" ca="1" si="38"/>
        <v>#NAME?</v>
      </c>
    </row>
    <row r="125" spans="1:38" hidden="1">
      <c r="A125" s="492">
        <f t="shared" si="33"/>
        <v>115</v>
      </c>
      <c r="B125" s="492">
        <f t="shared" si="39"/>
        <v>5</v>
      </c>
      <c r="C125" s="492">
        <f t="shared" si="39"/>
        <v>1</v>
      </c>
      <c r="D125" s="492">
        <f t="shared" si="39"/>
        <v>3</v>
      </c>
      <c r="E125" s="492">
        <f t="shared" si="21"/>
        <v>1</v>
      </c>
      <c r="F125" s="492" t="str">
        <f t="shared" si="22"/>
        <v>Any Commercial Except Fitness Center</v>
      </c>
      <c r="G125" s="492" t="str">
        <f t="shared" si="35"/>
        <v>Retail</v>
      </c>
      <c r="H125" s="492" t="str">
        <f t="shared" si="35"/>
        <v>1_50</v>
      </c>
      <c r="I125" s="492" t="str">
        <f t="shared" si="35"/>
        <v>Electric Water Heating</v>
      </c>
      <c r="J125" s="492" t="str">
        <f t="shared" si="24"/>
        <v>Commercial Showerhead Replacement_1_50gpm_Any Commercial Except Fitness Center_ Electric Water Heating_Retail</v>
      </c>
      <c r="K125" s="493">
        <f>INDEX(InstallRatesCostAndLifetime!$A$2:$D$6,MATCH(InputForProCost!G125,InstallRatesCostAndLifetime!$A$2:$A$6,0),MATCH(InputForProCost!H125,InstallRatesCostAndLifetime!$A$2:$D$2,0))</f>
        <v>0.7</v>
      </c>
      <c r="L125" s="493">
        <f t="shared" si="36"/>
        <v>1</v>
      </c>
      <c r="M125" s="492"/>
      <c r="N125" s="492" t="str">
        <f t="shared" si="26"/>
        <v>Any Commercial Except Fitness Center1_50</v>
      </c>
      <c r="O125" s="494">
        <f>VLOOKUP($N125,Impacts!$F$5:$Z$22,16,FALSE)</f>
        <v>242.43720506615773</v>
      </c>
      <c r="P125" s="494">
        <f>VLOOKUP($N125,Impacts!$F$5:$Z$22,17,FALSE)*K125</f>
        <v>7.8517072684984566</v>
      </c>
      <c r="Q125" s="495">
        <f>VLOOKUP($N125,Impacts!$F$5:$Z$22,19,FALSE)*K125</f>
        <v>7.5682331137831262</v>
      </c>
      <c r="R125" s="496">
        <f>VLOOKUP($N125,Impacts!$F$5:$Z$22,20,FALSE)*K125</f>
        <v>1484.2546821358139</v>
      </c>
      <c r="S125" s="497">
        <f>VLOOKUP($N125,Impacts!$F$5:$Z$22,21,FALSE)*K125</f>
        <v>19.53677495727462</v>
      </c>
      <c r="T125" s="492"/>
      <c r="U125" s="492" t="str">
        <f t="shared" si="27"/>
        <v>Commercial Showerhead Replacement_1_50gpm_Any Commercial Except Fitness Center_ Electric Water Heating_Retail</v>
      </c>
      <c r="V125" s="492" t="s">
        <v>440</v>
      </c>
      <c r="W125" s="494">
        <f t="shared" si="28"/>
        <v>169.70604354631041</v>
      </c>
      <c r="X125" s="492">
        <v>10</v>
      </c>
      <c r="Y125" s="498">
        <f t="shared" si="37"/>
        <v>3.2966774171383419</v>
      </c>
      <c r="Z125" s="492"/>
      <c r="AA125" s="499" t="s">
        <v>441</v>
      </c>
      <c r="AB125" s="497">
        <f t="shared" si="30"/>
        <v>19.53677495727462</v>
      </c>
      <c r="AC125" s="492"/>
      <c r="AD125" s="492"/>
      <c r="AE125" s="492"/>
      <c r="AF125" s="492"/>
      <c r="AG125" s="492"/>
      <c r="AH125" s="492"/>
      <c r="AI125" s="492">
        <f t="shared" si="31"/>
        <v>0</v>
      </c>
      <c r="AJ125" s="492" t="s">
        <v>442</v>
      </c>
      <c r="AL125" s="283" t="e">
        <f t="shared" ca="1" si="38"/>
        <v>#NAME?</v>
      </c>
    </row>
    <row r="126" spans="1:38" hidden="1">
      <c r="A126" s="492">
        <f t="shared" si="33"/>
        <v>116</v>
      </c>
      <c r="B126" s="492">
        <f t="shared" si="39"/>
        <v>5</v>
      </c>
      <c r="C126" s="492">
        <f t="shared" si="39"/>
        <v>1</v>
      </c>
      <c r="D126" s="492">
        <f t="shared" si="39"/>
        <v>3</v>
      </c>
      <c r="E126" s="492">
        <f t="shared" si="21"/>
        <v>2</v>
      </c>
      <c r="F126" s="492" t="str">
        <f t="shared" si="22"/>
        <v>Any Commercial Except Fitness Center</v>
      </c>
      <c r="G126" s="492" t="str">
        <f t="shared" si="35"/>
        <v>Retail</v>
      </c>
      <c r="H126" s="492" t="str">
        <f t="shared" si="35"/>
        <v>1_50</v>
      </c>
      <c r="I126" s="492" t="str">
        <f t="shared" si="35"/>
        <v>Gas Water Heating</v>
      </c>
      <c r="J126" s="492" t="str">
        <f t="shared" si="24"/>
        <v>Commercial Showerhead Replacement_1_50gpm_Any Commercial Except Fitness Center_ Gas Water Heating_Retail</v>
      </c>
      <c r="K126" s="493">
        <f>INDEX(InstallRatesCostAndLifetime!$A$2:$D$6,MATCH(InputForProCost!G126,InstallRatesCostAndLifetime!$A$2:$A$6,0),MATCH(InputForProCost!H126,InstallRatesCostAndLifetime!$A$2:$D$2,0))</f>
        <v>0.7</v>
      </c>
      <c r="L126" s="493">
        <f t="shared" si="36"/>
        <v>0</v>
      </c>
      <c r="M126" s="492"/>
      <c r="N126" s="492" t="str">
        <f t="shared" si="26"/>
        <v>Any Commercial Except Fitness Center1_50</v>
      </c>
      <c r="O126" s="494">
        <f>VLOOKUP($N126,Impacts!$F$5:$Z$22,16,FALSE)</f>
        <v>242.43720506615773</v>
      </c>
      <c r="P126" s="494">
        <f>VLOOKUP($N126,Impacts!$F$5:$Z$22,17,FALSE)*K126</f>
        <v>7.8517072684984566</v>
      </c>
      <c r="Q126" s="495">
        <f>VLOOKUP($N126,Impacts!$F$5:$Z$22,19,FALSE)*K126</f>
        <v>7.5682331137831262</v>
      </c>
      <c r="R126" s="496">
        <f>VLOOKUP($N126,Impacts!$F$5:$Z$22,20,FALSE)*K126</f>
        <v>1484.2546821358139</v>
      </c>
      <c r="S126" s="497">
        <f>VLOOKUP($N126,Impacts!$F$5:$Z$22,21,FALSE)*K126</f>
        <v>19.53677495727462</v>
      </c>
      <c r="T126" s="492"/>
      <c r="U126" s="492" t="str">
        <f t="shared" si="27"/>
        <v>Commercial Showerhead Replacement_1_50gpm_Any Commercial Except Fitness Center_ Gas Water Heating_Retail</v>
      </c>
      <c r="V126" s="492" t="s">
        <v>440</v>
      </c>
      <c r="W126" s="494">
        <f t="shared" si="28"/>
        <v>0</v>
      </c>
      <c r="X126" s="492">
        <v>10</v>
      </c>
      <c r="Y126" s="498">
        <f t="shared" si="37"/>
        <v>3.2966774171383419</v>
      </c>
      <c r="Z126" s="492"/>
      <c r="AA126" s="499" t="s">
        <v>441</v>
      </c>
      <c r="AB126" s="497">
        <f t="shared" si="30"/>
        <v>19.53677495727462</v>
      </c>
      <c r="AC126" s="492"/>
      <c r="AD126" s="492"/>
      <c r="AE126" s="492"/>
      <c r="AF126" s="492"/>
      <c r="AG126" s="492"/>
      <c r="AH126" s="492"/>
      <c r="AI126" s="492">
        <f t="shared" si="31"/>
        <v>7.5682331137831262</v>
      </c>
      <c r="AJ126" s="492" t="s">
        <v>442</v>
      </c>
      <c r="AL126" s="283" t="e">
        <f t="shared" ca="1" si="38"/>
        <v>#NAME?</v>
      </c>
    </row>
    <row r="127" spans="1:38" hidden="1">
      <c r="A127" s="492">
        <f t="shared" si="33"/>
        <v>117</v>
      </c>
      <c r="B127" s="492">
        <f t="shared" si="39"/>
        <v>5</v>
      </c>
      <c r="C127" s="492">
        <f t="shared" si="39"/>
        <v>1</v>
      </c>
      <c r="D127" s="492">
        <f t="shared" si="39"/>
        <v>3</v>
      </c>
      <c r="E127" s="492">
        <f t="shared" si="21"/>
        <v>3</v>
      </c>
      <c r="F127" s="492" t="str">
        <f t="shared" si="22"/>
        <v>Any Commercial Except Fitness Center</v>
      </c>
      <c r="G127" s="492" t="str">
        <f t="shared" si="35"/>
        <v>Retail</v>
      </c>
      <c r="H127" s="492" t="str">
        <f t="shared" si="35"/>
        <v>1_50</v>
      </c>
      <c r="I127" s="492" t="str">
        <f t="shared" si="35"/>
        <v>Any Water Heating</v>
      </c>
      <c r="J127" s="492" t="str">
        <f t="shared" si="24"/>
        <v>Commercial Showerhead Replacement_1_50gpm_Any Commercial Except Fitness Center_ Any Water Heating_Retail</v>
      </c>
      <c r="K127" s="493">
        <f>INDEX(InstallRatesCostAndLifetime!$A$2:$D$6,MATCH(InputForProCost!G127,InstallRatesCostAndLifetime!$A$2:$A$6,0),MATCH(InputForProCost!H127,InstallRatesCostAndLifetime!$A$2:$D$2,0))</f>
        <v>0.7</v>
      </c>
      <c r="L127" s="493">
        <f t="shared" si="36"/>
        <v>0.22510541424141675</v>
      </c>
      <c r="M127" s="492"/>
      <c r="N127" s="492" t="str">
        <f t="shared" si="26"/>
        <v>Any Commercial Except Fitness Center1_50</v>
      </c>
      <c r="O127" s="494">
        <f>VLOOKUP($N127,Impacts!$F$5:$Z$22,16,FALSE)</f>
        <v>242.43720506615773</v>
      </c>
      <c r="P127" s="494">
        <f>VLOOKUP($N127,Impacts!$F$5:$Z$22,17,FALSE)*K127</f>
        <v>7.8517072684984566</v>
      </c>
      <c r="Q127" s="495">
        <f>VLOOKUP($N127,Impacts!$F$5:$Z$22,19,FALSE)*K127</f>
        <v>7.5682331137831262</v>
      </c>
      <c r="R127" s="496">
        <f>VLOOKUP($N127,Impacts!$F$5:$Z$22,20,FALSE)*K127</f>
        <v>1484.2546821358139</v>
      </c>
      <c r="S127" s="497">
        <f>VLOOKUP($N127,Impacts!$F$5:$Z$22,21,FALSE)*K127</f>
        <v>19.53677495727462</v>
      </c>
      <c r="T127" s="492"/>
      <c r="U127" s="492" t="str">
        <f t="shared" si="27"/>
        <v>Commercial Showerhead Replacement_1_50gpm_Any Commercial Except Fitness Center_ Any Water Heating_Retail</v>
      </c>
      <c r="V127" s="492" t="s">
        <v>440</v>
      </c>
      <c r="W127" s="494">
        <f t="shared" si="28"/>
        <v>38.201749231764111</v>
      </c>
      <c r="X127" s="492">
        <v>10</v>
      </c>
      <c r="Y127" s="498">
        <f t="shared" si="37"/>
        <v>3.2966774171383419</v>
      </c>
      <c r="Z127" s="492"/>
      <c r="AA127" s="499" t="s">
        <v>441</v>
      </c>
      <c r="AB127" s="497">
        <f t="shared" si="30"/>
        <v>19.53677495727462</v>
      </c>
      <c r="AC127" s="492"/>
      <c r="AD127" s="492"/>
      <c r="AE127" s="492"/>
      <c r="AF127" s="492"/>
      <c r="AG127" s="492"/>
      <c r="AH127" s="492"/>
      <c r="AI127" s="492">
        <f t="shared" si="31"/>
        <v>5.8645828636293684</v>
      </c>
      <c r="AJ127" s="492" t="s">
        <v>442</v>
      </c>
      <c r="AL127" s="283" t="e">
        <f t="shared" ca="1" si="38"/>
        <v>#NAME?</v>
      </c>
    </row>
    <row r="128" spans="1:38" hidden="1">
      <c r="A128" s="492">
        <f t="shared" si="33"/>
        <v>118</v>
      </c>
      <c r="B128" s="492">
        <f t="shared" si="39"/>
        <v>5</v>
      </c>
      <c r="C128" s="492">
        <f t="shared" si="39"/>
        <v>2</v>
      </c>
      <c r="D128" s="492">
        <f t="shared" si="39"/>
        <v>1</v>
      </c>
      <c r="E128" s="492">
        <f t="shared" si="21"/>
        <v>1</v>
      </c>
      <c r="F128" s="492" t="str">
        <f t="shared" si="22"/>
        <v>Any Commercial Except Fitness Center</v>
      </c>
      <c r="G128" s="492" t="str">
        <f t="shared" si="35"/>
        <v>Direct Install</v>
      </c>
      <c r="H128" s="492" t="str">
        <f t="shared" si="35"/>
        <v>2_00</v>
      </c>
      <c r="I128" s="492" t="str">
        <f t="shared" si="35"/>
        <v>Electric Water Heating</v>
      </c>
      <c r="J128" s="492" t="str">
        <f t="shared" si="24"/>
        <v>Commercial Showerhead Replacement_2_00gpm_Any Commercial Except Fitness Center_ Electric Water Heating_Direct Install</v>
      </c>
      <c r="K128" s="493">
        <f>INDEX(InstallRatesCostAndLifetime!$A$2:$D$6,MATCH(InputForProCost!G128,InstallRatesCostAndLifetime!$A$2:$A$6,0),MATCH(InputForProCost!H128,InstallRatesCostAndLifetime!$A$2:$D$2,0))</f>
        <v>0.9</v>
      </c>
      <c r="L128" s="493">
        <f t="shared" si="36"/>
        <v>1</v>
      </c>
      <c r="M128" s="492"/>
      <c r="N128" s="492" t="str">
        <f t="shared" si="26"/>
        <v>Any Commercial Except Fitness Center2_00</v>
      </c>
      <c r="O128" s="494">
        <f>VLOOKUP($N128,Impacts!$F$5:$Z$22,16,FALSE)</f>
        <v>137.4012997554845</v>
      </c>
      <c r="P128" s="494">
        <f>VLOOKUP($N128,Impacts!$F$5:$Z$22,17,FALSE)*K128</f>
        <v>5.768601258488661</v>
      </c>
      <c r="Q128" s="495">
        <f>VLOOKUP($N128,Impacts!$F$5:$Z$22,19,FALSE)*K128</f>
        <v>5.5148098468412918</v>
      </c>
      <c r="R128" s="496">
        <f>VLOOKUP($N128,Impacts!$F$5:$Z$22,20,FALSE)*K128</f>
        <v>1090.4728276916185</v>
      </c>
      <c r="S128" s="497">
        <f>VLOOKUP($N128,Impacts!$F$5:$Z$22,21,FALSE)*K128</f>
        <v>14.353548948201761</v>
      </c>
      <c r="T128" s="492"/>
      <c r="U128" s="492" t="str">
        <f t="shared" si="27"/>
        <v>Commercial Showerhead Replacement_2_00gpm_Any Commercial Except Fitness Center_ Electric Water Heating_Direct Install</v>
      </c>
      <c r="V128" s="492" t="s">
        <v>440</v>
      </c>
      <c r="W128" s="494">
        <f t="shared" si="28"/>
        <v>123.66116977993606</v>
      </c>
      <c r="X128" s="492">
        <v>10</v>
      </c>
      <c r="Y128" s="498">
        <f t="shared" si="37"/>
        <v>11.336666666666666</v>
      </c>
      <c r="Z128" s="492"/>
      <c r="AA128" s="499" t="s">
        <v>441</v>
      </c>
      <c r="AB128" s="497">
        <f t="shared" si="30"/>
        <v>14.353548948201761</v>
      </c>
      <c r="AC128" s="492"/>
      <c r="AD128" s="492"/>
      <c r="AE128" s="492"/>
      <c r="AF128" s="492"/>
      <c r="AG128" s="492"/>
      <c r="AH128" s="492"/>
      <c r="AI128" s="492">
        <f t="shared" si="31"/>
        <v>0</v>
      </c>
      <c r="AJ128" s="492" t="s">
        <v>442</v>
      </c>
      <c r="AL128" s="283" t="e">
        <f t="shared" ca="1" si="38"/>
        <v>#NAME?</v>
      </c>
    </row>
    <row r="129" spans="1:38" hidden="1">
      <c r="A129" s="492">
        <f t="shared" si="33"/>
        <v>119</v>
      </c>
      <c r="B129" s="492">
        <f t="shared" si="39"/>
        <v>5</v>
      </c>
      <c r="C129" s="492">
        <f t="shared" si="39"/>
        <v>2</v>
      </c>
      <c r="D129" s="492">
        <f t="shared" si="39"/>
        <v>1</v>
      </c>
      <c r="E129" s="492">
        <f t="shared" si="21"/>
        <v>2</v>
      </c>
      <c r="F129" s="492" t="str">
        <f t="shared" si="22"/>
        <v>Any Commercial Except Fitness Center</v>
      </c>
      <c r="G129" s="492" t="str">
        <f t="shared" si="35"/>
        <v>Direct Install</v>
      </c>
      <c r="H129" s="492" t="str">
        <f t="shared" si="35"/>
        <v>2_00</v>
      </c>
      <c r="I129" s="492" t="str">
        <f t="shared" si="35"/>
        <v>Gas Water Heating</v>
      </c>
      <c r="J129" s="492" t="str">
        <f t="shared" si="24"/>
        <v>Commercial Showerhead Replacement_2_00gpm_Any Commercial Except Fitness Center_ Gas Water Heating_Direct Install</v>
      </c>
      <c r="K129" s="493">
        <f>INDEX(InstallRatesCostAndLifetime!$A$2:$D$6,MATCH(InputForProCost!G129,InstallRatesCostAndLifetime!$A$2:$A$6,0),MATCH(InputForProCost!H129,InstallRatesCostAndLifetime!$A$2:$D$2,0))</f>
        <v>0.9</v>
      </c>
      <c r="L129" s="493">
        <f t="shared" si="36"/>
        <v>0</v>
      </c>
      <c r="M129" s="492"/>
      <c r="N129" s="492" t="str">
        <f t="shared" si="26"/>
        <v>Any Commercial Except Fitness Center2_00</v>
      </c>
      <c r="O129" s="494">
        <f>VLOOKUP($N129,Impacts!$F$5:$Z$22,16,FALSE)</f>
        <v>137.4012997554845</v>
      </c>
      <c r="P129" s="494">
        <f>VLOOKUP($N129,Impacts!$F$5:$Z$22,17,FALSE)*K129</f>
        <v>5.768601258488661</v>
      </c>
      <c r="Q129" s="495">
        <f>VLOOKUP($N129,Impacts!$F$5:$Z$22,19,FALSE)*K129</f>
        <v>5.5148098468412918</v>
      </c>
      <c r="R129" s="496">
        <f>VLOOKUP($N129,Impacts!$F$5:$Z$22,20,FALSE)*K129</f>
        <v>1090.4728276916185</v>
      </c>
      <c r="S129" s="497">
        <f>VLOOKUP($N129,Impacts!$F$5:$Z$22,21,FALSE)*K129</f>
        <v>14.353548948201761</v>
      </c>
      <c r="T129" s="492"/>
      <c r="U129" s="492" t="str">
        <f t="shared" si="27"/>
        <v>Commercial Showerhead Replacement_2_00gpm_Any Commercial Except Fitness Center_ Gas Water Heating_Direct Install</v>
      </c>
      <c r="V129" s="492" t="s">
        <v>440</v>
      </c>
      <c r="W129" s="494">
        <f t="shared" si="28"/>
        <v>0</v>
      </c>
      <c r="X129" s="492">
        <v>10</v>
      </c>
      <c r="Y129" s="498">
        <f t="shared" si="37"/>
        <v>11.336666666666666</v>
      </c>
      <c r="Z129" s="492"/>
      <c r="AA129" s="499" t="s">
        <v>441</v>
      </c>
      <c r="AB129" s="497">
        <f t="shared" si="30"/>
        <v>14.353548948201761</v>
      </c>
      <c r="AC129" s="492"/>
      <c r="AD129" s="492"/>
      <c r="AE129" s="492"/>
      <c r="AF129" s="492"/>
      <c r="AG129" s="492"/>
      <c r="AH129" s="492"/>
      <c r="AI129" s="492">
        <f t="shared" si="31"/>
        <v>5.5148098468412918</v>
      </c>
      <c r="AJ129" s="492" t="s">
        <v>442</v>
      </c>
      <c r="AL129" s="283" t="e">
        <f t="shared" ca="1" si="38"/>
        <v>#NAME?</v>
      </c>
    </row>
    <row r="130" spans="1:38" hidden="1">
      <c r="A130" s="492">
        <f t="shared" si="33"/>
        <v>120</v>
      </c>
      <c r="B130" s="492">
        <f t="shared" si="39"/>
        <v>5</v>
      </c>
      <c r="C130" s="492">
        <f t="shared" si="39"/>
        <v>2</v>
      </c>
      <c r="D130" s="492">
        <f t="shared" si="39"/>
        <v>1</v>
      </c>
      <c r="E130" s="492">
        <f t="shared" si="21"/>
        <v>3</v>
      </c>
      <c r="F130" s="492" t="str">
        <f t="shared" si="22"/>
        <v>Any Commercial Except Fitness Center</v>
      </c>
      <c r="G130" s="492" t="str">
        <f t="shared" si="35"/>
        <v>Direct Install</v>
      </c>
      <c r="H130" s="492" t="str">
        <f t="shared" si="35"/>
        <v>2_00</v>
      </c>
      <c r="I130" s="492" t="str">
        <f t="shared" si="35"/>
        <v>Any Water Heating</v>
      </c>
      <c r="J130" s="492" t="str">
        <f t="shared" si="24"/>
        <v>Commercial Showerhead Replacement_2_00gpm_Any Commercial Except Fitness Center_ Any Water Heating_Direct Install</v>
      </c>
      <c r="K130" s="493">
        <f>INDEX(InstallRatesCostAndLifetime!$A$2:$D$6,MATCH(InputForProCost!G130,InstallRatesCostAndLifetime!$A$2:$A$6,0),MATCH(InputForProCost!H130,InstallRatesCostAndLifetime!$A$2:$D$2,0))</f>
        <v>0.9</v>
      </c>
      <c r="L130" s="493">
        <f t="shared" si="36"/>
        <v>0.22510541424141675</v>
      </c>
      <c r="M130" s="492"/>
      <c r="N130" s="492" t="str">
        <f t="shared" si="26"/>
        <v>Any Commercial Except Fitness Center2_00</v>
      </c>
      <c r="O130" s="494">
        <f>VLOOKUP($N130,Impacts!$F$5:$Z$22,16,FALSE)</f>
        <v>137.4012997554845</v>
      </c>
      <c r="P130" s="494">
        <f>VLOOKUP($N130,Impacts!$F$5:$Z$22,17,FALSE)*K130</f>
        <v>5.768601258488661</v>
      </c>
      <c r="Q130" s="495">
        <f>VLOOKUP($N130,Impacts!$F$5:$Z$22,19,FALSE)*K130</f>
        <v>5.5148098468412918</v>
      </c>
      <c r="R130" s="496">
        <f>VLOOKUP($N130,Impacts!$F$5:$Z$22,20,FALSE)*K130</f>
        <v>1090.4728276916185</v>
      </c>
      <c r="S130" s="497">
        <f>VLOOKUP($N130,Impacts!$F$5:$Z$22,21,FALSE)*K130</f>
        <v>14.353548948201761</v>
      </c>
      <c r="T130" s="492"/>
      <c r="U130" s="492" t="str">
        <f t="shared" si="27"/>
        <v>Commercial Showerhead Replacement_2_00gpm_Any Commercial Except Fitness Center_ Any Water Heating_Direct Install</v>
      </c>
      <c r="V130" s="492" t="s">
        <v>440</v>
      </c>
      <c r="W130" s="494">
        <f t="shared" si="28"/>
        <v>27.836798848890673</v>
      </c>
      <c r="X130" s="492">
        <v>10</v>
      </c>
      <c r="Y130" s="498">
        <f t="shared" si="37"/>
        <v>11.336666666666666</v>
      </c>
      <c r="Z130" s="492"/>
      <c r="AA130" s="499" t="s">
        <v>441</v>
      </c>
      <c r="AB130" s="497">
        <f t="shared" si="30"/>
        <v>14.353548948201761</v>
      </c>
      <c r="AC130" s="492"/>
      <c r="AD130" s="492"/>
      <c r="AE130" s="492"/>
      <c r="AF130" s="492"/>
      <c r="AG130" s="492"/>
      <c r="AH130" s="492"/>
      <c r="AI130" s="492">
        <f t="shared" si="31"/>
        <v>4.2733962918054393</v>
      </c>
      <c r="AJ130" s="492" t="s">
        <v>442</v>
      </c>
      <c r="AL130" s="283" t="e">
        <f t="shared" ca="1" si="38"/>
        <v>#NAME?</v>
      </c>
    </row>
    <row r="131" spans="1:38" hidden="1">
      <c r="A131" s="492">
        <f t="shared" si="33"/>
        <v>121</v>
      </c>
      <c r="B131" s="492">
        <f t="shared" ref="B131:D150" si="40">CEILING((MOD($A131-1,B$9)+1)/C$9,1)</f>
        <v>5</v>
      </c>
      <c r="C131" s="492">
        <f t="shared" si="40"/>
        <v>2</v>
      </c>
      <c r="D131" s="492">
        <f t="shared" si="40"/>
        <v>2</v>
      </c>
      <c r="E131" s="492">
        <f t="shared" si="21"/>
        <v>1</v>
      </c>
      <c r="F131" s="492" t="str">
        <f t="shared" si="22"/>
        <v>Any Commercial Except Fitness Center</v>
      </c>
      <c r="G131" s="492" t="str">
        <f t="shared" si="35"/>
        <v>Direct Install</v>
      </c>
      <c r="H131" s="492" t="str">
        <f t="shared" si="35"/>
        <v>1_75</v>
      </c>
      <c r="I131" s="492" t="str">
        <f t="shared" si="35"/>
        <v>Electric Water Heating</v>
      </c>
      <c r="J131" s="492" t="str">
        <f t="shared" si="24"/>
        <v>Commercial Showerhead Replacement_1_75gpm_Any Commercial Except Fitness Center_ Electric Water Heating_Direct Install</v>
      </c>
      <c r="K131" s="493">
        <f>INDEX(InstallRatesCostAndLifetime!$A$2:$D$6,MATCH(InputForProCost!G131,InstallRatesCostAndLifetime!$A$2:$A$6,0),MATCH(InputForProCost!H131,InstallRatesCostAndLifetime!$A$2:$D$2,0))</f>
        <v>0.9</v>
      </c>
      <c r="L131" s="493">
        <f t="shared" si="36"/>
        <v>1</v>
      </c>
      <c r="M131" s="492"/>
      <c r="N131" s="492" t="str">
        <f t="shared" si="26"/>
        <v>Any Commercial Except Fitness Center1_75</v>
      </c>
      <c r="O131" s="494">
        <f>VLOOKUP($N131,Impacts!$F$5:$Z$22,16,FALSE)</f>
        <v>146.63674024868033</v>
      </c>
      <c r="P131" s="494">
        <f>VLOOKUP($N131,Impacts!$F$5:$Z$22,17,FALSE)*K131</f>
        <v>6.4896764157997477</v>
      </c>
      <c r="Q131" s="495">
        <f>VLOOKUP($N131,Impacts!$F$5:$Z$22,19,FALSE)*K131</f>
        <v>5.8854882775579469</v>
      </c>
      <c r="R131" s="496">
        <f>VLOOKUP($N131,Impacts!$F$5:$Z$22,20,FALSE)*K131</f>
        <v>1226.7819311530714</v>
      </c>
      <c r="S131" s="497">
        <f>VLOOKUP($N131,Impacts!$F$5:$Z$22,21,FALSE)*K131</f>
        <v>16.147742566726993</v>
      </c>
      <c r="T131" s="492"/>
      <c r="U131" s="492" t="str">
        <f t="shared" si="27"/>
        <v>Commercial Showerhead Replacement_1_75gpm_Any Commercial Except Fitness Center_ Electric Water Heating_Direct Install</v>
      </c>
      <c r="V131" s="492" t="s">
        <v>440</v>
      </c>
      <c r="W131" s="494">
        <f t="shared" si="28"/>
        <v>131.97306622381231</v>
      </c>
      <c r="X131" s="492">
        <v>10</v>
      </c>
      <c r="Y131" s="498">
        <f t="shared" si="37"/>
        <v>11.336666666666666</v>
      </c>
      <c r="Z131" s="492"/>
      <c r="AA131" s="499" t="s">
        <v>441</v>
      </c>
      <c r="AB131" s="497">
        <f t="shared" si="30"/>
        <v>16.147742566726993</v>
      </c>
      <c r="AC131" s="492"/>
      <c r="AD131" s="492"/>
      <c r="AE131" s="492"/>
      <c r="AF131" s="492"/>
      <c r="AG131" s="492"/>
      <c r="AH131" s="492"/>
      <c r="AI131" s="492">
        <f t="shared" si="31"/>
        <v>0</v>
      </c>
      <c r="AJ131" s="492" t="s">
        <v>442</v>
      </c>
      <c r="AL131" s="283" t="e">
        <f t="shared" ca="1" si="38"/>
        <v>#NAME?</v>
      </c>
    </row>
    <row r="132" spans="1:38" hidden="1">
      <c r="A132" s="492">
        <f t="shared" si="33"/>
        <v>122</v>
      </c>
      <c r="B132" s="492">
        <f t="shared" si="40"/>
        <v>5</v>
      </c>
      <c r="C132" s="492">
        <f t="shared" si="40"/>
        <v>2</v>
      </c>
      <c r="D132" s="492">
        <f t="shared" si="40"/>
        <v>2</v>
      </c>
      <c r="E132" s="492">
        <f t="shared" si="21"/>
        <v>2</v>
      </c>
      <c r="F132" s="492" t="str">
        <f t="shared" si="22"/>
        <v>Any Commercial Except Fitness Center</v>
      </c>
      <c r="G132" s="492" t="str">
        <f t="shared" si="35"/>
        <v>Direct Install</v>
      </c>
      <c r="H132" s="492" t="str">
        <f t="shared" si="35"/>
        <v>1_75</v>
      </c>
      <c r="I132" s="492" t="str">
        <f t="shared" si="35"/>
        <v>Gas Water Heating</v>
      </c>
      <c r="J132" s="492" t="str">
        <f t="shared" si="24"/>
        <v>Commercial Showerhead Replacement_1_75gpm_Any Commercial Except Fitness Center_ Gas Water Heating_Direct Install</v>
      </c>
      <c r="K132" s="493">
        <f>INDEX(InstallRatesCostAndLifetime!$A$2:$D$6,MATCH(InputForProCost!G132,InstallRatesCostAndLifetime!$A$2:$A$6,0),MATCH(InputForProCost!H132,InstallRatesCostAndLifetime!$A$2:$D$2,0))</f>
        <v>0.9</v>
      </c>
      <c r="L132" s="493">
        <f t="shared" si="36"/>
        <v>0</v>
      </c>
      <c r="M132" s="492"/>
      <c r="N132" s="492" t="str">
        <f t="shared" si="26"/>
        <v>Any Commercial Except Fitness Center1_75</v>
      </c>
      <c r="O132" s="494">
        <f>VLOOKUP($N132,Impacts!$F$5:$Z$22,16,FALSE)</f>
        <v>146.63674024868033</v>
      </c>
      <c r="P132" s="494">
        <f>VLOOKUP($N132,Impacts!$F$5:$Z$22,17,FALSE)*K132</f>
        <v>6.4896764157997477</v>
      </c>
      <c r="Q132" s="495">
        <f>VLOOKUP($N132,Impacts!$F$5:$Z$22,19,FALSE)*K132</f>
        <v>5.8854882775579469</v>
      </c>
      <c r="R132" s="496">
        <f>VLOOKUP($N132,Impacts!$F$5:$Z$22,20,FALSE)*K132</f>
        <v>1226.7819311530714</v>
      </c>
      <c r="S132" s="497">
        <f>VLOOKUP($N132,Impacts!$F$5:$Z$22,21,FALSE)*K132</f>
        <v>16.147742566726993</v>
      </c>
      <c r="T132" s="492"/>
      <c r="U132" s="492" t="str">
        <f t="shared" si="27"/>
        <v>Commercial Showerhead Replacement_1_75gpm_Any Commercial Except Fitness Center_ Gas Water Heating_Direct Install</v>
      </c>
      <c r="V132" s="492" t="s">
        <v>440</v>
      </c>
      <c r="W132" s="494">
        <f t="shared" si="28"/>
        <v>0</v>
      </c>
      <c r="X132" s="492">
        <v>10</v>
      </c>
      <c r="Y132" s="498">
        <f t="shared" si="37"/>
        <v>11.336666666666666</v>
      </c>
      <c r="Z132" s="492"/>
      <c r="AA132" s="499" t="s">
        <v>441</v>
      </c>
      <c r="AB132" s="497">
        <f t="shared" si="30"/>
        <v>16.147742566726993</v>
      </c>
      <c r="AC132" s="492"/>
      <c r="AD132" s="492"/>
      <c r="AE132" s="492"/>
      <c r="AF132" s="492"/>
      <c r="AG132" s="492"/>
      <c r="AH132" s="492"/>
      <c r="AI132" s="492">
        <f t="shared" si="31"/>
        <v>5.8854882775579469</v>
      </c>
      <c r="AJ132" s="492" t="s">
        <v>442</v>
      </c>
      <c r="AL132" s="283" t="e">
        <f t="shared" ca="1" si="38"/>
        <v>#NAME?</v>
      </c>
    </row>
    <row r="133" spans="1:38" hidden="1">
      <c r="A133" s="492">
        <f t="shared" si="33"/>
        <v>123</v>
      </c>
      <c r="B133" s="492">
        <f t="shared" si="40"/>
        <v>5</v>
      </c>
      <c r="C133" s="492">
        <f t="shared" si="40"/>
        <v>2</v>
      </c>
      <c r="D133" s="492">
        <f t="shared" si="40"/>
        <v>2</v>
      </c>
      <c r="E133" s="492">
        <f t="shared" si="21"/>
        <v>3</v>
      </c>
      <c r="F133" s="492" t="str">
        <f t="shared" si="22"/>
        <v>Any Commercial Except Fitness Center</v>
      </c>
      <c r="G133" s="492" t="str">
        <f t="shared" si="35"/>
        <v>Direct Install</v>
      </c>
      <c r="H133" s="492" t="str">
        <f t="shared" si="35"/>
        <v>1_75</v>
      </c>
      <c r="I133" s="492" t="str">
        <f t="shared" si="35"/>
        <v>Any Water Heating</v>
      </c>
      <c r="J133" s="492" t="str">
        <f t="shared" si="24"/>
        <v>Commercial Showerhead Replacement_1_75gpm_Any Commercial Except Fitness Center_ Any Water Heating_Direct Install</v>
      </c>
      <c r="K133" s="493">
        <f>INDEX(InstallRatesCostAndLifetime!$A$2:$D$6,MATCH(InputForProCost!G133,InstallRatesCostAndLifetime!$A$2:$A$6,0),MATCH(InputForProCost!H133,InstallRatesCostAndLifetime!$A$2:$D$2,0))</f>
        <v>0.9</v>
      </c>
      <c r="L133" s="493">
        <f t="shared" si="36"/>
        <v>0.22510541424141675</v>
      </c>
      <c r="M133" s="492"/>
      <c r="N133" s="492" t="str">
        <f t="shared" si="26"/>
        <v>Any Commercial Except Fitness Center1_75</v>
      </c>
      <c r="O133" s="494">
        <f>VLOOKUP($N133,Impacts!$F$5:$Z$22,16,FALSE)</f>
        <v>146.63674024868033</v>
      </c>
      <c r="P133" s="494">
        <f>VLOOKUP($N133,Impacts!$F$5:$Z$22,17,FALSE)*K133</f>
        <v>6.4896764157997477</v>
      </c>
      <c r="Q133" s="495">
        <f>VLOOKUP($N133,Impacts!$F$5:$Z$22,19,FALSE)*K133</f>
        <v>5.8854882775579469</v>
      </c>
      <c r="R133" s="496">
        <f>VLOOKUP($N133,Impacts!$F$5:$Z$22,20,FALSE)*K133</f>
        <v>1226.7819311530714</v>
      </c>
      <c r="S133" s="497">
        <f>VLOOKUP($N133,Impacts!$F$5:$Z$22,21,FALSE)*K133</f>
        <v>16.147742566726993</v>
      </c>
      <c r="T133" s="492"/>
      <c r="U133" s="492" t="str">
        <f t="shared" si="27"/>
        <v>Commercial Showerhead Replacement_1_75gpm_Any Commercial Except Fitness Center_ Any Water Heating_Direct Install</v>
      </c>
      <c r="V133" s="492" t="s">
        <v>440</v>
      </c>
      <c r="W133" s="494">
        <f t="shared" si="28"/>
        <v>29.707851741021194</v>
      </c>
      <c r="X133" s="492">
        <v>10</v>
      </c>
      <c r="Y133" s="498">
        <f t="shared" si="37"/>
        <v>11.336666666666666</v>
      </c>
      <c r="Z133" s="492"/>
      <c r="AA133" s="499" t="s">
        <v>441</v>
      </c>
      <c r="AB133" s="497">
        <f t="shared" si="30"/>
        <v>16.147742566726993</v>
      </c>
      <c r="AC133" s="492"/>
      <c r="AD133" s="492"/>
      <c r="AE133" s="492"/>
      <c r="AF133" s="492"/>
      <c r="AG133" s="492"/>
      <c r="AH133" s="492"/>
      <c r="AI133" s="492">
        <f t="shared" si="31"/>
        <v>4.5606330008252627</v>
      </c>
      <c r="AJ133" s="492" t="s">
        <v>442</v>
      </c>
      <c r="AL133" s="283" t="e">
        <f t="shared" ca="1" si="38"/>
        <v>#NAME?</v>
      </c>
    </row>
    <row r="134" spans="1:38" hidden="1">
      <c r="A134" s="492">
        <f t="shared" si="33"/>
        <v>124</v>
      </c>
      <c r="B134" s="492">
        <f t="shared" si="40"/>
        <v>5</v>
      </c>
      <c r="C134" s="492">
        <f t="shared" si="40"/>
        <v>2</v>
      </c>
      <c r="D134" s="492">
        <f t="shared" si="40"/>
        <v>3</v>
      </c>
      <c r="E134" s="492">
        <f t="shared" si="21"/>
        <v>1</v>
      </c>
      <c r="F134" s="492" t="str">
        <f t="shared" si="22"/>
        <v>Any Commercial Except Fitness Center</v>
      </c>
      <c r="G134" s="492" t="str">
        <f t="shared" si="35"/>
        <v>Direct Install</v>
      </c>
      <c r="H134" s="492" t="str">
        <f t="shared" si="35"/>
        <v>1_50</v>
      </c>
      <c r="I134" s="492" t="str">
        <f t="shared" si="35"/>
        <v>Electric Water Heating</v>
      </c>
      <c r="J134" s="492" t="str">
        <f t="shared" si="24"/>
        <v>Commercial Showerhead Replacement_1_50gpm_Any Commercial Except Fitness Center_ Electric Water Heating_Direct Install</v>
      </c>
      <c r="K134" s="493">
        <f>INDEX(InstallRatesCostAndLifetime!$A$2:$D$6,MATCH(InputForProCost!G134,InstallRatesCostAndLifetime!$A$2:$A$6,0),MATCH(InputForProCost!H134,InstallRatesCostAndLifetime!$A$2:$D$2,0))</f>
        <v>0.9</v>
      </c>
      <c r="L134" s="493">
        <f t="shared" si="36"/>
        <v>1</v>
      </c>
      <c r="M134" s="492"/>
      <c r="N134" s="492" t="str">
        <f t="shared" si="26"/>
        <v>Any Commercial Except Fitness Center1_50</v>
      </c>
      <c r="O134" s="494">
        <f>VLOOKUP($N134,Impacts!$F$5:$Z$22,16,FALSE)</f>
        <v>242.43720506615773</v>
      </c>
      <c r="P134" s="494">
        <f>VLOOKUP($N134,Impacts!$F$5:$Z$22,17,FALSE)*K134</f>
        <v>10.095052202355159</v>
      </c>
      <c r="Q134" s="495">
        <f>VLOOKUP($N134,Impacts!$F$5:$Z$22,19,FALSE)*K134</f>
        <v>9.7305854320068779</v>
      </c>
      <c r="R134" s="496">
        <f>VLOOKUP($N134,Impacts!$F$5:$Z$22,20,FALSE)*K134</f>
        <v>1908.3274484603323</v>
      </c>
      <c r="S134" s="497">
        <f>VLOOKUP($N134,Impacts!$F$5:$Z$22,21,FALSE)*K134</f>
        <v>25.118710659353084</v>
      </c>
      <c r="T134" s="492"/>
      <c r="U134" s="492" t="str">
        <f t="shared" si="27"/>
        <v>Commercial Showerhead Replacement_1_50gpm_Any Commercial Except Fitness Center_ Electric Water Heating_Direct Install</v>
      </c>
      <c r="V134" s="492" t="s">
        <v>440</v>
      </c>
      <c r="W134" s="494">
        <f t="shared" si="28"/>
        <v>218.19348455954196</v>
      </c>
      <c r="X134" s="492">
        <v>10</v>
      </c>
      <c r="Y134" s="498">
        <f t="shared" si="37"/>
        <v>11.336666666666666</v>
      </c>
      <c r="Z134" s="492"/>
      <c r="AA134" s="499" t="s">
        <v>441</v>
      </c>
      <c r="AB134" s="497">
        <f t="shared" si="30"/>
        <v>25.118710659353084</v>
      </c>
      <c r="AC134" s="492"/>
      <c r="AD134" s="492"/>
      <c r="AE134" s="492"/>
      <c r="AF134" s="492"/>
      <c r="AG134" s="492"/>
      <c r="AH134" s="492"/>
      <c r="AI134" s="492">
        <f t="shared" si="31"/>
        <v>0</v>
      </c>
      <c r="AJ134" s="492" t="s">
        <v>442</v>
      </c>
      <c r="AL134" s="283" t="e">
        <f t="shared" ca="1" si="38"/>
        <v>#NAME?</v>
      </c>
    </row>
    <row r="135" spans="1:38" hidden="1">
      <c r="A135" s="492">
        <f t="shared" si="33"/>
        <v>125</v>
      </c>
      <c r="B135" s="492">
        <f t="shared" si="40"/>
        <v>5</v>
      </c>
      <c r="C135" s="492">
        <f t="shared" si="40"/>
        <v>2</v>
      </c>
      <c r="D135" s="492">
        <f t="shared" si="40"/>
        <v>3</v>
      </c>
      <c r="E135" s="492">
        <f t="shared" si="21"/>
        <v>2</v>
      </c>
      <c r="F135" s="492" t="str">
        <f t="shared" si="22"/>
        <v>Any Commercial Except Fitness Center</v>
      </c>
      <c r="G135" s="492" t="str">
        <f t="shared" si="35"/>
        <v>Direct Install</v>
      </c>
      <c r="H135" s="492" t="str">
        <f t="shared" si="35"/>
        <v>1_50</v>
      </c>
      <c r="I135" s="492" t="str">
        <f t="shared" si="35"/>
        <v>Gas Water Heating</v>
      </c>
      <c r="J135" s="492" t="str">
        <f t="shared" si="24"/>
        <v>Commercial Showerhead Replacement_1_50gpm_Any Commercial Except Fitness Center_ Gas Water Heating_Direct Install</v>
      </c>
      <c r="K135" s="493">
        <f>INDEX(InstallRatesCostAndLifetime!$A$2:$D$6,MATCH(InputForProCost!G135,InstallRatesCostAndLifetime!$A$2:$A$6,0),MATCH(InputForProCost!H135,InstallRatesCostAndLifetime!$A$2:$D$2,0))</f>
        <v>0.9</v>
      </c>
      <c r="L135" s="493">
        <f t="shared" si="36"/>
        <v>0</v>
      </c>
      <c r="M135" s="492"/>
      <c r="N135" s="492" t="str">
        <f t="shared" si="26"/>
        <v>Any Commercial Except Fitness Center1_50</v>
      </c>
      <c r="O135" s="494">
        <f>VLOOKUP($N135,Impacts!$F$5:$Z$22,16,FALSE)</f>
        <v>242.43720506615773</v>
      </c>
      <c r="P135" s="494">
        <f>VLOOKUP($N135,Impacts!$F$5:$Z$22,17,FALSE)*K135</f>
        <v>10.095052202355159</v>
      </c>
      <c r="Q135" s="495">
        <f>VLOOKUP($N135,Impacts!$F$5:$Z$22,19,FALSE)*K135</f>
        <v>9.7305854320068779</v>
      </c>
      <c r="R135" s="496">
        <f>VLOOKUP($N135,Impacts!$F$5:$Z$22,20,FALSE)*K135</f>
        <v>1908.3274484603323</v>
      </c>
      <c r="S135" s="497">
        <f>VLOOKUP($N135,Impacts!$F$5:$Z$22,21,FALSE)*K135</f>
        <v>25.118710659353084</v>
      </c>
      <c r="T135" s="492"/>
      <c r="U135" s="492" t="str">
        <f t="shared" si="27"/>
        <v>Commercial Showerhead Replacement_1_50gpm_Any Commercial Except Fitness Center_ Gas Water Heating_Direct Install</v>
      </c>
      <c r="V135" s="492" t="s">
        <v>440</v>
      </c>
      <c r="W135" s="494">
        <f t="shared" si="28"/>
        <v>0</v>
      </c>
      <c r="X135" s="492">
        <v>10</v>
      </c>
      <c r="Y135" s="498">
        <f t="shared" si="37"/>
        <v>11.336666666666666</v>
      </c>
      <c r="Z135" s="492"/>
      <c r="AA135" s="499" t="s">
        <v>441</v>
      </c>
      <c r="AB135" s="497">
        <f t="shared" si="30"/>
        <v>25.118710659353084</v>
      </c>
      <c r="AC135" s="492"/>
      <c r="AD135" s="492"/>
      <c r="AE135" s="492"/>
      <c r="AF135" s="492"/>
      <c r="AG135" s="492"/>
      <c r="AH135" s="492"/>
      <c r="AI135" s="492">
        <f t="shared" si="31"/>
        <v>9.7305854320068779</v>
      </c>
      <c r="AJ135" s="492" t="s">
        <v>442</v>
      </c>
      <c r="AL135" s="283" t="e">
        <f t="shared" ca="1" si="38"/>
        <v>#NAME?</v>
      </c>
    </row>
    <row r="136" spans="1:38">
      <c r="A136" s="492">
        <f t="shared" si="33"/>
        <v>126</v>
      </c>
      <c r="B136" s="492">
        <f t="shared" si="40"/>
        <v>5</v>
      </c>
      <c r="C136" s="492">
        <f t="shared" si="40"/>
        <v>2</v>
      </c>
      <c r="D136" s="492">
        <f t="shared" si="40"/>
        <v>3</v>
      </c>
      <c r="E136" s="492">
        <f t="shared" si="21"/>
        <v>3</v>
      </c>
      <c r="F136" s="492" t="str">
        <f t="shared" si="22"/>
        <v>Any Commercial Except Fitness Center</v>
      </c>
      <c r="G136" s="492" t="str">
        <f t="shared" si="35"/>
        <v>Direct Install</v>
      </c>
      <c r="H136" s="492" t="str">
        <f t="shared" si="35"/>
        <v>1_50</v>
      </c>
      <c r="I136" s="492" t="str">
        <f t="shared" si="35"/>
        <v>Any Water Heating</v>
      </c>
      <c r="J136" s="492" t="str">
        <f t="shared" si="24"/>
        <v>Commercial Showerhead Replacement_1_50gpm_Any Commercial Except Fitness Center_ Any Water Heating_Direct Install</v>
      </c>
      <c r="K136" s="493">
        <f>INDEX(InstallRatesCostAndLifetime!$A$2:$D$6,MATCH(InputForProCost!G136,InstallRatesCostAndLifetime!$A$2:$A$6,0),MATCH(InputForProCost!H136,InstallRatesCostAndLifetime!$A$2:$D$2,0))</f>
        <v>0.9</v>
      </c>
      <c r="L136" s="493">
        <f t="shared" si="36"/>
        <v>0.22510541424141675</v>
      </c>
      <c r="M136" s="492"/>
      <c r="N136" s="492" t="str">
        <f t="shared" si="26"/>
        <v>Any Commercial Except Fitness Center1_50</v>
      </c>
      <c r="O136" s="494">
        <f>VLOOKUP($N136,Impacts!$F$5:$Z$22,16,FALSE)</f>
        <v>242.43720506615773</v>
      </c>
      <c r="P136" s="494">
        <f>VLOOKUP($N136,Impacts!$F$5:$Z$22,17,FALSE)*K136</f>
        <v>10.095052202355159</v>
      </c>
      <c r="Q136" s="495">
        <f>VLOOKUP($N136,Impacts!$F$5:$Z$22,19,FALSE)*K136</f>
        <v>9.7305854320068779</v>
      </c>
      <c r="R136" s="496">
        <f>VLOOKUP($N136,Impacts!$F$5:$Z$22,20,FALSE)*K136</f>
        <v>1908.3274484603323</v>
      </c>
      <c r="S136" s="497">
        <f>VLOOKUP($N136,Impacts!$F$5:$Z$22,21,FALSE)*K136</f>
        <v>25.118710659353084</v>
      </c>
      <c r="T136" s="492"/>
      <c r="U136" s="492" t="str">
        <f t="shared" si="27"/>
        <v>Commercial Showerhead Replacement_1_50gpm_Any Commercial Except Fitness Center_ Any Water Heating_Direct Install</v>
      </c>
      <c r="V136" s="492" t="s">
        <v>440</v>
      </c>
      <c r="W136" s="494">
        <f t="shared" si="28"/>
        <v>49.116534726553866</v>
      </c>
      <c r="X136" s="492">
        <v>10</v>
      </c>
      <c r="Y136" s="498">
        <f t="shared" si="37"/>
        <v>11.336666666666666</v>
      </c>
      <c r="Z136" s="492"/>
      <c r="AA136" s="499" t="s">
        <v>441</v>
      </c>
      <c r="AB136" s="497">
        <f t="shared" si="30"/>
        <v>25.118710659353084</v>
      </c>
      <c r="AC136" s="492"/>
      <c r="AD136" s="492"/>
      <c r="AE136" s="492"/>
      <c r="AF136" s="492"/>
      <c r="AG136" s="492"/>
      <c r="AH136" s="492"/>
      <c r="AI136" s="492">
        <f t="shared" si="31"/>
        <v>7.5401779675234746</v>
      </c>
      <c r="AJ136" s="492" t="s">
        <v>442</v>
      </c>
      <c r="AL136" s="283" t="e">
        <f t="shared" ca="1" si="38"/>
        <v>#NAME?</v>
      </c>
    </row>
    <row r="137" spans="1:38" hidden="1">
      <c r="A137" s="492">
        <f t="shared" si="33"/>
        <v>127</v>
      </c>
      <c r="B137" s="492">
        <f t="shared" si="40"/>
        <v>5</v>
      </c>
      <c r="C137" s="492">
        <f t="shared" si="40"/>
        <v>3</v>
      </c>
      <c r="D137" s="492">
        <f t="shared" si="40"/>
        <v>1</v>
      </c>
      <c r="E137" s="492">
        <f t="shared" si="21"/>
        <v>1</v>
      </c>
      <c r="F137" s="492" t="str">
        <f t="shared" si="22"/>
        <v>Any Commercial Except Fitness Center</v>
      </c>
      <c r="G137" s="492" t="str">
        <f t="shared" si="35"/>
        <v>Mail-by-Request</v>
      </c>
      <c r="H137" s="492" t="str">
        <f t="shared" si="35"/>
        <v>2_00</v>
      </c>
      <c r="I137" s="492" t="str">
        <f t="shared" si="35"/>
        <v>Electric Water Heating</v>
      </c>
      <c r="J137" s="492" t="str">
        <f t="shared" si="24"/>
        <v>Commercial Showerhead Replacement_2_00gpm_Any Commercial Except Fitness Center_ Electric Water Heating_Mail-by-Request</v>
      </c>
      <c r="K137" s="493">
        <f>INDEX(InstallRatesCostAndLifetime!$A$2:$D$6,MATCH(InputForProCost!G137,InstallRatesCostAndLifetime!$A$2:$A$6,0),MATCH(InputForProCost!H137,InstallRatesCostAndLifetime!$A$2:$D$2,0))</f>
        <v>0.6</v>
      </c>
      <c r="L137" s="493">
        <f t="shared" si="36"/>
        <v>1</v>
      </c>
      <c r="M137" s="492"/>
      <c r="N137" s="492" t="str">
        <f t="shared" si="26"/>
        <v>Any Commercial Except Fitness Center2_00</v>
      </c>
      <c r="O137" s="494">
        <f>VLOOKUP($N137,Impacts!$F$5:$Z$22,16,FALSE)</f>
        <v>137.4012997554845</v>
      </c>
      <c r="P137" s="494">
        <f>VLOOKUP($N137,Impacts!$F$5:$Z$22,17,FALSE)*K137</f>
        <v>3.8457341723257739</v>
      </c>
      <c r="Q137" s="495">
        <f>VLOOKUP($N137,Impacts!$F$5:$Z$22,19,FALSE)*K137</f>
        <v>3.6765398978941946</v>
      </c>
      <c r="R137" s="496">
        <f>VLOOKUP($N137,Impacts!$F$5:$Z$22,20,FALSE)*K137</f>
        <v>726.98188512774561</v>
      </c>
      <c r="S137" s="497">
        <f>VLOOKUP($N137,Impacts!$F$5:$Z$22,21,FALSE)*K137</f>
        <v>9.5690326321345065</v>
      </c>
      <c r="T137" s="492"/>
      <c r="U137" s="492" t="str">
        <f t="shared" si="27"/>
        <v>Commercial Showerhead Replacement_2_00gpm_Any Commercial Except Fitness Center_ Electric Water Heating_Mail-by-Request</v>
      </c>
      <c r="V137" s="492" t="s">
        <v>440</v>
      </c>
      <c r="W137" s="494">
        <f t="shared" si="28"/>
        <v>82.440779853290692</v>
      </c>
      <c r="X137" s="492">
        <v>10</v>
      </c>
      <c r="Y137" s="498">
        <f t="shared" si="37"/>
        <v>8.1096944444444432</v>
      </c>
      <c r="Z137" s="492"/>
      <c r="AA137" s="499" t="s">
        <v>441</v>
      </c>
      <c r="AB137" s="497">
        <f t="shared" si="30"/>
        <v>9.5690326321345065</v>
      </c>
      <c r="AC137" s="492"/>
      <c r="AD137" s="492"/>
      <c r="AE137" s="492"/>
      <c r="AF137" s="492"/>
      <c r="AG137" s="492"/>
      <c r="AH137" s="492"/>
      <c r="AI137" s="492">
        <f t="shared" si="31"/>
        <v>0</v>
      </c>
      <c r="AJ137" s="492" t="s">
        <v>442</v>
      </c>
      <c r="AL137" s="283" t="e">
        <f t="shared" ca="1" si="38"/>
        <v>#NAME?</v>
      </c>
    </row>
    <row r="138" spans="1:38" hidden="1">
      <c r="A138" s="492">
        <f t="shared" si="33"/>
        <v>128</v>
      </c>
      <c r="B138" s="492">
        <f t="shared" si="40"/>
        <v>5</v>
      </c>
      <c r="C138" s="492">
        <f t="shared" si="40"/>
        <v>3</v>
      </c>
      <c r="D138" s="492">
        <f t="shared" si="40"/>
        <v>1</v>
      </c>
      <c r="E138" s="492">
        <f t="shared" si="21"/>
        <v>2</v>
      </c>
      <c r="F138" s="492" t="str">
        <f t="shared" si="22"/>
        <v>Any Commercial Except Fitness Center</v>
      </c>
      <c r="G138" s="492" t="str">
        <f t="shared" si="35"/>
        <v>Mail-by-Request</v>
      </c>
      <c r="H138" s="492" t="str">
        <f t="shared" si="35"/>
        <v>2_00</v>
      </c>
      <c r="I138" s="492" t="str">
        <f t="shared" si="35"/>
        <v>Gas Water Heating</v>
      </c>
      <c r="J138" s="492" t="str">
        <f t="shared" si="24"/>
        <v>Commercial Showerhead Replacement_2_00gpm_Any Commercial Except Fitness Center_ Gas Water Heating_Mail-by-Request</v>
      </c>
      <c r="K138" s="493">
        <f>INDEX(InstallRatesCostAndLifetime!$A$2:$D$6,MATCH(InputForProCost!G138,InstallRatesCostAndLifetime!$A$2:$A$6,0),MATCH(InputForProCost!H138,InstallRatesCostAndLifetime!$A$2:$D$2,0))</f>
        <v>0.6</v>
      </c>
      <c r="L138" s="493">
        <f t="shared" si="36"/>
        <v>0</v>
      </c>
      <c r="M138" s="492"/>
      <c r="N138" s="492" t="str">
        <f t="shared" si="26"/>
        <v>Any Commercial Except Fitness Center2_00</v>
      </c>
      <c r="O138" s="494">
        <f>VLOOKUP($N138,Impacts!$F$5:$Z$22,16,FALSE)</f>
        <v>137.4012997554845</v>
      </c>
      <c r="P138" s="494">
        <f>VLOOKUP($N138,Impacts!$F$5:$Z$22,17,FALSE)*K138</f>
        <v>3.8457341723257739</v>
      </c>
      <c r="Q138" s="495">
        <f>VLOOKUP($N138,Impacts!$F$5:$Z$22,19,FALSE)*K138</f>
        <v>3.6765398978941946</v>
      </c>
      <c r="R138" s="496">
        <f>VLOOKUP($N138,Impacts!$F$5:$Z$22,20,FALSE)*K138</f>
        <v>726.98188512774561</v>
      </c>
      <c r="S138" s="497">
        <f>VLOOKUP($N138,Impacts!$F$5:$Z$22,21,FALSE)*K138</f>
        <v>9.5690326321345065</v>
      </c>
      <c r="T138" s="492"/>
      <c r="U138" s="492" t="str">
        <f t="shared" si="27"/>
        <v>Commercial Showerhead Replacement_2_00gpm_Any Commercial Except Fitness Center_ Gas Water Heating_Mail-by-Request</v>
      </c>
      <c r="V138" s="492" t="s">
        <v>440</v>
      </c>
      <c r="W138" s="494">
        <f t="shared" si="28"/>
        <v>0</v>
      </c>
      <c r="X138" s="492">
        <v>10</v>
      </c>
      <c r="Y138" s="498">
        <f t="shared" si="37"/>
        <v>8.1096944444444432</v>
      </c>
      <c r="Z138" s="492"/>
      <c r="AA138" s="499" t="s">
        <v>441</v>
      </c>
      <c r="AB138" s="497">
        <f t="shared" si="30"/>
        <v>9.5690326321345065</v>
      </c>
      <c r="AC138" s="492"/>
      <c r="AD138" s="492"/>
      <c r="AE138" s="492"/>
      <c r="AF138" s="492"/>
      <c r="AG138" s="492"/>
      <c r="AH138" s="492"/>
      <c r="AI138" s="492">
        <f t="shared" si="31"/>
        <v>3.6765398978941946</v>
      </c>
      <c r="AJ138" s="492" t="s">
        <v>442</v>
      </c>
      <c r="AL138" s="283" t="e">
        <f t="shared" ca="1" si="38"/>
        <v>#NAME?</v>
      </c>
    </row>
    <row r="139" spans="1:38" hidden="1">
      <c r="A139" s="492">
        <f t="shared" si="33"/>
        <v>129</v>
      </c>
      <c r="B139" s="492">
        <f t="shared" si="40"/>
        <v>5</v>
      </c>
      <c r="C139" s="492">
        <f t="shared" si="40"/>
        <v>3</v>
      </c>
      <c r="D139" s="492">
        <f t="shared" si="40"/>
        <v>1</v>
      </c>
      <c r="E139" s="492">
        <f t="shared" ref="E139:E172" si="41">MOD($A139-1,E$9)+1</f>
        <v>3</v>
      </c>
      <c r="F139" s="492" t="str">
        <f t="shared" ref="F139:F172" si="42">INDEX(F$1:F$6,B139)</f>
        <v>Any Commercial Except Fitness Center</v>
      </c>
      <c r="G139" s="492" t="str">
        <f t="shared" ref="G139:I172" si="43">INDEX(G$1:G$3,C139)</f>
        <v>Mail-by-Request</v>
      </c>
      <c r="H139" s="492" t="str">
        <f t="shared" si="43"/>
        <v>2_00</v>
      </c>
      <c r="I139" s="492" t="str">
        <f t="shared" si="43"/>
        <v>Any Water Heating</v>
      </c>
      <c r="J139" s="492" t="str">
        <f t="shared" ref="J139:J170" si="44">"Commercial Showerhead Replacement_"&amp;H139&amp;"gpm_"&amp;F139&amp;"_ "&amp;I139&amp;"_"&amp;G139</f>
        <v>Commercial Showerhead Replacement_2_00gpm_Any Commercial Except Fitness Center_ Any Water Heating_Mail-by-Request</v>
      </c>
      <c r="K139" s="493">
        <f>INDEX(InstallRatesCostAndLifetime!$A$2:$D$6,MATCH(InputForProCost!G139,InstallRatesCostAndLifetime!$A$2:$A$6,0),MATCH(InputForProCost!H139,InstallRatesCostAndLifetime!$A$2:$D$2,0))</f>
        <v>0.6</v>
      </c>
      <c r="L139" s="493">
        <f t="shared" ref="L139:L172" si="45">IF(I139="Electric Water Heating",1,IF(I139 = "Gas Water Heating",0,VLOOKUP(F139,table_ElectricSaturation,2,FALSE)))</f>
        <v>0.22510541424141675</v>
      </c>
      <c r="M139" s="492"/>
      <c r="N139" s="492" t="str">
        <f t="shared" ref="N139:N172" si="46">F139&amp;H139</f>
        <v>Any Commercial Except Fitness Center2_00</v>
      </c>
      <c r="O139" s="494">
        <f>VLOOKUP($N139,Impacts!$F$5:$Z$22,16,FALSE)</f>
        <v>137.4012997554845</v>
      </c>
      <c r="P139" s="494">
        <f>VLOOKUP($N139,Impacts!$F$5:$Z$22,17,FALSE)*K139</f>
        <v>3.8457341723257739</v>
      </c>
      <c r="Q139" s="495">
        <f>VLOOKUP($N139,Impacts!$F$5:$Z$22,19,FALSE)*K139</f>
        <v>3.6765398978941946</v>
      </c>
      <c r="R139" s="496">
        <f>VLOOKUP($N139,Impacts!$F$5:$Z$22,20,FALSE)*K139</f>
        <v>726.98188512774561</v>
      </c>
      <c r="S139" s="497">
        <f>VLOOKUP($N139,Impacts!$F$5:$Z$22,21,FALSE)*K139</f>
        <v>9.5690326321345065</v>
      </c>
      <c r="T139" s="492"/>
      <c r="U139" s="492" t="str">
        <f t="shared" ref="U139:U172" si="47">J139</f>
        <v>Commercial Showerhead Replacement_2_00gpm_Any Commercial Except Fitness Center_ Any Water Heating_Mail-by-Request</v>
      </c>
      <c r="V139" s="492" t="s">
        <v>440</v>
      </c>
      <c r="W139" s="494">
        <f t="shared" ref="W139:W172" si="48">(O139*L139*K139)</f>
        <v>18.557865899260449</v>
      </c>
      <c r="X139" s="492">
        <v>10</v>
      </c>
      <c r="Y139" s="498">
        <f t="shared" ref="Y139:Y172" si="49">VLOOKUP(G139,table_MeasureCosts,2,FALSE)</f>
        <v>8.1096944444444432</v>
      </c>
      <c r="Z139" s="492"/>
      <c r="AA139" s="499" t="s">
        <v>441</v>
      </c>
      <c r="AB139" s="497">
        <f t="shared" ref="AB139:AB172" si="50">S139</f>
        <v>9.5690326321345065</v>
      </c>
      <c r="AC139" s="492"/>
      <c r="AD139" s="492"/>
      <c r="AE139" s="492"/>
      <c r="AF139" s="492"/>
      <c r="AG139" s="492"/>
      <c r="AH139" s="492"/>
      <c r="AI139" s="492">
        <f t="shared" ref="AI139:AI172" si="51">Q139*(1-L139)</f>
        <v>2.8489308612036259</v>
      </c>
      <c r="AJ139" s="492" t="s">
        <v>442</v>
      </c>
      <c r="AL139" s="283" t="e">
        <f t="shared" ref="AL139:AL172" ca="1" si="52">VLOOKUP(U139,INDIRECT(OutputRange),82,FALSE)</f>
        <v>#NAME?</v>
      </c>
    </row>
    <row r="140" spans="1:38" hidden="1">
      <c r="A140" s="492">
        <f t="shared" ref="A140:A172" si="53">A139+1</f>
        <v>130</v>
      </c>
      <c r="B140" s="492">
        <f t="shared" si="40"/>
        <v>5</v>
      </c>
      <c r="C140" s="492">
        <f t="shared" si="40"/>
        <v>3</v>
      </c>
      <c r="D140" s="492">
        <f t="shared" si="40"/>
        <v>2</v>
      </c>
      <c r="E140" s="492">
        <f t="shared" si="41"/>
        <v>1</v>
      </c>
      <c r="F140" s="492" t="str">
        <f t="shared" si="42"/>
        <v>Any Commercial Except Fitness Center</v>
      </c>
      <c r="G140" s="492" t="str">
        <f t="shared" si="43"/>
        <v>Mail-by-Request</v>
      </c>
      <c r="H140" s="492" t="str">
        <f t="shared" si="43"/>
        <v>1_75</v>
      </c>
      <c r="I140" s="492" t="str">
        <f t="shared" si="43"/>
        <v>Electric Water Heating</v>
      </c>
      <c r="J140" s="492" t="str">
        <f t="shared" si="44"/>
        <v>Commercial Showerhead Replacement_1_75gpm_Any Commercial Except Fitness Center_ Electric Water Heating_Mail-by-Request</v>
      </c>
      <c r="K140" s="493">
        <f>INDEX(InstallRatesCostAndLifetime!$A$2:$D$6,MATCH(InputForProCost!G140,InstallRatesCostAndLifetime!$A$2:$A$6,0),MATCH(InputForProCost!H140,InstallRatesCostAndLifetime!$A$2:$D$2,0))</f>
        <v>0.6</v>
      </c>
      <c r="L140" s="493">
        <f t="shared" si="45"/>
        <v>1</v>
      </c>
      <c r="M140" s="492"/>
      <c r="N140" s="492" t="str">
        <f t="shared" si="46"/>
        <v>Any Commercial Except Fitness Center1_75</v>
      </c>
      <c r="O140" s="494">
        <f>VLOOKUP($N140,Impacts!$F$5:$Z$22,16,FALSE)</f>
        <v>146.63674024868033</v>
      </c>
      <c r="P140" s="494">
        <f>VLOOKUP($N140,Impacts!$F$5:$Z$22,17,FALSE)*K140</f>
        <v>4.3264509438664982</v>
      </c>
      <c r="Q140" s="495">
        <f>VLOOKUP($N140,Impacts!$F$5:$Z$22,19,FALSE)*K140</f>
        <v>3.9236588517052979</v>
      </c>
      <c r="R140" s="496">
        <f>VLOOKUP($N140,Impacts!$F$5:$Z$22,20,FALSE)*K140</f>
        <v>817.8546207687142</v>
      </c>
      <c r="S140" s="497">
        <f>VLOOKUP($N140,Impacts!$F$5:$Z$22,21,FALSE)*K140</f>
        <v>10.765161711151327</v>
      </c>
      <c r="T140" s="492"/>
      <c r="U140" s="492" t="str">
        <f t="shared" si="47"/>
        <v>Commercial Showerhead Replacement_1_75gpm_Any Commercial Except Fitness Center_ Electric Water Heating_Mail-by-Request</v>
      </c>
      <c r="V140" s="492" t="s">
        <v>440</v>
      </c>
      <c r="W140" s="494">
        <f t="shared" si="48"/>
        <v>87.982044149208193</v>
      </c>
      <c r="X140" s="492">
        <v>10</v>
      </c>
      <c r="Y140" s="498">
        <f t="shared" si="49"/>
        <v>8.1096944444444432</v>
      </c>
      <c r="Z140" s="492"/>
      <c r="AA140" s="499" t="s">
        <v>441</v>
      </c>
      <c r="AB140" s="497">
        <f t="shared" si="50"/>
        <v>10.765161711151327</v>
      </c>
      <c r="AC140" s="492"/>
      <c r="AD140" s="492"/>
      <c r="AE140" s="492"/>
      <c r="AF140" s="492"/>
      <c r="AG140" s="492"/>
      <c r="AH140" s="492"/>
      <c r="AI140" s="492">
        <f t="shared" si="51"/>
        <v>0</v>
      </c>
      <c r="AJ140" s="492" t="s">
        <v>442</v>
      </c>
      <c r="AL140" s="283" t="e">
        <f t="shared" ca="1" si="52"/>
        <v>#NAME?</v>
      </c>
    </row>
    <row r="141" spans="1:38" hidden="1">
      <c r="A141" s="492">
        <f t="shared" si="53"/>
        <v>131</v>
      </c>
      <c r="B141" s="492">
        <f t="shared" si="40"/>
        <v>5</v>
      </c>
      <c r="C141" s="492">
        <f t="shared" si="40"/>
        <v>3</v>
      </c>
      <c r="D141" s="492">
        <f t="shared" si="40"/>
        <v>2</v>
      </c>
      <c r="E141" s="492">
        <f t="shared" si="41"/>
        <v>2</v>
      </c>
      <c r="F141" s="492" t="str">
        <f t="shared" si="42"/>
        <v>Any Commercial Except Fitness Center</v>
      </c>
      <c r="G141" s="492" t="str">
        <f t="shared" si="43"/>
        <v>Mail-by-Request</v>
      </c>
      <c r="H141" s="492" t="str">
        <f t="shared" si="43"/>
        <v>1_75</v>
      </c>
      <c r="I141" s="492" t="str">
        <f t="shared" si="43"/>
        <v>Gas Water Heating</v>
      </c>
      <c r="J141" s="492" t="str">
        <f t="shared" si="44"/>
        <v>Commercial Showerhead Replacement_1_75gpm_Any Commercial Except Fitness Center_ Gas Water Heating_Mail-by-Request</v>
      </c>
      <c r="K141" s="493">
        <f>INDEX(InstallRatesCostAndLifetime!$A$2:$D$6,MATCH(InputForProCost!G141,InstallRatesCostAndLifetime!$A$2:$A$6,0),MATCH(InputForProCost!H141,InstallRatesCostAndLifetime!$A$2:$D$2,0))</f>
        <v>0.6</v>
      </c>
      <c r="L141" s="493">
        <f t="shared" si="45"/>
        <v>0</v>
      </c>
      <c r="M141" s="492"/>
      <c r="N141" s="492" t="str">
        <f t="shared" si="46"/>
        <v>Any Commercial Except Fitness Center1_75</v>
      </c>
      <c r="O141" s="494">
        <f>VLOOKUP($N141,Impacts!$F$5:$Z$22,16,FALSE)</f>
        <v>146.63674024868033</v>
      </c>
      <c r="P141" s="494">
        <f>VLOOKUP($N141,Impacts!$F$5:$Z$22,17,FALSE)*K141</f>
        <v>4.3264509438664982</v>
      </c>
      <c r="Q141" s="495">
        <f>VLOOKUP($N141,Impacts!$F$5:$Z$22,19,FALSE)*K141</f>
        <v>3.9236588517052979</v>
      </c>
      <c r="R141" s="496">
        <f>VLOOKUP($N141,Impacts!$F$5:$Z$22,20,FALSE)*K141</f>
        <v>817.8546207687142</v>
      </c>
      <c r="S141" s="497">
        <f>VLOOKUP($N141,Impacts!$F$5:$Z$22,21,FALSE)*K141</f>
        <v>10.765161711151327</v>
      </c>
      <c r="T141" s="492"/>
      <c r="U141" s="492" t="str">
        <f t="shared" si="47"/>
        <v>Commercial Showerhead Replacement_1_75gpm_Any Commercial Except Fitness Center_ Gas Water Heating_Mail-by-Request</v>
      </c>
      <c r="V141" s="492" t="s">
        <v>440</v>
      </c>
      <c r="W141" s="494">
        <f t="shared" si="48"/>
        <v>0</v>
      </c>
      <c r="X141" s="492">
        <v>10</v>
      </c>
      <c r="Y141" s="498">
        <f t="shared" si="49"/>
        <v>8.1096944444444432</v>
      </c>
      <c r="Z141" s="492"/>
      <c r="AA141" s="499" t="s">
        <v>441</v>
      </c>
      <c r="AB141" s="497">
        <f t="shared" si="50"/>
        <v>10.765161711151327</v>
      </c>
      <c r="AC141" s="492"/>
      <c r="AD141" s="492"/>
      <c r="AE141" s="492"/>
      <c r="AF141" s="492"/>
      <c r="AG141" s="492"/>
      <c r="AH141" s="492"/>
      <c r="AI141" s="492">
        <f t="shared" si="51"/>
        <v>3.9236588517052979</v>
      </c>
      <c r="AJ141" s="492" t="s">
        <v>442</v>
      </c>
      <c r="AL141" s="283" t="e">
        <f t="shared" ca="1" si="52"/>
        <v>#NAME?</v>
      </c>
    </row>
    <row r="142" spans="1:38" hidden="1">
      <c r="A142" s="492">
        <f t="shared" si="53"/>
        <v>132</v>
      </c>
      <c r="B142" s="492">
        <f t="shared" si="40"/>
        <v>5</v>
      </c>
      <c r="C142" s="492">
        <f t="shared" si="40"/>
        <v>3</v>
      </c>
      <c r="D142" s="492">
        <f t="shared" si="40"/>
        <v>2</v>
      </c>
      <c r="E142" s="492">
        <f t="shared" si="41"/>
        <v>3</v>
      </c>
      <c r="F142" s="492" t="str">
        <f t="shared" si="42"/>
        <v>Any Commercial Except Fitness Center</v>
      </c>
      <c r="G142" s="492" t="str">
        <f t="shared" si="43"/>
        <v>Mail-by-Request</v>
      </c>
      <c r="H142" s="492" t="str">
        <f t="shared" si="43"/>
        <v>1_75</v>
      </c>
      <c r="I142" s="492" t="str">
        <f t="shared" si="43"/>
        <v>Any Water Heating</v>
      </c>
      <c r="J142" s="492" t="str">
        <f t="shared" si="44"/>
        <v>Commercial Showerhead Replacement_1_75gpm_Any Commercial Except Fitness Center_ Any Water Heating_Mail-by-Request</v>
      </c>
      <c r="K142" s="493">
        <f>INDEX(InstallRatesCostAndLifetime!$A$2:$D$6,MATCH(InputForProCost!G142,InstallRatesCostAndLifetime!$A$2:$A$6,0),MATCH(InputForProCost!H142,InstallRatesCostAndLifetime!$A$2:$D$2,0))</f>
        <v>0.6</v>
      </c>
      <c r="L142" s="493">
        <f t="shared" si="45"/>
        <v>0.22510541424141675</v>
      </c>
      <c r="M142" s="492"/>
      <c r="N142" s="492" t="str">
        <f t="shared" si="46"/>
        <v>Any Commercial Except Fitness Center1_75</v>
      </c>
      <c r="O142" s="494">
        <f>VLOOKUP($N142,Impacts!$F$5:$Z$22,16,FALSE)</f>
        <v>146.63674024868033</v>
      </c>
      <c r="P142" s="494">
        <f>VLOOKUP($N142,Impacts!$F$5:$Z$22,17,FALSE)*K142</f>
        <v>4.3264509438664982</v>
      </c>
      <c r="Q142" s="495">
        <f>VLOOKUP($N142,Impacts!$F$5:$Z$22,19,FALSE)*K142</f>
        <v>3.9236588517052979</v>
      </c>
      <c r="R142" s="496">
        <f>VLOOKUP($N142,Impacts!$F$5:$Z$22,20,FALSE)*K142</f>
        <v>817.8546207687142</v>
      </c>
      <c r="S142" s="497">
        <f>VLOOKUP($N142,Impacts!$F$5:$Z$22,21,FALSE)*K142</f>
        <v>10.765161711151327</v>
      </c>
      <c r="T142" s="492"/>
      <c r="U142" s="492" t="str">
        <f t="shared" si="47"/>
        <v>Commercial Showerhead Replacement_1_75gpm_Any Commercial Except Fitness Center_ Any Water Heating_Mail-by-Request</v>
      </c>
      <c r="V142" s="492" t="s">
        <v>440</v>
      </c>
      <c r="W142" s="494">
        <f t="shared" si="48"/>
        <v>19.805234494014126</v>
      </c>
      <c r="X142" s="492">
        <v>10</v>
      </c>
      <c r="Y142" s="498">
        <f t="shared" si="49"/>
        <v>8.1096944444444432</v>
      </c>
      <c r="Z142" s="492"/>
      <c r="AA142" s="499" t="s">
        <v>441</v>
      </c>
      <c r="AB142" s="497">
        <f t="shared" si="50"/>
        <v>10.765161711151327</v>
      </c>
      <c r="AC142" s="492"/>
      <c r="AD142" s="492"/>
      <c r="AE142" s="492"/>
      <c r="AF142" s="492"/>
      <c r="AG142" s="492"/>
      <c r="AH142" s="492"/>
      <c r="AI142" s="492">
        <f t="shared" si="51"/>
        <v>3.0404220005501754</v>
      </c>
      <c r="AJ142" s="492" t="s">
        <v>442</v>
      </c>
      <c r="AL142" s="283" t="e">
        <f t="shared" ca="1" si="52"/>
        <v>#NAME?</v>
      </c>
    </row>
    <row r="143" spans="1:38" hidden="1">
      <c r="A143" s="492">
        <f t="shared" si="53"/>
        <v>133</v>
      </c>
      <c r="B143" s="492">
        <f t="shared" si="40"/>
        <v>5</v>
      </c>
      <c r="C143" s="492">
        <f t="shared" si="40"/>
        <v>3</v>
      </c>
      <c r="D143" s="492">
        <f t="shared" si="40"/>
        <v>3</v>
      </c>
      <c r="E143" s="492">
        <f t="shared" si="41"/>
        <v>1</v>
      </c>
      <c r="F143" s="492" t="str">
        <f t="shared" si="42"/>
        <v>Any Commercial Except Fitness Center</v>
      </c>
      <c r="G143" s="492" t="str">
        <f t="shared" si="43"/>
        <v>Mail-by-Request</v>
      </c>
      <c r="H143" s="492" t="str">
        <f t="shared" si="43"/>
        <v>1_50</v>
      </c>
      <c r="I143" s="492" t="str">
        <f t="shared" si="43"/>
        <v>Electric Water Heating</v>
      </c>
      <c r="J143" s="492" t="str">
        <f t="shared" si="44"/>
        <v>Commercial Showerhead Replacement_1_50gpm_Any Commercial Except Fitness Center_ Electric Water Heating_Mail-by-Request</v>
      </c>
      <c r="K143" s="493">
        <f>INDEX(InstallRatesCostAndLifetime!$A$2:$D$6,MATCH(InputForProCost!G143,InstallRatesCostAndLifetime!$A$2:$A$6,0),MATCH(InputForProCost!H143,InstallRatesCostAndLifetime!$A$2:$D$2,0))</f>
        <v>0.6</v>
      </c>
      <c r="L143" s="493">
        <f t="shared" si="45"/>
        <v>1</v>
      </c>
      <c r="M143" s="492"/>
      <c r="N143" s="492" t="str">
        <f t="shared" si="46"/>
        <v>Any Commercial Except Fitness Center1_50</v>
      </c>
      <c r="O143" s="494">
        <f>VLOOKUP($N143,Impacts!$F$5:$Z$22,16,FALSE)</f>
        <v>242.43720506615773</v>
      </c>
      <c r="P143" s="494">
        <f>VLOOKUP($N143,Impacts!$F$5:$Z$22,17,FALSE)*K143</f>
        <v>6.7300348015701053</v>
      </c>
      <c r="Q143" s="495">
        <f>VLOOKUP($N143,Impacts!$F$5:$Z$22,19,FALSE)*K143</f>
        <v>6.4870569546712513</v>
      </c>
      <c r="R143" s="496">
        <f>VLOOKUP($N143,Impacts!$F$5:$Z$22,20,FALSE)*K143</f>
        <v>1272.218298973555</v>
      </c>
      <c r="S143" s="497">
        <f>VLOOKUP($N143,Impacts!$F$5:$Z$22,21,FALSE)*K143</f>
        <v>16.745807106235389</v>
      </c>
      <c r="T143" s="492"/>
      <c r="U143" s="492" t="str">
        <f t="shared" si="47"/>
        <v>Commercial Showerhead Replacement_1_50gpm_Any Commercial Except Fitness Center_ Electric Water Heating_Mail-by-Request</v>
      </c>
      <c r="V143" s="492" t="s">
        <v>440</v>
      </c>
      <c r="W143" s="494">
        <f t="shared" si="48"/>
        <v>145.46232303969464</v>
      </c>
      <c r="X143" s="492">
        <v>10</v>
      </c>
      <c r="Y143" s="498">
        <f t="shared" si="49"/>
        <v>8.1096944444444432</v>
      </c>
      <c r="Z143" s="492"/>
      <c r="AA143" s="499" t="s">
        <v>441</v>
      </c>
      <c r="AB143" s="497">
        <f t="shared" si="50"/>
        <v>16.745807106235389</v>
      </c>
      <c r="AC143" s="492"/>
      <c r="AD143" s="492"/>
      <c r="AE143" s="492"/>
      <c r="AF143" s="492"/>
      <c r="AG143" s="492"/>
      <c r="AH143" s="492"/>
      <c r="AI143" s="492">
        <f t="shared" si="51"/>
        <v>0</v>
      </c>
      <c r="AJ143" s="492" t="s">
        <v>442</v>
      </c>
      <c r="AL143" s="283" t="e">
        <f t="shared" ca="1" si="52"/>
        <v>#NAME?</v>
      </c>
    </row>
    <row r="144" spans="1:38" hidden="1">
      <c r="A144" s="492">
        <f t="shared" si="53"/>
        <v>134</v>
      </c>
      <c r="B144" s="492">
        <f t="shared" si="40"/>
        <v>5</v>
      </c>
      <c r="C144" s="492">
        <f t="shared" si="40"/>
        <v>3</v>
      </c>
      <c r="D144" s="492">
        <f t="shared" si="40"/>
        <v>3</v>
      </c>
      <c r="E144" s="492">
        <f t="shared" si="41"/>
        <v>2</v>
      </c>
      <c r="F144" s="492" t="str">
        <f t="shared" si="42"/>
        <v>Any Commercial Except Fitness Center</v>
      </c>
      <c r="G144" s="492" t="str">
        <f t="shared" si="43"/>
        <v>Mail-by-Request</v>
      </c>
      <c r="H144" s="492" t="str">
        <f t="shared" si="43"/>
        <v>1_50</v>
      </c>
      <c r="I144" s="492" t="str">
        <f t="shared" si="43"/>
        <v>Gas Water Heating</v>
      </c>
      <c r="J144" s="492" t="str">
        <f t="shared" si="44"/>
        <v>Commercial Showerhead Replacement_1_50gpm_Any Commercial Except Fitness Center_ Gas Water Heating_Mail-by-Request</v>
      </c>
      <c r="K144" s="493">
        <f>INDEX(InstallRatesCostAndLifetime!$A$2:$D$6,MATCH(InputForProCost!G144,InstallRatesCostAndLifetime!$A$2:$A$6,0),MATCH(InputForProCost!H144,InstallRatesCostAndLifetime!$A$2:$D$2,0))</f>
        <v>0.6</v>
      </c>
      <c r="L144" s="493">
        <f t="shared" si="45"/>
        <v>0</v>
      </c>
      <c r="M144" s="492"/>
      <c r="N144" s="492" t="str">
        <f t="shared" si="46"/>
        <v>Any Commercial Except Fitness Center1_50</v>
      </c>
      <c r="O144" s="494">
        <f>VLOOKUP($N144,Impacts!$F$5:$Z$22,16,FALSE)</f>
        <v>242.43720506615773</v>
      </c>
      <c r="P144" s="494">
        <f>VLOOKUP($N144,Impacts!$F$5:$Z$22,17,FALSE)*K144</f>
        <v>6.7300348015701053</v>
      </c>
      <c r="Q144" s="495">
        <f>VLOOKUP($N144,Impacts!$F$5:$Z$22,19,FALSE)*K144</f>
        <v>6.4870569546712513</v>
      </c>
      <c r="R144" s="496">
        <f>VLOOKUP($N144,Impacts!$F$5:$Z$22,20,FALSE)*K144</f>
        <v>1272.218298973555</v>
      </c>
      <c r="S144" s="497">
        <f>VLOOKUP($N144,Impacts!$F$5:$Z$22,21,FALSE)*K144</f>
        <v>16.745807106235389</v>
      </c>
      <c r="T144" s="492"/>
      <c r="U144" s="492" t="str">
        <f t="shared" si="47"/>
        <v>Commercial Showerhead Replacement_1_50gpm_Any Commercial Except Fitness Center_ Gas Water Heating_Mail-by-Request</v>
      </c>
      <c r="V144" s="492" t="s">
        <v>440</v>
      </c>
      <c r="W144" s="494">
        <f t="shared" si="48"/>
        <v>0</v>
      </c>
      <c r="X144" s="492">
        <v>10</v>
      </c>
      <c r="Y144" s="498">
        <f t="shared" si="49"/>
        <v>8.1096944444444432</v>
      </c>
      <c r="Z144" s="492"/>
      <c r="AA144" s="499" t="s">
        <v>441</v>
      </c>
      <c r="AB144" s="497">
        <f t="shared" si="50"/>
        <v>16.745807106235389</v>
      </c>
      <c r="AC144" s="492"/>
      <c r="AD144" s="492"/>
      <c r="AE144" s="492"/>
      <c r="AF144" s="492"/>
      <c r="AG144" s="492"/>
      <c r="AH144" s="492"/>
      <c r="AI144" s="492">
        <f t="shared" si="51"/>
        <v>6.4870569546712513</v>
      </c>
      <c r="AJ144" s="492" t="s">
        <v>442</v>
      </c>
      <c r="AL144" s="283" t="e">
        <f t="shared" ca="1" si="52"/>
        <v>#NAME?</v>
      </c>
    </row>
    <row r="145" spans="1:38" hidden="1">
      <c r="A145" s="492">
        <f t="shared" si="53"/>
        <v>135</v>
      </c>
      <c r="B145" s="492">
        <f t="shared" si="40"/>
        <v>5</v>
      </c>
      <c r="C145" s="492">
        <f t="shared" si="40"/>
        <v>3</v>
      </c>
      <c r="D145" s="492">
        <f t="shared" si="40"/>
        <v>3</v>
      </c>
      <c r="E145" s="492">
        <f t="shared" si="41"/>
        <v>3</v>
      </c>
      <c r="F145" s="492" t="str">
        <f t="shared" si="42"/>
        <v>Any Commercial Except Fitness Center</v>
      </c>
      <c r="G145" s="492" t="str">
        <f t="shared" si="43"/>
        <v>Mail-by-Request</v>
      </c>
      <c r="H145" s="492" t="str">
        <f t="shared" si="43"/>
        <v>1_50</v>
      </c>
      <c r="I145" s="492" t="str">
        <f t="shared" si="43"/>
        <v>Any Water Heating</v>
      </c>
      <c r="J145" s="492" t="str">
        <f t="shared" si="44"/>
        <v>Commercial Showerhead Replacement_1_50gpm_Any Commercial Except Fitness Center_ Any Water Heating_Mail-by-Request</v>
      </c>
      <c r="K145" s="493">
        <f>INDEX(InstallRatesCostAndLifetime!$A$2:$D$6,MATCH(InputForProCost!G145,InstallRatesCostAndLifetime!$A$2:$A$6,0),MATCH(InputForProCost!H145,InstallRatesCostAndLifetime!$A$2:$D$2,0))</f>
        <v>0.6</v>
      </c>
      <c r="L145" s="493">
        <f t="shared" si="45"/>
        <v>0.22510541424141675</v>
      </c>
      <c r="M145" s="492"/>
      <c r="N145" s="492" t="str">
        <f t="shared" si="46"/>
        <v>Any Commercial Except Fitness Center1_50</v>
      </c>
      <c r="O145" s="494">
        <f>VLOOKUP($N145,Impacts!$F$5:$Z$22,16,FALSE)</f>
        <v>242.43720506615773</v>
      </c>
      <c r="P145" s="494">
        <f>VLOOKUP($N145,Impacts!$F$5:$Z$22,17,FALSE)*K145</f>
        <v>6.7300348015701053</v>
      </c>
      <c r="Q145" s="495">
        <f>VLOOKUP($N145,Impacts!$F$5:$Z$22,19,FALSE)*K145</f>
        <v>6.4870569546712513</v>
      </c>
      <c r="R145" s="496">
        <f>VLOOKUP($N145,Impacts!$F$5:$Z$22,20,FALSE)*K145</f>
        <v>1272.218298973555</v>
      </c>
      <c r="S145" s="497">
        <f>VLOOKUP($N145,Impacts!$F$5:$Z$22,21,FALSE)*K145</f>
        <v>16.745807106235389</v>
      </c>
      <c r="T145" s="492"/>
      <c r="U145" s="492" t="str">
        <f t="shared" si="47"/>
        <v>Commercial Showerhead Replacement_1_50gpm_Any Commercial Except Fitness Center_ Any Water Heating_Mail-by-Request</v>
      </c>
      <c r="V145" s="492" t="s">
        <v>440</v>
      </c>
      <c r="W145" s="494">
        <f t="shared" si="48"/>
        <v>32.744356484369241</v>
      </c>
      <c r="X145" s="492">
        <v>10</v>
      </c>
      <c r="Y145" s="498">
        <f t="shared" si="49"/>
        <v>8.1096944444444432</v>
      </c>
      <c r="Z145" s="492"/>
      <c r="AA145" s="499" t="s">
        <v>441</v>
      </c>
      <c r="AB145" s="497">
        <f t="shared" si="50"/>
        <v>16.745807106235389</v>
      </c>
      <c r="AC145" s="492"/>
      <c r="AD145" s="492"/>
      <c r="AE145" s="492"/>
      <c r="AF145" s="492"/>
      <c r="AG145" s="492"/>
      <c r="AH145" s="492"/>
      <c r="AI145" s="492">
        <f t="shared" si="51"/>
        <v>5.0267853116823158</v>
      </c>
      <c r="AJ145" s="492" t="s">
        <v>442</v>
      </c>
      <c r="AL145" s="283" t="e">
        <f t="shared" ca="1" si="52"/>
        <v>#NAME?</v>
      </c>
    </row>
    <row r="146" spans="1:38" hidden="1">
      <c r="A146" s="492">
        <f t="shared" si="53"/>
        <v>136</v>
      </c>
      <c r="B146" s="492">
        <f t="shared" si="40"/>
        <v>6</v>
      </c>
      <c r="C146" s="492">
        <f t="shared" si="40"/>
        <v>1</v>
      </c>
      <c r="D146" s="492">
        <f t="shared" si="40"/>
        <v>1</v>
      </c>
      <c r="E146" s="492">
        <f t="shared" si="41"/>
        <v>1</v>
      </c>
      <c r="F146" s="492" t="str">
        <f t="shared" si="42"/>
        <v>Fitness Center</v>
      </c>
      <c r="G146" s="492" t="str">
        <f t="shared" si="43"/>
        <v>Retail</v>
      </c>
      <c r="H146" s="492" t="str">
        <f t="shared" si="43"/>
        <v>2_00</v>
      </c>
      <c r="I146" s="492" t="str">
        <f t="shared" si="43"/>
        <v>Electric Water Heating</v>
      </c>
      <c r="J146" s="492" t="str">
        <f t="shared" si="44"/>
        <v>Commercial Showerhead Replacement_2_00gpm_Fitness Center_ Electric Water Heating_Retail</v>
      </c>
      <c r="K146" s="493">
        <f>INDEX(InstallRatesCostAndLifetime!$A$2:$D$6,MATCH(InputForProCost!G146,InstallRatesCostAndLifetime!$A$2:$A$6,0),MATCH(InputForProCost!H146,InstallRatesCostAndLifetime!$A$2:$D$2,0))</f>
        <v>0.8</v>
      </c>
      <c r="L146" s="493">
        <f t="shared" si="45"/>
        <v>1</v>
      </c>
      <c r="M146" s="492"/>
      <c r="N146" s="492" t="str">
        <f t="shared" si="46"/>
        <v>Fitness Center2_00</v>
      </c>
      <c r="O146" s="494">
        <f>VLOOKUP($N146,Impacts!$F$5:$Z$22,16,FALSE)</f>
        <v>2580.6851872116004</v>
      </c>
      <c r="P146" s="494">
        <f>VLOOKUP($N146,Impacts!$F$5:$Z$22,17,FALSE)*K146</f>
        <v>96.30796050339346</v>
      </c>
      <c r="Q146" s="495">
        <f>VLOOKUP($N146,Impacts!$F$5:$Z$22,19,FALSE)*K146</f>
        <v>92.070861741701819</v>
      </c>
      <c r="R146" s="496">
        <f>VLOOKUP($N146,Impacts!$F$5:$Z$22,20,FALSE)*K146</f>
        <v>18205.663611227497</v>
      </c>
      <c r="S146" s="497">
        <f>VLOOKUP($N146,Impacts!$F$5:$Z$22,21,FALSE)*K146</f>
        <v>239.63539222835968</v>
      </c>
      <c r="T146" s="492"/>
      <c r="U146" s="492" t="str">
        <f t="shared" si="47"/>
        <v>Commercial Showerhead Replacement_2_00gpm_Fitness Center_ Electric Water Heating_Retail</v>
      </c>
      <c r="V146" s="492" t="s">
        <v>440</v>
      </c>
      <c r="W146" s="494">
        <f t="shared" si="48"/>
        <v>2064.5481497692804</v>
      </c>
      <c r="X146" s="492">
        <v>10</v>
      </c>
      <c r="Y146" s="498">
        <f t="shared" si="49"/>
        <v>3.2966774171383419</v>
      </c>
      <c r="Z146" s="492"/>
      <c r="AA146" s="499" t="s">
        <v>441</v>
      </c>
      <c r="AB146" s="497">
        <f t="shared" si="50"/>
        <v>239.63539222835968</v>
      </c>
      <c r="AC146" s="492"/>
      <c r="AD146" s="492"/>
      <c r="AE146" s="492"/>
      <c r="AF146" s="492"/>
      <c r="AG146" s="492"/>
      <c r="AH146" s="492"/>
      <c r="AI146" s="492">
        <f t="shared" si="51"/>
        <v>0</v>
      </c>
      <c r="AJ146" s="492" t="s">
        <v>442</v>
      </c>
      <c r="AL146" s="283" t="e">
        <f t="shared" ca="1" si="52"/>
        <v>#NAME?</v>
      </c>
    </row>
    <row r="147" spans="1:38" hidden="1">
      <c r="A147" s="492">
        <f t="shared" si="53"/>
        <v>137</v>
      </c>
      <c r="B147" s="492">
        <f t="shared" si="40"/>
        <v>6</v>
      </c>
      <c r="C147" s="492">
        <f t="shared" si="40"/>
        <v>1</v>
      </c>
      <c r="D147" s="492">
        <f t="shared" si="40"/>
        <v>1</v>
      </c>
      <c r="E147" s="492">
        <f t="shared" si="41"/>
        <v>2</v>
      </c>
      <c r="F147" s="492" t="str">
        <f t="shared" si="42"/>
        <v>Fitness Center</v>
      </c>
      <c r="G147" s="492" t="str">
        <f t="shared" si="43"/>
        <v>Retail</v>
      </c>
      <c r="H147" s="492" t="str">
        <f t="shared" si="43"/>
        <v>2_00</v>
      </c>
      <c r="I147" s="492" t="str">
        <f t="shared" si="43"/>
        <v>Gas Water Heating</v>
      </c>
      <c r="J147" s="492" t="str">
        <f t="shared" si="44"/>
        <v>Commercial Showerhead Replacement_2_00gpm_Fitness Center_ Gas Water Heating_Retail</v>
      </c>
      <c r="K147" s="493">
        <f>INDEX(InstallRatesCostAndLifetime!$A$2:$D$6,MATCH(InputForProCost!G147,InstallRatesCostAndLifetime!$A$2:$A$6,0),MATCH(InputForProCost!H147,InstallRatesCostAndLifetime!$A$2:$D$2,0))</f>
        <v>0.8</v>
      </c>
      <c r="L147" s="493">
        <f t="shared" si="45"/>
        <v>0</v>
      </c>
      <c r="M147" s="492"/>
      <c r="N147" s="492" t="str">
        <f t="shared" si="46"/>
        <v>Fitness Center2_00</v>
      </c>
      <c r="O147" s="494">
        <f>VLOOKUP($N147,Impacts!$F$5:$Z$22,16,FALSE)</f>
        <v>2580.6851872116004</v>
      </c>
      <c r="P147" s="494">
        <f>VLOOKUP($N147,Impacts!$F$5:$Z$22,17,FALSE)*K147</f>
        <v>96.30796050339346</v>
      </c>
      <c r="Q147" s="495">
        <f>VLOOKUP($N147,Impacts!$F$5:$Z$22,19,FALSE)*K147</f>
        <v>92.070861741701819</v>
      </c>
      <c r="R147" s="496">
        <f>VLOOKUP($N147,Impacts!$F$5:$Z$22,20,FALSE)*K147</f>
        <v>18205.663611227497</v>
      </c>
      <c r="S147" s="497">
        <f>VLOOKUP($N147,Impacts!$F$5:$Z$22,21,FALSE)*K147</f>
        <v>239.63539222835968</v>
      </c>
      <c r="T147" s="492"/>
      <c r="U147" s="492" t="str">
        <f t="shared" si="47"/>
        <v>Commercial Showerhead Replacement_2_00gpm_Fitness Center_ Gas Water Heating_Retail</v>
      </c>
      <c r="V147" s="492" t="s">
        <v>440</v>
      </c>
      <c r="W147" s="494">
        <f t="shared" si="48"/>
        <v>0</v>
      </c>
      <c r="X147" s="492">
        <v>10</v>
      </c>
      <c r="Y147" s="498">
        <f t="shared" si="49"/>
        <v>3.2966774171383419</v>
      </c>
      <c r="Z147" s="492"/>
      <c r="AA147" s="499" t="s">
        <v>441</v>
      </c>
      <c r="AB147" s="497">
        <f t="shared" si="50"/>
        <v>239.63539222835968</v>
      </c>
      <c r="AC147" s="492"/>
      <c r="AD147" s="492"/>
      <c r="AE147" s="492"/>
      <c r="AF147" s="492"/>
      <c r="AG147" s="492"/>
      <c r="AH147" s="492"/>
      <c r="AI147" s="492">
        <f t="shared" si="51"/>
        <v>92.070861741701819</v>
      </c>
      <c r="AJ147" s="492" t="s">
        <v>442</v>
      </c>
      <c r="AL147" s="283" t="e">
        <f t="shared" ca="1" si="52"/>
        <v>#NAME?</v>
      </c>
    </row>
    <row r="148" spans="1:38" hidden="1">
      <c r="A148" s="492">
        <f t="shared" si="53"/>
        <v>138</v>
      </c>
      <c r="B148" s="492">
        <f t="shared" si="40"/>
        <v>6</v>
      </c>
      <c r="C148" s="492">
        <f t="shared" si="40"/>
        <v>1</v>
      </c>
      <c r="D148" s="492">
        <f t="shared" si="40"/>
        <v>1</v>
      </c>
      <c r="E148" s="492">
        <f t="shared" si="41"/>
        <v>3</v>
      </c>
      <c r="F148" s="492" t="str">
        <f t="shared" si="42"/>
        <v>Fitness Center</v>
      </c>
      <c r="G148" s="492" t="str">
        <f t="shared" si="43"/>
        <v>Retail</v>
      </c>
      <c r="H148" s="492" t="str">
        <f t="shared" si="43"/>
        <v>2_00</v>
      </c>
      <c r="I148" s="492" t="str">
        <f t="shared" si="43"/>
        <v>Any Water Heating</v>
      </c>
      <c r="J148" s="492" t="str">
        <f t="shared" si="44"/>
        <v>Commercial Showerhead Replacement_2_00gpm_Fitness Center_ Any Water Heating_Retail</v>
      </c>
      <c r="K148" s="493">
        <f>INDEX(InstallRatesCostAndLifetime!$A$2:$D$6,MATCH(InputForProCost!G148,InstallRatesCostAndLifetime!$A$2:$A$6,0),MATCH(InputForProCost!H148,InstallRatesCostAndLifetime!$A$2:$D$2,0))</f>
        <v>0.8</v>
      </c>
      <c r="L148" s="493">
        <f t="shared" si="45"/>
        <v>0.31666666666666665</v>
      </c>
      <c r="M148" s="492"/>
      <c r="N148" s="492" t="str">
        <f t="shared" si="46"/>
        <v>Fitness Center2_00</v>
      </c>
      <c r="O148" s="494">
        <f>VLOOKUP($N148,Impacts!$F$5:$Z$22,16,FALSE)</f>
        <v>2580.6851872116004</v>
      </c>
      <c r="P148" s="494">
        <f>VLOOKUP($N148,Impacts!$F$5:$Z$22,17,FALSE)*K148</f>
        <v>96.30796050339346</v>
      </c>
      <c r="Q148" s="495">
        <f>VLOOKUP($N148,Impacts!$F$5:$Z$22,19,FALSE)*K148</f>
        <v>92.070861741701819</v>
      </c>
      <c r="R148" s="496">
        <f>VLOOKUP($N148,Impacts!$F$5:$Z$22,20,FALSE)*K148</f>
        <v>18205.663611227497</v>
      </c>
      <c r="S148" s="497">
        <f>VLOOKUP($N148,Impacts!$F$5:$Z$22,21,FALSE)*K148</f>
        <v>239.63539222835968</v>
      </c>
      <c r="T148" s="492"/>
      <c r="U148" s="492" t="str">
        <f t="shared" si="47"/>
        <v>Commercial Showerhead Replacement_2_00gpm_Fitness Center_ Any Water Heating_Retail</v>
      </c>
      <c r="V148" s="492" t="s">
        <v>440</v>
      </c>
      <c r="W148" s="494">
        <f t="shared" si="48"/>
        <v>653.77358076027213</v>
      </c>
      <c r="X148" s="492">
        <v>10</v>
      </c>
      <c r="Y148" s="498">
        <f t="shared" si="49"/>
        <v>3.2966774171383419</v>
      </c>
      <c r="Z148" s="492"/>
      <c r="AA148" s="499" t="s">
        <v>441</v>
      </c>
      <c r="AB148" s="497">
        <f t="shared" si="50"/>
        <v>239.63539222835968</v>
      </c>
      <c r="AC148" s="492"/>
      <c r="AD148" s="492"/>
      <c r="AE148" s="492"/>
      <c r="AF148" s="492"/>
      <c r="AG148" s="492"/>
      <c r="AH148" s="492"/>
      <c r="AI148" s="492">
        <f t="shared" si="51"/>
        <v>62.915088856829577</v>
      </c>
      <c r="AJ148" s="492" t="s">
        <v>442</v>
      </c>
      <c r="AL148" s="283" t="e">
        <f t="shared" ca="1" si="52"/>
        <v>#NAME?</v>
      </c>
    </row>
    <row r="149" spans="1:38" hidden="1">
      <c r="A149" s="492">
        <f t="shared" si="53"/>
        <v>139</v>
      </c>
      <c r="B149" s="492">
        <f t="shared" si="40"/>
        <v>6</v>
      </c>
      <c r="C149" s="492">
        <f t="shared" si="40"/>
        <v>1</v>
      </c>
      <c r="D149" s="492">
        <f t="shared" si="40"/>
        <v>2</v>
      </c>
      <c r="E149" s="492">
        <f t="shared" si="41"/>
        <v>1</v>
      </c>
      <c r="F149" s="492" t="str">
        <f t="shared" si="42"/>
        <v>Fitness Center</v>
      </c>
      <c r="G149" s="492" t="str">
        <f t="shared" si="43"/>
        <v>Retail</v>
      </c>
      <c r="H149" s="492" t="str">
        <f t="shared" si="43"/>
        <v>1_75</v>
      </c>
      <c r="I149" s="492" t="str">
        <f t="shared" si="43"/>
        <v>Electric Water Heating</v>
      </c>
      <c r="J149" s="492" t="str">
        <f t="shared" si="44"/>
        <v>Commercial Showerhead Replacement_1_75gpm_Fitness Center_ Electric Water Heating_Retail</v>
      </c>
      <c r="K149" s="493">
        <f>INDEX(InstallRatesCostAndLifetime!$A$2:$D$6,MATCH(InputForProCost!G149,InstallRatesCostAndLifetime!$A$2:$A$6,0),MATCH(InputForProCost!H149,InstallRatesCostAndLifetime!$A$2:$D$2,0))</f>
        <v>0.75</v>
      </c>
      <c r="L149" s="493">
        <f t="shared" si="45"/>
        <v>1</v>
      </c>
      <c r="M149" s="492"/>
      <c r="N149" s="492" t="str">
        <f t="shared" si="46"/>
        <v>Fitness Center1_75</v>
      </c>
      <c r="O149" s="494">
        <f>VLOOKUP($N149,Impacts!$F$5:$Z$22,16,FALSE)</f>
        <v>2754.1461698993771</v>
      </c>
      <c r="P149" s="494">
        <f>VLOOKUP($N149,Impacts!$F$5:$Z$22,17,FALSE)*K149</f>
        <v>101.57480209342276</v>
      </c>
      <c r="Q149" s="495">
        <f>VLOOKUP($N149,Impacts!$F$5:$Z$22,19,FALSE)*K149</f>
        <v>92.118199539296626</v>
      </c>
      <c r="R149" s="496">
        <f>VLOOKUP($N149,Impacts!$F$5:$Z$22,20,FALSE)*K149</f>
        <v>19201.285839966495</v>
      </c>
      <c r="S149" s="497">
        <f>VLOOKUP($N149,Impacts!$F$5:$Z$22,21,FALSE)*K149</f>
        <v>252.74045274084807</v>
      </c>
      <c r="T149" s="492"/>
      <c r="U149" s="492" t="str">
        <f t="shared" si="47"/>
        <v>Commercial Showerhead Replacement_1_75gpm_Fitness Center_ Electric Water Heating_Retail</v>
      </c>
      <c r="V149" s="492" t="s">
        <v>440</v>
      </c>
      <c r="W149" s="494">
        <f t="shared" si="48"/>
        <v>2065.6096274245328</v>
      </c>
      <c r="X149" s="492">
        <v>10</v>
      </c>
      <c r="Y149" s="498">
        <f t="shared" si="49"/>
        <v>3.2966774171383419</v>
      </c>
      <c r="Z149" s="492"/>
      <c r="AA149" s="499" t="s">
        <v>441</v>
      </c>
      <c r="AB149" s="497">
        <f t="shared" si="50"/>
        <v>252.74045274084807</v>
      </c>
      <c r="AC149" s="492"/>
      <c r="AD149" s="492"/>
      <c r="AE149" s="492"/>
      <c r="AF149" s="492"/>
      <c r="AG149" s="492"/>
      <c r="AH149" s="492"/>
      <c r="AI149" s="492">
        <f t="shared" si="51"/>
        <v>0</v>
      </c>
      <c r="AJ149" s="492" t="s">
        <v>442</v>
      </c>
      <c r="AL149" s="283" t="e">
        <f t="shared" ca="1" si="52"/>
        <v>#NAME?</v>
      </c>
    </row>
    <row r="150" spans="1:38" hidden="1">
      <c r="A150" s="492">
        <f t="shared" si="53"/>
        <v>140</v>
      </c>
      <c r="B150" s="492">
        <f t="shared" si="40"/>
        <v>6</v>
      </c>
      <c r="C150" s="492">
        <f t="shared" si="40"/>
        <v>1</v>
      </c>
      <c r="D150" s="492">
        <f t="shared" si="40"/>
        <v>2</v>
      </c>
      <c r="E150" s="492">
        <f t="shared" si="41"/>
        <v>2</v>
      </c>
      <c r="F150" s="492" t="str">
        <f t="shared" si="42"/>
        <v>Fitness Center</v>
      </c>
      <c r="G150" s="492" t="str">
        <f t="shared" si="43"/>
        <v>Retail</v>
      </c>
      <c r="H150" s="492" t="str">
        <f t="shared" si="43"/>
        <v>1_75</v>
      </c>
      <c r="I150" s="492" t="str">
        <f t="shared" si="43"/>
        <v>Gas Water Heating</v>
      </c>
      <c r="J150" s="492" t="str">
        <f t="shared" si="44"/>
        <v>Commercial Showerhead Replacement_1_75gpm_Fitness Center_ Gas Water Heating_Retail</v>
      </c>
      <c r="K150" s="493">
        <f>INDEX(InstallRatesCostAndLifetime!$A$2:$D$6,MATCH(InputForProCost!G150,InstallRatesCostAndLifetime!$A$2:$A$6,0),MATCH(InputForProCost!H150,InstallRatesCostAndLifetime!$A$2:$D$2,0))</f>
        <v>0.75</v>
      </c>
      <c r="L150" s="493">
        <f t="shared" si="45"/>
        <v>0</v>
      </c>
      <c r="M150" s="492"/>
      <c r="N150" s="492" t="str">
        <f t="shared" si="46"/>
        <v>Fitness Center1_75</v>
      </c>
      <c r="O150" s="494">
        <f>VLOOKUP($N150,Impacts!$F$5:$Z$22,16,FALSE)</f>
        <v>2754.1461698993771</v>
      </c>
      <c r="P150" s="494">
        <f>VLOOKUP($N150,Impacts!$F$5:$Z$22,17,FALSE)*K150</f>
        <v>101.57480209342276</v>
      </c>
      <c r="Q150" s="495">
        <f>VLOOKUP($N150,Impacts!$F$5:$Z$22,19,FALSE)*K150</f>
        <v>92.118199539296626</v>
      </c>
      <c r="R150" s="496">
        <f>VLOOKUP($N150,Impacts!$F$5:$Z$22,20,FALSE)*K150</f>
        <v>19201.285839966495</v>
      </c>
      <c r="S150" s="497">
        <f>VLOOKUP($N150,Impacts!$F$5:$Z$22,21,FALSE)*K150</f>
        <v>252.74045274084807</v>
      </c>
      <c r="T150" s="492"/>
      <c r="U150" s="492" t="str">
        <f t="shared" si="47"/>
        <v>Commercial Showerhead Replacement_1_75gpm_Fitness Center_ Gas Water Heating_Retail</v>
      </c>
      <c r="V150" s="492" t="s">
        <v>440</v>
      </c>
      <c r="W150" s="494">
        <f t="shared" si="48"/>
        <v>0</v>
      </c>
      <c r="X150" s="492">
        <v>10</v>
      </c>
      <c r="Y150" s="498">
        <f t="shared" si="49"/>
        <v>3.2966774171383419</v>
      </c>
      <c r="Z150" s="492"/>
      <c r="AA150" s="499" t="s">
        <v>441</v>
      </c>
      <c r="AB150" s="497">
        <f t="shared" si="50"/>
        <v>252.74045274084807</v>
      </c>
      <c r="AC150" s="492"/>
      <c r="AD150" s="492"/>
      <c r="AE150" s="492"/>
      <c r="AF150" s="492"/>
      <c r="AG150" s="492"/>
      <c r="AH150" s="492"/>
      <c r="AI150" s="492">
        <f t="shared" si="51"/>
        <v>92.118199539296626</v>
      </c>
      <c r="AJ150" s="492" t="s">
        <v>442</v>
      </c>
      <c r="AL150" s="283" t="e">
        <f t="shared" ca="1" si="52"/>
        <v>#NAME?</v>
      </c>
    </row>
    <row r="151" spans="1:38" hidden="1">
      <c r="A151" s="492">
        <f t="shared" si="53"/>
        <v>141</v>
      </c>
      <c r="B151" s="492">
        <f t="shared" ref="B151:D170" si="54">CEILING((MOD($A151-1,B$9)+1)/C$9,1)</f>
        <v>6</v>
      </c>
      <c r="C151" s="492">
        <f t="shared" si="54"/>
        <v>1</v>
      </c>
      <c r="D151" s="492">
        <f t="shared" si="54"/>
        <v>2</v>
      </c>
      <c r="E151" s="492">
        <f t="shared" si="41"/>
        <v>3</v>
      </c>
      <c r="F151" s="492" t="str">
        <f t="shared" si="42"/>
        <v>Fitness Center</v>
      </c>
      <c r="G151" s="492" t="str">
        <f t="shared" si="43"/>
        <v>Retail</v>
      </c>
      <c r="H151" s="492" t="str">
        <f t="shared" si="43"/>
        <v>1_75</v>
      </c>
      <c r="I151" s="492" t="str">
        <f t="shared" si="43"/>
        <v>Any Water Heating</v>
      </c>
      <c r="J151" s="492" t="str">
        <f t="shared" si="44"/>
        <v>Commercial Showerhead Replacement_1_75gpm_Fitness Center_ Any Water Heating_Retail</v>
      </c>
      <c r="K151" s="493">
        <f>INDEX(InstallRatesCostAndLifetime!$A$2:$D$6,MATCH(InputForProCost!G151,InstallRatesCostAndLifetime!$A$2:$A$6,0),MATCH(InputForProCost!H151,InstallRatesCostAndLifetime!$A$2:$D$2,0))</f>
        <v>0.75</v>
      </c>
      <c r="L151" s="493">
        <f t="shared" si="45"/>
        <v>0.31666666666666665</v>
      </c>
      <c r="M151" s="492"/>
      <c r="N151" s="492" t="str">
        <f t="shared" si="46"/>
        <v>Fitness Center1_75</v>
      </c>
      <c r="O151" s="494">
        <f>VLOOKUP($N151,Impacts!$F$5:$Z$22,16,FALSE)</f>
        <v>2754.1461698993771</v>
      </c>
      <c r="P151" s="494">
        <f>VLOOKUP($N151,Impacts!$F$5:$Z$22,17,FALSE)*K151</f>
        <v>101.57480209342276</v>
      </c>
      <c r="Q151" s="495">
        <f>VLOOKUP($N151,Impacts!$F$5:$Z$22,19,FALSE)*K151</f>
        <v>92.118199539296626</v>
      </c>
      <c r="R151" s="496">
        <f>VLOOKUP($N151,Impacts!$F$5:$Z$22,20,FALSE)*K151</f>
        <v>19201.285839966495</v>
      </c>
      <c r="S151" s="497">
        <f>VLOOKUP($N151,Impacts!$F$5:$Z$22,21,FALSE)*K151</f>
        <v>252.74045274084807</v>
      </c>
      <c r="T151" s="492"/>
      <c r="U151" s="492" t="str">
        <f t="shared" si="47"/>
        <v>Commercial Showerhead Replacement_1_75gpm_Fitness Center_ Any Water Heating_Retail</v>
      </c>
      <c r="V151" s="492" t="s">
        <v>440</v>
      </c>
      <c r="W151" s="494">
        <f t="shared" si="48"/>
        <v>654.10971535110207</v>
      </c>
      <c r="X151" s="492">
        <v>10</v>
      </c>
      <c r="Y151" s="498">
        <f t="shared" si="49"/>
        <v>3.2966774171383419</v>
      </c>
      <c r="Z151" s="492"/>
      <c r="AA151" s="499" t="s">
        <v>441</v>
      </c>
      <c r="AB151" s="497">
        <f t="shared" si="50"/>
        <v>252.74045274084807</v>
      </c>
      <c r="AC151" s="492"/>
      <c r="AD151" s="492"/>
      <c r="AE151" s="492"/>
      <c r="AF151" s="492"/>
      <c r="AG151" s="492"/>
      <c r="AH151" s="492"/>
      <c r="AI151" s="492">
        <f t="shared" si="51"/>
        <v>62.947436351852694</v>
      </c>
      <c r="AJ151" s="492" t="s">
        <v>442</v>
      </c>
      <c r="AL151" s="283" t="e">
        <f t="shared" ca="1" si="52"/>
        <v>#NAME?</v>
      </c>
    </row>
    <row r="152" spans="1:38" hidden="1">
      <c r="A152" s="492">
        <f t="shared" si="53"/>
        <v>142</v>
      </c>
      <c r="B152" s="492">
        <f t="shared" si="54"/>
        <v>6</v>
      </c>
      <c r="C152" s="492">
        <f t="shared" si="54"/>
        <v>1</v>
      </c>
      <c r="D152" s="492">
        <f t="shared" si="54"/>
        <v>3</v>
      </c>
      <c r="E152" s="492">
        <f t="shared" si="41"/>
        <v>1</v>
      </c>
      <c r="F152" s="492" t="str">
        <f t="shared" si="42"/>
        <v>Fitness Center</v>
      </c>
      <c r="G152" s="492" t="str">
        <f t="shared" si="43"/>
        <v>Retail</v>
      </c>
      <c r="H152" s="492" t="str">
        <f t="shared" si="43"/>
        <v>1_50</v>
      </c>
      <c r="I152" s="492" t="str">
        <f t="shared" si="43"/>
        <v>Electric Water Heating</v>
      </c>
      <c r="J152" s="492" t="str">
        <f t="shared" si="44"/>
        <v>Commercial Showerhead Replacement_1_50gpm_Fitness Center_ Electric Water Heating_Retail</v>
      </c>
      <c r="K152" s="493">
        <f>INDEX(InstallRatesCostAndLifetime!$A$2:$D$6,MATCH(InputForProCost!G152,InstallRatesCostAndLifetime!$A$2:$A$6,0),MATCH(InputForProCost!H152,InstallRatesCostAndLifetime!$A$2:$D$2,0))</f>
        <v>0.7</v>
      </c>
      <c r="L152" s="493">
        <f t="shared" si="45"/>
        <v>1</v>
      </c>
      <c r="M152" s="492"/>
      <c r="N152" s="492" t="str">
        <f t="shared" si="46"/>
        <v>Fitness Center1_50</v>
      </c>
      <c r="O152" s="494">
        <f>VLOOKUP($N152,Impacts!$F$5:$Z$22,16,FALSE)</f>
        <v>4553.4802440487147</v>
      </c>
      <c r="P152" s="494">
        <f>VLOOKUP($N152,Impacts!$F$5:$Z$22,17,FALSE)*K152</f>
        <v>147.47156452082115</v>
      </c>
      <c r="Q152" s="495">
        <f>VLOOKUP($N152,Impacts!$F$5:$Z$22,19,FALSE)*K152</f>
        <v>142.14732411455836</v>
      </c>
      <c r="R152" s="496">
        <f>VLOOKUP($N152,Impacts!$F$5:$Z$22,20,FALSE)*K152</f>
        <v>27877.422404692086</v>
      </c>
      <c r="S152" s="497">
        <f>VLOOKUP($N152,Impacts!$F$5:$Z$22,21,FALSE)*K152</f>
        <v>366.94169434967563</v>
      </c>
      <c r="T152" s="492"/>
      <c r="U152" s="492" t="str">
        <f t="shared" si="47"/>
        <v>Commercial Showerhead Replacement_1_50gpm_Fitness Center_ Electric Water Heating_Retail</v>
      </c>
      <c r="V152" s="492" t="s">
        <v>440</v>
      </c>
      <c r="W152" s="494">
        <f t="shared" si="48"/>
        <v>3187.4361708341003</v>
      </c>
      <c r="X152" s="492">
        <v>10</v>
      </c>
      <c r="Y152" s="498">
        <f t="shared" si="49"/>
        <v>3.2966774171383419</v>
      </c>
      <c r="Z152" s="492"/>
      <c r="AA152" s="499" t="s">
        <v>441</v>
      </c>
      <c r="AB152" s="497">
        <f t="shared" si="50"/>
        <v>366.94169434967563</v>
      </c>
      <c r="AC152" s="492"/>
      <c r="AD152" s="492"/>
      <c r="AE152" s="492"/>
      <c r="AF152" s="492"/>
      <c r="AG152" s="492"/>
      <c r="AH152" s="492"/>
      <c r="AI152" s="492">
        <f t="shared" si="51"/>
        <v>0</v>
      </c>
      <c r="AJ152" s="492" t="s">
        <v>442</v>
      </c>
      <c r="AL152" s="283" t="e">
        <f t="shared" ca="1" si="52"/>
        <v>#NAME?</v>
      </c>
    </row>
    <row r="153" spans="1:38" hidden="1">
      <c r="A153" s="492">
        <f t="shared" si="53"/>
        <v>143</v>
      </c>
      <c r="B153" s="492">
        <f t="shared" si="54"/>
        <v>6</v>
      </c>
      <c r="C153" s="492">
        <f t="shared" si="54"/>
        <v>1</v>
      </c>
      <c r="D153" s="492">
        <f t="shared" si="54"/>
        <v>3</v>
      </c>
      <c r="E153" s="492">
        <f t="shared" si="41"/>
        <v>2</v>
      </c>
      <c r="F153" s="492" t="str">
        <f t="shared" si="42"/>
        <v>Fitness Center</v>
      </c>
      <c r="G153" s="492" t="str">
        <f t="shared" si="43"/>
        <v>Retail</v>
      </c>
      <c r="H153" s="492" t="str">
        <f t="shared" si="43"/>
        <v>1_50</v>
      </c>
      <c r="I153" s="492" t="str">
        <f t="shared" si="43"/>
        <v>Gas Water Heating</v>
      </c>
      <c r="J153" s="492" t="str">
        <f t="shared" si="44"/>
        <v>Commercial Showerhead Replacement_1_50gpm_Fitness Center_ Gas Water Heating_Retail</v>
      </c>
      <c r="K153" s="493">
        <f>INDEX(InstallRatesCostAndLifetime!$A$2:$D$6,MATCH(InputForProCost!G153,InstallRatesCostAndLifetime!$A$2:$A$6,0),MATCH(InputForProCost!H153,InstallRatesCostAndLifetime!$A$2:$D$2,0))</f>
        <v>0.7</v>
      </c>
      <c r="L153" s="493">
        <f t="shared" si="45"/>
        <v>0</v>
      </c>
      <c r="M153" s="492"/>
      <c r="N153" s="492" t="str">
        <f t="shared" si="46"/>
        <v>Fitness Center1_50</v>
      </c>
      <c r="O153" s="494">
        <f>VLOOKUP($N153,Impacts!$F$5:$Z$22,16,FALSE)</f>
        <v>4553.4802440487147</v>
      </c>
      <c r="P153" s="494">
        <f>VLOOKUP($N153,Impacts!$F$5:$Z$22,17,FALSE)*K153</f>
        <v>147.47156452082115</v>
      </c>
      <c r="Q153" s="495">
        <f>VLOOKUP($N153,Impacts!$F$5:$Z$22,19,FALSE)*K153</f>
        <v>142.14732411455836</v>
      </c>
      <c r="R153" s="496">
        <f>VLOOKUP($N153,Impacts!$F$5:$Z$22,20,FALSE)*K153</f>
        <v>27877.422404692086</v>
      </c>
      <c r="S153" s="497">
        <f>VLOOKUP($N153,Impacts!$F$5:$Z$22,21,FALSE)*K153</f>
        <v>366.94169434967563</v>
      </c>
      <c r="T153" s="492"/>
      <c r="U153" s="492" t="str">
        <f t="shared" si="47"/>
        <v>Commercial Showerhead Replacement_1_50gpm_Fitness Center_ Gas Water Heating_Retail</v>
      </c>
      <c r="V153" s="492" t="s">
        <v>440</v>
      </c>
      <c r="W153" s="494">
        <f t="shared" si="48"/>
        <v>0</v>
      </c>
      <c r="X153" s="492">
        <v>10</v>
      </c>
      <c r="Y153" s="498">
        <f t="shared" si="49"/>
        <v>3.2966774171383419</v>
      </c>
      <c r="Z153" s="492"/>
      <c r="AA153" s="499" t="s">
        <v>441</v>
      </c>
      <c r="AB153" s="497">
        <f t="shared" si="50"/>
        <v>366.94169434967563</v>
      </c>
      <c r="AC153" s="492"/>
      <c r="AD153" s="492"/>
      <c r="AE153" s="492"/>
      <c r="AF153" s="492"/>
      <c r="AG153" s="492"/>
      <c r="AH153" s="492"/>
      <c r="AI153" s="492">
        <f t="shared" si="51"/>
        <v>142.14732411455836</v>
      </c>
      <c r="AJ153" s="492" t="s">
        <v>442</v>
      </c>
      <c r="AL153" s="283" t="e">
        <f t="shared" ca="1" si="52"/>
        <v>#NAME?</v>
      </c>
    </row>
    <row r="154" spans="1:38" hidden="1">
      <c r="A154" s="492">
        <f t="shared" si="53"/>
        <v>144</v>
      </c>
      <c r="B154" s="492">
        <f t="shared" si="54"/>
        <v>6</v>
      </c>
      <c r="C154" s="492">
        <f t="shared" si="54"/>
        <v>1</v>
      </c>
      <c r="D154" s="492">
        <f t="shared" si="54"/>
        <v>3</v>
      </c>
      <c r="E154" s="492">
        <f t="shared" si="41"/>
        <v>3</v>
      </c>
      <c r="F154" s="492" t="str">
        <f t="shared" si="42"/>
        <v>Fitness Center</v>
      </c>
      <c r="G154" s="492" t="str">
        <f t="shared" si="43"/>
        <v>Retail</v>
      </c>
      <c r="H154" s="492" t="str">
        <f t="shared" si="43"/>
        <v>1_50</v>
      </c>
      <c r="I154" s="492" t="str">
        <f t="shared" si="43"/>
        <v>Any Water Heating</v>
      </c>
      <c r="J154" s="492" t="str">
        <f t="shared" si="44"/>
        <v>Commercial Showerhead Replacement_1_50gpm_Fitness Center_ Any Water Heating_Retail</v>
      </c>
      <c r="K154" s="493">
        <f>INDEX(InstallRatesCostAndLifetime!$A$2:$D$6,MATCH(InputForProCost!G154,InstallRatesCostAndLifetime!$A$2:$A$6,0),MATCH(InputForProCost!H154,InstallRatesCostAndLifetime!$A$2:$D$2,0))</f>
        <v>0.7</v>
      </c>
      <c r="L154" s="493">
        <f t="shared" si="45"/>
        <v>0.31666666666666665</v>
      </c>
      <c r="M154" s="492"/>
      <c r="N154" s="492" t="str">
        <f t="shared" si="46"/>
        <v>Fitness Center1_50</v>
      </c>
      <c r="O154" s="494">
        <f>VLOOKUP($N154,Impacts!$F$5:$Z$22,16,FALSE)</f>
        <v>4553.4802440487147</v>
      </c>
      <c r="P154" s="494">
        <f>VLOOKUP($N154,Impacts!$F$5:$Z$22,17,FALSE)*K154</f>
        <v>147.47156452082115</v>
      </c>
      <c r="Q154" s="495">
        <f>VLOOKUP($N154,Impacts!$F$5:$Z$22,19,FALSE)*K154</f>
        <v>142.14732411455836</v>
      </c>
      <c r="R154" s="496">
        <f>VLOOKUP($N154,Impacts!$F$5:$Z$22,20,FALSE)*K154</f>
        <v>27877.422404692086</v>
      </c>
      <c r="S154" s="497">
        <f>VLOOKUP($N154,Impacts!$F$5:$Z$22,21,FALSE)*K154</f>
        <v>366.94169434967563</v>
      </c>
      <c r="T154" s="492"/>
      <c r="U154" s="492" t="str">
        <f t="shared" si="47"/>
        <v>Commercial Showerhead Replacement_1_50gpm_Fitness Center_ Any Water Heating_Retail</v>
      </c>
      <c r="V154" s="492" t="s">
        <v>440</v>
      </c>
      <c r="W154" s="494">
        <f t="shared" si="48"/>
        <v>1009.3547874307983</v>
      </c>
      <c r="X154" s="492">
        <v>10</v>
      </c>
      <c r="Y154" s="498">
        <f t="shared" si="49"/>
        <v>3.2966774171383419</v>
      </c>
      <c r="Z154" s="492"/>
      <c r="AA154" s="499" t="s">
        <v>441</v>
      </c>
      <c r="AB154" s="497">
        <f t="shared" si="50"/>
        <v>366.94169434967563</v>
      </c>
      <c r="AC154" s="492"/>
      <c r="AD154" s="492"/>
      <c r="AE154" s="492"/>
      <c r="AF154" s="492"/>
      <c r="AG154" s="492"/>
      <c r="AH154" s="492"/>
      <c r="AI154" s="492">
        <f t="shared" si="51"/>
        <v>97.134004811614886</v>
      </c>
      <c r="AJ154" s="492" t="s">
        <v>442</v>
      </c>
      <c r="AL154" s="283" t="e">
        <f t="shared" ca="1" si="52"/>
        <v>#NAME?</v>
      </c>
    </row>
    <row r="155" spans="1:38" hidden="1">
      <c r="A155" s="492">
        <f t="shared" si="53"/>
        <v>145</v>
      </c>
      <c r="B155" s="492">
        <f t="shared" si="54"/>
        <v>6</v>
      </c>
      <c r="C155" s="492">
        <f t="shared" si="54"/>
        <v>2</v>
      </c>
      <c r="D155" s="492">
        <f t="shared" si="54"/>
        <v>1</v>
      </c>
      <c r="E155" s="492">
        <f t="shared" si="41"/>
        <v>1</v>
      </c>
      <c r="F155" s="492" t="str">
        <f t="shared" si="42"/>
        <v>Fitness Center</v>
      </c>
      <c r="G155" s="492" t="str">
        <f t="shared" si="43"/>
        <v>Direct Install</v>
      </c>
      <c r="H155" s="492" t="str">
        <f t="shared" si="43"/>
        <v>2_00</v>
      </c>
      <c r="I155" s="492" t="str">
        <f t="shared" si="43"/>
        <v>Electric Water Heating</v>
      </c>
      <c r="J155" s="492" t="str">
        <f t="shared" si="44"/>
        <v>Commercial Showerhead Replacement_2_00gpm_Fitness Center_ Electric Water Heating_Direct Install</v>
      </c>
      <c r="K155" s="493">
        <f>INDEX(InstallRatesCostAndLifetime!$A$2:$D$6,MATCH(InputForProCost!G155,InstallRatesCostAndLifetime!$A$2:$A$6,0),MATCH(InputForProCost!H155,InstallRatesCostAndLifetime!$A$2:$D$2,0))</f>
        <v>0.9</v>
      </c>
      <c r="L155" s="493">
        <f t="shared" si="45"/>
        <v>1</v>
      </c>
      <c r="M155" s="492"/>
      <c r="N155" s="492" t="str">
        <f t="shared" si="46"/>
        <v>Fitness Center2_00</v>
      </c>
      <c r="O155" s="494">
        <f>VLOOKUP($N155,Impacts!$F$5:$Z$22,16,FALSE)</f>
        <v>2580.6851872116004</v>
      </c>
      <c r="P155" s="494">
        <f>VLOOKUP($N155,Impacts!$F$5:$Z$22,17,FALSE)*K155</f>
        <v>108.34645556631763</v>
      </c>
      <c r="Q155" s="495">
        <f>VLOOKUP($N155,Impacts!$F$5:$Z$22,19,FALSE)*K155</f>
        <v>103.57971945941453</v>
      </c>
      <c r="R155" s="496">
        <f>VLOOKUP($N155,Impacts!$F$5:$Z$22,20,FALSE)*K155</f>
        <v>20481.371562630931</v>
      </c>
      <c r="S155" s="497">
        <f>VLOOKUP($N155,Impacts!$F$5:$Z$22,21,FALSE)*K155</f>
        <v>269.58981625690461</v>
      </c>
      <c r="T155" s="492"/>
      <c r="U155" s="492" t="str">
        <f t="shared" si="47"/>
        <v>Commercial Showerhead Replacement_2_00gpm_Fitness Center_ Electric Water Heating_Direct Install</v>
      </c>
      <c r="V155" s="492" t="s">
        <v>440</v>
      </c>
      <c r="W155" s="494">
        <f t="shared" si="48"/>
        <v>2322.6166684904406</v>
      </c>
      <c r="X155" s="492">
        <v>10</v>
      </c>
      <c r="Y155" s="498">
        <f t="shared" si="49"/>
        <v>11.336666666666666</v>
      </c>
      <c r="Z155" s="492"/>
      <c r="AA155" s="499" t="s">
        <v>441</v>
      </c>
      <c r="AB155" s="497">
        <f t="shared" si="50"/>
        <v>269.58981625690461</v>
      </c>
      <c r="AC155" s="492"/>
      <c r="AD155" s="492"/>
      <c r="AE155" s="492"/>
      <c r="AF155" s="492"/>
      <c r="AG155" s="492"/>
      <c r="AH155" s="492"/>
      <c r="AI155" s="492">
        <f t="shared" si="51"/>
        <v>0</v>
      </c>
      <c r="AJ155" s="492" t="s">
        <v>442</v>
      </c>
      <c r="AL155" s="283" t="e">
        <f t="shared" ca="1" si="52"/>
        <v>#NAME?</v>
      </c>
    </row>
    <row r="156" spans="1:38" hidden="1">
      <c r="A156" s="492">
        <f t="shared" si="53"/>
        <v>146</v>
      </c>
      <c r="B156" s="492">
        <f t="shared" si="54"/>
        <v>6</v>
      </c>
      <c r="C156" s="492">
        <f t="shared" si="54"/>
        <v>2</v>
      </c>
      <c r="D156" s="492">
        <f t="shared" si="54"/>
        <v>1</v>
      </c>
      <c r="E156" s="492">
        <f t="shared" si="41"/>
        <v>2</v>
      </c>
      <c r="F156" s="492" t="str">
        <f t="shared" si="42"/>
        <v>Fitness Center</v>
      </c>
      <c r="G156" s="492" t="str">
        <f t="shared" si="43"/>
        <v>Direct Install</v>
      </c>
      <c r="H156" s="492" t="str">
        <f t="shared" si="43"/>
        <v>2_00</v>
      </c>
      <c r="I156" s="492" t="str">
        <f t="shared" si="43"/>
        <v>Gas Water Heating</v>
      </c>
      <c r="J156" s="492" t="str">
        <f t="shared" si="44"/>
        <v>Commercial Showerhead Replacement_2_00gpm_Fitness Center_ Gas Water Heating_Direct Install</v>
      </c>
      <c r="K156" s="493">
        <f>INDEX(InstallRatesCostAndLifetime!$A$2:$D$6,MATCH(InputForProCost!G156,InstallRatesCostAndLifetime!$A$2:$A$6,0),MATCH(InputForProCost!H156,InstallRatesCostAndLifetime!$A$2:$D$2,0))</f>
        <v>0.9</v>
      </c>
      <c r="L156" s="493">
        <f t="shared" si="45"/>
        <v>0</v>
      </c>
      <c r="M156" s="492"/>
      <c r="N156" s="492" t="str">
        <f t="shared" si="46"/>
        <v>Fitness Center2_00</v>
      </c>
      <c r="O156" s="494">
        <f>VLOOKUP($N156,Impacts!$F$5:$Z$22,16,FALSE)</f>
        <v>2580.6851872116004</v>
      </c>
      <c r="P156" s="494">
        <f>VLOOKUP($N156,Impacts!$F$5:$Z$22,17,FALSE)*K156</f>
        <v>108.34645556631763</v>
      </c>
      <c r="Q156" s="495">
        <f>VLOOKUP($N156,Impacts!$F$5:$Z$22,19,FALSE)*K156</f>
        <v>103.57971945941453</v>
      </c>
      <c r="R156" s="496">
        <f>VLOOKUP($N156,Impacts!$F$5:$Z$22,20,FALSE)*K156</f>
        <v>20481.371562630931</v>
      </c>
      <c r="S156" s="497">
        <f>VLOOKUP($N156,Impacts!$F$5:$Z$22,21,FALSE)*K156</f>
        <v>269.58981625690461</v>
      </c>
      <c r="T156" s="492"/>
      <c r="U156" s="492" t="str">
        <f t="shared" si="47"/>
        <v>Commercial Showerhead Replacement_2_00gpm_Fitness Center_ Gas Water Heating_Direct Install</v>
      </c>
      <c r="V156" s="492" t="s">
        <v>440</v>
      </c>
      <c r="W156" s="494">
        <f t="shared" si="48"/>
        <v>0</v>
      </c>
      <c r="X156" s="492">
        <v>10</v>
      </c>
      <c r="Y156" s="498">
        <f t="shared" si="49"/>
        <v>11.336666666666666</v>
      </c>
      <c r="Z156" s="492"/>
      <c r="AA156" s="499" t="s">
        <v>441</v>
      </c>
      <c r="AB156" s="497">
        <f t="shared" si="50"/>
        <v>269.58981625690461</v>
      </c>
      <c r="AC156" s="492"/>
      <c r="AD156" s="492"/>
      <c r="AE156" s="492"/>
      <c r="AF156" s="492"/>
      <c r="AG156" s="492"/>
      <c r="AH156" s="492"/>
      <c r="AI156" s="492">
        <f t="shared" si="51"/>
        <v>103.57971945941453</v>
      </c>
      <c r="AJ156" s="492" t="s">
        <v>442</v>
      </c>
      <c r="AL156" s="283" t="e">
        <f t="shared" ca="1" si="52"/>
        <v>#NAME?</v>
      </c>
    </row>
    <row r="157" spans="1:38" hidden="1">
      <c r="A157" s="492">
        <f t="shared" si="53"/>
        <v>147</v>
      </c>
      <c r="B157" s="492">
        <f t="shared" si="54"/>
        <v>6</v>
      </c>
      <c r="C157" s="492">
        <f t="shared" si="54"/>
        <v>2</v>
      </c>
      <c r="D157" s="492">
        <f t="shared" si="54"/>
        <v>1</v>
      </c>
      <c r="E157" s="492">
        <f t="shared" si="41"/>
        <v>3</v>
      </c>
      <c r="F157" s="492" t="str">
        <f t="shared" si="42"/>
        <v>Fitness Center</v>
      </c>
      <c r="G157" s="492" t="str">
        <f t="shared" si="43"/>
        <v>Direct Install</v>
      </c>
      <c r="H157" s="492" t="str">
        <f t="shared" si="43"/>
        <v>2_00</v>
      </c>
      <c r="I157" s="492" t="str">
        <f t="shared" si="43"/>
        <v>Any Water Heating</v>
      </c>
      <c r="J157" s="492" t="str">
        <f t="shared" si="44"/>
        <v>Commercial Showerhead Replacement_2_00gpm_Fitness Center_ Any Water Heating_Direct Install</v>
      </c>
      <c r="K157" s="493">
        <f>INDEX(InstallRatesCostAndLifetime!$A$2:$D$6,MATCH(InputForProCost!G157,InstallRatesCostAndLifetime!$A$2:$A$6,0),MATCH(InputForProCost!H157,InstallRatesCostAndLifetime!$A$2:$D$2,0))</f>
        <v>0.9</v>
      </c>
      <c r="L157" s="493">
        <f t="shared" si="45"/>
        <v>0.31666666666666665</v>
      </c>
      <c r="M157" s="492"/>
      <c r="N157" s="492" t="str">
        <f t="shared" si="46"/>
        <v>Fitness Center2_00</v>
      </c>
      <c r="O157" s="494">
        <f>VLOOKUP($N157,Impacts!$F$5:$Z$22,16,FALSE)</f>
        <v>2580.6851872116004</v>
      </c>
      <c r="P157" s="494">
        <f>VLOOKUP($N157,Impacts!$F$5:$Z$22,17,FALSE)*K157</f>
        <v>108.34645556631763</v>
      </c>
      <c r="Q157" s="495">
        <f>VLOOKUP($N157,Impacts!$F$5:$Z$22,19,FALSE)*K157</f>
        <v>103.57971945941453</v>
      </c>
      <c r="R157" s="496">
        <f>VLOOKUP($N157,Impacts!$F$5:$Z$22,20,FALSE)*K157</f>
        <v>20481.371562630931</v>
      </c>
      <c r="S157" s="497">
        <f>VLOOKUP($N157,Impacts!$F$5:$Z$22,21,FALSE)*K157</f>
        <v>269.58981625690461</v>
      </c>
      <c r="T157" s="492"/>
      <c r="U157" s="492" t="str">
        <f t="shared" si="47"/>
        <v>Commercial Showerhead Replacement_2_00gpm_Fitness Center_ Any Water Heating_Direct Install</v>
      </c>
      <c r="V157" s="492" t="s">
        <v>440</v>
      </c>
      <c r="W157" s="494">
        <f t="shared" si="48"/>
        <v>735.49527835530603</v>
      </c>
      <c r="X157" s="492">
        <v>10</v>
      </c>
      <c r="Y157" s="498">
        <f t="shared" si="49"/>
        <v>11.336666666666666</v>
      </c>
      <c r="Z157" s="492"/>
      <c r="AA157" s="499" t="s">
        <v>441</v>
      </c>
      <c r="AB157" s="497">
        <f t="shared" si="50"/>
        <v>269.58981625690461</v>
      </c>
      <c r="AC157" s="492"/>
      <c r="AD157" s="492"/>
      <c r="AE157" s="492"/>
      <c r="AF157" s="492"/>
      <c r="AG157" s="492"/>
      <c r="AH157" s="492"/>
      <c r="AI157" s="492">
        <f t="shared" si="51"/>
        <v>70.779474963933268</v>
      </c>
      <c r="AJ157" s="492" t="s">
        <v>442</v>
      </c>
      <c r="AL157" s="283" t="e">
        <f t="shared" ca="1" si="52"/>
        <v>#NAME?</v>
      </c>
    </row>
    <row r="158" spans="1:38" hidden="1">
      <c r="A158" s="492">
        <f t="shared" si="53"/>
        <v>148</v>
      </c>
      <c r="B158" s="492">
        <f t="shared" si="54"/>
        <v>6</v>
      </c>
      <c r="C158" s="492">
        <f t="shared" si="54"/>
        <v>2</v>
      </c>
      <c r="D158" s="492">
        <f t="shared" si="54"/>
        <v>2</v>
      </c>
      <c r="E158" s="492">
        <f t="shared" si="41"/>
        <v>1</v>
      </c>
      <c r="F158" s="492" t="str">
        <f t="shared" si="42"/>
        <v>Fitness Center</v>
      </c>
      <c r="G158" s="492" t="str">
        <f t="shared" si="43"/>
        <v>Direct Install</v>
      </c>
      <c r="H158" s="492" t="str">
        <f t="shared" si="43"/>
        <v>1_75</v>
      </c>
      <c r="I158" s="492" t="str">
        <f t="shared" si="43"/>
        <v>Electric Water Heating</v>
      </c>
      <c r="J158" s="492" t="str">
        <f t="shared" si="44"/>
        <v>Commercial Showerhead Replacement_1_75gpm_Fitness Center_ Electric Water Heating_Direct Install</v>
      </c>
      <c r="K158" s="493">
        <f>INDEX(InstallRatesCostAndLifetime!$A$2:$D$6,MATCH(InputForProCost!G158,InstallRatesCostAndLifetime!$A$2:$A$6,0),MATCH(InputForProCost!H158,InstallRatesCostAndLifetime!$A$2:$D$2,0))</f>
        <v>0.9</v>
      </c>
      <c r="L158" s="493">
        <f t="shared" si="45"/>
        <v>1</v>
      </c>
      <c r="M158" s="492"/>
      <c r="N158" s="492" t="str">
        <f t="shared" si="46"/>
        <v>Fitness Center1_75</v>
      </c>
      <c r="O158" s="494">
        <f>VLOOKUP($N158,Impacts!$F$5:$Z$22,16,FALSE)</f>
        <v>2754.1461698993771</v>
      </c>
      <c r="P158" s="494">
        <f>VLOOKUP($N158,Impacts!$F$5:$Z$22,17,FALSE)*K158</f>
        <v>121.88976251210731</v>
      </c>
      <c r="Q158" s="495">
        <f>VLOOKUP($N158,Impacts!$F$5:$Z$22,19,FALSE)*K158</f>
        <v>110.54183944715595</v>
      </c>
      <c r="R158" s="496">
        <f>VLOOKUP($N158,Impacts!$F$5:$Z$22,20,FALSE)*K158</f>
        <v>23041.543007959794</v>
      </c>
      <c r="S158" s="497">
        <f>VLOOKUP($N158,Impacts!$F$5:$Z$22,21,FALSE)*K158</f>
        <v>303.2885432890177</v>
      </c>
      <c r="T158" s="492"/>
      <c r="U158" s="492" t="str">
        <f t="shared" si="47"/>
        <v>Commercial Showerhead Replacement_1_75gpm_Fitness Center_ Electric Water Heating_Direct Install</v>
      </c>
      <c r="V158" s="492" t="s">
        <v>440</v>
      </c>
      <c r="W158" s="494">
        <f t="shared" si="48"/>
        <v>2478.7315529094394</v>
      </c>
      <c r="X158" s="492">
        <v>10</v>
      </c>
      <c r="Y158" s="498">
        <f t="shared" si="49"/>
        <v>11.336666666666666</v>
      </c>
      <c r="Z158" s="492"/>
      <c r="AA158" s="499" t="s">
        <v>441</v>
      </c>
      <c r="AB158" s="497">
        <f t="shared" si="50"/>
        <v>303.2885432890177</v>
      </c>
      <c r="AC158" s="492"/>
      <c r="AD158" s="492"/>
      <c r="AE158" s="492"/>
      <c r="AF158" s="492"/>
      <c r="AG158" s="492"/>
      <c r="AH158" s="492"/>
      <c r="AI158" s="492">
        <f t="shared" si="51"/>
        <v>0</v>
      </c>
      <c r="AJ158" s="492" t="s">
        <v>442</v>
      </c>
      <c r="AL158" s="283" t="e">
        <f t="shared" ca="1" si="52"/>
        <v>#NAME?</v>
      </c>
    </row>
    <row r="159" spans="1:38" hidden="1">
      <c r="A159" s="492">
        <f t="shared" si="53"/>
        <v>149</v>
      </c>
      <c r="B159" s="492">
        <f t="shared" si="54"/>
        <v>6</v>
      </c>
      <c r="C159" s="492">
        <f t="shared" si="54"/>
        <v>2</v>
      </c>
      <c r="D159" s="492">
        <f t="shared" si="54"/>
        <v>2</v>
      </c>
      <c r="E159" s="492">
        <f t="shared" si="41"/>
        <v>2</v>
      </c>
      <c r="F159" s="492" t="str">
        <f t="shared" si="42"/>
        <v>Fitness Center</v>
      </c>
      <c r="G159" s="492" t="str">
        <f t="shared" si="43"/>
        <v>Direct Install</v>
      </c>
      <c r="H159" s="492" t="str">
        <f t="shared" si="43"/>
        <v>1_75</v>
      </c>
      <c r="I159" s="492" t="str">
        <f t="shared" si="43"/>
        <v>Gas Water Heating</v>
      </c>
      <c r="J159" s="492" t="str">
        <f t="shared" si="44"/>
        <v>Commercial Showerhead Replacement_1_75gpm_Fitness Center_ Gas Water Heating_Direct Install</v>
      </c>
      <c r="K159" s="493">
        <f>INDEX(InstallRatesCostAndLifetime!$A$2:$D$6,MATCH(InputForProCost!G159,InstallRatesCostAndLifetime!$A$2:$A$6,0),MATCH(InputForProCost!H159,InstallRatesCostAndLifetime!$A$2:$D$2,0))</f>
        <v>0.9</v>
      </c>
      <c r="L159" s="493">
        <f t="shared" si="45"/>
        <v>0</v>
      </c>
      <c r="M159" s="492"/>
      <c r="N159" s="492" t="str">
        <f t="shared" si="46"/>
        <v>Fitness Center1_75</v>
      </c>
      <c r="O159" s="494">
        <f>VLOOKUP($N159,Impacts!$F$5:$Z$22,16,FALSE)</f>
        <v>2754.1461698993771</v>
      </c>
      <c r="P159" s="494">
        <f>VLOOKUP($N159,Impacts!$F$5:$Z$22,17,FALSE)*K159</f>
        <v>121.88976251210731</v>
      </c>
      <c r="Q159" s="495">
        <f>VLOOKUP($N159,Impacts!$F$5:$Z$22,19,FALSE)*K159</f>
        <v>110.54183944715595</v>
      </c>
      <c r="R159" s="496">
        <f>VLOOKUP($N159,Impacts!$F$5:$Z$22,20,FALSE)*K159</f>
        <v>23041.543007959794</v>
      </c>
      <c r="S159" s="497">
        <f>VLOOKUP($N159,Impacts!$F$5:$Z$22,21,FALSE)*K159</f>
        <v>303.2885432890177</v>
      </c>
      <c r="T159" s="492"/>
      <c r="U159" s="492" t="str">
        <f t="shared" si="47"/>
        <v>Commercial Showerhead Replacement_1_75gpm_Fitness Center_ Gas Water Heating_Direct Install</v>
      </c>
      <c r="V159" s="492" t="s">
        <v>440</v>
      </c>
      <c r="W159" s="494">
        <f t="shared" si="48"/>
        <v>0</v>
      </c>
      <c r="X159" s="492">
        <v>10</v>
      </c>
      <c r="Y159" s="498">
        <f t="shared" si="49"/>
        <v>11.336666666666666</v>
      </c>
      <c r="Z159" s="492"/>
      <c r="AA159" s="499" t="s">
        <v>441</v>
      </c>
      <c r="AB159" s="497">
        <f t="shared" si="50"/>
        <v>303.2885432890177</v>
      </c>
      <c r="AC159" s="492"/>
      <c r="AD159" s="492"/>
      <c r="AE159" s="492"/>
      <c r="AF159" s="492"/>
      <c r="AG159" s="492"/>
      <c r="AH159" s="492"/>
      <c r="AI159" s="492">
        <f t="shared" si="51"/>
        <v>110.54183944715595</v>
      </c>
      <c r="AJ159" s="492" t="s">
        <v>442</v>
      </c>
      <c r="AL159" s="283" t="e">
        <f t="shared" ca="1" si="52"/>
        <v>#NAME?</v>
      </c>
    </row>
    <row r="160" spans="1:38" hidden="1">
      <c r="A160" s="492">
        <f t="shared" si="53"/>
        <v>150</v>
      </c>
      <c r="B160" s="492">
        <f t="shared" si="54"/>
        <v>6</v>
      </c>
      <c r="C160" s="492">
        <f t="shared" si="54"/>
        <v>2</v>
      </c>
      <c r="D160" s="492">
        <f t="shared" si="54"/>
        <v>2</v>
      </c>
      <c r="E160" s="492">
        <f t="shared" si="41"/>
        <v>3</v>
      </c>
      <c r="F160" s="492" t="str">
        <f t="shared" si="42"/>
        <v>Fitness Center</v>
      </c>
      <c r="G160" s="492" t="str">
        <f t="shared" si="43"/>
        <v>Direct Install</v>
      </c>
      <c r="H160" s="492" t="str">
        <f t="shared" si="43"/>
        <v>1_75</v>
      </c>
      <c r="I160" s="492" t="str">
        <f t="shared" si="43"/>
        <v>Any Water Heating</v>
      </c>
      <c r="J160" s="492" t="str">
        <f t="shared" si="44"/>
        <v>Commercial Showerhead Replacement_1_75gpm_Fitness Center_ Any Water Heating_Direct Install</v>
      </c>
      <c r="K160" s="493">
        <f>INDEX(InstallRatesCostAndLifetime!$A$2:$D$6,MATCH(InputForProCost!G160,InstallRatesCostAndLifetime!$A$2:$A$6,0),MATCH(InputForProCost!H160,InstallRatesCostAndLifetime!$A$2:$D$2,0))</f>
        <v>0.9</v>
      </c>
      <c r="L160" s="493">
        <f t="shared" si="45"/>
        <v>0.31666666666666665</v>
      </c>
      <c r="M160" s="492"/>
      <c r="N160" s="492" t="str">
        <f t="shared" si="46"/>
        <v>Fitness Center1_75</v>
      </c>
      <c r="O160" s="494">
        <f>VLOOKUP($N160,Impacts!$F$5:$Z$22,16,FALSE)</f>
        <v>2754.1461698993771</v>
      </c>
      <c r="P160" s="494">
        <f>VLOOKUP($N160,Impacts!$F$5:$Z$22,17,FALSE)*K160</f>
        <v>121.88976251210731</v>
      </c>
      <c r="Q160" s="495">
        <f>VLOOKUP($N160,Impacts!$F$5:$Z$22,19,FALSE)*K160</f>
        <v>110.54183944715595</v>
      </c>
      <c r="R160" s="496">
        <f>VLOOKUP($N160,Impacts!$F$5:$Z$22,20,FALSE)*K160</f>
        <v>23041.543007959794</v>
      </c>
      <c r="S160" s="497">
        <f>VLOOKUP($N160,Impacts!$F$5:$Z$22,21,FALSE)*K160</f>
        <v>303.2885432890177</v>
      </c>
      <c r="T160" s="492"/>
      <c r="U160" s="492" t="str">
        <f t="shared" si="47"/>
        <v>Commercial Showerhead Replacement_1_75gpm_Fitness Center_ Any Water Heating_Direct Install</v>
      </c>
      <c r="V160" s="492" t="s">
        <v>440</v>
      </c>
      <c r="W160" s="494">
        <f t="shared" si="48"/>
        <v>784.93165842132248</v>
      </c>
      <c r="X160" s="492">
        <v>10</v>
      </c>
      <c r="Y160" s="498">
        <f t="shared" si="49"/>
        <v>11.336666666666666</v>
      </c>
      <c r="Z160" s="492"/>
      <c r="AA160" s="499" t="s">
        <v>441</v>
      </c>
      <c r="AB160" s="497">
        <f t="shared" si="50"/>
        <v>303.2885432890177</v>
      </c>
      <c r="AC160" s="492"/>
      <c r="AD160" s="492"/>
      <c r="AE160" s="492"/>
      <c r="AF160" s="492"/>
      <c r="AG160" s="492"/>
      <c r="AH160" s="492"/>
      <c r="AI160" s="492">
        <f t="shared" si="51"/>
        <v>75.536923622223242</v>
      </c>
      <c r="AJ160" s="492" t="s">
        <v>442</v>
      </c>
      <c r="AL160" s="283" t="e">
        <f t="shared" ca="1" si="52"/>
        <v>#NAME?</v>
      </c>
    </row>
    <row r="161" spans="1:38" hidden="1">
      <c r="A161" s="492">
        <f t="shared" si="53"/>
        <v>151</v>
      </c>
      <c r="B161" s="492">
        <f t="shared" si="54"/>
        <v>6</v>
      </c>
      <c r="C161" s="492">
        <f t="shared" si="54"/>
        <v>2</v>
      </c>
      <c r="D161" s="492">
        <f t="shared" si="54"/>
        <v>3</v>
      </c>
      <c r="E161" s="492">
        <f t="shared" si="41"/>
        <v>1</v>
      </c>
      <c r="F161" s="492" t="str">
        <f t="shared" si="42"/>
        <v>Fitness Center</v>
      </c>
      <c r="G161" s="492" t="str">
        <f t="shared" si="43"/>
        <v>Direct Install</v>
      </c>
      <c r="H161" s="492" t="str">
        <f t="shared" si="43"/>
        <v>1_50</v>
      </c>
      <c r="I161" s="492" t="str">
        <f t="shared" si="43"/>
        <v>Electric Water Heating</v>
      </c>
      <c r="J161" s="492" t="str">
        <f t="shared" si="44"/>
        <v>Commercial Showerhead Replacement_1_50gpm_Fitness Center_ Electric Water Heating_Direct Install</v>
      </c>
      <c r="K161" s="493">
        <f>INDEX(InstallRatesCostAndLifetime!$A$2:$D$6,MATCH(InputForProCost!G161,InstallRatesCostAndLifetime!$A$2:$A$6,0),MATCH(InputForProCost!H161,InstallRatesCostAndLifetime!$A$2:$D$2,0))</f>
        <v>0.9</v>
      </c>
      <c r="L161" s="493">
        <f t="shared" si="45"/>
        <v>1</v>
      </c>
      <c r="M161" s="492"/>
      <c r="N161" s="492" t="str">
        <f t="shared" si="46"/>
        <v>Fitness Center1_50</v>
      </c>
      <c r="O161" s="494">
        <f>VLOOKUP($N161,Impacts!$F$5:$Z$22,16,FALSE)</f>
        <v>4553.4802440487147</v>
      </c>
      <c r="P161" s="494">
        <f>VLOOKUP($N161,Impacts!$F$5:$Z$22,17,FALSE)*K161</f>
        <v>189.60629724105578</v>
      </c>
      <c r="Q161" s="495">
        <f>VLOOKUP($N161,Impacts!$F$5:$Z$22,19,FALSE)*K161</f>
        <v>182.76084529014648</v>
      </c>
      <c r="R161" s="496">
        <f>VLOOKUP($N161,Impacts!$F$5:$Z$22,20,FALSE)*K161</f>
        <v>35842.400234604116</v>
      </c>
      <c r="S161" s="497">
        <f>VLOOKUP($N161,Impacts!$F$5:$Z$22,21,FALSE)*K161</f>
        <v>471.782178449583</v>
      </c>
      <c r="T161" s="492"/>
      <c r="U161" s="492" t="str">
        <f t="shared" si="47"/>
        <v>Commercial Showerhead Replacement_1_50gpm_Fitness Center_ Electric Water Heating_Direct Install</v>
      </c>
      <c r="V161" s="492" t="s">
        <v>440</v>
      </c>
      <c r="W161" s="494">
        <f t="shared" si="48"/>
        <v>4098.1322196438432</v>
      </c>
      <c r="X161" s="492">
        <v>10</v>
      </c>
      <c r="Y161" s="498">
        <f t="shared" si="49"/>
        <v>11.336666666666666</v>
      </c>
      <c r="Z161" s="492"/>
      <c r="AA161" s="499" t="s">
        <v>441</v>
      </c>
      <c r="AB161" s="497">
        <f t="shared" si="50"/>
        <v>471.782178449583</v>
      </c>
      <c r="AC161" s="492"/>
      <c r="AD161" s="492"/>
      <c r="AE161" s="492"/>
      <c r="AF161" s="492"/>
      <c r="AG161" s="492"/>
      <c r="AH161" s="492"/>
      <c r="AI161" s="492">
        <f t="shared" si="51"/>
        <v>0</v>
      </c>
      <c r="AJ161" s="492" t="s">
        <v>442</v>
      </c>
      <c r="AL161" s="283" t="e">
        <f t="shared" ca="1" si="52"/>
        <v>#NAME?</v>
      </c>
    </row>
    <row r="162" spans="1:38" hidden="1">
      <c r="A162" s="492">
        <f t="shared" si="53"/>
        <v>152</v>
      </c>
      <c r="B162" s="492">
        <f t="shared" si="54"/>
        <v>6</v>
      </c>
      <c r="C162" s="492">
        <f t="shared" si="54"/>
        <v>2</v>
      </c>
      <c r="D162" s="492">
        <f t="shared" si="54"/>
        <v>3</v>
      </c>
      <c r="E162" s="492">
        <f t="shared" si="41"/>
        <v>2</v>
      </c>
      <c r="F162" s="492" t="str">
        <f t="shared" si="42"/>
        <v>Fitness Center</v>
      </c>
      <c r="G162" s="492" t="str">
        <f t="shared" si="43"/>
        <v>Direct Install</v>
      </c>
      <c r="H162" s="492" t="str">
        <f t="shared" si="43"/>
        <v>1_50</v>
      </c>
      <c r="I162" s="492" t="str">
        <f t="shared" si="43"/>
        <v>Gas Water Heating</v>
      </c>
      <c r="J162" s="492" t="str">
        <f t="shared" si="44"/>
        <v>Commercial Showerhead Replacement_1_50gpm_Fitness Center_ Gas Water Heating_Direct Install</v>
      </c>
      <c r="K162" s="493">
        <f>INDEX(InstallRatesCostAndLifetime!$A$2:$D$6,MATCH(InputForProCost!G162,InstallRatesCostAndLifetime!$A$2:$A$6,0),MATCH(InputForProCost!H162,InstallRatesCostAndLifetime!$A$2:$D$2,0))</f>
        <v>0.9</v>
      </c>
      <c r="L162" s="493">
        <f t="shared" si="45"/>
        <v>0</v>
      </c>
      <c r="M162" s="492"/>
      <c r="N162" s="492" t="str">
        <f t="shared" si="46"/>
        <v>Fitness Center1_50</v>
      </c>
      <c r="O162" s="494">
        <f>VLOOKUP($N162,Impacts!$F$5:$Z$22,16,FALSE)</f>
        <v>4553.4802440487147</v>
      </c>
      <c r="P162" s="494">
        <f>VLOOKUP($N162,Impacts!$F$5:$Z$22,17,FALSE)*K162</f>
        <v>189.60629724105578</v>
      </c>
      <c r="Q162" s="495">
        <f>VLOOKUP($N162,Impacts!$F$5:$Z$22,19,FALSE)*K162</f>
        <v>182.76084529014648</v>
      </c>
      <c r="R162" s="496">
        <f>VLOOKUP($N162,Impacts!$F$5:$Z$22,20,FALSE)*K162</f>
        <v>35842.400234604116</v>
      </c>
      <c r="S162" s="497">
        <f>VLOOKUP($N162,Impacts!$F$5:$Z$22,21,FALSE)*K162</f>
        <v>471.782178449583</v>
      </c>
      <c r="T162" s="492"/>
      <c r="U162" s="492" t="str">
        <f t="shared" si="47"/>
        <v>Commercial Showerhead Replacement_1_50gpm_Fitness Center_ Gas Water Heating_Direct Install</v>
      </c>
      <c r="V162" s="492" t="s">
        <v>440</v>
      </c>
      <c r="W162" s="494">
        <f t="shared" si="48"/>
        <v>0</v>
      </c>
      <c r="X162" s="492">
        <v>10</v>
      </c>
      <c r="Y162" s="498">
        <f t="shared" si="49"/>
        <v>11.336666666666666</v>
      </c>
      <c r="Z162" s="492"/>
      <c r="AA162" s="499" t="s">
        <v>441</v>
      </c>
      <c r="AB162" s="497">
        <f t="shared" si="50"/>
        <v>471.782178449583</v>
      </c>
      <c r="AC162" s="492"/>
      <c r="AD162" s="492"/>
      <c r="AE162" s="492"/>
      <c r="AF162" s="492"/>
      <c r="AG162" s="492"/>
      <c r="AH162" s="492"/>
      <c r="AI162" s="492">
        <f t="shared" si="51"/>
        <v>182.76084529014648</v>
      </c>
      <c r="AJ162" s="492" t="s">
        <v>442</v>
      </c>
      <c r="AL162" s="283" t="e">
        <f t="shared" ca="1" si="52"/>
        <v>#NAME?</v>
      </c>
    </row>
    <row r="163" spans="1:38">
      <c r="A163" s="492">
        <f t="shared" si="53"/>
        <v>153</v>
      </c>
      <c r="B163" s="492">
        <f t="shared" si="54"/>
        <v>6</v>
      </c>
      <c r="C163" s="492">
        <f t="shared" si="54"/>
        <v>2</v>
      </c>
      <c r="D163" s="492">
        <f t="shared" si="54"/>
        <v>3</v>
      </c>
      <c r="E163" s="492">
        <f t="shared" si="41"/>
        <v>3</v>
      </c>
      <c r="F163" s="492" t="str">
        <f t="shared" si="42"/>
        <v>Fitness Center</v>
      </c>
      <c r="G163" s="492" t="str">
        <f t="shared" si="43"/>
        <v>Direct Install</v>
      </c>
      <c r="H163" s="492" t="str">
        <f t="shared" si="43"/>
        <v>1_50</v>
      </c>
      <c r="I163" s="492" t="str">
        <f t="shared" si="43"/>
        <v>Any Water Heating</v>
      </c>
      <c r="J163" s="492" t="str">
        <f t="shared" si="44"/>
        <v>Commercial Showerhead Replacement_1_50gpm_Fitness Center_ Any Water Heating_Direct Install</v>
      </c>
      <c r="K163" s="493">
        <f>INDEX(InstallRatesCostAndLifetime!$A$2:$D$6,MATCH(InputForProCost!G163,InstallRatesCostAndLifetime!$A$2:$A$6,0),MATCH(InputForProCost!H163,InstallRatesCostAndLifetime!$A$2:$D$2,0))</f>
        <v>0.9</v>
      </c>
      <c r="L163" s="493">
        <f t="shared" si="45"/>
        <v>0.31666666666666665</v>
      </c>
      <c r="M163" s="492"/>
      <c r="N163" s="492" t="str">
        <f t="shared" si="46"/>
        <v>Fitness Center1_50</v>
      </c>
      <c r="O163" s="494">
        <f>VLOOKUP($N163,Impacts!$F$5:$Z$22,16,FALSE)</f>
        <v>4553.4802440487147</v>
      </c>
      <c r="P163" s="494">
        <f>VLOOKUP($N163,Impacts!$F$5:$Z$22,17,FALSE)*K163</f>
        <v>189.60629724105578</v>
      </c>
      <c r="Q163" s="495">
        <f>VLOOKUP($N163,Impacts!$F$5:$Z$22,19,FALSE)*K163</f>
        <v>182.76084529014648</v>
      </c>
      <c r="R163" s="496">
        <f>VLOOKUP($N163,Impacts!$F$5:$Z$22,20,FALSE)*K163</f>
        <v>35842.400234604116</v>
      </c>
      <c r="S163" s="497">
        <f>VLOOKUP($N163,Impacts!$F$5:$Z$22,21,FALSE)*K163</f>
        <v>471.782178449583</v>
      </c>
      <c r="T163" s="492"/>
      <c r="U163" s="492" t="str">
        <f t="shared" si="47"/>
        <v>Commercial Showerhead Replacement_1_50gpm_Fitness Center_ Any Water Heating_Direct Install</v>
      </c>
      <c r="V163" s="492" t="s">
        <v>440</v>
      </c>
      <c r="W163" s="494">
        <f t="shared" si="48"/>
        <v>1297.7418695538836</v>
      </c>
      <c r="X163" s="492">
        <v>10</v>
      </c>
      <c r="Y163" s="498">
        <f t="shared" si="49"/>
        <v>11.336666666666666</v>
      </c>
      <c r="Z163" s="492"/>
      <c r="AA163" s="499" t="s">
        <v>441</v>
      </c>
      <c r="AB163" s="497">
        <f t="shared" si="50"/>
        <v>471.782178449583</v>
      </c>
      <c r="AC163" s="492"/>
      <c r="AD163" s="492"/>
      <c r="AE163" s="492"/>
      <c r="AF163" s="492"/>
      <c r="AG163" s="492"/>
      <c r="AH163" s="492"/>
      <c r="AI163" s="492">
        <f t="shared" si="51"/>
        <v>124.88657761493343</v>
      </c>
      <c r="AJ163" s="492" t="s">
        <v>442</v>
      </c>
      <c r="AL163" s="283" t="e">
        <f t="shared" ca="1" si="52"/>
        <v>#NAME?</v>
      </c>
    </row>
    <row r="164" spans="1:38" hidden="1">
      <c r="A164" s="492">
        <f t="shared" si="53"/>
        <v>154</v>
      </c>
      <c r="B164" s="492">
        <f t="shared" si="54"/>
        <v>6</v>
      </c>
      <c r="C164" s="492">
        <f t="shared" si="54"/>
        <v>3</v>
      </c>
      <c r="D164" s="492">
        <f t="shared" si="54"/>
        <v>1</v>
      </c>
      <c r="E164" s="492">
        <f t="shared" si="41"/>
        <v>1</v>
      </c>
      <c r="F164" s="492" t="str">
        <f t="shared" si="42"/>
        <v>Fitness Center</v>
      </c>
      <c r="G164" s="492" t="str">
        <f t="shared" si="43"/>
        <v>Mail-by-Request</v>
      </c>
      <c r="H164" s="492" t="str">
        <f t="shared" si="43"/>
        <v>2_00</v>
      </c>
      <c r="I164" s="492" t="str">
        <f t="shared" si="43"/>
        <v>Electric Water Heating</v>
      </c>
      <c r="J164" s="492" t="str">
        <f t="shared" si="44"/>
        <v>Commercial Showerhead Replacement_2_00gpm_Fitness Center_ Electric Water Heating_Mail-by-Request</v>
      </c>
      <c r="K164" s="493">
        <f>INDEX(InstallRatesCostAndLifetime!$A$2:$D$6,MATCH(InputForProCost!G164,InstallRatesCostAndLifetime!$A$2:$A$6,0),MATCH(InputForProCost!H164,InstallRatesCostAndLifetime!$A$2:$D$2,0))</f>
        <v>0.6</v>
      </c>
      <c r="L164" s="493">
        <f t="shared" si="45"/>
        <v>1</v>
      </c>
      <c r="M164" s="492"/>
      <c r="N164" s="492" t="str">
        <f t="shared" si="46"/>
        <v>Fitness Center2_00</v>
      </c>
      <c r="O164" s="494">
        <f>VLOOKUP($N164,Impacts!$F$5:$Z$22,16,FALSE)</f>
        <v>2580.6851872116004</v>
      </c>
      <c r="P164" s="494">
        <f>VLOOKUP($N164,Impacts!$F$5:$Z$22,17,FALSE)*K164</f>
        <v>72.230970377545091</v>
      </c>
      <c r="Q164" s="495">
        <f>VLOOKUP($N164,Impacts!$F$5:$Z$22,19,FALSE)*K164</f>
        <v>69.053146306276361</v>
      </c>
      <c r="R164" s="496">
        <f>VLOOKUP($N164,Impacts!$F$5:$Z$22,20,FALSE)*K164</f>
        <v>13654.24770842062</v>
      </c>
      <c r="S164" s="497">
        <f>VLOOKUP($N164,Impacts!$F$5:$Z$22,21,FALSE)*K164</f>
        <v>179.72654417126975</v>
      </c>
      <c r="T164" s="492"/>
      <c r="U164" s="492" t="str">
        <f t="shared" si="47"/>
        <v>Commercial Showerhead Replacement_2_00gpm_Fitness Center_ Electric Water Heating_Mail-by-Request</v>
      </c>
      <c r="V164" s="492" t="s">
        <v>440</v>
      </c>
      <c r="W164" s="494">
        <f t="shared" si="48"/>
        <v>1548.4111123269602</v>
      </c>
      <c r="X164" s="492">
        <v>10</v>
      </c>
      <c r="Y164" s="498">
        <f t="shared" si="49"/>
        <v>8.1096944444444432</v>
      </c>
      <c r="Z164" s="492"/>
      <c r="AA164" s="499" t="s">
        <v>441</v>
      </c>
      <c r="AB164" s="497">
        <f t="shared" si="50"/>
        <v>179.72654417126975</v>
      </c>
      <c r="AC164" s="492"/>
      <c r="AD164" s="492"/>
      <c r="AE164" s="492"/>
      <c r="AF164" s="492"/>
      <c r="AG164" s="492"/>
      <c r="AH164" s="492"/>
      <c r="AI164" s="492">
        <f t="shared" si="51"/>
        <v>0</v>
      </c>
      <c r="AJ164" s="492" t="s">
        <v>442</v>
      </c>
      <c r="AL164" s="283" t="e">
        <f t="shared" ca="1" si="52"/>
        <v>#NAME?</v>
      </c>
    </row>
    <row r="165" spans="1:38" hidden="1">
      <c r="A165" s="492">
        <f t="shared" si="53"/>
        <v>155</v>
      </c>
      <c r="B165" s="492">
        <f t="shared" si="54"/>
        <v>6</v>
      </c>
      <c r="C165" s="492">
        <f t="shared" si="54"/>
        <v>3</v>
      </c>
      <c r="D165" s="492">
        <f t="shared" si="54"/>
        <v>1</v>
      </c>
      <c r="E165" s="492">
        <f t="shared" si="41"/>
        <v>2</v>
      </c>
      <c r="F165" s="492" t="str">
        <f t="shared" si="42"/>
        <v>Fitness Center</v>
      </c>
      <c r="G165" s="492" t="str">
        <f t="shared" si="43"/>
        <v>Mail-by-Request</v>
      </c>
      <c r="H165" s="492" t="str">
        <f t="shared" si="43"/>
        <v>2_00</v>
      </c>
      <c r="I165" s="492" t="str">
        <f t="shared" si="43"/>
        <v>Gas Water Heating</v>
      </c>
      <c r="J165" s="492" t="str">
        <f t="shared" si="44"/>
        <v>Commercial Showerhead Replacement_2_00gpm_Fitness Center_ Gas Water Heating_Mail-by-Request</v>
      </c>
      <c r="K165" s="493">
        <f>INDEX(InstallRatesCostAndLifetime!$A$2:$D$6,MATCH(InputForProCost!G165,InstallRatesCostAndLifetime!$A$2:$A$6,0),MATCH(InputForProCost!H165,InstallRatesCostAndLifetime!$A$2:$D$2,0))</f>
        <v>0.6</v>
      </c>
      <c r="L165" s="493">
        <f t="shared" si="45"/>
        <v>0</v>
      </c>
      <c r="M165" s="492"/>
      <c r="N165" s="492" t="str">
        <f t="shared" si="46"/>
        <v>Fitness Center2_00</v>
      </c>
      <c r="O165" s="494">
        <f>VLOOKUP($N165,Impacts!$F$5:$Z$22,16,FALSE)</f>
        <v>2580.6851872116004</v>
      </c>
      <c r="P165" s="494">
        <f>VLOOKUP($N165,Impacts!$F$5:$Z$22,17,FALSE)*K165</f>
        <v>72.230970377545091</v>
      </c>
      <c r="Q165" s="495">
        <f>VLOOKUP($N165,Impacts!$F$5:$Z$22,19,FALSE)*K165</f>
        <v>69.053146306276361</v>
      </c>
      <c r="R165" s="496">
        <f>VLOOKUP($N165,Impacts!$F$5:$Z$22,20,FALSE)*K165</f>
        <v>13654.24770842062</v>
      </c>
      <c r="S165" s="497">
        <f>VLOOKUP($N165,Impacts!$F$5:$Z$22,21,FALSE)*K165</f>
        <v>179.72654417126975</v>
      </c>
      <c r="T165" s="492"/>
      <c r="U165" s="492" t="str">
        <f t="shared" si="47"/>
        <v>Commercial Showerhead Replacement_2_00gpm_Fitness Center_ Gas Water Heating_Mail-by-Request</v>
      </c>
      <c r="V165" s="492" t="s">
        <v>440</v>
      </c>
      <c r="W165" s="494">
        <f t="shared" si="48"/>
        <v>0</v>
      </c>
      <c r="X165" s="492">
        <v>10</v>
      </c>
      <c r="Y165" s="498">
        <f t="shared" si="49"/>
        <v>8.1096944444444432</v>
      </c>
      <c r="Z165" s="492"/>
      <c r="AA165" s="499" t="s">
        <v>441</v>
      </c>
      <c r="AB165" s="497">
        <f t="shared" si="50"/>
        <v>179.72654417126975</v>
      </c>
      <c r="AC165" s="492"/>
      <c r="AD165" s="492"/>
      <c r="AE165" s="492"/>
      <c r="AF165" s="492"/>
      <c r="AG165" s="492"/>
      <c r="AH165" s="492"/>
      <c r="AI165" s="492">
        <f t="shared" si="51"/>
        <v>69.053146306276361</v>
      </c>
      <c r="AJ165" s="492" t="s">
        <v>442</v>
      </c>
      <c r="AL165" s="283" t="e">
        <f t="shared" ca="1" si="52"/>
        <v>#NAME?</v>
      </c>
    </row>
    <row r="166" spans="1:38" hidden="1">
      <c r="A166" s="492">
        <f t="shared" si="53"/>
        <v>156</v>
      </c>
      <c r="B166" s="492">
        <f t="shared" si="54"/>
        <v>6</v>
      </c>
      <c r="C166" s="492">
        <f t="shared" si="54"/>
        <v>3</v>
      </c>
      <c r="D166" s="492">
        <f t="shared" si="54"/>
        <v>1</v>
      </c>
      <c r="E166" s="492">
        <f t="shared" si="41"/>
        <v>3</v>
      </c>
      <c r="F166" s="492" t="str">
        <f t="shared" si="42"/>
        <v>Fitness Center</v>
      </c>
      <c r="G166" s="492" t="str">
        <f t="shared" si="43"/>
        <v>Mail-by-Request</v>
      </c>
      <c r="H166" s="492" t="str">
        <f t="shared" si="43"/>
        <v>2_00</v>
      </c>
      <c r="I166" s="492" t="str">
        <f t="shared" si="43"/>
        <v>Any Water Heating</v>
      </c>
      <c r="J166" s="492" t="str">
        <f t="shared" si="44"/>
        <v>Commercial Showerhead Replacement_2_00gpm_Fitness Center_ Any Water Heating_Mail-by-Request</v>
      </c>
      <c r="K166" s="493">
        <f>INDEX(InstallRatesCostAndLifetime!$A$2:$D$6,MATCH(InputForProCost!G166,InstallRatesCostAndLifetime!$A$2:$A$6,0),MATCH(InputForProCost!H166,InstallRatesCostAndLifetime!$A$2:$D$2,0))</f>
        <v>0.6</v>
      </c>
      <c r="L166" s="493">
        <f t="shared" si="45"/>
        <v>0.31666666666666665</v>
      </c>
      <c r="M166" s="492"/>
      <c r="N166" s="492" t="str">
        <f t="shared" si="46"/>
        <v>Fitness Center2_00</v>
      </c>
      <c r="O166" s="494">
        <f>VLOOKUP($N166,Impacts!$F$5:$Z$22,16,FALSE)</f>
        <v>2580.6851872116004</v>
      </c>
      <c r="P166" s="494">
        <f>VLOOKUP($N166,Impacts!$F$5:$Z$22,17,FALSE)*K166</f>
        <v>72.230970377545091</v>
      </c>
      <c r="Q166" s="495">
        <f>VLOOKUP($N166,Impacts!$F$5:$Z$22,19,FALSE)*K166</f>
        <v>69.053146306276361</v>
      </c>
      <c r="R166" s="496">
        <f>VLOOKUP($N166,Impacts!$F$5:$Z$22,20,FALSE)*K166</f>
        <v>13654.24770842062</v>
      </c>
      <c r="S166" s="497">
        <f>VLOOKUP($N166,Impacts!$F$5:$Z$22,21,FALSE)*K166</f>
        <v>179.72654417126975</v>
      </c>
      <c r="T166" s="492"/>
      <c r="U166" s="492" t="str">
        <f t="shared" si="47"/>
        <v>Commercial Showerhead Replacement_2_00gpm_Fitness Center_ Any Water Heating_Mail-by-Request</v>
      </c>
      <c r="V166" s="492" t="s">
        <v>440</v>
      </c>
      <c r="W166" s="494">
        <f t="shared" si="48"/>
        <v>490.33018557020398</v>
      </c>
      <c r="X166" s="492">
        <v>10</v>
      </c>
      <c r="Y166" s="498">
        <f t="shared" si="49"/>
        <v>8.1096944444444432</v>
      </c>
      <c r="Z166" s="492"/>
      <c r="AA166" s="499" t="s">
        <v>441</v>
      </c>
      <c r="AB166" s="497">
        <f t="shared" si="50"/>
        <v>179.72654417126975</v>
      </c>
      <c r="AC166" s="492"/>
      <c r="AD166" s="492"/>
      <c r="AE166" s="492"/>
      <c r="AF166" s="492"/>
      <c r="AG166" s="492"/>
      <c r="AH166" s="492"/>
      <c r="AI166" s="492">
        <f t="shared" si="51"/>
        <v>47.186316642622181</v>
      </c>
      <c r="AJ166" s="492" t="s">
        <v>442</v>
      </c>
      <c r="AL166" s="283" t="e">
        <f t="shared" ca="1" si="52"/>
        <v>#NAME?</v>
      </c>
    </row>
    <row r="167" spans="1:38" hidden="1">
      <c r="A167" s="492">
        <f t="shared" si="53"/>
        <v>157</v>
      </c>
      <c r="B167" s="492">
        <f t="shared" si="54"/>
        <v>6</v>
      </c>
      <c r="C167" s="492">
        <f t="shared" si="54"/>
        <v>3</v>
      </c>
      <c r="D167" s="492">
        <f t="shared" si="54"/>
        <v>2</v>
      </c>
      <c r="E167" s="492">
        <f t="shared" si="41"/>
        <v>1</v>
      </c>
      <c r="F167" s="492" t="str">
        <f t="shared" si="42"/>
        <v>Fitness Center</v>
      </c>
      <c r="G167" s="492" t="str">
        <f t="shared" si="43"/>
        <v>Mail-by-Request</v>
      </c>
      <c r="H167" s="492" t="str">
        <f t="shared" si="43"/>
        <v>1_75</v>
      </c>
      <c r="I167" s="492" t="str">
        <f t="shared" si="43"/>
        <v>Electric Water Heating</v>
      </c>
      <c r="J167" s="492" t="str">
        <f t="shared" si="44"/>
        <v>Commercial Showerhead Replacement_1_75gpm_Fitness Center_ Electric Water Heating_Mail-by-Request</v>
      </c>
      <c r="K167" s="493">
        <f>INDEX(InstallRatesCostAndLifetime!$A$2:$D$6,MATCH(InputForProCost!G167,InstallRatesCostAndLifetime!$A$2:$A$6,0),MATCH(InputForProCost!H167,InstallRatesCostAndLifetime!$A$2:$D$2,0))</f>
        <v>0.6</v>
      </c>
      <c r="L167" s="493">
        <f t="shared" si="45"/>
        <v>1</v>
      </c>
      <c r="M167" s="492"/>
      <c r="N167" s="492" t="str">
        <f t="shared" si="46"/>
        <v>Fitness Center1_75</v>
      </c>
      <c r="O167" s="494">
        <f>VLOOKUP($N167,Impacts!$F$5:$Z$22,16,FALSE)</f>
        <v>2754.1461698993771</v>
      </c>
      <c r="P167" s="494">
        <f>VLOOKUP($N167,Impacts!$F$5:$Z$22,17,FALSE)*K167</f>
        <v>81.259841674738198</v>
      </c>
      <c r="Q167" s="495">
        <f>VLOOKUP($N167,Impacts!$F$5:$Z$22,19,FALSE)*K167</f>
        <v>73.694559631437301</v>
      </c>
      <c r="R167" s="496">
        <f>VLOOKUP($N167,Impacts!$F$5:$Z$22,20,FALSE)*K167</f>
        <v>15361.028671973196</v>
      </c>
      <c r="S167" s="497">
        <f>VLOOKUP($N167,Impacts!$F$5:$Z$22,21,FALSE)*K167</f>
        <v>202.19236219267847</v>
      </c>
      <c r="T167" s="492"/>
      <c r="U167" s="492" t="str">
        <f t="shared" si="47"/>
        <v>Commercial Showerhead Replacement_1_75gpm_Fitness Center_ Electric Water Heating_Mail-by-Request</v>
      </c>
      <c r="V167" s="492" t="s">
        <v>440</v>
      </c>
      <c r="W167" s="494">
        <f t="shared" si="48"/>
        <v>1652.4877019396263</v>
      </c>
      <c r="X167" s="492">
        <v>10</v>
      </c>
      <c r="Y167" s="498">
        <f t="shared" si="49"/>
        <v>8.1096944444444432</v>
      </c>
      <c r="Z167" s="492"/>
      <c r="AA167" s="499" t="s">
        <v>441</v>
      </c>
      <c r="AB167" s="497">
        <f t="shared" si="50"/>
        <v>202.19236219267847</v>
      </c>
      <c r="AC167" s="492"/>
      <c r="AD167" s="492"/>
      <c r="AE167" s="492"/>
      <c r="AF167" s="492"/>
      <c r="AG167" s="492"/>
      <c r="AH167" s="492"/>
      <c r="AI167" s="492">
        <f t="shared" si="51"/>
        <v>0</v>
      </c>
      <c r="AJ167" s="492" t="s">
        <v>442</v>
      </c>
      <c r="AL167" s="283" t="e">
        <f t="shared" ca="1" si="52"/>
        <v>#NAME?</v>
      </c>
    </row>
    <row r="168" spans="1:38" hidden="1">
      <c r="A168" s="492">
        <f t="shared" si="53"/>
        <v>158</v>
      </c>
      <c r="B168" s="492">
        <f t="shared" si="54"/>
        <v>6</v>
      </c>
      <c r="C168" s="492">
        <f t="shared" si="54"/>
        <v>3</v>
      </c>
      <c r="D168" s="492">
        <f t="shared" si="54"/>
        <v>2</v>
      </c>
      <c r="E168" s="492">
        <f t="shared" si="41"/>
        <v>2</v>
      </c>
      <c r="F168" s="492" t="str">
        <f t="shared" si="42"/>
        <v>Fitness Center</v>
      </c>
      <c r="G168" s="492" t="str">
        <f t="shared" si="43"/>
        <v>Mail-by-Request</v>
      </c>
      <c r="H168" s="492" t="str">
        <f t="shared" si="43"/>
        <v>1_75</v>
      </c>
      <c r="I168" s="492" t="str">
        <f t="shared" si="43"/>
        <v>Gas Water Heating</v>
      </c>
      <c r="J168" s="492" t="str">
        <f t="shared" si="44"/>
        <v>Commercial Showerhead Replacement_1_75gpm_Fitness Center_ Gas Water Heating_Mail-by-Request</v>
      </c>
      <c r="K168" s="493">
        <f>INDEX(InstallRatesCostAndLifetime!$A$2:$D$6,MATCH(InputForProCost!G168,InstallRatesCostAndLifetime!$A$2:$A$6,0),MATCH(InputForProCost!H168,InstallRatesCostAndLifetime!$A$2:$D$2,0))</f>
        <v>0.6</v>
      </c>
      <c r="L168" s="493">
        <f t="shared" si="45"/>
        <v>0</v>
      </c>
      <c r="M168" s="492"/>
      <c r="N168" s="492" t="str">
        <f t="shared" si="46"/>
        <v>Fitness Center1_75</v>
      </c>
      <c r="O168" s="494">
        <f>VLOOKUP($N168,Impacts!$F$5:$Z$22,16,FALSE)</f>
        <v>2754.1461698993771</v>
      </c>
      <c r="P168" s="494">
        <f>VLOOKUP($N168,Impacts!$F$5:$Z$22,17,FALSE)*K168</f>
        <v>81.259841674738198</v>
      </c>
      <c r="Q168" s="495">
        <f>VLOOKUP($N168,Impacts!$F$5:$Z$22,19,FALSE)*K168</f>
        <v>73.694559631437301</v>
      </c>
      <c r="R168" s="496">
        <f>VLOOKUP($N168,Impacts!$F$5:$Z$22,20,FALSE)*K168</f>
        <v>15361.028671973196</v>
      </c>
      <c r="S168" s="497">
        <f>VLOOKUP($N168,Impacts!$F$5:$Z$22,21,FALSE)*K168</f>
        <v>202.19236219267847</v>
      </c>
      <c r="T168" s="492"/>
      <c r="U168" s="492" t="str">
        <f t="shared" si="47"/>
        <v>Commercial Showerhead Replacement_1_75gpm_Fitness Center_ Gas Water Heating_Mail-by-Request</v>
      </c>
      <c r="V168" s="492" t="s">
        <v>440</v>
      </c>
      <c r="W168" s="494">
        <f t="shared" si="48"/>
        <v>0</v>
      </c>
      <c r="X168" s="492">
        <v>10</v>
      </c>
      <c r="Y168" s="498">
        <f t="shared" si="49"/>
        <v>8.1096944444444432</v>
      </c>
      <c r="Z168" s="492"/>
      <c r="AA168" s="499" t="s">
        <v>441</v>
      </c>
      <c r="AB168" s="497">
        <f t="shared" si="50"/>
        <v>202.19236219267847</v>
      </c>
      <c r="AC168" s="492"/>
      <c r="AD168" s="492"/>
      <c r="AE168" s="492"/>
      <c r="AF168" s="492"/>
      <c r="AG168" s="492"/>
      <c r="AH168" s="492"/>
      <c r="AI168" s="492">
        <f t="shared" si="51"/>
        <v>73.694559631437301</v>
      </c>
      <c r="AJ168" s="492" t="s">
        <v>442</v>
      </c>
      <c r="AL168" s="283" t="e">
        <f t="shared" ca="1" si="52"/>
        <v>#NAME?</v>
      </c>
    </row>
    <row r="169" spans="1:38" hidden="1">
      <c r="A169" s="492">
        <f t="shared" si="53"/>
        <v>159</v>
      </c>
      <c r="B169" s="492">
        <f t="shared" si="54"/>
        <v>6</v>
      </c>
      <c r="C169" s="492">
        <f t="shared" si="54"/>
        <v>3</v>
      </c>
      <c r="D169" s="492">
        <f t="shared" si="54"/>
        <v>2</v>
      </c>
      <c r="E169" s="492">
        <f t="shared" si="41"/>
        <v>3</v>
      </c>
      <c r="F169" s="492" t="str">
        <f t="shared" si="42"/>
        <v>Fitness Center</v>
      </c>
      <c r="G169" s="492" t="str">
        <f t="shared" si="43"/>
        <v>Mail-by-Request</v>
      </c>
      <c r="H169" s="492" t="str">
        <f t="shared" si="43"/>
        <v>1_75</v>
      </c>
      <c r="I169" s="492" t="str">
        <f t="shared" si="43"/>
        <v>Any Water Heating</v>
      </c>
      <c r="J169" s="492" t="str">
        <f t="shared" si="44"/>
        <v>Commercial Showerhead Replacement_1_75gpm_Fitness Center_ Any Water Heating_Mail-by-Request</v>
      </c>
      <c r="K169" s="493">
        <f>INDEX(InstallRatesCostAndLifetime!$A$2:$D$6,MATCH(InputForProCost!G169,InstallRatesCostAndLifetime!$A$2:$A$6,0),MATCH(InputForProCost!H169,InstallRatesCostAndLifetime!$A$2:$D$2,0))</f>
        <v>0.6</v>
      </c>
      <c r="L169" s="493">
        <f t="shared" si="45"/>
        <v>0.31666666666666665</v>
      </c>
      <c r="M169" s="492"/>
      <c r="N169" s="492" t="str">
        <f t="shared" si="46"/>
        <v>Fitness Center1_75</v>
      </c>
      <c r="O169" s="494">
        <f>VLOOKUP($N169,Impacts!$F$5:$Z$22,16,FALSE)</f>
        <v>2754.1461698993771</v>
      </c>
      <c r="P169" s="494">
        <f>VLOOKUP($N169,Impacts!$F$5:$Z$22,17,FALSE)*K169</f>
        <v>81.259841674738198</v>
      </c>
      <c r="Q169" s="495">
        <f>VLOOKUP($N169,Impacts!$F$5:$Z$22,19,FALSE)*K169</f>
        <v>73.694559631437301</v>
      </c>
      <c r="R169" s="496">
        <f>VLOOKUP($N169,Impacts!$F$5:$Z$22,20,FALSE)*K169</f>
        <v>15361.028671973196</v>
      </c>
      <c r="S169" s="497">
        <f>VLOOKUP($N169,Impacts!$F$5:$Z$22,21,FALSE)*K169</f>
        <v>202.19236219267847</v>
      </c>
      <c r="T169" s="492"/>
      <c r="U169" s="492" t="str">
        <f t="shared" si="47"/>
        <v>Commercial Showerhead Replacement_1_75gpm_Fitness Center_ Any Water Heating_Mail-by-Request</v>
      </c>
      <c r="V169" s="492" t="s">
        <v>440</v>
      </c>
      <c r="W169" s="494">
        <f t="shared" si="48"/>
        <v>523.28777228088165</v>
      </c>
      <c r="X169" s="492">
        <v>10</v>
      </c>
      <c r="Y169" s="498">
        <f t="shared" si="49"/>
        <v>8.1096944444444432</v>
      </c>
      <c r="Z169" s="492"/>
      <c r="AA169" s="499" t="s">
        <v>441</v>
      </c>
      <c r="AB169" s="497">
        <f t="shared" si="50"/>
        <v>202.19236219267847</v>
      </c>
      <c r="AC169" s="492"/>
      <c r="AD169" s="492"/>
      <c r="AE169" s="492"/>
      <c r="AF169" s="492"/>
      <c r="AG169" s="492"/>
      <c r="AH169" s="492"/>
      <c r="AI169" s="492">
        <f t="shared" si="51"/>
        <v>50.357949081482154</v>
      </c>
      <c r="AJ169" s="492" t="s">
        <v>442</v>
      </c>
      <c r="AL169" s="283" t="e">
        <f t="shared" ca="1" si="52"/>
        <v>#NAME?</v>
      </c>
    </row>
    <row r="170" spans="1:38" hidden="1">
      <c r="A170" s="492">
        <f t="shared" si="53"/>
        <v>160</v>
      </c>
      <c r="B170" s="492">
        <f t="shared" si="54"/>
        <v>6</v>
      </c>
      <c r="C170" s="492">
        <f t="shared" si="54"/>
        <v>3</v>
      </c>
      <c r="D170" s="492">
        <f t="shared" si="54"/>
        <v>3</v>
      </c>
      <c r="E170" s="492">
        <f t="shared" si="41"/>
        <v>1</v>
      </c>
      <c r="F170" s="492" t="str">
        <f t="shared" si="42"/>
        <v>Fitness Center</v>
      </c>
      <c r="G170" s="492" t="str">
        <f t="shared" si="43"/>
        <v>Mail-by-Request</v>
      </c>
      <c r="H170" s="492" t="str">
        <f t="shared" si="43"/>
        <v>1_50</v>
      </c>
      <c r="I170" s="492" t="str">
        <f t="shared" si="43"/>
        <v>Electric Water Heating</v>
      </c>
      <c r="J170" s="492" t="str">
        <f t="shared" si="44"/>
        <v>Commercial Showerhead Replacement_1_50gpm_Fitness Center_ Electric Water Heating_Mail-by-Request</v>
      </c>
      <c r="K170" s="493">
        <f>INDEX(InstallRatesCostAndLifetime!$A$2:$D$6,MATCH(InputForProCost!G170,InstallRatesCostAndLifetime!$A$2:$A$6,0),MATCH(InputForProCost!H170,InstallRatesCostAndLifetime!$A$2:$D$2,0))</f>
        <v>0.6</v>
      </c>
      <c r="L170" s="493">
        <f t="shared" si="45"/>
        <v>1</v>
      </c>
      <c r="M170" s="492"/>
      <c r="N170" s="492" t="str">
        <f t="shared" si="46"/>
        <v>Fitness Center1_50</v>
      </c>
      <c r="O170" s="494">
        <f>VLOOKUP($N170,Impacts!$F$5:$Z$22,16,FALSE)</f>
        <v>4553.4802440487147</v>
      </c>
      <c r="P170" s="494">
        <f>VLOOKUP($N170,Impacts!$F$5:$Z$22,17,FALSE)*K170</f>
        <v>126.40419816070384</v>
      </c>
      <c r="Q170" s="495">
        <f>VLOOKUP($N170,Impacts!$F$5:$Z$22,19,FALSE)*K170</f>
        <v>121.84056352676431</v>
      </c>
      <c r="R170" s="496">
        <f>VLOOKUP($N170,Impacts!$F$5:$Z$22,20,FALSE)*K170</f>
        <v>23894.933489736075</v>
      </c>
      <c r="S170" s="497">
        <f>VLOOKUP($N170,Impacts!$F$5:$Z$22,21,FALSE)*K170</f>
        <v>314.52145229972194</v>
      </c>
      <c r="T170" s="492"/>
      <c r="U170" s="492" t="str">
        <f t="shared" si="47"/>
        <v>Commercial Showerhead Replacement_1_50gpm_Fitness Center_ Electric Water Heating_Mail-by-Request</v>
      </c>
      <c r="V170" s="492" t="s">
        <v>440</v>
      </c>
      <c r="W170" s="494">
        <f t="shared" si="48"/>
        <v>2732.0881464292288</v>
      </c>
      <c r="X170" s="492">
        <v>10</v>
      </c>
      <c r="Y170" s="498">
        <f t="shared" si="49"/>
        <v>8.1096944444444432</v>
      </c>
      <c r="Z170" s="492"/>
      <c r="AA170" s="499" t="s">
        <v>441</v>
      </c>
      <c r="AB170" s="497">
        <f t="shared" si="50"/>
        <v>314.52145229972194</v>
      </c>
      <c r="AC170" s="492"/>
      <c r="AD170" s="492"/>
      <c r="AE170" s="492"/>
      <c r="AF170" s="492"/>
      <c r="AG170" s="492"/>
      <c r="AH170" s="492"/>
      <c r="AI170" s="492">
        <f t="shared" si="51"/>
        <v>0</v>
      </c>
      <c r="AJ170" s="492" t="s">
        <v>442</v>
      </c>
      <c r="AL170" s="283" t="e">
        <f t="shared" ca="1" si="52"/>
        <v>#NAME?</v>
      </c>
    </row>
    <row r="171" spans="1:38" hidden="1">
      <c r="A171" s="492">
        <f t="shared" si="53"/>
        <v>161</v>
      </c>
      <c r="B171" s="492">
        <f t="shared" ref="B171:D172" si="55">CEILING((MOD($A171-1,B$9)+1)/C$9,1)</f>
        <v>6</v>
      </c>
      <c r="C171" s="492">
        <f t="shared" si="55"/>
        <v>3</v>
      </c>
      <c r="D171" s="492">
        <f t="shared" si="55"/>
        <v>3</v>
      </c>
      <c r="E171" s="492">
        <f t="shared" si="41"/>
        <v>2</v>
      </c>
      <c r="F171" s="492" t="str">
        <f t="shared" si="42"/>
        <v>Fitness Center</v>
      </c>
      <c r="G171" s="492" t="str">
        <f t="shared" si="43"/>
        <v>Mail-by-Request</v>
      </c>
      <c r="H171" s="492" t="str">
        <f t="shared" si="43"/>
        <v>1_50</v>
      </c>
      <c r="I171" s="492" t="str">
        <f t="shared" si="43"/>
        <v>Gas Water Heating</v>
      </c>
      <c r="J171" s="492" t="str">
        <f>"Commercial Showerhead Replacement_"&amp;H171&amp;"gpm_"&amp;F171&amp;"_ "&amp;I171&amp;"_"&amp;G171</f>
        <v>Commercial Showerhead Replacement_1_50gpm_Fitness Center_ Gas Water Heating_Mail-by-Request</v>
      </c>
      <c r="K171" s="493">
        <f>INDEX(InstallRatesCostAndLifetime!$A$2:$D$6,MATCH(InputForProCost!G171,InstallRatesCostAndLifetime!$A$2:$A$6,0),MATCH(InputForProCost!H171,InstallRatesCostAndLifetime!$A$2:$D$2,0))</f>
        <v>0.6</v>
      </c>
      <c r="L171" s="493">
        <f t="shared" si="45"/>
        <v>0</v>
      </c>
      <c r="M171" s="492"/>
      <c r="N171" s="492" t="str">
        <f t="shared" si="46"/>
        <v>Fitness Center1_50</v>
      </c>
      <c r="O171" s="494">
        <f>VLOOKUP($N171,Impacts!$F$5:$Z$22,16,FALSE)</f>
        <v>4553.4802440487147</v>
      </c>
      <c r="P171" s="494">
        <f>VLOOKUP($N171,Impacts!$F$5:$Z$22,17,FALSE)*K171</f>
        <v>126.40419816070384</v>
      </c>
      <c r="Q171" s="495">
        <f>VLOOKUP($N171,Impacts!$F$5:$Z$22,19,FALSE)*K171</f>
        <v>121.84056352676431</v>
      </c>
      <c r="R171" s="496">
        <f>VLOOKUP($N171,Impacts!$F$5:$Z$22,20,FALSE)*K171</f>
        <v>23894.933489736075</v>
      </c>
      <c r="S171" s="497">
        <f>VLOOKUP($N171,Impacts!$F$5:$Z$22,21,FALSE)*K171</f>
        <v>314.52145229972194</v>
      </c>
      <c r="T171" s="492"/>
      <c r="U171" s="492" t="str">
        <f t="shared" si="47"/>
        <v>Commercial Showerhead Replacement_1_50gpm_Fitness Center_ Gas Water Heating_Mail-by-Request</v>
      </c>
      <c r="V171" s="492" t="s">
        <v>440</v>
      </c>
      <c r="W171" s="494">
        <f t="shared" si="48"/>
        <v>0</v>
      </c>
      <c r="X171" s="492">
        <v>10</v>
      </c>
      <c r="Y171" s="498">
        <f t="shared" si="49"/>
        <v>8.1096944444444432</v>
      </c>
      <c r="Z171" s="492"/>
      <c r="AA171" s="499" t="s">
        <v>441</v>
      </c>
      <c r="AB171" s="497">
        <f t="shared" si="50"/>
        <v>314.52145229972194</v>
      </c>
      <c r="AC171" s="492"/>
      <c r="AD171" s="492"/>
      <c r="AE171" s="492"/>
      <c r="AF171" s="492"/>
      <c r="AG171" s="492"/>
      <c r="AH171" s="492"/>
      <c r="AI171" s="492">
        <f t="shared" si="51"/>
        <v>121.84056352676431</v>
      </c>
      <c r="AJ171" s="492" t="s">
        <v>442</v>
      </c>
      <c r="AL171" s="283" t="e">
        <f t="shared" ca="1" si="52"/>
        <v>#NAME?</v>
      </c>
    </row>
    <row r="172" spans="1:38" hidden="1">
      <c r="A172" s="492">
        <f t="shared" si="53"/>
        <v>162</v>
      </c>
      <c r="B172" s="492">
        <f t="shared" si="55"/>
        <v>6</v>
      </c>
      <c r="C172" s="492">
        <f t="shared" si="55"/>
        <v>3</v>
      </c>
      <c r="D172" s="492">
        <f t="shared" si="55"/>
        <v>3</v>
      </c>
      <c r="E172" s="492">
        <f t="shared" si="41"/>
        <v>3</v>
      </c>
      <c r="F172" s="492" t="str">
        <f t="shared" si="42"/>
        <v>Fitness Center</v>
      </c>
      <c r="G172" s="492" t="str">
        <f t="shared" si="43"/>
        <v>Mail-by-Request</v>
      </c>
      <c r="H172" s="492" t="str">
        <f t="shared" si="43"/>
        <v>1_50</v>
      </c>
      <c r="I172" s="492" t="str">
        <f t="shared" si="43"/>
        <v>Any Water Heating</v>
      </c>
      <c r="J172" s="492" t="str">
        <f>"Commercial Showerhead Replacement_"&amp;H172&amp;"gpm_"&amp;F172&amp;"_ "&amp;I172&amp;"_"&amp;G172</f>
        <v>Commercial Showerhead Replacement_1_50gpm_Fitness Center_ Any Water Heating_Mail-by-Request</v>
      </c>
      <c r="K172" s="493">
        <f>INDEX(InstallRatesCostAndLifetime!$A$2:$D$6,MATCH(InputForProCost!G172,InstallRatesCostAndLifetime!$A$2:$A$6,0),MATCH(InputForProCost!H172,InstallRatesCostAndLifetime!$A$2:$D$2,0))</f>
        <v>0.6</v>
      </c>
      <c r="L172" s="493">
        <f t="shared" si="45"/>
        <v>0.31666666666666665</v>
      </c>
      <c r="M172" s="492"/>
      <c r="N172" s="492" t="str">
        <f t="shared" si="46"/>
        <v>Fitness Center1_50</v>
      </c>
      <c r="O172" s="494">
        <f>VLOOKUP($N172,Impacts!$F$5:$Z$22,16,FALSE)</f>
        <v>4553.4802440487147</v>
      </c>
      <c r="P172" s="494">
        <f>VLOOKUP($N172,Impacts!$F$5:$Z$22,17,FALSE)*K172</f>
        <v>126.40419816070384</v>
      </c>
      <c r="Q172" s="495">
        <f>VLOOKUP($N172,Impacts!$F$5:$Z$22,19,FALSE)*K172</f>
        <v>121.84056352676431</v>
      </c>
      <c r="R172" s="496">
        <f>VLOOKUP($N172,Impacts!$F$5:$Z$22,20,FALSE)*K172</f>
        <v>23894.933489736075</v>
      </c>
      <c r="S172" s="497">
        <f>VLOOKUP($N172,Impacts!$F$5:$Z$22,21,FALSE)*K172</f>
        <v>314.52145229972194</v>
      </c>
      <c r="T172" s="492"/>
      <c r="U172" s="492" t="str">
        <f t="shared" si="47"/>
        <v>Commercial Showerhead Replacement_1_50gpm_Fitness Center_ Any Water Heating_Mail-by-Request</v>
      </c>
      <c r="V172" s="492" t="s">
        <v>440</v>
      </c>
      <c r="W172" s="494">
        <f t="shared" si="48"/>
        <v>865.16124636925576</v>
      </c>
      <c r="X172" s="492">
        <v>10</v>
      </c>
      <c r="Y172" s="498">
        <f t="shared" si="49"/>
        <v>8.1096944444444432</v>
      </c>
      <c r="Z172" s="492"/>
      <c r="AA172" s="499" t="s">
        <v>441</v>
      </c>
      <c r="AB172" s="497">
        <f t="shared" si="50"/>
        <v>314.52145229972194</v>
      </c>
      <c r="AC172" s="492"/>
      <c r="AD172" s="492"/>
      <c r="AE172" s="492"/>
      <c r="AF172" s="492"/>
      <c r="AG172" s="492"/>
      <c r="AH172" s="492"/>
      <c r="AI172" s="492">
        <f t="shared" si="51"/>
        <v>83.257718409955615</v>
      </c>
      <c r="AJ172" s="492" t="s">
        <v>442</v>
      </c>
      <c r="AL172" s="283" t="e">
        <f t="shared" ca="1" si="52"/>
        <v>#NAME?</v>
      </c>
    </row>
    <row r="173" spans="1:38" hidden="1">
      <c r="F173" s="500" t="str">
        <f t="shared" ref="F173:I188" si="56">F11</f>
        <v>Hospitality</v>
      </c>
      <c r="G173" s="500" t="str">
        <f t="shared" si="56"/>
        <v>Retail</v>
      </c>
      <c r="H173" s="500" t="str">
        <f t="shared" si="56"/>
        <v>2_00</v>
      </c>
      <c r="I173" s="500" t="str">
        <f t="shared" si="56"/>
        <v>Electric Water Heating</v>
      </c>
      <c r="J173" s="500" t="str">
        <f t="shared" ref="J173:J236" si="57">J11 &amp; " - Embedded Water Energy"</f>
        <v>Commercial Showerhead Replacement_2_00gpm_Hospitality_ Electric Water Heating_Retail - Embedded Water Energy</v>
      </c>
      <c r="K173" s="500"/>
      <c r="L173" s="501"/>
      <c r="M173" s="500"/>
      <c r="N173" s="500"/>
      <c r="O173" s="500"/>
      <c r="P173" s="502"/>
      <c r="Q173" s="503"/>
      <c r="R173" s="504"/>
      <c r="S173" s="505"/>
      <c r="T173" s="500"/>
      <c r="U173" s="500" t="str">
        <f t="shared" ref="U173:U236" si="58">U11</f>
        <v>Commercial Showerhead Replacement_2_00gpm_Hospitality_ Electric Water Heating_Retail</v>
      </c>
      <c r="V173" s="506" t="s">
        <v>604</v>
      </c>
      <c r="W173" s="502">
        <f t="shared" ref="W173:W236" si="59">P11</f>
        <v>5.9399149959648012</v>
      </c>
      <c r="X173" s="500">
        <v>10</v>
      </c>
      <c r="Y173" s="507">
        <v>0</v>
      </c>
      <c r="Z173" s="500"/>
      <c r="AA173" s="506" t="s">
        <v>605</v>
      </c>
      <c r="AB173" s="505">
        <v>0</v>
      </c>
      <c r="AC173" s="500"/>
      <c r="AD173" s="500"/>
      <c r="AE173" s="500"/>
      <c r="AF173" s="500"/>
      <c r="AG173" s="500"/>
      <c r="AH173" s="500"/>
      <c r="AI173" s="500">
        <v>0</v>
      </c>
      <c r="AJ173" s="506" t="s">
        <v>605</v>
      </c>
    </row>
    <row r="174" spans="1:38" hidden="1">
      <c r="F174" s="500" t="str">
        <f t="shared" si="56"/>
        <v>Hospitality</v>
      </c>
      <c r="G174" s="500" t="str">
        <f t="shared" si="56"/>
        <v>Retail</v>
      </c>
      <c r="H174" s="500" t="str">
        <f t="shared" si="56"/>
        <v>2_00</v>
      </c>
      <c r="I174" s="500" t="str">
        <f t="shared" si="56"/>
        <v>Gas Water Heating</v>
      </c>
      <c r="J174" s="500" t="str">
        <f t="shared" si="57"/>
        <v>Commercial Showerhead Replacement_2_00gpm_Hospitality_ Gas Water Heating_Retail - Embedded Water Energy</v>
      </c>
      <c r="K174" s="500"/>
      <c r="L174" s="501"/>
      <c r="M174" s="500"/>
      <c r="N174" s="500"/>
      <c r="O174" s="500"/>
      <c r="P174" s="502"/>
      <c r="Q174" s="503"/>
      <c r="R174" s="504"/>
      <c r="S174" s="505"/>
      <c r="T174" s="500"/>
      <c r="U174" s="500" t="str">
        <f t="shared" si="58"/>
        <v>Commercial Showerhead Replacement_2_00gpm_Hospitality_ Gas Water Heating_Retail</v>
      </c>
      <c r="V174" s="506" t="s">
        <v>604</v>
      </c>
      <c r="W174" s="502">
        <f t="shared" si="59"/>
        <v>5.9399149959648012</v>
      </c>
      <c r="X174" s="500">
        <v>10</v>
      </c>
      <c r="Y174" s="507">
        <v>0</v>
      </c>
      <c r="Z174" s="500"/>
      <c r="AA174" s="506" t="s">
        <v>605</v>
      </c>
      <c r="AB174" s="505">
        <v>0</v>
      </c>
      <c r="AC174" s="500"/>
      <c r="AD174" s="500"/>
      <c r="AE174" s="500"/>
      <c r="AF174" s="500"/>
      <c r="AG174" s="500"/>
      <c r="AH174" s="500"/>
      <c r="AI174" s="500">
        <v>0</v>
      </c>
      <c r="AJ174" s="506" t="s">
        <v>605</v>
      </c>
    </row>
    <row r="175" spans="1:38" hidden="1">
      <c r="F175" s="500" t="str">
        <f t="shared" si="56"/>
        <v>Hospitality</v>
      </c>
      <c r="G175" s="500" t="str">
        <f t="shared" si="56"/>
        <v>Retail</v>
      </c>
      <c r="H175" s="500" t="str">
        <f t="shared" si="56"/>
        <v>2_00</v>
      </c>
      <c r="I175" s="500" t="str">
        <f t="shared" si="56"/>
        <v>Any Water Heating</v>
      </c>
      <c r="J175" s="500" t="str">
        <f t="shared" si="57"/>
        <v>Commercial Showerhead Replacement_2_00gpm_Hospitality_ Any Water Heating_Retail - Embedded Water Energy</v>
      </c>
      <c r="K175" s="500"/>
      <c r="L175" s="501"/>
      <c r="M175" s="500"/>
      <c r="N175" s="500"/>
      <c r="O175" s="500"/>
      <c r="P175" s="502"/>
      <c r="Q175" s="503"/>
      <c r="R175" s="504"/>
      <c r="S175" s="505"/>
      <c r="T175" s="500"/>
      <c r="U175" s="500" t="str">
        <f t="shared" si="58"/>
        <v>Commercial Showerhead Replacement_2_00gpm_Hospitality_ Any Water Heating_Retail</v>
      </c>
      <c r="V175" s="506" t="s">
        <v>604</v>
      </c>
      <c r="W175" s="502">
        <f t="shared" si="59"/>
        <v>5.9399149959648012</v>
      </c>
      <c r="X175" s="500">
        <v>10</v>
      </c>
      <c r="Y175" s="507">
        <v>0</v>
      </c>
      <c r="Z175" s="500"/>
      <c r="AA175" s="506" t="s">
        <v>605</v>
      </c>
      <c r="AB175" s="505">
        <v>0</v>
      </c>
      <c r="AC175" s="500"/>
      <c r="AD175" s="500"/>
      <c r="AE175" s="500"/>
      <c r="AF175" s="500"/>
      <c r="AG175" s="500"/>
      <c r="AH175" s="500"/>
      <c r="AI175" s="500">
        <v>0</v>
      </c>
      <c r="AJ175" s="506" t="s">
        <v>605</v>
      </c>
    </row>
    <row r="176" spans="1:38" hidden="1">
      <c r="F176" s="500" t="str">
        <f t="shared" si="56"/>
        <v>Hospitality</v>
      </c>
      <c r="G176" s="500" t="str">
        <f t="shared" si="56"/>
        <v>Retail</v>
      </c>
      <c r="H176" s="500" t="str">
        <f t="shared" si="56"/>
        <v>1_75</v>
      </c>
      <c r="I176" s="500" t="str">
        <f t="shared" si="56"/>
        <v>Electric Water Heating</v>
      </c>
      <c r="J176" s="500" t="str">
        <f t="shared" si="57"/>
        <v>Commercial Showerhead Replacement_1_75gpm_Hospitality_ Electric Water Heating_Retail - Embedded Water Energy</v>
      </c>
      <c r="K176" s="500"/>
      <c r="L176" s="501"/>
      <c r="M176" s="500"/>
      <c r="N176" s="500"/>
      <c r="O176" s="500"/>
      <c r="P176" s="502"/>
      <c r="Q176" s="503"/>
      <c r="R176" s="504"/>
      <c r="S176" s="505"/>
      <c r="T176" s="500"/>
      <c r="U176" s="500" t="str">
        <f t="shared" si="58"/>
        <v>Commercial Showerhead Replacement_1_75gpm_Hospitality_ Electric Water Heating_Retail</v>
      </c>
      <c r="V176" s="506" t="s">
        <v>604</v>
      </c>
      <c r="W176" s="502">
        <f t="shared" si="59"/>
        <v>6.2647540973066285</v>
      </c>
      <c r="X176" s="500">
        <v>10</v>
      </c>
      <c r="Y176" s="507">
        <v>0</v>
      </c>
      <c r="Z176" s="500"/>
      <c r="AA176" s="506" t="s">
        <v>605</v>
      </c>
      <c r="AB176" s="505">
        <v>0</v>
      </c>
      <c r="AC176" s="500"/>
      <c r="AD176" s="500"/>
      <c r="AE176" s="500"/>
      <c r="AF176" s="500"/>
      <c r="AG176" s="500"/>
      <c r="AH176" s="500"/>
      <c r="AI176" s="500">
        <v>0</v>
      </c>
      <c r="AJ176" s="506" t="s">
        <v>605</v>
      </c>
    </row>
    <row r="177" spans="6:36" hidden="1">
      <c r="F177" s="500" t="str">
        <f t="shared" si="56"/>
        <v>Hospitality</v>
      </c>
      <c r="G177" s="500" t="str">
        <f t="shared" si="56"/>
        <v>Retail</v>
      </c>
      <c r="H177" s="500" t="str">
        <f t="shared" si="56"/>
        <v>1_75</v>
      </c>
      <c r="I177" s="500" t="str">
        <f t="shared" si="56"/>
        <v>Gas Water Heating</v>
      </c>
      <c r="J177" s="500" t="str">
        <f t="shared" si="57"/>
        <v>Commercial Showerhead Replacement_1_75gpm_Hospitality_ Gas Water Heating_Retail - Embedded Water Energy</v>
      </c>
      <c r="K177" s="500"/>
      <c r="L177" s="501"/>
      <c r="M177" s="500"/>
      <c r="N177" s="500"/>
      <c r="O177" s="500"/>
      <c r="P177" s="502"/>
      <c r="Q177" s="503"/>
      <c r="R177" s="504"/>
      <c r="S177" s="505"/>
      <c r="T177" s="500"/>
      <c r="U177" s="500" t="str">
        <f t="shared" si="58"/>
        <v>Commercial Showerhead Replacement_1_75gpm_Hospitality_ Gas Water Heating_Retail</v>
      </c>
      <c r="V177" s="506" t="s">
        <v>604</v>
      </c>
      <c r="W177" s="502">
        <f t="shared" si="59"/>
        <v>6.2647540973066285</v>
      </c>
      <c r="X177" s="500">
        <v>10</v>
      </c>
      <c r="Y177" s="507">
        <v>0</v>
      </c>
      <c r="Z177" s="500"/>
      <c r="AA177" s="506" t="s">
        <v>605</v>
      </c>
      <c r="AB177" s="505">
        <v>0</v>
      </c>
      <c r="AC177" s="500"/>
      <c r="AD177" s="500"/>
      <c r="AE177" s="500"/>
      <c r="AF177" s="500"/>
      <c r="AG177" s="500"/>
      <c r="AH177" s="500"/>
      <c r="AI177" s="500">
        <v>0</v>
      </c>
      <c r="AJ177" s="506" t="s">
        <v>605</v>
      </c>
    </row>
    <row r="178" spans="6:36" hidden="1">
      <c r="F178" s="500" t="str">
        <f t="shared" si="56"/>
        <v>Hospitality</v>
      </c>
      <c r="G178" s="500" t="str">
        <f t="shared" si="56"/>
        <v>Retail</v>
      </c>
      <c r="H178" s="500" t="str">
        <f t="shared" si="56"/>
        <v>1_75</v>
      </c>
      <c r="I178" s="500" t="str">
        <f t="shared" si="56"/>
        <v>Any Water Heating</v>
      </c>
      <c r="J178" s="500" t="str">
        <f t="shared" si="57"/>
        <v>Commercial Showerhead Replacement_1_75gpm_Hospitality_ Any Water Heating_Retail - Embedded Water Energy</v>
      </c>
      <c r="K178" s="500"/>
      <c r="L178" s="501"/>
      <c r="M178" s="500"/>
      <c r="N178" s="500"/>
      <c r="O178" s="500"/>
      <c r="P178" s="502"/>
      <c r="Q178" s="503"/>
      <c r="R178" s="504"/>
      <c r="S178" s="505"/>
      <c r="T178" s="500"/>
      <c r="U178" s="500" t="str">
        <f t="shared" si="58"/>
        <v>Commercial Showerhead Replacement_1_75gpm_Hospitality_ Any Water Heating_Retail</v>
      </c>
      <c r="V178" s="506" t="s">
        <v>604</v>
      </c>
      <c r="W178" s="502">
        <f t="shared" si="59"/>
        <v>6.2647540973066285</v>
      </c>
      <c r="X178" s="500">
        <v>10</v>
      </c>
      <c r="Y178" s="507">
        <v>0</v>
      </c>
      <c r="Z178" s="500"/>
      <c r="AA178" s="506" t="s">
        <v>605</v>
      </c>
      <c r="AB178" s="505">
        <v>0</v>
      </c>
      <c r="AC178" s="500"/>
      <c r="AD178" s="500"/>
      <c r="AE178" s="500"/>
      <c r="AF178" s="500"/>
      <c r="AG178" s="500"/>
      <c r="AH178" s="500"/>
      <c r="AI178" s="500">
        <v>0</v>
      </c>
      <c r="AJ178" s="506" t="s">
        <v>605</v>
      </c>
    </row>
    <row r="179" spans="6:36" hidden="1">
      <c r="F179" s="500" t="str">
        <f t="shared" si="56"/>
        <v>Hospitality</v>
      </c>
      <c r="G179" s="500" t="str">
        <f t="shared" si="56"/>
        <v>Retail</v>
      </c>
      <c r="H179" s="500" t="str">
        <f t="shared" si="56"/>
        <v>1_50</v>
      </c>
      <c r="I179" s="500" t="str">
        <f t="shared" si="56"/>
        <v>Electric Water Heating</v>
      </c>
      <c r="J179" s="500" t="str">
        <f t="shared" si="57"/>
        <v>Commercial Showerhead Replacement_1_50gpm_Hospitality_ Electric Water Heating_Retail - Embedded Water Energy</v>
      </c>
      <c r="K179" s="500"/>
      <c r="L179" s="501"/>
      <c r="M179" s="500"/>
      <c r="N179" s="500"/>
      <c r="O179" s="500"/>
      <c r="P179" s="502"/>
      <c r="Q179" s="503"/>
      <c r="R179" s="504"/>
      <c r="S179" s="505"/>
      <c r="T179" s="500"/>
      <c r="U179" s="500" t="str">
        <f t="shared" si="58"/>
        <v>Commercial Showerhead Replacement_1_50gpm_Hospitality_ Electric Water Heating_Retail</v>
      </c>
      <c r="V179" s="506" t="s">
        <v>604</v>
      </c>
      <c r="W179" s="502">
        <f t="shared" si="59"/>
        <v>9.0954948375711027</v>
      </c>
      <c r="X179" s="500">
        <v>10</v>
      </c>
      <c r="Y179" s="507">
        <v>0</v>
      </c>
      <c r="Z179" s="500"/>
      <c r="AA179" s="506" t="s">
        <v>605</v>
      </c>
      <c r="AB179" s="505">
        <v>0</v>
      </c>
      <c r="AC179" s="500"/>
      <c r="AD179" s="500"/>
      <c r="AE179" s="500"/>
      <c r="AF179" s="500"/>
      <c r="AG179" s="500"/>
      <c r="AH179" s="500"/>
      <c r="AI179" s="500">
        <v>0</v>
      </c>
      <c r="AJ179" s="506" t="s">
        <v>605</v>
      </c>
    </row>
    <row r="180" spans="6:36" hidden="1">
      <c r="F180" s="500" t="str">
        <f t="shared" si="56"/>
        <v>Hospitality</v>
      </c>
      <c r="G180" s="500" t="str">
        <f t="shared" si="56"/>
        <v>Retail</v>
      </c>
      <c r="H180" s="500" t="str">
        <f t="shared" si="56"/>
        <v>1_50</v>
      </c>
      <c r="I180" s="500" t="str">
        <f t="shared" si="56"/>
        <v>Gas Water Heating</v>
      </c>
      <c r="J180" s="500" t="str">
        <f t="shared" si="57"/>
        <v>Commercial Showerhead Replacement_1_50gpm_Hospitality_ Gas Water Heating_Retail - Embedded Water Energy</v>
      </c>
      <c r="K180" s="500"/>
      <c r="L180" s="501"/>
      <c r="M180" s="500"/>
      <c r="N180" s="500"/>
      <c r="O180" s="500"/>
      <c r="P180" s="502"/>
      <c r="Q180" s="503"/>
      <c r="R180" s="504"/>
      <c r="S180" s="505"/>
      <c r="T180" s="500"/>
      <c r="U180" s="500" t="str">
        <f t="shared" si="58"/>
        <v>Commercial Showerhead Replacement_1_50gpm_Hospitality_ Gas Water Heating_Retail</v>
      </c>
      <c r="V180" s="506" t="s">
        <v>604</v>
      </c>
      <c r="W180" s="502">
        <f t="shared" si="59"/>
        <v>9.0954948375711027</v>
      </c>
      <c r="X180" s="500">
        <v>10</v>
      </c>
      <c r="Y180" s="507">
        <v>0</v>
      </c>
      <c r="Z180" s="500"/>
      <c r="AA180" s="506" t="s">
        <v>605</v>
      </c>
      <c r="AB180" s="505">
        <v>0</v>
      </c>
      <c r="AC180" s="500"/>
      <c r="AD180" s="500"/>
      <c r="AE180" s="500"/>
      <c r="AF180" s="500"/>
      <c r="AG180" s="500"/>
      <c r="AH180" s="500"/>
      <c r="AI180" s="500">
        <v>0</v>
      </c>
      <c r="AJ180" s="506" t="s">
        <v>605</v>
      </c>
    </row>
    <row r="181" spans="6:36" hidden="1">
      <c r="F181" s="500" t="str">
        <f t="shared" si="56"/>
        <v>Hospitality</v>
      </c>
      <c r="G181" s="500" t="str">
        <f t="shared" si="56"/>
        <v>Retail</v>
      </c>
      <c r="H181" s="500" t="str">
        <f t="shared" si="56"/>
        <v>1_50</v>
      </c>
      <c r="I181" s="500" t="str">
        <f t="shared" si="56"/>
        <v>Any Water Heating</v>
      </c>
      <c r="J181" s="500" t="str">
        <f t="shared" si="57"/>
        <v>Commercial Showerhead Replacement_1_50gpm_Hospitality_ Any Water Heating_Retail - Embedded Water Energy</v>
      </c>
      <c r="K181" s="500"/>
      <c r="L181" s="501"/>
      <c r="M181" s="500"/>
      <c r="N181" s="500"/>
      <c r="O181" s="500"/>
      <c r="P181" s="502"/>
      <c r="Q181" s="503"/>
      <c r="R181" s="504"/>
      <c r="S181" s="505"/>
      <c r="T181" s="500"/>
      <c r="U181" s="500" t="str">
        <f t="shared" si="58"/>
        <v>Commercial Showerhead Replacement_1_50gpm_Hospitality_ Any Water Heating_Retail</v>
      </c>
      <c r="V181" s="506" t="s">
        <v>604</v>
      </c>
      <c r="W181" s="502">
        <f t="shared" si="59"/>
        <v>9.0954948375711027</v>
      </c>
      <c r="X181" s="500">
        <v>10</v>
      </c>
      <c r="Y181" s="507">
        <v>0</v>
      </c>
      <c r="Z181" s="500"/>
      <c r="AA181" s="506" t="s">
        <v>605</v>
      </c>
      <c r="AB181" s="505">
        <v>0</v>
      </c>
      <c r="AC181" s="500"/>
      <c r="AD181" s="500"/>
      <c r="AE181" s="500"/>
      <c r="AF181" s="500"/>
      <c r="AG181" s="500"/>
      <c r="AH181" s="500"/>
      <c r="AI181" s="500">
        <v>0</v>
      </c>
      <c r="AJ181" s="506" t="s">
        <v>605</v>
      </c>
    </row>
    <row r="182" spans="6:36" hidden="1">
      <c r="F182" s="500" t="str">
        <f t="shared" si="56"/>
        <v>Hospitality</v>
      </c>
      <c r="G182" s="500" t="str">
        <f t="shared" si="56"/>
        <v>Direct Install</v>
      </c>
      <c r="H182" s="500" t="str">
        <f t="shared" si="56"/>
        <v>2_00</v>
      </c>
      <c r="I182" s="500" t="str">
        <f t="shared" si="56"/>
        <v>Electric Water Heating</v>
      </c>
      <c r="J182" s="500" t="str">
        <f t="shared" si="57"/>
        <v>Commercial Showerhead Replacement_2_00gpm_Hospitality_ Electric Water Heating_Direct Install - Embedded Water Energy</v>
      </c>
      <c r="K182" s="500"/>
      <c r="L182" s="501"/>
      <c r="M182" s="500"/>
      <c r="N182" s="500"/>
      <c r="O182" s="500"/>
      <c r="P182" s="502"/>
      <c r="Q182" s="503"/>
      <c r="R182" s="504"/>
      <c r="S182" s="505"/>
      <c r="T182" s="500"/>
      <c r="U182" s="500" t="str">
        <f t="shared" si="58"/>
        <v>Commercial Showerhead Replacement_2_00gpm_Hospitality_ Electric Water Heating_Direct Install</v>
      </c>
      <c r="V182" s="506" t="s">
        <v>604</v>
      </c>
      <c r="W182" s="502">
        <f t="shared" si="59"/>
        <v>6.682404370460401</v>
      </c>
      <c r="X182" s="500">
        <v>10</v>
      </c>
      <c r="Y182" s="507">
        <v>0</v>
      </c>
      <c r="Z182" s="500"/>
      <c r="AA182" s="506" t="s">
        <v>605</v>
      </c>
      <c r="AB182" s="505">
        <v>0</v>
      </c>
      <c r="AC182" s="500"/>
      <c r="AD182" s="500"/>
      <c r="AE182" s="500"/>
      <c r="AF182" s="500"/>
      <c r="AG182" s="500"/>
      <c r="AH182" s="500"/>
      <c r="AI182" s="500">
        <v>0</v>
      </c>
      <c r="AJ182" s="506" t="s">
        <v>605</v>
      </c>
    </row>
    <row r="183" spans="6:36" hidden="1">
      <c r="F183" s="500" t="str">
        <f t="shared" si="56"/>
        <v>Hospitality</v>
      </c>
      <c r="G183" s="500" t="str">
        <f t="shared" si="56"/>
        <v>Direct Install</v>
      </c>
      <c r="H183" s="500" t="str">
        <f t="shared" si="56"/>
        <v>2_00</v>
      </c>
      <c r="I183" s="500" t="str">
        <f t="shared" si="56"/>
        <v>Gas Water Heating</v>
      </c>
      <c r="J183" s="500" t="str">
        <f t="shared" si="57"/>
        <v>Commercial Showerhead Replacement_2_00gpm_Hospitality_ Gas Water Heating_Direct Install - Embedded Water Energy</v>
      </c>
      <c r="K183" s="500"/>
      <c r="L183" s="501"/>
      <c r="M183" s="500"/>
      <c r="N183" s="500"/>
      <c r="O183" s="500"/>
      <c r="P183" s="502"/>
      <c r="Q183" s="503"/>
      <c r="R183" s="504"/>
      <c r="S183" s="505"/>
      <c r="T183" s="500"/>
      <c r="U183" s="500" t="str">
        <f t="shared" si="58"/>
        <v>Commercial Showerhead Replacement_2_00gpm_Hospitality_ Gas Water Heating_Direct Install</v>
      </c>
      <c r="V183" s="506" t="s">
        <v>604</v>
      </c>
      <c r="W183" s="502">
        <f t="shared" si="59"/>
        <v>6.682404370460401</v>
      </c>
      <c r="X183" s="500">
        <v>10</v>
      </c>
      <c r="Y183" s="507">
        <v>0</v>
      </c>
      <c r="Z183" s="500"/>
      <c r="AA183" s="506" t="s">
        <v>605</v>
      </c>
      <c r="AB183" s="505">
        <v>0</v>
      </c>
      <c r="AC183" s="500"/>
      <c r="AD183" s="500"/>
      <c r="AE183" s="500"/>
      <c r="AF183" s="500"/>
      <c r="AG183" s="500"/>
      <c r="AH183" s="500"/>
      <c r="AI183" s="500">
        <v>0</v>
      </c>
      <c r="AJ183" s="506" t="s">
        <v>605</v>
      </c>
    </row>
    <row r="184" spans="6:36" hidden="1">
      <c r="F184" s="500" t="str">
        <f t="shared" si="56"/>
        <v>Hospitality</v>
      </c>
      <c r="G184" s="500" t="str">
        <f t="shared" si="56"/>
        <v>Direct Install</v>
      </c>
      <c r="H184" s="500" t="str">
        <f t="shared" si="56"/>
        <v>2_00</v>
      </c>
      <c r="I184" s="500" t="str">
        <f t="shared" si="56"/>
        <v>Any Water Heating</v>
      </c>
      <c r="J184" s="500" t="str">
        <f t="shared" si="57"/>
        <v>Commercial Showerhead Replacement_2_00gpm_Hospitality_ Any Water Heating_Direct Install - Embedded Water Energy</v>
      </c>
      <c r="K184" s="500"/>
      <c r="L184" s="501"/>
      <c r="M184" s="500"/>
      <c r="N184" s="500"/>
      <c r="O184" s="500"/>
      <c r="P184" s="502"/>
      <c r="Q184" s="503"/>
      <c r="R184" s="504"/>
      <c r="S184" s="505"/>
      <c r="T184" s="500"/>
      <c r="U184" s="500" t="str">
        <f t="shared" si="58"/>
        <v>Commercial Showerhead Replacement_2_00gpm_Hospitality_ Any Water Heating_Direct Install</v>
      </c>
      <c r="V184" s="506" t="s">
        <v>604</v>
      </c>
      <c r="W184" s="502">
        <f t="shared" si="59"/>
        <v>6.682404370460401</v>
      </c>
      <c r="X184" s="500">
        <v>10</v>
      </c>
      <c r="Y184" s="507">
        <v>0</v>
      </c>
      <c r="Z184" s="500"/>
      <c r="AA184" s="506" t="s">
        <v>605</v>
      </c>
      <c r="AB184" s="505">
        <v>0</v>
      </c>
      <c r="AC184" s="500"/>
      <c r="AD184" s="500"/>
      <c r="AE184" s="500"/>
      <c r="AF184" s="500"/>
      <c r="AG184" s="500"/>
      <c r="AH184" s="500"/>
      <c r="AI184" s="500">
        <v>0</v>
      </c>
      <c r="AJ184" s="506" t="s">
        <v>605</v>
      </c>
    </row>
    <row r="185" spans="6:36" hidden="1">
      <c r="F185" s="500" t="str">
        <f t="shared" si="56"/>
        <v>Hospitality</v>
      </c>
      <c r="G185" s="500" t="str">
        <f t="shared" si="56"/>
        <v>Direct Install</v>
      </c>
      <c r="H185" s="500" t="str">
        <f t="shared" si="56"/>
        <v>1_75</v>
      </c>
      <c r="I185" s="500" t="str">
        <f t="shared" si="56"/>
        <v>Electric Water Heating</v>
      </c>
      <c r="J185" s="500" t="str">
        <f t="shared" si="57"/>
        <v>Commercial Showerhead Replacement_1_75gpm_Hospitality_ Electric Water Heating_Direct Install - Embedded Water Energy</v>
      </c>
      <c r="K185" s="500"/>
      <c r="L185" s="501"/>
      <c r="M185" s="500"/>
      <c r="N185" s="500"/>
      <c r="O185" s="500"/>
      <c r="P185" s="502"/>
      <c r="Q185" s="503"/>
      <c r="R185" s="504"/>
      <c r="S185" s="505"/>
      <c r="T185" s="500"/>
      <c r="U185" s="500" t="str">
        <f t="shared" si="58"/>
        <v>Commercial Showerhead Replacement_1_75gpm_Hospitality_ Electric Water Heating_Direct Install</v>
      </c>
      <c r="V185" s="506" t="s">
        <v>604</v>
      </c>
      <c r="W185" s="502">
        <f t="shared" si="59"/>
        <v>7.5177049167679542</v>
      </c>
      <c r="X185" s="500">
        <v>10</v>
      </c>
      <c r="Y185" s="507">
        <v>0</v>
      </c>
      <c r="Z185" s="500"/>
      <c r="AA185" s="506" t="s">
        <v>605</v>
      </c>
      <c r="AB185" s="505">
        <v>0</v>
      </c>
      <c r="AC185" s="500"/>
      <c r="AD185" s="500"/>
      <c r="AE185" s="500"/>
      <c r="AF185" s="500"/>
      <c r="AG185" s="500"/>
      <c r="AH185" s="500"/>
      <c r="AI185" s="500">
        <v>0</v>
      </c>
      <c r="AJ185" s="506" t="s">
        <v>605</v>
      </c>
    </row>
    <row r="186" spans="6:36" hidden="1">
      <c r="F186" s="500" t="str">
        <f t="shared" si="56"/>
        <v>Hospitality</v>
      </c>
      <c r="G186" s="500" t="str">
        <f t="shared" si="56"/>
        <v>Direct Install</v>
      </c>
      <c r="H186" s="500" t="str">
        <f t="shared" si="56"/>
        <v>1_75</v>
      </c>
      <c r="I186" s="500" t="str">
        <f t="shared" si="56"/>
        <v>Gas Water Heating</v>
      </c>
      <c r="J186" s="500" t="str">
        <f t="shared" si="57"/>
        <v>Commercial Showerhead Replacement_1_75gpm_Hospitality_ Gas Water Heating_Direct Install - Embedded Water Energy</v>
      </c>
      <c r="K186" s="500"/>
      <c r="L186" s="501"/>
      <c r="M186" s="500"/>
      <c r="N186" s="500"/>
      <c r="O186" s="500"/>
      <c r="P186" s="502"/>
      <c r="Q186" s="503"/>
      <c r="R186" s="504"/>
      <c r="S186" s="505"/>
      <c r="T186" s="500"/>
      <c r="U186" s="500" t="str">
        <f t="shared" si="58"/>
        <v>Commercial Showerhead Replacement_1_75gpm_Hospitality_ Gas Water Heating_Direct Install</v>
      </c>
      <c r="V186" s="506" t="s">
        <v>604</v>
      </c>
      <c r="W186" s="502">
        <f t="shared" si="59"/>
        <v>7.5177049167679542</v>
      </c>
      <c r="X186" s="500">
        <v>10</v>
      </c>
      <c r="Y186" s="507">
        <v>0</v>
      </c>
      <c r="Z186" s="500"/>
      <c r="AA186" s="506" t="s">
        <v>605</v>
      </c>
      <c r="AB186" s="505">
        <v>0</v>
      </c>
      <c r="AC186" s="500"/>
      <c r="AD186" s="500"/>
      <c r="AE186" s="500"/>
      <c r="AF186" s="500"/>
      <c r="AG186" s="500"/>
      <c r="AH186" s="500"/>
      <c r="AI186" s="500">
        <v>0</v>
      </c>
      <c r="AJ186" s="506" t="s">
        <v>605</v>
      </c>
    </row>
    <row r="187" spans="6:36" hidden="1">
      <c r="F187" s="500" t="str">
        <f t="shared" si="56"/>
        <v>Hospitality</v>
      </c>
      <c r="G187" s="500" t="str">
        <f t="shared" si="56"/>
        <v>Direct Install</v>
      </c>
      <c r="H187" s="500" t="str">
        <f t="shared" si="56"/>
        <v>1_75</v>
      </c>
      <c r="I187" s="500" t="str">
        <f t="shared" si="56"/>
        <v>Any Water Heating</v>
      </c>
      <c r="J187" s="500" t="str">
        <f t="shared" si="57"/>
        <v>Commercial Showerhead Replacement_1_75gpm_Hospitality_ Any Water Heating_Direct Install - Embedded Water Energy</v>
      </c>
      <c r="K187" s="500"/>
      <c r="L187" s="501"/>
      <c r="M187" s="500"/>
      <c r="N187" s="500"/>
      <c r="O187" s="500"/>
      <c r="P187" s="502"/>
      <c r="Q187" s="503"/>
      <c r="R187" s="504"/>
      <c r="S187" s="505"/>
      <c r="T187" s="500"/>
      <c r="U187" s="500" t="str">
        <f t="shared" si="58"/>
        <v>Commercial Showerhead Replacement_1_75gpm_Hospitality_ Any Water Heating_Direct Install</v>
      </c>
      <c r="V187" s="506" t="s">
        <v>604</v>
      </c>
      <c r="W187" s="502">
        <f t="shared" si="59"/>
        <v>7.5177049167679542</v>
      </c>
      <c r="X187" s="500">
        <v>10</v>
      </c>
      <c r="Y187" s="507">
        <v>0</v>
      </c>
      <c r="Z187" s="500"/>
      <c r="AA187" s="506" t="s">
        <v>605</v>
      </c>
      <c r="AB187" s="505">
        <v>0</v>
      </c>
      <c r="AC187" s="500"/>
      <c r="AD187" s="500"/>
      <c r="AE187" s="500"/>
      <c r="AF187" s="500"/>
      <c r="AG187" s="500"/>
      <c r="AH187" s="500"/>
      <c r="AI187" s="500">
        <v>0</v>
      </c>
      <c r="AJ187" s="506" t="s">
        <v>605</v>
      </c>
    </row>
    <row r="188" spans="6:36" hidden="1">
      <c r="F188" s="500" t="str">
        <f t="shared" si="56"/>
        <v>Hospitality</v>
      </c>
      <c r="G188" s="500" t="str">
        <f t="shared" si="56"/>
        <v>Direct Install</v>
      </c>
      <c r="H188" s="500" t="str">
        <f t="shared" si="56"/>
        <v>1_50</v>
      </c>
      <c r="I188" s="500" t="str">
        <f t="shared" si="56"/>
        <v>Electric Water Heating</v>
      </c>
      <c r="J188" s="500" t="str">
        <f t="shared" si="57"/>
        <v>Commercial Showerhead Replacement_1_50gpm_Hospitality_ Electric Water Heating_Direct Install - Embedded Water Energy</v>
      </c>
      <c r="K188" s="500"/>
      <c r="L188" s="501"/>
      <c r="M188" s="500"/>
      <c r="N188" s="500"/>
      <c r="O188" s="500"/>
      <c r="P188" s="502"/>
      <c r="Q188" s="503"/>
      <c r="R188" s="504"/>
      <c r="S188" s="505"/>
      <c r="T188" s="500"/>
      <c r="U188" s="500" t="str">
        <f t="shared" si="58"/>
        <v>Commercial Showerhead Replacement_1_50gpm_Hospitality_ Electric Water Heating_Direct Install</v>
      </c>
      <c r="V188" s="506" t="s">
        <v>604</v>
      </c>
      <c r="W188" s="502">
        <f t="shared" si="59"/>
        <v>11.694207648305705</v>
      </c>
      <c r="X188" s="500">
        <v>10</v>
      </c>
      <c r="Y188" s="507">
        <v>0</v>
      </c>
      <c r="Z188" s="500"/>
      <c r="AA188" s="506" t="s">
        <v>605</v>
      </c>
      <c r="AB188" s="505">
        <v>0</v>
      </c>
      <c r="AC188" s="500"/>
      <c r="AD188" s="500"/>
      <c r="AE188" s="500"/>
      <c r="AF188" s="500"/>
      <c r="AG188" s="500"/>
      <c r="AH188" s="500"/>
      <c r="AI188" s="500">
        <v>0</v>
      </c>
      <c r="AJ188" s="506" t="s">
        <v>605</v>
      </c>
    </row>
    <row r="189" spans="6:36" hidden="1">
      <c r="F189" s="500" t="str">
        <f t="shared" ref="F189:I204" si="60">F27</f>
        <v>Hospitality</v>
      </c>
      <c r="G189" s="500" t="str">
        <f t="shared" si="60"/>
        <v>Direct Install</v>
      </c>
      <c r="H189" s="500" t="str">
        <f t="shared" si="60"/>
        <v>1_50</v>
      </c>
      <c r="I189" s="500" t="str">
        <f t="shared" si="60"/>
        <v>Gas Water Heating</v>
      </c>
      <c r="J189" s="500" t="str">
        <f t="shared" si="57"/>
        <v>Commercial Showerhead Replacement_1_50gpm_Hospitality_ Gas Water Heating_Direct Install - Embedded Water Energy</v>
      </c>
      <c r="K189" s="500"/>
      <c r="L189" s="501"/>
      <c r="M189" s="500"/>
      <c r="N189" s="500"/>
      <c r="O189" s="500"/>
      <c r="P189" s="502"/>
      <c r="Q189" s="503"/>
      <c r="R189" s="504"/>
      <c r="S189" s="505"/>
      <c r="T189" s="500"/>
      <c r="U189" s="500" t="str">
        <f t="shared" si="58"/>
        <v>Commercial Showerhead Replacement_1_50gpm_Hospitality_ Gas Water Heating_Direct Install</v>
      </c>
      <c r="V189" s="506" t="s">
        <v>604</v>
      </c>
      <c r="W189" s="502">
        <f t="shared" si="59"/>
        <v>11.694207648305705</v>
      </c>
      <c r="X189" s="500">
        <v>10</v>
      </c>
      <c r="Y189" s="507">
        <v>0</v>
      </c>
      <c r="Z189" s="500"/>
      <c r="AA189" s="506" t="s">
        <v>605</v>
      </c>
      <c r="AB189" s="505">
        <v>0</v>
      </c>
      <c r="AC189" s="500"/>
      <c r="AD189" s="500"/>
      <c r="AE189" s="500"/>
      <c r="AF189" s="500"/>
      <c r="AG189" s="500"/>
      <c r="AH189" s="500"/>
      <c r="AI189" s="500">
        <v>0</v>
      </c>
      <c r="AJ189" s="506" t="s">
        <v>605</v>
      </c>
    </row>
    <row r="190" spans="6:36">
      <c r="F190" s="500" t="str">
        <f t="shared" si="60"/>
        <v>Hospitality</v>
      </c>
      <c r="G190" s="500" t="str">
        <f t="shared" si="60"/>
        <v>Direct Install</v>
      </c>
      <c r="H190" s="500" t="str">
        <f t="shared" si="60"/>
        <v>1_50</v>
      </c>
      <c r="I190" s="500" t="str">
        <f t="shared" si="60"/>
        <v>Any Water Heating</v>
      </c>
      <c r="J190" s="500" t="str">
        <f t="shared" si="57"/>
        <v>Commercial Showerhead Replacement_1_50gpm_Hospitality_ Any Water Heating_Direct Install - Embedded Water Energy</v>
      </c>
      <c r="K190" s="500"/>
      <c r="L190" s="501"/>
      <c r="M190" s="500"/>
      <c r="N190" s="500"/>
      <c r="O190" s="500"/>
      <c r="P190" s="502"/>
      <c r="Q190" s="503"/>
      <c r="R190" s="504"/>
      <c r="S190" s="505"/>
      <c r="T190" s="500"/>
      <c r="U190" s="500" t="str">
        <f t="shared" si="58"/>
        <v>Commercial Showerhead Replacement_1_50gpm_Hospitality_ Any Water Heating_Direct Install</v>
      </c>
      <c r="V190" s="506" t="s">
        <v>604</v>
      </c>
      <c r="W190" s="502">
        <f t="shared" si="59"/>
        <v>11.694207648305705</v>
      </c>
      <c r="X190" s="500">
        <v>10</v>
      </c>
      <c r="Y190" s="507">
        <v>0</v>
      </c>
      <c r="Z190" s="500"/>
      <c r="AA190" s="506" t="s">
        <v>605</v>
      </c>
      <c r="AB190" s="505">
        <v>0</v>
      </c>
      <c r="AC190" s="500"/>
      <c r="AD190" s="500"/>
      <c r="AE190" s="500"/>
      <c r="AF190" s="500"/>
      <c r="AG190" s="500"/>
      <c r="AH190" s="500"/>
      <c r="AI190" s="500">
        <v>0</v>
      </c>
      <c r="AJ190" s="506" t="s">
        <v>605</v>
      </c>
    </row>
    <row r="191" spans="6:36" hidden="1">
      <c r="F191" s="500" t="str">
        <f t="shared" si="60"/>
        <v>Hospitality</v>
      </c>
      <c r="G191" s="500" t="str">
        <f t="shared" si="60"/>
        <v>Mail-by-Request</v>
      </c>
      <c r="H191" s="500" t="str">
        <f t="shared" si="60"/>
        <v>2_00</v>
      </c>
      <c r="I191" s="500" t="str">
        <f t="shared" si="60"/>
        <v>Electric Water Heating</v>
      </c>
      <c r="J191" s="500" t="str">
        <f t="shared" si="57"/>
        <v>Commercial Showerhead Replacement_2_00gpm_Hospitality_ Electric Water Heating_Mail-by-Request - Embedded Water Energy</v>
      </c>
      <c r="K191" s="500"/>
      <c r="L191" s="501"/>
      <c r="M191" s="500"/>
      <c r="N191" s="500"/>
      <c r="O191" s="500"/>
      <c r="P191" s="502"/>
      <c r="Q191" s="503"/>
      <c r="R191" s="504"/>
      <c r="S191" s="505"/>
      <c r="T191" s="500"/>
      <c r="U191" s="500" t="str">
        <f t="shared" si="58"/>
        <v>Commercial Showerhead Replacement_2_00gpm_Hospitality_ Electric Water Heating_Mail-by-Request</v>
      </c>
      <c r="V191" s="506" t="s">
        <v>604</v>
      </c>
      <c r="W191" s="502">
        <f t="shared" si="59"/>
        <v>4.4549362469736007</v>
      </c>
      <c r="X191" s="500">
        <v>10</v>
      </c>
      <c r="Y191" s="507">
        <v>0</v>
      </c>
      <c r="Z191" s="500"/>
      <c r="AA191" s="506" t="s">
        <v>605</v>
      </c>
      <c r="AB191" s="505">
        <v>0</v>
      </c>
      <c r="AC191" s="500"/>
      <c r="AD191" s="500"/>
      <c r="AE191" s="500"/>
      <c r="AF191" s="500"/>
      <c r="AG191" s="500"/>
      <c r="AH191" s="500"/>
      <c r="AI191" s="500">
        <v>0</v>
      </c>
      <c r="AJ191" s="506" t="s">
        <v>605</v>
      </c>
    </row>
    <row r="192" spans="6:36" hidden="1">
      <c r="F192" s="500" t="str">
        <f t="shared" si="60"/>
        <v>Hospitality</v>
      </c>
      <c r="G192" s="500" t="str">
        <f t="shared" si="60"/>
        <v>Mail-by-Request</v>
      </c>
      <c r="H192" s="500" t="str">
        <f t="shared" si="60"/>
        <v>2_00</v>
      </c>
      <c r="I192" s="500" t="str">
        <f t="shared" si="60"/>
        <v>Gas Water Heating</v>
      </c>
      <c r="J192" s="500" t="str">
        <f t="shared" si="57"/>
        <v>Commercial Showerhead Replacement_2_00gpm_Hospitality_ Gas Water Heating_Mail-by-Request - Embedded Water Energy</v>
      </c>
      <c r="K192" s="500"/>
      <c r="L192" s="501"/>
      <c r="M192" s="500"/>
      <c r="N192" s="500"/>
      <c r="O192" s="500"/>
      <c r="P192" s="502"/>
      <c r="Q192" s="503"/>
      <c r="R192" s="504"/>
      <c r="S192" s="505"/>
      <c r="T192" s="500"/>
      <c r="U192" s="500" t="str">
        <f t="shared" si="58"/>
        <v>Commercial Showerhead Replacement_2_00gpm_Hospitality_ Gas Water Heating_Mail-by-Request</v>
      </c>
      <c r="V192" s="506" t="s">
        <v>604</v>
      </c>
      <c r="W192" s="502">
        <f t="shared" si="59"/>
        <v>4.4549362469736007</v>
      </c>
      <c r="X192" s="500">
        <v>10</v>
      </c>
      <c r="Y192" s="507">
        <v>0</v>
      </c>
      <c r="Z192" s="500"/>
      <c r="AA192" s="506" t="s">
        <v>605</v>
      </c>
      <c r="AB192" s="505">
        <v>0</v>
      </c>
      <c r="AC192" s="500"/>
      <c r="AD192" s="500"/>
      <c r="AE192" s="500"/>
      <c r="AF192" s="500"/>
      <c r="AG192" s="500"/>
      <c r="AH192" s="500"/>
      <c r="AI192" s="500">
        <v>0</v>
      </c>
      <c r="AJ192" s="506" t="s">
        <v>605</v>
      </c>
    </row>
    <row r="193" spans="6:36" hidden="1">
      <c r="F193" s="500" t="str">
        <f t="shared" si="60"/>
        <v>Hospitality</v>
      </c>
      <c r="G193" s="500" t="str">
        <f t="shared" si="60"/>
        <v>Mail-by-Request</v>
      </c>
      <c r="H193" s="500" t="str">
        <f t="shared" si="60"/>
        <v>2_00</v>
      </c>
      <c r="I193" s="500" t="str">
        <f t="shared" si="60"/>
        <v>Any Water Heating</v>
      </c>
      <c r="J193" s="500" t="str">
        <f t="shared" si="57"/>
        <v>Commercial Showerhead Replacement_2_00gpm_Hospitality_ Any Water Heating_Mail-by-Request - Embedded Water Energy</v>
      </c>
      <c r="K193" s="500"/>
      <c r="L193" s="501"/>
      <c r="M193" s="500"/>
      <c r="N193" s="500"/>
      <c r="O193" s="500"/>
      <c r="P193" s="502"/>
      <c r="Q193" s="503"/>
      <c r="R193" s="504"/>
      <c r="S193" s="505"/>
      <c r="T193" s="500"/>
      <c r="U193" s="500" t="str">
        <f t="shared" si="58"/>
        <v>Commercial Showerhead Replacement_2_00gpm_Hospitality_ Any Water Heating_Mail-by-Request</v>
      </c>
      <c r="V193" s="506" t="s">
        <v>604</v>
      </c>
      <c r="W193" s="502">
        <f t="shared" si="59"/>
        <v>4.4549362469736007</v>
      </c>
      <c r="X193" s="500">
        <v>10</v>
      </c>
      <c r="Y193" s="507">
        <v>0</v>
      </c>
      <c r="Z193" s="500"/>
      <c r="AA193" s="506" t="s">
        <v>605</v>
      </c>
      <c r="AB193" s="505">
        <v>0</v>
      </c>
      <c r="AC193" s="500"/>
      <c r="AD193" s="500"/>
      <c r="AE193" s="500"/>
      <c r="AF193" s="500"/>
      <c r="AG193" s="500"/>
      <c r="AH193" s="500"/>
      <c r="AI193" s="500">
        <v>0</v>
      </c>
      <c r="AJ193" s="506" t="s">
        <v>605</v>
      </c>
    </row>
    <row r="194" spans="6:36" hidden="1">
      <c r="F194" s="500" t="str">
        <f t="shared" si="60"/>
        <v>Hospitality</v>
      </c>
      <c r="G194" s="500" t="str">
        <f t="shared" si="60"/>
        <v>Mail-by-Request</v>
      </c>
      <c r="H194" s="500" t="str">
        <f t="shared" si="60"/>
        <v>1_75</v>
      </c>
      <c r="I194" s="500" t="str">
        <f t="shared" si="60"/>
        <v>Electric Water Heating</v>
      </c>
      <c r="J194" s="500" t="str">
        <f t="shared" si="57"/>
        <v>Commercial Showerhead Replacement_1_75gpm_Hospitality_ Electric Water Heating_Mail-by-Request - Embedded Water Energy</v>
      </c>
      <c r="K194" s="500"/>
      <c r="L194" s="501"/>
      <c r="M194" s="500"/>
      <c r="N194" s="500"/>
      <c r="O194" s="500"/>
      <c r="P194" s="502"/>
      <c r="Q194" s="503"/>
      <c r="R194" s="504"/>
      <c r="S194" s="505"/>
      <c r="T194" s="500"/>
      <c r="U194" s="500" t="str">
        <f t="shared" si="58"/>
        <v>Commercial Showerhead Replacement_1_75gpm_Hospitality_ Electric Water Heating_Mail-by-Request</v>
      </c>
      <c r="V194" s="506" t="s">
        <v>604</v>
      </c>
      <c r="W194" s="502">
        <f t="shared" si="59"/>
        <v>5.0118032778453028</v>
      </c>
      <c r="X194" s="500">
        <v>10</v>
      </c>
      <c r="Y194" s="507">
        <v>0</v>
      </c>
      <c r="Z194" s="500"/>
      <c r="AA194" s="506" t="s">
        <v>605</v>
      </c>
      <c r="AB194" s="505">
        <v>0</v>
      </c>
      <c r="AC194" s="500"/>
      <c r="AD194" s="500"/>
      <c r="AE194" s="500"/>
      <c r="AF194" s="500"/>
      <c r="AG194" s="500"/>
      <c r="AH194" s="500"/>
      <c r="AI194" s="500">
        <v>0</v>
      </c>
      <c r="AJ194" s="506" t="s">
        <v>605</v>
      </c>
    </row>
    <row r="195" spans="6:36" hidden="1">
      <c r="F195" s="500" t="str">
        <f t="shared" si="60"/>
        <v>Hospitality</v>
      </c>
      <c r="G195" s="500" t="str">
        <f t="shared" si="60"/>
        <v>Mail-by-Request</v>
      </c>
      <c r="H195" s="500" t="str">
        <f t="shared" si="60"/>
        <v>1_75</v>
      </c>
      <c r="I195" s="500" t="str">
        <f t="shared" si="60"/>
        <v>Gas Water Heating</v>
      </c>
      <c r="J195" s="500" t="str">
        <f t="shared" si="57"/>
        <v>Commercial Showerhead Replacement_1_75gpm_Hospitality_ Gas Water Heating_Mail-by-Request - Embedded Water Energy</v>
      </c>
      <c r="K195" s="500"/>
      <c r="L195" s="501"/>
      <c r="M195" s="500"/>
      <c r="N195" s="500"/>
      <c r="O195" s="500"/>
      <c r="P195" s="502"/>
      <c r="Q195" s="503"/>
      <c r="R195" s="504"/>
      <c r="S195" s="505"/>
      <c r="T195" s="500"/>
      <c r="U195" s="500" t="str">
        <f t="shared" si="58"/>
        <v>Commercial Showerhead Replacement_1_75gpm_Hospitality_ Gas Water Heating_Mail-by-Request</v>
      </c>
      <c r="V195" s="506" t="s">
        <v>604</v>
      </c>
      <c r="W195" s="502">
        <f t="shared" si="59"/>
        <v>5.0118032778453028</v>
      </c>
      <c r="X195" s="500">
        <v>10</v>
      </c>
      <c r="Y195" s="507">
        <v>0</v>
      </c>
      <c r="Z195" s="500"/>
      <c r="AA195" s="506" t="s">
        <v>605</v>
      </c>
      <c r="AB195" s="505">
        <v>0</v>
      </c>
      <c r="AC195" s="500"/>
      <c r="AD195" s="500"/>
      <c r="AE195" s="500"/>
      <c r="AF195" s="500"/>
      <c r="AG195" s="500"/>
      <c r="AH195" s="500"/>
      <c r="AI195" s="500">
        <v>0</v>
      </c>
      <c r="AJ195" s="506" t="s">
        <v>605</v>
      </c>
    </row>
    <row r="196" spans="6:36" hidden="1">
      <c r="F196" s="500" t="str">
        <f t="shared" si="60"/>
        <v>Hospitality</v>
      </c>
      <c r="G196" s="500" t="str">
        <f t="shared" si="60"/>
        <v>Mail-by-Request</v>
      </c>
      <c r="H196" s="500" t="str">
        <f t="shared" si="60"/>
        <v>1_75</v>
      </c>
      <c r="I196" s="500" t="str">
        <f t="shared" si="60"/>
        <v>Any Water Heating</v>
      </c>
      <c r="J196" s="500" t="str">
        <f t="shared" si="57"/>
        <v>Commercial Showerhead Replacement_1_75gpm_Hospitality_ Any Water Heating_Mail-by-Request - Embedded Water Energy</v>
      </c>
      <c r="K196" s="500"/>
      <c r="L196" s="501"/>
      <c r="M196" s="500"/>
      <c r="N196" s="500"/>
      <c r="O196" s="500"/>
      <c r="P196" s="502"/>
      <c r="Q196" s="503"/>
      <c r="R196" s="504"/>
      <c r="S196" s="505"/>
      <c r="T196" s="500"/>
      <c r="U196" s="500" t="str">
        <f t="shared" si="58"/>
        <v>Commercial Showerhead Replacement_1_75gpm_Hospitality_ Any Water Heating_Mail-by-Request</v>
      </c>
      <c r="V196" s="506" t="s">
        <v>604</v>
      </c>
      <c r="W196" s="502">
        <f t="shared" si="59"/>
        <v>5.0118032778453028</v>
      </c>
      <c r="X196" s="500">
        <v>10</v>
      </c>
      <c r="Y196" s="507">
        <v>0</v>
      </c>
      <c r="Z196" s="500"/>
      <c r="AA196" s="506" t="s">
        <v>605</v>
      </c>
      <c r="AB196" s="505">
        <v>0</v>
      </c>
      <c r="AC196" s="500"/>
      <c r="AD196" s="500"/>
      <c r="AE196" s="500"/>
      <c r="AF196" s="500"/>
      <c r="AG196" s="500"/>
      <c r="AH196" s="500"/>
      <c r="AI196" s="500">
        <v>0</v>
      </c>
      <c r="AJ196" s="506" t="s">
        <v>605</v>
      </c>
    </row>
    <row r="197" spans="6:36" hidden="1">
      <c r="F197" s="500" t="str">
        <f t="shared" si="60"/>
        <v>Hospitality</v>
      </c>
      <c r="G197" s="500" t="str">
        <f t="shared" si="60"/>
        <v>Mail-by-Request</v>
      </c>
      <c r="H197" s="500" t="str">
        <f t="shared" si="60"/>
        <v>1_50</v>
      </c>
      <c r="I197" s="500" t="str">
        <f t="shared" si="60"/>
        <v>Electric Water Heating</v>
      </c>
      <c r="J197" s="500" t="str">
        <f t="shared" si="57"/>
        <v>Commercial Showerhead Replacement_1_50gpm_Hospitality_ Electric Water Heating_Mail-by-Request - Embedded Water Energy</v>
      </c>
      <c r="K197" s="500"/>
      <c r="L197" s="501"/>
      <c r="M197" s="500"/>
      <c r="N197" s="500"/>
      <c r="O197" s="500"/>
      <c r="P197" s="502"/>
      <c r="Q197" s="503"/>
      <c r="R197" s="504"/>
      <c r="S197" s="505"/>
      <c r="T197" s="500"/>
      <c r="U197" s="500" t="str">
        <f t="shared" si="58"/>
        <v>Commercial Showerhead Replacement_1_50gpm_Hospitality_ Electric Water Heating_Mail-by-Request</v>
      </c>
      <c r="V197" s="506" t="s">
        <v>604</v>
      </c>
      <c r="W197" s="502">
        <f t="shared" si="59"/>
        <v>7.7961384322038025</v>
      </c>
      <c r="X197" s="500">
        <v>10</v>
      </c>
      <c r="Y197" s="507">
        <v>0</v>
      </c>
      <c r="Z197" s="500"/>
      <c r="AA197" s="506" t="s">
        <v>605</v>
      </c>
      <c r="AB197" s="505">
        <v>0</v>
      </c>
      <c r="AC197" s="500"/>
      <c r="AD197" s="500"/>
      <c r="AE197" s="500"/>
      <c r="AF197" s="500"/>
      <c r="AG197" s="500"/>
      <c r="AH197" s="500"/>
      <c r="AI197" s="500">
        <v>0</v>
      </c>
      <c r="AJ197" s="506" t="s">
        <v>605</v>
      </c>
    </row>
    <row r="198" spans="6:36" hidden="1">
      <c r="F198" s="500" t="str">
        <f t="shared" si="60"/>
        <v>Hospitality</v>
      </c>
      <c r="G198" s="500" t="str">
        <f t="shared" si="60"/>
        <v>Mail-by-Request</v>
      </c>
      <c r="H198" s="500" t="str">
        <f t="shared" si="60"/>
        <v>1_50</v>
      </c>
      <c r="I198" s="500" t="str">
        <f t="shared" si="60"/>
        <v>Gas Water Heating</v>
      </c>
      <c r="J198" s="500" t="str">
        <f t="shared" si="57"/>
        <v>Commercial Showerhead Replacement_1_50gpm_Hospitality_ Gas Water Heating_Mail-by-Request - Embedded Water Energy</v>
      </c>
      <c r="K198" s="500"/>
      <c r="L198" s="501"/>
      <c r="M198" s="500"/>
      <c r="N198" s="500"/>
      <c r="O198" s="500"/>
      <c r="P198" s="502"/>
      <c r="Q198" s="503"/>
      <c r="R198" s="504"/>
      <c r="S198" s="505"/>
      <c r="T198" s="500"/>
      <c r="U198" s="500" t="str">
        <f t="shared" si="58"/>
        <v>Commercial Showerhead Replacement_1_50gpm_Hospitality_ Gas Water Heating_Mail-by-Request</v>
      </c>
      <c r="V198" s="506" t="s">
        <v>604</v>
      </c>
      <c r="W198" s="502">
        <f t="shared" si="59"/>
        <v>7.7961384322038025</v>
      </c>
      <c r="X198" s="500">
        <v>10</v>
      </c>
      <c r="Y198" s="507">
        <v>0</v>
      </c>
      <c r="Z198" s="500"/>
      <c r="AA198" s="506" t="s">
        <v>605</v>
      </c>
      <c r="AB198" s="505">
        <v>0</v>
      </c>
      <c r="AC198" s="500"/>
      <c r="AD198" s="500"/>
      <c r="AE198" s="500"/>
      <c r="AF198" s="500"/>
      <c r="AG198" s="500"/>
      <c r="AH198" s="500"/>
      <c r="AI198" s="500">
        <v>0</v>
      </c>
      <c r="AJ198" s="506" t="s">
        <v>605</v>
      </c>
    </row>
    <row r="199" spans="6:36" hidden="1">
      <c r="F199" s="500" t="str">
        <f t="shared" si="60"/>
        <v>Hospitality</v>
      </c>
      <c r="G199" s="500" t="str">
        <f t="shared" si="60"/>
        <v>Mail-by-Request</v>
      </c>
      <c r="H199" s="500" t="str">
        <f t="shared" si="60"/>
        <v>1_50</v>
      </c>
      <c r="I199" s="500" t="str">
        <f t="shared" si="60"/>
        <v>Any Water Heating</v>
      </c>
      <c r="J199" s="500" t="str">
        <f t="shared" si="57"/>
        <v>Commercial Showerhead Replacement_1_50gpm_Hospitality_ Any Water Heating_Mail-by-Request - Embedded Water Energy</v>
      </c>
      <c r="K199" s="500"/>
      <c r="L199" s="501"/>
      <c r="M199" s="500"/>
      <c r="N199" s="500"/>
      <c r="O199" s="500"/>
      <c r="P199" s="502"/>
      <c r="Q199" s="503"/>
      <c r="R199" s="504"/>
      <c r="S199" s="505"/>
      <c r="T199" s="500"/>
      <c r="U199" s="500" t="str">
        <f t="shared" si="58"/>
        <v>Commercial Showerhead Replacement_1_50gpm_Hospitality_ Any Water Heating_Mail-by-Request</v>
      </c>
      <c r="V199" s="506" t="s">
        <v>604</v>
      </c>
      <c r="W199" s="502">
        <f t="shared" si="59"/>
        <v>7.7961384322038025</v>
      </c>
      <c r="X199" s="500">
        <v>10</v>
      </c>
      <c r="Y199" s="507">
        <v>0</v>
      </c>
      <c r="Z199" s="500"/>
      <c r="AA199" s="506" t="s">
        <v>605</v>
      </c>
      <c r="AB199" s="505">
        <v>0</v>
      </c>
      <c r="AC199" s="500"/>
      <c r="AD199" s="500"/>
      <c r="AE199" s="500"/>
      <c r="AF199" s="500"/>
      <c r="AG199" s="500"/>
      <c r="AH199" s="500"/>
      <c r="AI199" s="500">
        <v>0</v>
      </c>
      <c r="AJ199" s="506" t="s">
        <v>605</v>
      </c>
    </row>
    <row r="200" spans="6:36" hidden="1">
      <c r="F200" s="500" t="str">
        <f t="shared" si="60"/>
        <v>Health Care</v>
      </c>
      <c r="G200" s="500" t="str">
        <f t="shared" si="60"/>
        <v>Retail</v>
      </c>
      <c r="H200" s="500" t="str">
        <f t="shared" si="60"/>
        <v>2_00</v>
      </c>
      <c r="I200" s="500" t="str">
        <f t="shared" si="60"/>
        <v>Electric Water Heating</v>
      </c>
      <c r="J200" s="500" t="str">
        <f t="shared" si="57"/>
        <v>Commercial Showerhead Replacement_2_00gpm_Health Care_ Electric Water Heating_Retail - Embedded Water Energy</v>
      </c>
      <c r="K200" s="500"/>
      <c r="L200" s="501"/>
      <c r="M200" s="500"/>
      <c r="N200" s="500"/>
      <c r="O200" s="500"/>
      <c r="P200" s="502"/>
      <c r="Q200" s="503"/>
      <c r="R200" s="504"/>
      <c r="S200" s="505"/>
      <c r="T200" s="500"/>
      <c r="U200" s="500" t="str">
        <f t="shared" si="58"/>
        <v>Commercial Showerhead Replacement_2_00gpm_Health Care_ Electric Water Heating_Retail</v>
      </c>
      <c r="V200" s="506" t="s">
        <v>604</v>
      </c>
      <c r="W200" s="502">
        <f t="shared" si="59"/>
        <v>4.2795584085903524</v>
      </c>
      <c r="X200" s="500">
        <v>10</v>
      </c>
      <c r="Y200" s="507">
        <v>0</v>
      </c>
      <c r="Z200" s="500"/>
      <c r="AA200" s="506" t="s">
        <v>605</v>
      </c>
      <c r="AB200" s="505">
        <v>0</v>
      </c>
      <c r="AC200" s="500"/>
      <c r="AD200" s="500"/>
      <c r="AE200" s="500"/>
      <c r="AF200" s="500"/>
      <c r="AG200" s="500"/>
      <c r="AH200" s="500"/>
      <c r="AI200" s="500">
        <v>0</v>
      </c>
      <c r="AJ200" s="506" t="s">
        <v>605</v>
      </c>
    </row>
    <row r="201" spans="6:36" hidden="1">
      <c r="F201" s="500" t="str">
        <f t="shared" si="60"/>
        <v>Health Care</v>
      </c>
      <c r="G201" s="500" t="str">
        <f t="shared" si="60"/>
        <v>Retail</v>
      </c>
      <c r="H201" s="500" t="str">
        <f t="shared" si="60"/>
        <v>2_00</v>
      </c>
      <c r="I201" s="500" t="str">
        <f t="shared" si="60"/>
        <v>Gas Water Heating</v>
      </c>
      <c r="J201" s="500" t="str">
        <f t="shared" si="57"/>
        <v>Commercial Showerhead Replacement_2_00gpm_Health Care_ Gas Water Heating_Retail - Embedded Water Energy</v>
      </c>
      <c r="K201" s="500"/>
      <c r="L201" s="501"/>
      <c r="M201" s="500"/>
      <c r="N201" s="500"/>
      <c r="O201" s="500"/>
      <c r="P201" s="502"/>
      <c r="Q201" s="503"/>
      <c r="R201" s="504"/>
      <c r="S201" s="505"/>
      <c r="T201" s="500"/>
      <c r="U201" s="500" t="str">
        <f t="shared" si="58"/>
        <v>Commercial Showerhead Replacement_2_00gpm_Health Care_ Gas Water Heating_Retail</v>
      </c>
      <c r="V201" s="506" t="s">
        <v>604</v>
      </c>
      <c r="W201" s="502">
        <f t="shared" si="59"/>
        <v>4.2795584085903524</v>
      </c>
      <c r="X201" s="500">
        <v>10</v>
      </c>
      <c r="Y201" s="507">
        <v>0</v>
      </c>
      <c r="Z201" s="500"/>
      <c r="AA201" s="506" t="s">
        <v>605</v>
      </c>
      <c r="AB201" s="505">
        <v>0</v>
      </c>
      <c r="AC201" s="500"/>
      <c r="AD201" s="500"/>
      <c r="AE201" s="500"/>
      <c r="AF201" s="500"/>
      <c r="AG201" s="500"/>
      <c r="AH201" s="500"/>
      <c r="AI201" s="500">
        <v>0</v>
      </c>
      <c r="AJ201" s="506" t="s">
        <v>605</v>
      </c>
    </row>
    <row r="202" spans="6:36" hidden="1">
      <c r="F202" s="500" t="str">
        <f t="shared" si="60"/>
        <v>Health Care</v>
      </c>
      <c r="G202" s="500" t="str">
        <f t="shared" si="60"/>
        <v>Retail</v>
      </c>
      <c r="H202" s="500" t="str">
        <f t="shared" si="60"/>
        <v>2_00</v>
      </c>
      <c r="I202" s="500" t="str">
        <f t="shared" si="60"/>
        <v>Any Water Heating</v>
      </c>
      <c r="J202" s="500" t="str">
        <f t="shared" si="57"/>
        <v>Commercial Showerhead Replacement_2_00gpm_Health Care_ Any Water Heating_Retail - Embedded Water Energy</v>
      </c>
      <c r="K202" s="500"/>
      <c r="L202" s="501"/>
      <c r="M202" s="500"/>
      <c r="N202" s="500"/>
      <c r="O202" s="500"/>
      <c r="P202" s="502"/>
      <c r="Q202" s="503"/>
      <c r="R202" s="504"/>
      <c r="S202" s="505"/>
      <c r="T202" s="500"/>
      <c r="U202" s="500" t="str">
        <f t="shared" si="58"/>
        <v>Commercial Showerhead Replacement_2_00gpm_Health Care_ Any Water Heating_Retail</v>
      </c>
      <c r="V202" s="506" t="s">
        <v>604</v>
      </c>
      <c r="W202" s="502">
        <f t="shared" si="59"/>
        <v>4.2795584085903524</v>
      </c>
      <c r="X202" s="500">
        <v>10</v>
      </c>
      <c r="Y202" s="507">
        <v>0</v>
      </c>
      <c r="Z202" s="500"/>
      <c r="AA202" s="506" t="s">
        <v>605</v>
      </c>
      <c r="AB202" s="505">
        <v>0</v>
      </c>
      <c r="AC202" s="500"/>
      <c r="AD202" s="500"/>
      <c r="AE202" s="500"/>
      <c r="AF202" s="500"/>
      <c r="AG202" s="500"/>
      <c r="AH202" s="500"/>
      <c r="AI202" s="500">
        <v>0</v>
      </c>
      <c r="AJ202" s="506" t="s">
        <v>605</v>
      </c>
    </row>
    <row r="203" spans="6:36" hidden="1">
      <c r="F203" s="500" t="str">
        <f t="shared" si="60"/>
        <v>Health Care</v>
      </c>
      <c r="G203" s="500" t="str">
        <f t="shared" si="60"/>
        <v>Retail</v>
      </c>
      <c r="H203" s="500" t="str">
        <f t="shared" si="60"/>
        <v>1_75</v>
      </c>
      <c r="I203" s="500" t="str">
        <f t="shared" si="60"/>
        <v>Electric Water Heating</v>
      </c>
      <c r="J203" s="500" t="str">
        <f t="shared" si="57"/>
        <v>Commercial Showerhead Replacement_1_75gpm_Health Care_ Electric Water Heating_Retail - Embedded Water Energy</v>
      </c>
      <c r="K203" s="500"/>
      <c r="L203" s="501"/>
      <c r="M203" s="500"/>
      <c r="N203" s="500"/>
      <c r="O203" s="500"/>
      <c r="P203" s="502"/>
      <c r="Q203" s="503"/>
      <c r="R203" s="504"/>
      <c r="S203" s="505"/>
      <c r="T203" s="500"/>
      <c r="U203" s="500" t="str">
        <f t="shared" si="58"/>
        <v>Commercial Showerhead Replacement_1_75gpm_Health Care_ Electric Water Heating_Retail</v>
      </c>
      <c r="V203" s="506" t="s">
        <v>604</v>
      </c>
      <c r="W203" s="502">
        <f t="shared" si="59"/>
        <v>4.5135967590601371</v>
      </c>
      <c r="X203" s="500">
        <v>10</v>
      </c>
      <c r="Y203" s="507">
        <v>0</v>
      </c>
      <c r="Z203" s="500"/>
      <c r="AA203" s="506" t="s">
        <v>605</v>
      </c>
      <c r="AB203" s="505">
        <v>0</v>
      </c>
      <c r="AC203" s="500"/>
      <c r="AD203" s="500"/>
      <c r="AE203" s="500"/>
      <c r="AF203" s="500"/>
      <c r="AG203" s="500"/>
      <c r="AH203" s="500"/>
      <c r="AI203" s="500">
        <v>0</v>
      </c>
      <c r="AJ203" s="506" t="s">
        <v>605</v>
      </c>
    </row>
    <row r="204" spans="6:36" hidden="1">
      <c r="F204" s="500" t="str">
        <f t="shared" si="60"/>
        <v>Health Care</v>
      </c>
      <c r="G204" s="500" t="str">
        <f t="shared" si="60"/>
        <v>Retail</v>
      </c>
      <c r="H204" s="500" t="str">
        <f t="shared" si="60"/>
        <v>1_75</v>
      </c>
      <c r="I204" s="500" t="str">
        <f t="shared" si="60"/>
        <v>Gas Water Heating</v>
      </c>
      <c r="J204" s="500" t="str">
        <f t="shared" si="57"/>
        <v>Commercial Showerhead Replacement_1_75gpm_Health Care_ Gas Water Heating_Retail - Embedded Water Energy</v>
      </c>
      <c r="K204" s="500"/>
      <c r="L204" s="501"/>
      <c r="M204" s="500"/>
      <c r="N204" s="500"/>
      <c r="O204" s="500"/>
      <c r="P204" s="502"/>
      <c r="Q204" s="503"/>
      <c r="R204" s="504"/>
      <c r="S204" s="505"/>
      <c r="T204" s="500"/>
      <c r="U204" s="500" t="str">
        <f t="shared" si="58"/>
        <v>Commercial Showerhead Replacement_1_75gpm_Health Care_ Gas Water Heating_Retail</v>
      </c>
      <c r="V204" s="506" t="s">
        <v>604</v>
      </c>
      <c r="W204" s="502">
        <f t="shared" si="59"/>
        <v>4.5135967590601371</v>
      </c>
      <c r="X204" s="500">
        <v>10</v>
      </c>
      <c r="Y204" s="507">
        <v>0</v>
      </c>
      <c r="Z204" s="500"/>
      <c r="AA204" s="506" t="s">
        <v>605</v>
      </c>
      <c r="AB204" s="505">
        <v>0</v>
      </c>
      <c r="AC204" s="500"/>
      <c r="AD204" s="500"/>
      <c r="AE204" s="500"/>
      <c r="AF204" s="500"/>
      <c r="AG204" s="500"/>
      <c r="AH204" s="500"/>
      <c r="AI204" s="500">
        <v>0</v>
      </c>
      <c r="AJ204" s="506" t="s">
        <v>605</v>
      </c>
    </row>
    <row r="205" spans="6:36" hidden="1">
      <c r="F205" s="500" t="str">
        <f t="shared" ref="F205:I220" si="61">F43</f>
        <v>Health Care</v>
      </c>
      <c r="G205" s="500" t="str">
        <f t="shared" si="61"/>
        <v>Retail</v>
      </c>
      <c r="H205" s="500" t="str">
        <f t="shared" si="61"/>
        <v>1_75</v>
      </c>
      <c r="I205" s="500" t="str">
        <f t="shared" si="61"/>
        <v>Any Water Heating</v>
      </c>
      <c r="J205" s="500" t="str">
        <f t="shared" si="57"/>
        <v>Commercial Showerhead Replacement_1_75gpm_Health Care_ Any Water Heating_Retail - Embedded Water Energy</v>
      </c>
      <c r="K205" s="500"/>
      <c r="L205" s="501"/>
      <c r="M205" s="500"/>
      <c r="N205" s="500"/>
      <c r="O205" s="500"/>
      <c r="P205" s="502"/>
      <c r="Q205" s="503"/>
      <c r="R205" s="504"/>
      <c r="S205" s="505"/>
      <c r="T205" s="500"/>
      <c r="U205" s="500" t="str">
        <f t="shared" si="58"/>
        <v>Commercial Showerhead Replacement_1_75gpm_Health Care_ Any Water Heating_Retail</v>
      </c>
      <c r="V205" s="506" t="s">
        <v>604</v>
      </c>
      <c r="W205" s="502">
        <f t="shared" si="59"/>
        <v>4.5135967590601371</v>
      </c>
      <c r="X205" s="500">
        <v>10</v>
      </c>
      <c r="Y205" s="507">
        <v>0</v>
      </c>
      <c r="Z205" s="500"/>
      <c r="AA205" s="506" t="s">
        <v>605</v>
      </c>
      <c r="AB205" s="505">
        <v>0</v>
      </c>
      <c r="AC205" s="500"/>
      <c r="AD205" s="500"/>
      <c r="AE205" s="500"/>
      <c r="AF205" s="500"/>
      <c r="AG205" s="500"/>
      <c r="AH205" s="500"/>
      <c r="AI205" s="500">
        <v>0</v>
      </c>
      <c r="AJ205" s="506" t="s">
        <v>605</v>
      </c>
    </row>
    <row r="206" spans="6:36" hidden="1">
      <c r="F206" s="500" t="str">
        <f t="shared" si="61"/>
        <v>Health Care</v>
      </c>
      <c r="G206" s="500" t="str">
        <f t="shared" si="61"/>
        <v>Retail</v>
      </c>
      <c r="H206" s="500" t="str">
        <f t="shared" si="61"/>
        <v>1_50</v>
      </c>
      <c r="I206" s="500" t="str">
        <f t="shared" si="61"/>
        <v>Electric Water Heating</v>
      </c>
      <c r="J206" s="500" t="str">
        <f t="shared" si="57"/>
        <v>Commercial Showerhead Replacement_1_50gpm_Health Care_ Electric Water Heating_Retail - Embedded Water Energy</v>
      </c>
      <c r="K206" s="500"/>
      <c r="L206" s="501"/>
      <c r="M206" s="500"/>
      <c r="N206" s="500"/>
      <c r="O206" s="500"/>
      <c r="P206" s="502"/>
      <c r="Q206" s="503"/>
      <c r="R206" s="504"/>
      <c r="S206" s="505"/>
      <c r="T206" s="500"/>
      <c r="U206" s="500" t="str">
        <f t="shared" si="58"/>
        <v>Commercial Showerhead Replacement_1_50gpm_Health Care_ Electric Water Heating_Retail</v>
      </c>
      <c r="V206" s="506" t="s">
        <v>604</v>
      </c>
      <c r="W206" s="502">
        <f t="shared" si="59"/>
        <v>6.5530738131539783</v>
      </c>
      <c r="X206" s="500">
        <v>10</v>
      </c>
      <c r="Y206" s="507">
        <v>0</v>
      </c>
      <c r="Z206" s="500"/>
      <c r="AA206" s="506" t="s">
        <v>605</v>
      </c>
      <c r="AB206" s="505">
        <v>0</v>
      </c>
      <c r="AC206" s="500"/>
      <c r="AD206" s="500"/>
      <c r="AE206" s="500"/>
      <c r="AF206" s="500"/>
      <c r="AG206" s="500"/>
      <c r="AH206" s="500"/>
      <c r="AI206" s="500">
        <v>0</v>
      </c>
      <c r="AJ206" s="506" t="s">
        <v>605</v>
      </c>
    </row>
    <row r="207" spans="6:36" hidden="1">
      <c r="F207" s="500" t="str">
        <f t="shared" si="61"/>
        <v>Health Care</v>
      </c>
      <c r="G207" s="500" t="str">
        <f t="shared" si="61"/>
        <v>Retail</v>
      </c>
      <c r="H207" s="500" t="str">
        <f t="shared" si="61"/>
        <v>1_50</v>
      </c>
      <c r="I207" s="500" t="str">
        <f t="shared" si="61"/>
        <v>Gas Water Heating</v>
      </c>
      <c r="J207" s="500" t="str">
        <f t="shared" si="57"/>
        <v>Commercial Showerhead Replacement_1_50gpm_Health Care_ Gas Water Heating_Retail - Embedded Water Energy</v>
      </c>
      <c r="K207" s="500"/>
      <c r="L207" s="501"/>
      <c r="M207" s="500"/>
      <c r="N207" s="500"/>
      <c r="O207" s="500"/>
      <c r="P207" s="502"/>
      <c r="Q207" s="503"/>
      <c r="R207" s="504"/>
      <c r="S207" s="505"/>
      <c r="T207" s="500"/>
      <c r="U207" s="500" t="str">
        <f t="shared" si="58"/>
        <v>Commercial Showerhead Replacement_1_50gpm_Health Care_ Gas Water Heating_Retail</v>
      </c>
      <c r="V207" s="506" t="s">
        <v>604</v>
      </c>
      <c r="W207" s="502">
        <f t="shared" si="59"/>
        <v>6.5530738131539783</v>
      </c>
      <c r="X207" s="500">
        <v>10</v>
      </c>
      <c r="Y207" s="507">
        <v>0</v>
      </c>
      <c r="Z207" s="500"/>
      <c r="AA207" s="506" t="s">
        <v>605</v>
      </c>
      <c r="AB207" s="505">
        <v>0</v>
      </c>
      <c r="AC207" s="500"/>
      <c r="AD207" s="500"/>
      <c r="AE207" s="500"/>
      <c r="AF207" s="500"/>
      <c r="AG207" s="500"/>
      <c r="AH207" s="500"/>
      <c r="AI207" s="500">
        <v>0</v>
      </c>
      <c r="AJ207" s="506" t="s">
        <v>605</v>
      </c>
    </row>
    <row r="208" spans="6:36" hidden="1">
      <c r="F208" s="500" t="str">
        <f t="shared" si="61"/>
        <v>Health Care</v>
      </c>
      <c r="G208" s="500" t="str">
        <f t="shared" si="61"/>
        <v>Retail</v>
      </c>
      <c r="H208" s="500" t="str">
        <f t="shared" si="61"/>
        <v>1_50</v>
      </c>
      <c r="I208" s="500" t="str">
        <f t="shared" si="61"/>
        <v>Any Water Heating</v>
      </c>
      <c r="J208" s="500" t="str">
        <f t="shared" si="57"/>
        <v>Commercial Showerhead Replacement_1_50gpm_Health Care_ Any Water Heating_Retail - Embedded Water Energy</v>
      </c>
      <c r="K208" s="500"/>
      <c r="L208" s="501"/>
      <c r="M208" s="500"/>
      <c r="N208" s="500"/>
      <c r="O208" s="500"/>
      <c r="P208" s="502"/>
      <c r="Q208" s="503"/>
      <c r="R208" s="504"/>
      <c r="S208" s="505"/>
      <c r="T208" s="500"/>
      <c r="U208" s="500" t="str">
        <f t="shared" si="58"/>
        <v>Commercial Showerhead Replacement_1_50gpm_Health Care_ Any Water Heating_Retail</v>
      </c>
      <c r="V208" s="506" t="s">
        <v>604</v>
      </c>
      <c r="W208" s="502">
        <f t="shared" si="59"/>
        <v>6.5530738131539783</v>
      </c>
      <c r="X208" s="500">
        <v>10</v>
      </c>
      <c r="Y208" s="507">
        <v>0</v>
      </c>
      <c r="Z208" s="500"/>
      <c r="AA208" s="506" t="s">
        <v>605</v>
      </c>
      <c r="AB208" s="505">
        <v>0</v>
      </c>
      <c r="AC208" s="500"/>
      <c r="AD208" s="500"/>
      <c r="AE208" s="500"/>
      <c r="AF208" s="500"/>
      <c r="AG208" s="500"/>
      <c r="AH208" s="500"/>
      <c r="AI208" s="500">
        <v>0</v>
      </c>
      <c r="AJ208" s="506" t="s">
        <v>605</v>
      </c>
    </row>
    <row r="209" spans="6:36" hidden="1">
      <c r="F209" s="500" t="str">
        <f t="shared" si="61"/>
        <v>Health Care</v>
      </c>
      <c r="G209" s="500" t="str">
        <f t="shared" si="61"/>
        <v>Direct Install</v>
      </c>
      <c r="H209" s="500" t="str">
        <f t="shared" si="61"/>
        <v>2_00</v>
      </c>
      <c r="I209" s="500" t="str">
        <f t="shared" si="61"/>
        <v>Electric Water Heating</v>
      </c>
      <c r="J209" s="500" t="str">
        <f t="shared" si="57"/>
        <v>Commercial Showerhead Replacement_2_00gpm_Health Care_ Electric Water Heating_Direct Install - Embedded Water Energy</v>
      </c>
      <c r="K209" s="500"/>
      <c r="L209" s="501"/>
      <c r="M209" s="500"/>
      <c r="N209" s="500"/>
      <c r="O209" s="500"/>
      <c r="P209" s="502"/>
      <c r="Q209" s="503"/>
      <c r="R209" s="504"/>
      <c r="S209" s="505"/>
      <c r="T209" s="500"/>
      <c r="U209" s="500" t="str">
        <f t="shared" si="58"/>
        <v>Commercial Showerhead Replacement_2_00gpm_Health Care_ Electric Water Heating_Direct Install</v>
      </c>
      <c r="V209" s="506" t="s">
        <v>604</v>
      </c>
      <c r="W209" s="502">
        <f t="shared" si="59"/>
        <v>4.8145032096641458</v>
      </c>
      <c r="X209" s="500">
        <v>10</v>
      </c>
      <c r="Y209" s="507">
        <v>0</v>
      </c>
      <c r="Z209" s="500"/>
      <c r="AA209" s="506" t="s">
        <v>605</v>
      </c>
      <c r="AB209" s="505">
        <v>0</v>
      </c>
      <c r="AC209" s="500"/>
      <c r="AD209" s="500"/>
      <c r="AE209" s="500"/>
      <c r="AF209" s="500"/>
      <c r="AG209" s="500"/>
      <c r="AH209" s="500"/>
      <c r="AI209" s="500">
        <v>0</v>
      </c>
      <c r="AJ209" s="506" t="s">
        <v>605</v>
      </c>
    </row>
    <row r="210" spans="6:36" hidden="1">
      <c r="F210" s="500" t="str">
        <f t="shared" si="61"/>
        <v>Health Care</v>
      </c>
      <c r="G210" s="500" t="str">
        <f t="shared" si="61"/>
        <v>Direct Install</v>
      </c>
      <c r="H210" s="500" t="str">
        <f t="shared" si="61"/>
        <v>2_00</v>
      </c>
      <c r="I210" s="500" t="str">
        <f t="shared" si="61"/>
        <v>Gas Water Heating</v>
      </c>
      <c r="J210" s="500" t="str">
        <f t="shared" si="57"/>
        <v>Commercial Showerhead Replacement_2_00gpm_Health Care_ Gas Water Heating_Direct Install - Embedded Water Energy</v>
      </c>
      <c r="K210" s="500"/>
      <c r="L210" s="501"/>
      <c r="M210" s="500"/>
      <c r="N210" s="500"/>
      <c r="O210" s="500"/>
      <c r="P210" s="502"/>
      <c r="Q210" s="503"/>
      <c r="R210" s="504"/>
      <c r="S210" s="505"/>
      <c r="T210" s="500"/>
      <c r="U210" s="500" t="str">
        <f t="shared" si="58"/>
        <v>Commercial Showerhead Replacement_2_00gpm_Health Care_ Gas Water Heating_Direct Install</v>
      </c>
      <c r="V210" s="506" t="s">
        <v>604</v>
      </c>
      <c r="W210" s="502">
        <f t="shared" si="59"/>
        <v>4.8145032096641458</v>
      </c>
      <c r="X210" s="500">
        <v>10</v>
      </c>
      <c r="Y210" s="507">
        <v>0</v>
      </c>
      <c r="Z210" s="500"/>
      <c r="AA210" s="506" t="s">
        <v>605</v>
      </c>
      <c r="AB210" s="505">
        <v>0</v>
      </c>
      <c r="AC210" s="500"/>
      <c r="AD210" s="500"/>
      <c r="AE210" s="500"/>
      <c r="AF210" s="500"/>
      <c r="AG210" s="500"/>
      <c r="AH210" s="500"/>
      <c r="AI210" s="500">
        <v>0</v>
      </c>
      <c r="AJ210" s="506" t="s">
        <v>605</v>
      </c>
    </row>
    <row r="211" spans="6:36" hidden="1">
      <c r="F211" s="500" t="str">
        <f t="shared" si="61"/>
        <v>Health Care</v>
      </c>
      <c r="G211" s="500" t="str">
        <f t="shared" si="61"/>
        <v>Direct Install</v>
      </c>
      <c r="H211" s="500" t="str">
        <f t="shared" si="61"/>
        <v>2_00</v>
      </c>
      <c r="I211" s="500" t="str">
        <f t="shared" si="61"/>
        <v>Any Water Heating</v>
      </c>
      <c r="J211" s="500" t="str">
        <f t="shared" si="57"/>
        <v>Commercial Showerhead Replacement_2_00gpm_Health Care_ Any Water Heating_Direct Install - Embedded Water Energy</v>
      </c>
      <c r="K211" s="500"/>
      <c r="L211" s="501"/>
      <c r="M211" s="500"/>
      <c r="N211" s="500"/>
      <c r="O211" s="500"/>
      <c r="P211" s="502"/>
      <c r="Q211" s="503"/>
      <c r="R211" s="504"/>
      <c r="S211" s="505"/>
      <c r="T211" s="500"/>
      <c r="U211" s="500" t="str">
        <f t="shared" si="58"/>
        <v>Commercial Showerhead Replacement_2_00gpm_Health Care_ Any Water Heating_Direct Install</v>
      </c>
      <c r="V211" s="506" t="s">
        <v>604</v>
      </c>
      <c r="W211" s="502">
        <f t="shared" si="59"/>
        <v>4.8145032096641458</v>
      </c>
      <c r="X211" s="500">
        <v>10</v>
      </c>
      <c r="Y211" s="507">
        <v>0</v>
      </c>
      <c r="Z211" s="500"/>
      <c r="AA211" s="506" t="s">
        <v>605</v>
      </c>
      <c r="AB211" s="505">
        <v>0</v>
      </c>
      <c r="AC211" s="500"/>
      <c r="AD211" s="500"/>
      <c r="AE211" s="500"/>
      <c r="AF211" s="500"/>
      <c r="AG211" s="500"/>
      <c r="AH211" s="500"/>
      <c r="AI211" s="500">
        <v>0</v>
      </c>
      <c r="AJ211" s="506" t="s">
        <v>605</v>
      </c>
    </row>
    <row r="212" spans="6:36" hidden="1">
      <c r="F212" s="500" t="str">
        <f t="shared" si="61"/>
        <v>Health Care</v>
      </c>
      <c r="G212" s="500" t="str">
        <f t="shared" si="61"/>
        <v>Direct Install</v>
      </c>
      <c r="H212" s="500" t="str">
        <f t="shared" si="61"/>
        <v>1_75</v>
      </c>
      <c r="I212" s="500" t="str">
        <f t="shared" si="61"/>
        <v>Electric Water Heating</v>
      </c>
      <c r="J212" s="500" t="str">
        <f t="shared" si="57"/>
        <v>Commercial Showerhead Replacement_1_75gpm_Health Care_ Electric Water Heating_Direct Install - Embedded Water Energy</v>
      </c>
      <c r="K212" s="500"/>
      <c r="L212" s="501"/>
      <c r="M212" s="500"/>
      <c r="N212" s="500"/>
      <c r="O212" s="500"/>
      <c r="P212" s="502"/>
      <c r="Q212" s="503"/>
      <c r="R212" s="504"/>
      <c r="S212" s="505"/>
      <c r="T212" s="500"/>
      <c r="U212" s="500" t="str">
        <f t="shared" si="58"/>
        <v>Commercial Showerhead Replacement_1_75gpm_Health Care_ Electric Water Heating_Direct Install</v>
      </c>
      <c r="V212" s="506" t="s">
        <v>604</v>
      </c>
      <c r="W212" s="502">
        <f t="shared" si="59"/>
        <v>5.416316110872164</v>
      </c>
      <c r="X212" s="500">
        <v>10</v>
      </c>
      <c r="Y212" s="507">
        <v>0</v>
      </c>
      <c r="Z212" s="500"/>
      <c r="AA212" s="506" t="s">
        <v>605</v>
      </c>
      <c r="AB212" s="505">
        <v>0</v>
      </c>
      <c r="AC212" s="500"/>
      <c r="AD212" s="500"/>
      <c r="AE212" s="500"/>
      <c r="AF212" s="500"/>
      <c r="AG212" s="500"/>
      <c r="AH212" s="500"/>
      <c r="AI212" s="500">
        <v>0</v>
      </c>
      <c r="AJ212" s="506" t="s">
        <v>605</v>
      </c>
    </row>
    <row r="213" spans="6:36" hidden="1">
      <c r="F213" s="500" t="str">
        <f t="shared" si="61"/>
        <v>Health Care</v>
      </c>
      <c r="G213" s="500" t="str">
        <f t="shared" si="61"/>
        <v>Direct Install</v>
      </c>
      <c r="H213" s="500" t="str">
        <f t="shared" si="61"/>
        <v>1_75</v>
      </c>
      <c r="I213" s="500" t="str">
        <f t="shared" si="61"/>
        <v>Gas Water Heating</v>
      </c>
      <c r="J213" s="500" t="str">
        <f t="shared" si="57"/>
        <v>Commercial Showerhead Replacement_1_75gpm_Health Care_ Gas Water Heating_Direct Install - Embedded Water Energy</v>
      </c>
      <c r="K213" s="500"/>
      <c r="L213" s="501"/>
      <c r="M213" s="500"/>
      <c r="N213" s="500"/>
      <c r="O213" s="500"/>
      <c r="P213" s="502"/>
      <c r="Q213" s="503"/>
      <c r="R213" s="504"/>
      <c r="S213" s="505"/>
      <c r="T213" s="500"/>
      <c r="U213" s="500" t="str">
        <f t="shared" si="58"/>
        <v>Commercial Showerhead Replacement_1_75gpm_Health Care_ Gas Water Heating_Direct Install</v>
      </c>
      <c r="V213" s="506" t="s">
        <v>604</v>
      </c>
      <c r="W213" s="502">
        <f t="shared" si="59"/>
        <v>5.416316110872164</v>
      </c>
      <c r="X213" s="500">
        <v>10</v>
      </c>
      <c r="Y213" s="507">
        <v>0</v>
      </c>
      <c r="Z213" s="500"/>
      <c r="AA213" s="506" t="s">
        <v>605</v>
      </c>
      <c r="AB213" s="505">
        <v>0</v>
      </c>
      <c r="AC213" s="500"/>
      <c r="AD213" s="500"/>
      <c r="AE213" s="500"/>
      <c r="AF213" s="500"/>
      <c r="AG213" s="500"/>
      <c r="AH213" s="500"/>
      <c r="AI213" s="500">
        <v>0</v>
      </c>
      <c r="AJ213" s="506" t="s">
        <v>605</v>
      </c>
    </row>
    <row r="214" spans="6:36" hidden="1">
      <c r="F214" s="500" t="str">
        <f t="shared" si="61"/>
        <v>Health Care</v>
      </c>
      <c r="G214" s="500" t="str">
        <f t="shared" si="61"/>
        <v>Direct Install</v>
      </c>
      <c r="H214" s="500" t="str">
        <f t="shared" si="61"/>
        <v>1_75</v>
      </c>
      <c r="I214" s="500" t="str">
        <f t="shared" si="61"/>
        <v>Any Water Heating</v>
      </c>
      <c r="J214" s="500" t="str">
        <f t="shared" si="57"/>
        <v>Commercial Showerhead Replacement_1_75gpm_Health Care_ Any Water Heating_Direct Install - Embedded Water Energy</v>
      </c>
      <c r="K214" s="500"/>
      <c r="L214" s="501"/>
      <c r="M214" s="500"/>
      <c r="N214" s="500"/>
      <c r="O214" s="500"/>
      <c r="P214" s="502"/>
      <c r="Q214" s="503"/>
      <c r="R214" s="504"/>
      <c r="S214" s="505"/>
      <c r="T214" s="500"/>
      <c r="U214" s="500" t="str">
        <f t="shared" si="58"/>
        <v>Commercial Showerhead Replacement_1_75gpm_Health Care_ Any Water Heating_Direct Install</v>
      </c>
      <c r="V214" s="506" t="s">
        <v>604</v>
      </c>
      <c r="W214" s="502">
        <f t="shared" si="59"/>
        <v>5.416316110872164</v>
      </c>
      <c r="X214" s="500">
        <v>10</v>
      </c>
      <c r="Y214" s="507">
        <v>0</v>
      </c>
      <c r="Z214" s="500"/>
      <c r="AA214" s="506" t="s">
        <v>605</v>
      </c>
      <c r="AB214" s="505">
        <v>0</v>
      </c>
      <c r="AC214" s="500"/>
      <c r="AD214" s="500"/>
      <c r="AE214" s="500"/>
      <c r="AF214" s="500"/>
      <c r="AG214" s="500"/>
      <c r="AH214" s="500"/>
      <c r="AI214" s="500">
        <v>0</v>
      </c>
      <c r="AJ214" s="506" t="s">
        <v>605</v>
      </c>
    </row>
    <row r="215" spans="6:36" hidden="1">
      <c r="F215" s="500" t="str">
        <f t="shared" si="61"/>
        <v>Health Care</v>
      </c>
      <c r="G215" s="500" t="str">
        <f t="shared" si="61"/>
        <v>Direct Install</v>
      </c>
      <c r="H215" s="500" t="str">
        <f t="shared" si="61"/>
        <v>1_50</v>
      </c>
      <c r="I215" s="500" t="str">
        <f t="shared" si="61"/>
        <v>Electric Water Heating</v>
      </c>
      <c r="J215" s="500" t="str">
        <f t="shared" si="57"/>
        <v>Commercial Showerhead Replacement_1_50gpm_Health Care_ Electric Water Heating_Direct Install - Embedded Water Energy</v>
      </c>
      <c r="K215" s="500"/>
      <c r="L215" s="501"/>
      <c r="M215" s="500"/>
      <c r="N215" s="500"/>
      <c r="O215" s="500"/>
      <c r="P215" s="502"/>
      <c r="Q215" s="503"/>
      <c r="R215" s="504"/>
      <c r="S215" s="505"/>
      <c r="T215" s="500"/>
      <c r="U215" s="500" t="str">
        <f t="shared" si="58"/>
        <v>Commercial Showerhead Replacement_1_50gpm_Health Care_ Electric Water Heating_Direct Install</v>
      </c>
      <c r="V215" s="506" t="s">
        <v>604</v>
      </c>
      <c r="W215" s="502">
        <f t="shared" si="59"/>
        <v>8.4253806169122587</v>
      </c>
      <c r="X215" s="500">
        <v>10</v>
      </c>
      <c r="Y215" s="507">
        <v>0</v>
      </c>
      <c r="Z215" s="500"/>
      <c r="AA215" s="506" t="s">
        <v>605</v>
      </c>
      <c r="AB215" s="505">
        <v>0</v>
      </c>
      <c r="AC215" s="500"/>
      <c r="AD215" s="500"/>
      <c r="AE215" s="500"/>
      <c r="AF215" s="500"/>
      <c r="AG215" s="500"/>
      <c r="AH215" s="500"/>
      <c r="AI215" s="500">
        <v>0</v>
      </c>
      <c r="AJ215" s="506" t="s">
        <v>605</v>
      </c>
    </row>
    <row r="216" spans="6:36" hidden="1">
      <c r="F216" s="500" t="str">
        <f t="shared" si="61"/>
        <v>Health Care</v>
      </c>
      <c r="G216" s="500" t="str">
        <f t="shared" si="61"/>
        <v>Direct Install</v>
      </c>
      <c r="H216" s="500" t="str">
        <f t="shared" si="61"/>
        <v>1_50</v>
      </c>
      <c r="I216" s="500" t="str">
        <f t="shared" si="61"/>
        <v>Gas Water Heating</v>
      </c>
      <c r="J216" s="500" t="str">
        <f t="shared" si="57"/>
        <v>Commercial Showerhead Replacement_1_50gpm_Health Care_ Gas Water Heating_Direct Install - Embedded Water Energy</v>
      </c>
      <c r="K216" s="500"/>
      <c r="L216" s="501"/>
      <c r="M216" s="500"/>
      <c r="N216" s="500"/>
      <c r="O216" s="500"/>
      <c r="P216" s="502"/>
      <c r="Q216" s="503"/>
      <c r="R216" s="504"/>
      <c r="S216" s="505"/>
      <c r="T216" s="500"/>
      <c r="U216" s="500" t="str">
        <f t="shared" si="58"/>
        <v>Commercial Showerhead Replacement_1_50gpm_Health Care_ Gas Water Heating_Direct Install</v>
      </c>
      <c r="V216" s="506" t="s">
        <v>604</v>
      </c>
      <c r="W216" s="502">
        <f t="shared" si="59"/>
        <v>8.4253806169122587</v>
      </c>
      <c r="X216" s="500">
        <v>10</v>
      </c>
      <c r="Y216" s="507">
        <v>0</v>
      </c>
      <c r="Z216" s="500"/>
      <c r="AA216" s="506" t="s">
        <v>605</v>
      </c>
      <c r="AB216" s="505">
        <v>0</v>
      </c>
      <c r="AC216" s="500"/>
      <c r="AD216" s="500"/>
      <c r="AE216" s="500"/>
      <c r="AF216" s="500"/>
      <c r="AG216" s="500"/>
      <c r="AH216" s="500"/>
      <c r="AI216" s="500">
        <v>0</v>
      </c>
      <c r="AJ216" s="506" t="s">
        <v>605</v>
      </c>
    </row>
    <row r="217" spans="6:36">
      <c r="F217" s="500" t="str">
        <f t="shared" si="61"/>
        <v>Health Care</v>
      </c>
      <c r="G217" s="500" t="str">
        <f t="shared" si="61"/>
        <v>Direct Install</v>
      </c>
      <c r="H217" s="500" t="str">
        <f t="shared" si="61"/>
        <v>1_50</v>
      </c>
      <c r="I217" s="500" t="str">
        <f t="shared" si="61"/>
        <v>Any Water Heating</v>
      </c>
      <c r="J217" s="500" t="str">
        <f t="shared" si="57"/>
        <v>Commercial Showerhead Replacement_1_50gpm_Health Care_ Any Water Heating_Direct Install - Embedded Water Energy</v>
      </c>
      <c r="K217" s="500"/>
      <c r="L217" s="501"/>
      <c r="M217" s="500"/>
      <c r="N217" s="500"/>
      <c r="O217" s="500"/>
      <c r="P217" s="502"/>
      <c r="Q217" s="503"/>
      <c r="R217" s="504"/>
      <c r="S217" s="505"/>
      <c r="T217" s="500"/>
      <c r="U217" s="500" t="str">
        <f t="shared" si="58"/>
        <v>Commercial Showerhead Replacement_1_50gpm_Health Care_ Any Water Heating_Direct Install</v>
      </c>
      <c r="V217" s="506" t="s">
        <v>604</v>
      </c>
      <c r="W217" s="502">
        <f t="shared" si="59"/>
        <v>8.4253806169122587</v>
      </c>
      <c r="X217" s="500">
        <v>10</v>
      </c>
      <c r="Y217" s="507">
        <v>0</v>
      </c>
      <c r="Z217" s="500"/>
      <c r="AA217" s="506" t="s">
        <v>605</v>
      </c>
      <c r="AB217" s="505">
        <v>0</v>
      </c>
      <c r="AC217" s="500"/>
      <c r="AD217" s="500"/>
      <c r="AE217" s="500"/>
      <c r="AF217" s="500"/>
      <c r="AG217" s="500"/>
      <c r="AH217" s="500"/>
      <c r="AI217" s="500">
        <v>0</v>
      </c>
      <c r="AJ217" s="506" t="s">
        <v>605</v>
      </c>
    </row>
    <row r="218" spans="6:36" hidden="1">
      <c r="F218" s="500" t="str">
        <f t="shared" si="61"/>
        <v>Health Care</v>
      </c>
      <c r="G218" s="500" t="str">
        <f t="shared" si="61"/>
        <v>Mail-by-Request</v>
      </c>
      <c r="H218" s="500" t="str">
        <f t="shared" si="61"/>
        <v>2_00</v>
      </c>
      <c r="I218" s="500" t="str">
        <f t="shared" si="61"/>
        <v>Electric Water Heating</v>
      </c>
      <c r="J218" s="500" t="str">
        <f t="shared" si="57"/>
        <v>Commercial Showerhead Replacement_2_00gpm_Health Care_ Electric Water Heating_Mail-by-Request - Embedded Water Energy</v>
      </c>
      <c r="K218" s="500"/>
      <c r="L218" s="501"/>
      <c r="M218" s="500"/>
      <c r="N218" s="500"/>
      <c r="O218" s="500"/>
      <c r="P218" s="502"/>
      <c r="Q218" s="503"/>
      <c r="R218" s="504"/>
      <c r="S218" s="505"/>
      <c r="T218" s="500"/>
      <c r="U218" s="500" t="str">
        <f t="shared" si="58"/>
        <v>Commercial Showerhead Replacement_2_00gpm_Health Care_ Electric Water Heating_Mail-by-Request</v>
      </c>
      <c r="V218" s="506" t="s">
        <v>604</v>
      </c>
      <c r="W218" s="502">
        <f t="shared" si="59"/>
        <v>3.2096688064427639</v>
      </c>
      <c r="X218" s="500">
        <v>10</v>
      </c>
      <c r="Y218" s="507">
        <v>0</v>
      </c>
      <c r="Z218" s="500"/>
      <c r="AA218" s="506" t="s">
        <v>605</v>
      </c>
      <c r="AB218" s="505">
        <v>0</v>
      </c>
      <c r="AC218" s="500"/>
      <c r="AD218" s="500"/>
      <c r="AE218" s="500"/>
      <c r="AF218" s="500"/>
      <c r="AG218" s="500"/>
      <c r="AH218" s="500"/>
      <c r="AI218" s="500">
        <v>0</v>
      </c>
      <c r="AJ218" s="506" t="s">
        <v>605</v>
      </c>
    </row>
    <row r="219" spans="6:36" hidden="1">
      <c r="F219" s="500" t="str">
        <f t="shared" si="61"/>
        <v>Health Care</v>
      </c>
      <c r="G219" s="500" t="str">
        <f t="shared" si="61"/>
        <v>Mail-by-Request</v>
      </c>
      <c r="H219" s="500" t="str">
        <f t="shared" si="61"/>
        <v>2_00</v>
      </c>
      <c r="I219" s="500" t="str">
        <f t="shared" si="61"/>
        <v>Gas Water Heating</v>
      </c>
      <c r="J219" s="500" t="str">
        <f t="shared" si="57"/>
        <v>Commercial Showerhead Replacement_2_00gpm_Health Care_ Gas Water Heating_Mail-by-Request - Embedded Water Energy</v>
      </c>
      <c r="K219" s="500"/>
      <c r="L219" s="501"/>
      <c r="M219" s="500"/>
      <c r="N219" s="500"/>
      <c r="O219" s="500"/>
      <c r="P219" s="502"/>
      <c r="Q219" s="503"/>
      <c r="R219" s="504"/>
      <c r="S219" s="505"/>
      <c r="T219" s="500"/>
      <c r="U219" s="500" t="str">
        <f t="shared" si="58"/>
        <v>Commercial Showerhead Replacement_2_00gpm_Health Care_ Gas Water Heating_Mail-by-Request</v>
      </c>
      <c r="V219" s="506" t="s">
        <v>604</v>
      </c>
      <c r="W219" s="502">
        <f t="shared" si="59"/>
        <v>3.2096688064427639</v>
      </c>
      <c r="X219" s="500">
        <v>10</v>
      </c>
      <c r="Y219" s="507">
        <v>0</v>
      </c>
      <c r="Z219" s="500"/>
      <c r="AA219" s="506" t="s">
        <v>605</v>
      </c>
      <c r="AB219" s="505">
        <v>0</v>
      </c>
      <c r="AC219" s="500"/>
      <c r="AD219" s="500"/>
      <c r="AE219" s="500"/>
      <c r="AF219" s="500"/>
      <c r="AG219" s="500"/>
      <c r="AH219" s="500"/>
      <c r="AI219" s="500">
        <v>0</v>
      </c>
      <c r="AJ219" s="506" t="s">
        <v>605</v>
      </c>
    </row>
    <row r="220" spans="6:36" hidden="1">
      <c r="F220" s="500" t="str">
        <f t="shared" si="61"/>
        <v>Health Care</v>
      </c>
      <c r="G220" s="500" t="str">
        <f t="shared" si="61"/>
        <v>Mail-by-Request</v>
      </c>
      <c r="H220" s="500" t="str">
        <f t="shared" si="61"/>
        <v>2_00</v>
      </c>
      <c r="I220" s="500" t="str">
        <f t="shared" si="61"/>
        <v>Any Water Heating</v>
      </c>
      <c r="J220" s="500" t="str">
        <f t="shared" si="57"/>
        <v>Commercial Showerhead Replacement_2_00gpm_Health Care_ Any Water Heating_Mail-by-Request - Embedded Water Energy</v>
      </c>
      <c r="K220" s="500"/>
      <c r="L220" s="501"/>
      <c r="M220" s="500"/>
      <c r="N220" s="500"/>
      <c r="O220" s="500"/>
      <c r="P220" s="502"/>
      <c r="Q220" s="503"/>
      <c r="R220" s="504"/>
      <c r="S220" s="505"/>
      <c r="T220" s="500"/>
      <c r="U220" s="500" t="str">
        <f t="shared" si="58"/>
        <v>Commercial Showerhead Replacement_2_00gpm_Health Care_ Any Water Heating_Mail-by-Request</v>
      </c>
      <c r="V220" s="506" t="s">
        <v>604</v>
      </c>
      <c r="W220" s="502">
        <f t="shared" si="59"/>
        <v>3.2096688064427639</v>
      </c>
      <c r="X220" s="500">
        <v>10</v>
      </c>
      <c r="Y220" s="507">
        <v>0</v>
      </c>
      <c r="Z220" s="500"/>
      <c r="AA220" s="506" t="s">
        <v>605</v>
      </c>
      <c r="AB220" s="505">
        <v>0</v>
      </c>
      <c r="AC220" s="500"/>
      <c r="AD220" s="500"/>
      <c r="AE220" s="500"/>
      <c r="AF220" s="500"/>
      <c r="AG220" s="500"/>
      <c r="AH220" s="500"/>
      <c r="AI220" s="500">
        <v>0</v>
      </c>
      <c r="AJ220" s="506" t="s">
        <v>605</v>
      </c>
    </row>
    <row r="221" spans="6:36" hidden="1">
      <c r="F221" s="500" t="str">
        <f t="shared" ref="F221:I236" si="62">F59</f>
        <v>Health Care</v>
      </c>
      <c r="G221" s="500" t="str">
        <f t="shared" si="62"/>
        <v>Mail-by-Request</v>
      </c>
      <c r="H221" s="500" t="str">
        <f t="shared" si="62"/>
        <v>1_75</v>
      </c>
      <c r="I221" s="500" t="str">
        <f t="shared" si="62"/>
        <v>Electric Water Heating</v>
      </c>
      <c r="J221" s="500" t="str">
        <f t="shared" si="57"/>
        <v>Commercial Showerhead Replacement_1_75gpm_Health Care_ Electric Water Heating_Mail-by-Request - Embedded Water Energy</v>
      </c>
      <c r="K221" s="500"/>
      <c r="L221" s="501"/>
      <c r="M221" s="500"/>
      <c r="N221" s="500"/>
      <c r="O221" s="500"/>
      <c r="P221" s="502"/>
      <c r="Q221" s="503"/>
      <c r="R221" s="504"/>
      <c r="S221" s="505"/>
      <c r="T221" s="500"/>
      <c r="U221" s="500" t="str">
        <f t="shared" si="58"/>
        <v>Commercial Showerhead Replacement_1_75gpm_Health Care_ Electric Water Heating_Mail-by-Request</v>
      </c>
      <c r="V221" s="506" t="s">
        <v>604</v>
      </c>
      <c r="W221" s="502">
        <f t="shared" si="59"/>
        <v>3.6108774072481093</v>
      </c>
      <c r="X221" s="500">
        <v>10</v>
      </c>
      <c r="Y221" s="507">
        <v>0</v>
      </c>
      <c r="Z221" s="500"/>
      <c r="AA221" s="506" t="s">
        <v>605</v>
      </c>
      <c r="AB221" s="505">
        <v>0</v>
      </c>
      <c r="AC221" s="500"/>
      <c r="AD221" s="500"/>
      <c r="AE221" s="500"/>
      <c r="AF221" s="500"/>
      <c r="AG221" s="500"/>
      <c r="AH221" s="500"/>
      <c r="AI221" s="500">
        <v>0</v>
      </c>
      <c r="AJ221" s="506" t="s">
        <v>605</v>
      </c>
    </row>
    <row r="222" spans="6:36" hidden="1">
      <c r="F222" s="500" t="str">
        <f t="shared" si="62"/>
        <v>Health Care</v>
      </c>
      <c r="G222" s="500" t="str">
        <f t="shared" si="62"/>
        <v>Mail-by-Request</v>
      </c>
      <c r="H222" s="500" t="str">
        <f t="shared" si="62"/>
        <v>1_75</v>
      </c>
      <c r="I222" s="500" t="str">
        <f t="shared" si="62"/>
        <v>Gas Water Heating</v>
      </c>
      <c r="J222" s="500" t="str">
        <f t="shared" si="57"/>
        <v>Commercial Showerhead Replacement_1_75gpm_Health Care_ Gas Water Heating_Mail-by-Request - Embedded Water Energy</v>
      </c>
      <c r="K222" s="500"/>
      <c r="L222" s="501"/>
      <c r="M222" s="500"/>
      <c r="N222" s="500"/>
      <c r="O222" s="500"/>
      <c r="P222" s="502"/>
      <c r="Q222" s="503"/>
      <c r="R222" s="504"/>
      <c r="S222" s="505"/>
      <c r="T222" s="500"/>
      <c r="U222" s="500" t="str">
        <f t="shared" si="58"/>
        <v>Commercial Showerhead Replacement_1_75gpm_Health Care_ Gas Water Heating_Mail-by-Request</v>
      </c>
      <c r="V222" s="506" t="s">
        <v>604</v>
      </c>
      <c r="W222" s="502">
        <f t="shared" si="59"/>
        <v>3.6108774072481093</v>
      </c>
      <c r="X222" s="500">
        <v>10</v>
      </c>
      <c r="Y222" s="507">
        <v>0</v>
      </c>
      <c r="Z222" s="500"/>
      <c r="AA222" s="506" t="s">
        <v>605</v>
      </c>
      <c r="AB222" s="505">
        <v>0</v>
      </c>
      <c r="AC222" s="500"/>
      <c r="AD222" s="500"/>
      <c r="AE222" s="500"/>
      <c r="AF222" s="500"/>
      <c r="AG222" s="500"/>
      <c r="AH222" s="500"/>
      <c r="AI222" s="500">
        <v>0</v>
      </c>
      <c r="AJ222" s="506" t="s">
        <v>605</v>
      </c>
    </row>
    <row r="223" spans="6:36" hidden="1">
      <c r="F223" s="500" t="str">
        <f t="shared" si="62"/>
        <v>Health Care</v>
      </c>
      <c r="G223" s="500" t="str">
        <f t="shared" si="62"/>
        <v>Mail-by-Request</v>
      </c>
      <c r="H223" s="500" t="str">
        <f t="shared" si="62"/>
        <v>1_75</v>
      </c>
      <c r="I223" s="500" t="str">
        <f t="shared" si="62"/>
        <v>Any Water Heating</v>
      </c>
      <c r="J223" s="500" t="str">
        <f t="shared" si="57"/>
        <v>Commercial Showerhead Replacement_1_75gpm_Health Care_ Any Water Heating_Mail-by-Request - Embedded Water Energy</v>
      </c>
      <c r="K223" s="500"/>
      <c r="L223" s="501"/>
      <c r="M223" s="500"/>
      <c r="N223" s="500"/>
      <c r="O223" s="500"/>
      <c r="P223" s="502"/>
      <c r="Q223" s="503"/>
      <c r="R223" s="504"/>
      <c r="S223" s="505"/>
      <c r="T223" s="500"/>
      <c r="U223" s="500" t="str">
        <f t="shared" si="58"/>
        <v>Commercial Showerhead Replacement_1_75gpm_Health Care_ Any Water Heating_Mail-by-Request</v>
      </c>
      <c r="V223" s="506" t="s">
        <v>604</v>
      </c>
      <c r="W223" s="502">
        <f t="shared" si="59"/>
        <v>3.6108774072481093</v>
      </c>
      <c r="X223" s="500">
        <v>10</v>
      </c>
      <c r="Y223" s="507">
        <v>0</v>
      </c>
      <c r="Z223" s="500"/>
      <c r="AA223" s="506" t="s">
        <v>605</v>
      </c>
      <c r="AB223" s="505">
        <v>0</v>
      </c>
      <c r="AC223" s="500"/>
      <c r="AD223" s="500"/>
      <c r="AE223" s="500"/>
      <c r="AF223" s="500"/>
      <c r="AG223" s="500"/>
      <c r="AH223" s="500"/>
      <c r="AI223" s="500">
        <v>0</v>
      </c>
      <c r="AJ223" s="506" t="s">
        <v>605</v>
      </c>
    </row>
    <row r="224" spans="6:36" hidden="1">
      <c r="F224" s="500" t="str">
        <f t="shared" si="62"/>
        <v>Health Care</v>
      </c>
      <c r="G224" s="500" t="str">
        <f t="shared" si="62"/>
        <v>Mail-by-Request</v>
      </c>
      <c r="H224" s="500" t="str">
        <f t="shared" si="62"/>
        <v>1_50</v>
      </c>
      <c r="I224" s="500" t="str">
        <f t="shared" si="62"/>
        <v>Electric Water Heating</v>
      </c>
      <c r="J224" s="500" t="str">
        <f t="shared" si="57"/>
        <v>Commercial Showerhead Replacement_1_50gpm_Health Care_ Electric Water Heating_Mail-by-Request - Embedded Water Energy</v>
      </c>
      <c r="K224" s="500"/>
      <c r="L224" s="501"/>
      <c r="M224" s="500"/>
      <c r="N224" s="500"/>
      <c r="O224" s="500"/>
      <c r="P224" s="502"/>
      <c r="Q224" s="503"/>
      <c r="R224" s="504"/>
      <c r="S224" s="505"/>
      <c r="T224" s="500"/>
      <c r="U224" s="500" t="str">
        <f t="shared" si="58"/>
        <v>Commercial Showerhead Replacement_1_50gpm_Health Care_ Electric Water Heating_Mail-by-Request</v>
      </c>
      <c r="V224" s="506" t="s">
        <v>604</v>
      </c>
      <c r="W224" s="502">
        <f t="shared" si="59"/>
        <v>5.6169204112748385</v>
      </c>
      <c r="X224" s="500">
        <v>10</v>
      </c>
      <c r="Y224" s="507">
        <v>0</v>
      </c>
      <c r="Z224" s="500"/>
      <c r="AA224" s="506" t="s">
        <v>605</v>
      </c>
      <c r="AB224" s="505">
        <v>0</v>
      </c>
      <c r="AC224" s="500"/>
      <c r="AD224" s="500"/>
      <c r="AE224" s="500"/>
      <c r="AF224" s="500"/>
      <c r="AG224" s="500"/>
      <c r="AH224" s="500"/>
      <c r="AI224" s="500">
        <v>0</v>
      </c>
      <c r="AJ224" s="506" t="s">
        <v>605</v>
      </c>
    </row>
    <row r="225" spans="6:36" hidden="1">
      <c r="F225" s="500" t="str">
        <f t="shared" si="62"/>
        <v>Health Care</v>
      </c>
      <c r="G225" s="500" t="str">
        <f t="shared" si="62"/>
        <v>Mail-by-Request</v>
      </c>
      <c r="H225" s="500" t="str">
        <f t="shared" si="62"/>
        <v>1_50</v>
      </c>
      <c r="I225" s="500" t="str">
        <f t="shared" si="62"/>
        <v>Gas Water Heating</v>
      </c>
      <c r="J225" s="500" t="str">
        <f t="shared" si="57"/>
        <v>Commercial Showerhead Replacement_1_50gpm_Health Care_ Gas Water Heating_Mail-by-Request - Embedded Water Energy</v>
      </c>
      <c r="K225" s="500"/>
      <c r="L225" s="501"/>
      <c r="M225" s="500"/>
      <c r="N225" s="500"/>
      <c r="O225" s="500"/>
      <c r="P225" s="502"/>
      <c r="Q225" s="503"/>
      <c r="R225" s="504"/>
      <c r="S225" s="505"/>
      <c r="T225" s="500"/>
      <c r="U225" s="500" t="str">
        <f t="shared" si="58"/>
        <v>Commercial Showerhead Replacement_1_50gpm_Health Care_ Gas Water Heating_Mail-by-Request</v>
      </c>
      <c r="V225" s="506" t="s">
        <v>604</v>
      </c>
      <c r="W225" s="502">
        <f t="shared" si="59"/>
        <v>5.6169204112748385</v>
      </c>
      <c r="X225" s="500">
        <v>10</v>
      </c>
      <c r="Y225" s="507">
        <v>0</v>
      </c>
      <c r="Z225" s="500"/>
      <c r="AA225" s="506" t="s">
        <v>605</v>
      </c>
      <c r="AB225" s="505">
        <v>0</v>
      </c>
      <c r="AC225" s="500"/>
      <c r="AD225" s="500"/>
      <c r="AE225" s="500"/>
      <c r="AF225" s="500"/>
      <c r="AG225" s="500"/>
      <c r="AH225" s="500"/>
      <c r="AI225" s="500">
        <v>0</v>
      </c>
      <c r="AJ225" s="506" t="s">
        <v>605</v>
      </c>
    </row>
    <row r="226" spans="6:36" hidden="1">
      <c r="F226" s="500" t="str">
        <f t="shared" si="62"/>
        <v>Health Care</v>
      </c>
      <c r="G226" s="500" t="str">
        <f t="shared" si="62"/>
        <v>Mail-by-Request</v>
      </c>
      <c r="H226" s="500" t="str">
        <f t="shared" si="62"/>
        <v>1_50</v>
      </c>
      <c r="I226" s="500" t="str">
        <f t="shared" si="62"/>
        <v>Any Water Heating</v>
      </c>
      <c r="J226" s="500" t="str">
        <f t="shared" si="57"/>
        <v>Commercial Showerhead Replacement_1_50gpm_Health Care_ Any Water Heating_Mail-by-Request - Embedded Water Energy</v>
      </c>
      <c r="K226" s="500"/>
      <c r="L226" s="501"/>
      <c r="M226" s="500"/>
      <c r="N226" s="500"/>
      <c r="O226" s="500"/>
      <c r="P226" s="502"/>
      <c r="Q226" s="503"/>
      <c r="R226" s="504"/>
      <c r="S226" s="505"/>
      <c r="T226" s="500"/>
      <c r="U226" s="500" t="str">
        <f t="shared" si="58"/>
        <v>Commercial Showerhead Replacement_1_50gpm_Health Care_ Any Water Heating_Mail-by-Request</v>
      </c>
      <c r="V226" s="506" t="s">
        <v>604</v>
      </c>
      <c r="W226" s="502">
        <f t="shared" si="59"/>
        <v>5.6169204112748385</v>
      </c>
      <c r="X226" s="500">
        <v>10</v>
      </c>
      <c r="Y226" s="507">
        <v>0</v>
      </c>
      <c r="Z226" s="500"/>
      <c r="AA226" s="506" t="s">
        <v>605</v>
      </c>
      <c r="AB226" s="505">
        <v>0</v>
      </c>
      <c r="AC226" s="500"/>
      <c r="AD226" s="500"/>
      <c r="AE226" s="500"/>
      <c r="AF226" s="500"/>
      <c r="AG226" s="500"/>
      <c r="AH226" s="500"/>
      <c r="AI226" s="500">
        <v>0</v>
      </c>
      <c r="AJ226" s="506" t="s">
        <v>605</v>
      </c>
    </row>
    <row r="227" spans="6:36" hidden="1">
      <c r="F227" s="500" t="str">
        <f t="shared" si="62"/>
        <v>Commercial - Employee Shower</v>
      </c>
      <c r="G227" s="500" t="str">
        <f t="shared" si="62"/>
        <v>Retail</v>
      </c>
      <c r="H227" s="500" t="str">
        <f t="shared" si="62"/>
        <v>2_00</v>
      </c>
      <c r="I227" s="500" t="str">
        <f t="shared" si="62"/>
        <v>Electric Water Heating</v>
      </c>
      <c r="J227" s="500" t="str">
        <f t="shared" si="57"/>
        <v>Commercial Showerhead Replacement_2_00gpm_Commercial - Employee Shower_ Electric Water Heating_Retail - Embedded Water Energy</v>
      </c>
      <c r="K227" s="500"/>
      <c r="L227" s="501"/>
      <c r="M227" s="500"/>
      <c r="N227" s="500"/>
      <c r="O227" s="500"/>
      <c r="P227" s="502"/>
      <c r="Q227" s="503"/>
      <c r="R227" s="504"/>
      <c r="S227" s="505"/>
      <c r="T227" s="500"/>
      <c r="U227" s="500" t="str">
        <f t="shared" si="58"/>
        <v>Commercial Showerhead Replacement_2_00gpm_Commercial - Employee Shower_ Electric Water Heating_Retail</v>
      </c>
      <c r="V227" s="506" t="s">
        <v>604</v>
      </c>
      <c r="W227" s="502">
        <f t="shared" si="59"/>
        <v>3.2062410688000016</v>
      </c>
      <c r="X227" s="500">
        <v>10</v>
      </c>
      <c r="Y227" s="507">
        <v>0</v>
      </c>
      <c r="Z227" s="500"/>
      <c r="AA227" s="506" t="s">
        <v>605</v>
      </c>
      <c r="AB227" s="505">
        <v>0</v>
      </c>
      <c r="AC227" s="500"/>
      <c r="AD227" s="500"/>
      <c r="AE227" s="500"/>
      <c r="AF227" s="500"/>
      <c r="AG227" s="500"/>
      <c r="AH227" s="500"/>
      <c r="AI227" s="500">
        <v>0</v>
      </c>
      <c r="AJ227" s="506" t="s">
        <v>605</v>
      </c>
    </row>
    <row r="228" spans="6:36" hidden="1">
      <c r="F228" s="500" t="str">
        <f t="shared" si="62"/>
        <v>Commercial - Employee Shower</v>
      </c>
      <c r="G228" s="500" t="str">
        <f t="shared" si="62"/>
        <v>Retail</v>
      </c>
      <c r="H228" s="500" t="str">
        <f t="shared" si="62"/>
        <v>2_00</v>
      </c>
      <c r="I228" s="500" t="str">
        <f t="shared" si="62"/>
        <v>Gas Water Heating</v>
      </c>
      <c r="J228" s="500" t="str">
        <f t="shared" si="57"/>
        <v>Commercial Showerhead Replacement_2_00gpm_Commercial - Employee Shower_ Gas Water Heating_Retail - Embedded Water Energy</v>
      </c>
      <c r="K228" s="500"/>
      <c r="L228" s="501"/>
      <c r="M228" s="500"/>
      <c r="N228" s="500"/>
      <c r="O228" s="500"/>
      <c r="P228" s="502"/>
      <c r="Q228" s="503"/>
      <c r="R228" s="504"/>
      <c r="S228" s="505"/>
      <c r="T228" s="500"/>
      <c r="U228" s="500" t="str">
        <f t="shared" si="58"/>
        <v>Commercial Showerhead Replacement_2_00gpm_Commercial - Employee Shower_ Gas Water Heating_Retail</v>
      </c>
      <c r="V228" s="506" t="s">
        <v>604</v>
      </c>
      <c r="W228" s="502">
        <f t="shared" si="59"/>
        <v>3.2062410688000016</v>
      </c>
      <c r="X228" s="500">
        <v>10</v>
      </c>
      <c r="Y228" s="507">
        <v>0</v>
      </c>
      <c r="Z228" s="500"/>
      <c r="AA228" s="506" t="s">
        <v>605</v>
      </c>
      <c r="AB228" s="505">
        <v>0</v>
      </c>
      <c r="AC228" s="500"/>
      <c r="AD228" s="500"/>
      <c r="AE228" s="500"/>
      <c r="AF228" s="500"/>
      <c r="AG228" s="500"/>
      <c r="AH228" s="500"/>
      <c r="AI228" s="500">
        <v>0</v>
      </c>
      <c r="AJ228" s="506" t="s">
        <v>605</v>
      </c>
    </row>
    <row r="229" spans="6:36" hidden="1">
      <c r="F229" s="500" t="str">
        <f t="shared" si="62"/>
        <v>Commercial - Employee Shower</v>
      </c>
      <c r="G229" s="500" t="str">
        <f t="shared" si="62"/>
        <v>Retail</v>
      </c>
      <c r="H229" s="500" t="str">
        <f t="shared" si="62"/>
        <v>2_00</v>
      </c>
      <c r="I229" s="500" t="str">
        <f t="shared" si="62"/>
        <v>Any Water Heating</v>
      </c>
      <c r="J229" s="500" t="str">
        <f t="shared" si="57"/>
        <v>Commercial Showerhead Replacement_2_00gpm_Commercial - Employee Shower_ Any Water Heating_Retail - Embedded Water Energy</v>
      </c>
      <c r="K229" s="500"/>
      <c r="L229" s="501"/>
      <c r="M229" s="500"/>
      <c r="N229" s="500"/>
      <c r="O229" s="500"/>
      <c r="P229" s="502"/>
      <c r="Q229" s="503"/>
      <c r="R229" s="504"/>
      <c r="S229" s="505"/>
      <c r="T229" s="500"/>
      <c r="U229" s="500" t="str">
        <f t="shared" si="58"/>
        <v>Commercial Showerhead Replacement_2_00gpm_Commercial - Employee Shower_ Any Water Heating_Retail</v>
      </c>
      <c r="V229" s="506" t="s">
        <v>604</v>
      </c>
      <c r="W229" s="502">
        <f t="shared" si="59"/>
        <v>3.2062410688000016</v>
      </c>
      <c r="X229" s="500">
        <v>10</v>
      </c>
      <c r="Y229" s="507">
        <v>0</v>
      </c>
      <c r="Z229" s="500"/>
      <c r="AA229" s="506" t="s">
        <v>605</v>
      </c>
      <c r="AB229" s="505">
        <v>0</v>
      </c>
      <c r="AC229" s="500"/>
      <c r="AD229" s="500"/>
      <c r="AE229" s="500"/>
      <c r="AF229" s="500"/>
      <c r="AG229" s="500"/>
      <c r="AH229" s="500"/>
      <c r="AI229" s="500">
        <v>0</v>
      </c>
      <c r="AJ229" s="506" t="s">
        <v>605</v>
      </c>
    </row>
    <row r="230" spans="6:36" hidden="1">
      <c r="F230" s="500" t="str">
        <f t="shared" si="62"/>
        <v>Commercial - Employee Shower</v>
      </c>
      <c r="G230" s="500" t="str">
        <f t="shared" si="62"/>
        <v>Retail</v>
      </c>
      <c r="H230" s="500" t="str">
        <f t="shared" si="62"/>
        <v>1_75</v>
      </c>
      <c r="I230" s="500" t="str">
        <f t="shared" si="62"/>
        <v>Electric Water Heating</v>
      </c>
      <c r="J230" s="500" t="str">
        <f t="shared" si="57"/>
        <v>Commercial Showerhead Replacement_1_75gpm_Commercial - Employee Shower_ Electric Water Heating_Retail - Embedded Water Energy</v>
      </c>
      <c r="K230" s="500"/>
      <c r="L230" s="501"/>
      <c r="M230" s="500"/>
      <c r="N230" s="500"/>
      <c r="O230" s="500"/>
      <c r="P230" s="502"/>
      <c r="Q230" s="503"/>
      <c r="R230" s="504"/>
      <c r="S230" s="505"/>
      <c r="T230" s="500"/>
      <c r="U230" s="500" t="str">
        <f t="shared" si="58"/>
        <v>Commercial Showerhead Replacement_1_75gpm_Commercial - Employee Shower_ Electric Water Heating_Retail</v>
      </c>
      <c r="V230" s="506" t="s">
        <v>604</v>
      </c>
      <c r="W230" s="502">
        <f t="shared" si="59"/>
        <v>3.3815823772500009</v>
      </c>
      <c r="X230" s="500">
        <v>10</v>
      </c>
      <c r="Y230" s="507">
        <v>0</v>
      </c>
      <c r="Z230" s="500"/>
      <c r="AA230" s="506" t="s">
        <v>605</v>
      </c>
      <c r="AB230" s="505">
        <v>0</v>
      </c>
      <c r="AC230" s="500"/>
      <c r="AD230" s="500"/>
      <c r="AE230" s="500"/>
      <c r="AF230" s="500"/>
      <c r="AG230" s="500"/>
      <c r="AH230" s="500"/>
      <c r="AI230" s="500">
        <v>0</v>
      </c>
      <c r="AJ230" s="506" t="s">
        <v>605</v>
      </c>
    </row>
    <row r="231" spans="6:36" hidden="1">
      <c r="F231" s="500" t="str">
        <f t="shared" si="62"/>
        <v>Commercial - Employee Shower</v>
      </c>
      <c r="G231" s="500" t="str">
        <f t="shared" si="62"/>
        <v>Retail</v>
      </c>
      <c r="H231" s="500" t="str">
        <f t="shared" si="62"/>
        <v>1_75</v>
      </c>
      <c r="I231" s="500" t="str">
        <f t="shared" si="62"/>
        <v>Gas Water Heating</v>
      </c>
      <c r="J231" s="500" t="str">
        <f t="shared" si="57"/>
        <v>Commercial Showerhead Replacement_1_75gpm_Commercial - Employee Shower_ Gas Water Heating_Retail - Embedded Water Energy</v>
      </c>
      <c r="K231" s="500"/>
      <c r="L231" s="501"/>
      <c r="M231" s="500"/>
      <c r="N231" s="500"/>
      <c r="O231" s="500"/>
      <c r="P231" s="502"/>
      <c r="Q231" s="503"/>
      <c r="R231" s="504"/>
      <c r="S231" s="505"/>
      <c r="T231" s="500"/>
      <c r="U231" s="500" t="str">
        <f t="shared" si="58"/>
        <v>Commercial Showerhead Replacement_1_75gpm_Commercial - Employee Shower_ Gas Water Heating_Retail</v>
      </c>
      <c r="V231" s="506" t="s">
        <v>604</v>
      </c>
      <c r="W231" s="502">
        <f t="shared" si="59"/>
        <v>3.3815823772500009</v>
      </c>
      <c r="X231" s="500">
        <v>10</v>
      </c>
      <c r="Y231" s="507">
        <v>0</v>
      </c>
      <c r="Z231" s="500"/>
      <c r="AA231" s="506" t="s">
        <v>605</v>
      </c>
      <c r="AB231" s="505">
        <v>0</v>
      </c>
      <c r="AC231" s="500"/>
      <c r="AD231" s="500"/>
      <c r="AE231" s="500"/>
      <c r="AF231" s="500"/>
      <c r="AG231" s="500"/>
      <c r="AH231" s="500"/>
      <c r="AI231" s="500">
        <v>0</v>
      </c>
      <c r="AJ231" s="506" t="s">
        <v>605</v>
      </c>
    </row>
    <row r="232" spans="6:36" hidden="1">
      <c r="F232" s="500" t="str">
        <f t="shared" si="62"/>
        <v>Commercial - Employee Shower</v>
      </c>
      <c r="G232" s="500" t="str">
        <f t="shared" si="62"/>
        <v>Retail</v>
      </c>
      <c r="H232" s="500" t="str">
        <f t="shared" si="62"/>
        <v>1_75</v>
      </c>
      <c r="I232" s="500" t="str">
        <f t="shared" si="62"/>
        <v>Any Water Heating</v>
      </c>
      <c r="J232" s="500" t="str">
        <f t="shared" si="57"/>
        <v>Commercial Showerhead Replacement_1_75gpm_Commercial - Employee Shower_ Any Water Heating_Retail - Embedded Water Energy</v>
      </c>
      <c r="K232" s="500"/>
      <c r="L232" s="501"/>
      <c r="M232" s="500"/>
      <c r="N232" s="500"/>
      <c r="O232" s="500"/>
      <c r="P232" s="502"/>
      <c r="Q232" s="503"/>
      <c r="R232" s="504"/>
      <c r="S232" s="505"/>
      <c r="T232" s="500"/>
      <c r="U232" s="500" t="str">
        <f t="shared" si="58"/>
        <v>Commercial Showerhead Replacement_1_75gpm_Commercial - Employee Shower_ Any Water Heating_Retail</v>
      </c>
      <c r="V232" s="506" t="s">
        <v>604</v>
      </c>
      <c r="W232" s="502">
        <f t="shared" si="59"/>
        <v>3.3815823772500009</v>
      </c>
      <c r="X232" s="500">
        <v>10</v>
      </c>
      <c r="Y232" s="507">
        <v>0</v>
      </c>
      <c r="Z232" s="500"/>
      <c r="AA232" s="506" t="s">
        <v>605</v>
      </c>
      <c r="AB232" s="505">
        <v>0</v>
      </c>
      <c r="AC232" s="500"/>
      <c r="AD232" s="500"/>
      <c r="AE232" s="500"/>
      <c r="AF232" s="500"/>
      <c r="AG232" s="500"/>
      <c r="AH232" s="500"/>
      <c r="AI232" s="500">
        <v>0</v>
      </c>
      <c r="AJ232" s="506" t="s">
        <v>605</v>
      </c>
    </row>
    <row r="233" spans="6:36" hidden="1">
      <c r="F233" s="500" t="str">
        <f t="shared" si="62"/>
        <v>Commercial - Employee Shower</v>
      </c>
      <c r="G233" s="500" t="str">
        <f t="shared" si="62"/>
        <v>Retail</v>
      </c>
      <c r="H233" s="500" t="str">
        <f t="shared" si="62"/>
        <v>1_50</v>
      </c>
      <c r="I233" s="500" t="str">
        <f t="shared" si="62"/>
        <v>Electric Water Heating</v>
      </c>
      <c r="J233" s="500" t="str">
        <f t="shared" si="57"/>
        <v>Commercial Showerhead Replacement_1_50gpm_Commercial - Employee Shower_ Electric Water Heating_Retail - Embedded Water Energy</v>
      </c>
      <c r="K233" s="500"/>
      <c r="L233" s="501"/>
      <c r="M233" s="500"/>
      <c r="N233" s="500"/>
      <c r="O233" s="500"/>
      <c r="P233" s="502"/>
      <c r="Q233" s="503"/>
      <c r="R233" s="504"/>
      <c r="S233" s="505"/>
      <c r="T233" s="500"/>
      <c r="U233" s="500" t="str">
        <f t="shared" si="58"/>
        <v>Commercial Showerhead Replacement_1_50gpm_Commercial - Employee Shower_ Electric Water Heating_Retail</v>
      </c>
      <c r="V233" s="506" t="s">
        <v>604</v>
      </c>
      <c r="W233" s="502">
        <f t="shared" si="59"/>
        <v>4.9095566366000005</v>
      </c>
      <c r="X233" s="500">
        <v>10</v>
      </c>
      <c r="Y233" s="507">
        <v>0</v>
      </c>
      <c r="Z233" s="500"/>
      <c r="AA233" s="506" t="s">
        <v>605</v>
      </c>
      <c r="AB233" s="505">
        <v>0</v>
      </c>
      <c r="AC233" s="500"/>
      <c r="AD233" s="500"/>
      <c r="AE233" s="500"/>
      <c r="AF233" s="500"/>
      <c r="AG233" s="500"/>
      <c r="AH233" s="500"/>
      <c r="AI233" s="500">
        <v>0</v>
      </c>
      <c r="AJ233" s="506" t="s">
        <v>605</v>
      </c>
    </row>
    <row r="234" spans="6:36" hidden="1">
      <c r="F234" s="500" t="str">
        <f t="shared" si="62"/>
        <v>Commercial - Employee Shower</v>
      </c>
      <c r="G234" s="500" t="str">
        <f t="shared" si="62"/>
        <v>Retail</v>
      </c>
      <c r="H234" s="500" t="str">
        <f t="shared" si="62"/>
        <v>1_50</v>
      </c>
      <c r="I234" s="500" t="str">
        <f t="shared" si="62"/>
        <v>Gas Water Heating</v>
      </c>
      <c r="J234" s="500" t="str">
        <f t="shared" si="57"/>
        <v>Commercial Showerhead Replacement_1_50gpm_Commercial - Employee Shower_ Gas Water Heating_Retail - Embedded Water Energy</v>
      </c>
      <c r="K234" s="500"/>
      <c r="L234" s="501"/>
      <c r="M234" s="500"/>
      <c r="N234" s="500"/>
      <c r="O234" s="500"/>
      <c r="P234" s="502"/>
      <c r="Q234" s="503"/>
      <c r="R234" s="504"/>
      <c r="S234" s="505"/>
      <c r="T234" s="500"/>
      <c r="U234" s="500" t="str">
        <f t="shared" si="58"/>
        <v>Commercial Showerhead Replacement_1_50gpm_Commercial - Employee Shower_ Gas Water Heating_Retail</v>
      </c>
      <c r="V234" s="506" t="s">
        <v>604</v>
      </c>
      <c r="W234" s="502">
        <f t="shared" si="59"/>
        <v>4.9095566366000005</v>
      </c>
      <c r="X234" s="500">
        <v>10</v>
      </c>
      <c r="Y234" s="507">
        <v>0</v>
      </c>
      <c r="Z234" s="500"/>
      <c r="AA234" s="506" t="s">
        <v>605</v>
      </c>
      <c r="AB234" s="505">
        <v>0</v>
      </c>
      <c r="AC234" s="500"/>
      <c r="AD234" s="500"/>
      <c r="AE234" s="500"/>
      <c r="AF234" s="500"/>
      <c r="AG234" s="500"/>
      <c r="AH234" s="500"/>
      <c r="AI234" s="500">
        <v>0</v>
      </c>
      <c r="AJ234" s="506" t="s">
        <v>605</v>
      </c>
    </row>
    <row r="235" spans="6:36" hidden="1">
      <c r="F235" s="500" t="str">
        <f t="shared" si="62"/>
        <v>Commercial - Employee Shower</v>
      </c>
      <c r="G235" s="500" t="str">
        <f t="shared" si="62"/>
        <v>Retail</v>
      </c>
      <c r="H235" s="500" t="str">
        <f t="shared" si="62"/>
        <v>1_50</v>
      </c>
      <c r="I235" s="500" t="str">
        <f t="shared" si="62"/>
        <v>Any Water Heating</v>
      </c>
      <c r="J235" s="500" t="str">
        <f t="shared" si="57"/>
        <v>Commercial Showerhead Replacement_1_50gpm_Commercial - Employee Shower_ Any Water Heating_Retail - Embedded Water Energy</v>
      </c>
      <c r="K235" s="500"/>
      <c r="L235" s="501"/>
      <c r="M235" s="500"/>
      <c r="N235" s="500"/>
      <c r="O235" s="500"/>
      <c r="P235" s="502"/>
      <c r="Q235" s="503"/>
      <c r="R235" s="504"/>
      <c r="S235" s="505"/>
      <c r="T235" s="500"/>
      <c r="U235" s="500" t="str">
        <f t="shared" si="58"/>
        <v>Commercial Showerhead Replacement_1_50gpm_Commercial - Employee Shower_ Any Water Heating_Retail</v>
      </c>
      <c r="V235" s="506" t="s">
        <v>604</v>
      </c>
      <c r="W235" s="502">
        <f t="shared" si="59"/>
        <v>4.9095566366000005</v>
      </c>
      <c r="X235" s="500">
        <v>10</v>
      </c>
      <c r="Y235" s="507">
        <v>0</v>
      </c>
      <c r="Z235" s="500"/>
      <c r="AA235" s="506" t="s">
        <v>605</v>
      </c>
      <c r="AB235" s="505">
        <v>0</v>
      </c>
      <c r="AC235" s="500"/>
      <c r="AD235" s="500"/>
      <c r="AE235" s="500"/>
      <c r="AF235" s="500"/>
      <c r="AG235" s="500"/>
      <c r="AH235" s="500"/>
      <c r="AI235" s="500">
        <v>0</v>
      </c>
      <c r="AJ235" s="506" t="s">
        <v>605</v>
      </c>
    </row>
    <row r="236" spans="6:36" hidden="1">
      <c r="F236" s="500" t="str">
        <f t="shared" si="62"/>
        <v>Commercial - Employee Shower</v>
      </c>
      <c r="G236" s="500" t="str">
        <f t="shared" si="62"/>
        <v>Direct Install</v>
      </c>
      <c r="H236" s="500" t="str">
        <f t="shared" si="62"/>
        <v>2_00</v>
      </c>
      <c r="I236" s="500" t="str">
        <f t="shared" si="62"/>
        <v>Electric Water Heating</v>
      </c>
      <c r="J236" s="500" t="str">
        <f t="shared" si="57"/>
        <v>Commercial Showerhead Replacement_2_00gpm_Commercial - Employee Shower_ Electric Water Heating_Direct Install - Embedded Water Energy</v>
      </c>
      <c r="K236" s="500"/>
      <c r="L236" s="501"/>
      <c r="M236" s="500"/>
      <c r="N236" s="500"/>
      <c r="O236" s="500"/>
      <c r="P236" s="502"/>
      <c r="Q236" s="503"/>
      <c r="R236" s="504"/>
      <c r="S236" s="505"/>
      <c r="T236" s="500"/>
      <c r="U236" s="500" t="str">
        <f t="shared" si="58"/>
        <v>Commercial Showerhead Replacement_2_00gpm_Commercial - Employee Shower_ Electric Water Heating_Direct Install</v>
      </c>
      <c r="V236" s="506" t="s">
        <v>604</v>
      </c>
      <c r="W236" s="502">
        <f t="shared" si="59"/>
        <v>3.6070212024000017</v>
      </c>
      <c r="X236" s="500">
        <v>10</v>
      </c>
      <c r="Y236" s="507">
        <v>0</v>
      </c>
      <c r="Z236" s="500"/>
      <c r="AA236" s="506" t="s">
        <v>605</v>
      </c>
      <c r="AB236" s="505">
        <v>0</v>
      </c>
      <c r="AC236" s="500"/>
      <c r="AD236" s="500"/>
      <c r="AE236" s="500"/>
      <c r="AF236" s="500"/>
      <c r="AG236" s="500"/>
      <c r="AH236" s="500"/>
      <c r="AI236" s="500">
        <v>0</v>
      </c>
      <c r="AJ236" s="506" t="s">
        <v>605</v>
      </c>
    </row>
    <row r="237" spans="6:36" hidden="1">
      <c r="F237" s="500" t="str">
        <f t="shared" ref="F237:I252" si="63">F75</f>
        <v>Commercial - Employee Shower</v>
      </c>
      <c r="G237" s="500" t="str">
        <f t="shared" si="63"/>
        <v>Direct Install</v>
      </c>
      <c r="H237" s="500" t="str">
        <f t="shared" si="63"/>
        <v>2_00</v>
      </c>
      <c r="I237" s="500" t="str">
        <f t="shared" si="63"/>
        <v>Gas Water Heating</v>
      </c>
      <c r="J237" s="500" t="str">
        <f t="shared" ref="J237:J300" si="64">J75 &amp; " - Embedded Water Energy"</f>
        <v>Commercial Showerhead Replacement_2_00gpm_Commercial - Employee Shower_ Gas Water Heating_Direct Install - Embedded Water Energy</v>
      </c>
      <c r="K237" s="500"/>
      <c r="L237" s="501"/>
      <c r="M237" s="500"/>
      <c r="N237" s="500"/>
      <c r="O237" s="500"/>
      <c r="P237" s="502"/>
      <c r="Q237" s="503"/>
      <c r="R237" s="504"/>
      <c r="S237" s="505"/>
      <c r="T237" s="500"/>
      <c r="U237" s="500" t="str">
        <f t="shared" ref="U237:U300" si="65">U75</f>
        <v>Commercial Showerhead Replacement_2_00gpm_Commercial - Employee Shower_ Gas Water Heating_Direct Install</v>
      </c>
      <c r="V237" s="506" t="s">
        <v>604</v>
      </c>
      <c r="W237" s="502">
        <f t="shared" ref="W237:W300" si="66">P75</f>
        <v>3.6070212024000017</v>
      </c>
      <c r="X237" s="500">
        <v>10</v>
      </c>
      <c r="Y237" s="507">
        <v>0</v>
      </c>
      <c r="Z237" s="500"/>
      <c r="AA237" s="506" t="s">
        <v>605</v>
      </c>
      <c r="AB237" s="505">
        <v>0</v>
      </c>
      <c r="AC237" s="500"/>
      <c r="AD237" s="500"/>
      <c r="AE237" s="500"/>
      <c r="AF237" s="500"/>
      <c r="AG237" s="500"/>
      <c r="AH237" s="500"/>
      <c r="AI237" s="500">
        <v>0</v>
      </c>
      <c r="AJ237" s="506" t="s">
        <v>605</v>
      </c>
    </row>
    <row r="238" spans="6:36" hidden="1">
      <c r="F238" s="500" t="str">
        <f t="shared" si="63"/>
        <v>Commercial - Employee Shower</v>
      </c>
      <c r="G238" s="500" t="str">
        <f t="shared" si="63"/>
        <v>Direct Install</v>
      </c>
      <c r="H238" s="500" t="str">
        <f t="shared" si="63"/>
        <v>2_00</v>
      </c>
      <c r="I238" s="500" t="str">
        <f t="shared" si="63"/>
        <v>Any Water Heating</v>
      </c>
      <c r="J238" s="500" t="str">
        <f t="shared" si="64"/>
        <v>Commercial Showerhead Replacement_2_00gpm_Commercial - Employee Shower_ Any Water Heating_Direct Install - Embedded Water Energy</v>
      </c>
      <c r="K238" s="500"/>
      <c r="L238" s="501"/>
      <c r="M238" s="500"/>
      <c r="N238" s="500"/>
      <c r="O238" s="500"/>
      <c r="P238" s="502"/>
      <c r="Q238" s="503"/>
      <c r="R238" s="504"/>
      <c r="S238" s="505"/>
      <c r="T238" s="500"/>
      <c r="U238" s="500" t="str">
        <f t="shared" si="65"/>
        <v>Commercial Showerhead Replacement_2_00gpm_Commercial - Employee Shower_ Any Water Heating_Direct Install</v>
      </c>
      <c r="V238" s="506" t="s">
        <v>604</v>
      </c>
      <c r="W238" s="502">
        <f t="shared" si="66"/>
        <v>3.6070212024000017</v>
      </c>
      <c r="X238" s="500">
        <v>10</v>
      </c>
      <c r="Y238" s="507">
        <v>0</v>
      </c>
      <c r="Z238" s="500"/>
      <c r="AA238" s="506" t="s">
        <v>605</v>
      </c>
      <c r="AB238" s="505">
        <v>0</v>
      </c>
      <c r="AC238" s="500"/>
      <c r="AD238" s="500"/>
      <c r="AE238" s="500"/>
      <c r="AF238" s="500"/>
      <c r="AG238" s="500"/>
      <c r="AH238" s="500"/>
      <c r="AI238" s="500">
        <v>0</v>
      </c>
      <c r="AJ238" s="506" t="s">
        <v>605</v>
      </c>
    </row>
    <row r="239" spans="6:36" hidden="1">
      <c r="F239" s="500" t="str">
        <f t="shared" si="63"/>
        <v>Commercial - Employee Shower</v>
      </c>
      <c r="G239" s="500" t="str">
        <f t="shared" si="63"/>
        <v>Direct Install</v>
      </c>
      <c r="H239" s="500" t="str">
        <f t="shared" si="63"/>
        <v>1_75</v>
      </c>
      <c r="I239" s="500" t="str">
        <f t="shared" si="63"/>
        <v>Electric Water Heating</v>
      </c>
      <c r="J239" s="500" t="str">
        <f t="shared" si="64"/>
        <v>Commercial Showerhead Replacement_1_75gpm_Commercial - Employee Shower_ Electric Water Heating_Direct Install - Embedded Water Energy</v>
      </c>
      <c r="K239" s="500"/>
      <c r="L239" s="501"/>
      <c r="M239" s="500"/>
      <c r="N239" s="500"/>
      <c r="O239" s="500"/>
      <c r="P239" s="502"/>
      <c r="Q239" s="503"/>
      <c r="R239" s="504"/>
      <c r="S239" s="505"/>
      <c r="T239" s="500"/>
      <c r="U239" s="500" t="str">
        <f t="shared" si="65"/>
        <v>Commercial Showerhead Replacement_1_75gpm_Commercial - Employee Shower_ Electric Water Heating_Direct Install</v>
      </c>
      <c r="V239" s="506" t="s">
        <v>604</v>
      </c>
      <c r="W239" s="502">
        <f t="shared" si="66"/>
        <v>4.0578988527000011</v>
      </c>
      <c r="X239" s="500">
        <v>10</v>
      </c>
      <c r="Y239" s="507">
        <v>0</v>
      </c>
      <c r="Z239" s="500"/>
      <c r="AA239" s="506" t="s">
        <v>605</v>
      </c>
      <c r="AB239" s="505">
        <v>0</v>
      </c>
      <c r="AC239" s="500"/>
      <c r="AD239" s="500"/>
      <c r="AE239" s="500"/>
      <c r="AF239" s="500"/>
      <c r="AG239" s="500"/>
      <c r="AH239" s="500"/>
      <c r="AI239" s="500">
        <v>0</v>
      </c>
      <c r="AJ239" s="506" t="s">
        <v>605</v>
      </c>
    </row>
    <row r="240" spans="6:36" hidden="1">
      <c r="F240" s="500" t="str">
        <f t="shared" si="63"/>
        <v>Commercial - Employee Shower</v>
      </c>
      <c r="G240" s="500" t="str">
        <f t="shared" si="63"/>
        <v>Direct Install</v>
      </c>
      <c r="H240" s="500" t="str">
        <f t="shared" si="63"/>
        <v>1_75</v>
      </c>
      <c r="I240" s="500" t="str">
        <f t="shared" si="63"/>
        <v>Gas Water Heating</v>
      </c>
      <c r="J240" s="500" t="str">
        <f t="shared" si="64"/>
        <v>Commercial Showerhead Replacement_1_75gpm_Commercial - Employee Shower_ Gas Water Heating_Direct Install - Embedded Water Energy</v>
      </c>
      <c r="K240" s="500"/>
      <c r="L240" s="501"/>
      <c r="M240" s="500"/>
      <c r="N240" s="500"/>
      <c r="O240" s="500"/>
      <c r="P240" s="502"/>
      <c r="Q240" s="503"/>
      <c r="R240" s="504"/>
      <c r="S240" s="505"/>
      <c r="T240" s="500"/>
      <c r="U240" s="500" t="str">
        <f t="shared" si="65"/>
        <v>Commercial Showerhead Replacement_1_75gpm_Commercial - Employee Shower_ Gas Water Heating_Direct Install</v>
      </c>
      <c r="V240" s="506" t="s">
        <v>604</v>
      </c>
      <c r="W240" s="502">
        <f t="shared" si="66"/>
        <v>4.0578988527000011</v>
      </c>
      <c r="X240" s="500">
        <v>10</v>
      </c>
      <c r="Y240" s="507">
        <v>0</v>
      </c>
      <c r="Z240" s="500"/>
      <c r="AA240" s="506" t="s">
        <v>605</v>
      </c>
      <c r="AB240" s="505">
        <v>0</v>
      </c>
      <c r="AC240" s="500"/>
      <c r="AD240" s="500"/>
      <c r="AE240" s="500"/>
      <c r="AF240" s="500"/>
      <c r="AG240" s="500"/>
      <c r="AH240" s="500"/>
      <c r="AI240" s="500">
        <v>0</v>
      </c>
      <c r="AJ240" s="506" t="s">
        <v>605</v>
      </c>
    </row>
    <row r="241" spans="6:36" hidden="1">
      <c r="F241" s="500" t="str">
        <f t="shared" si="63"/>
        <v>Commercial - Employee Shower</v>
      </c>
      <c r="G241" s="500" t="str">
        <f t="shared" si="63"/>
        <v>Direct Install</v>
      </c>
      <c r="H241" s="500" t="str">
        <f t="shared" si="63"/>
        <v>1_75</v>
      </c>
      <c r="I241" s="500" t="str">
        <f t="shared" si="63"/>
        <v>Any Water Heating</v>
      </c>
      <c r="J241" s="500" t="str">
        <f t="shared" si="64"/>
        <v>Commercial Showerhead Replacement_1_75gpm_Commercial - Employee Shower_ Any Water Heating_Direct Install - Embedded Water Energy</v>
      </c>
      <c r="K241" s="500"/>
      <c r="L241" s="501"/>
      <c r="M241" s="500"/>
      <c r="N241" s="500"/>
      <c r="O241" s="500"/>
      <c r="P241" s="502"/>
      <c r="Q241" s="503"/>
      <c r="R241" s="504"/>
      <c r="S241" s="505"/>
      <c r="T241" s="500"/>
      <c r="U241" s="500" t="str">
        <f t="shared" si="65"/>
        <v>Commercial Showerhead Replacement_1_75gpm_Commercial - Employee Shower_ Any Water Heating_Direct Install</v>
      </c>
      <c r="V241" s="506" t="s">
        <v>604</v>
      </c>
      <c r="W241" s="502">
        <f t="shared" si="66"/>
        <v>4.0578988527000011</v>
      </c>
      <c r="X241" s="500">
        <v>10</v>
      </c>
      <c r="Y241" s="507">
        <v>0</v>
      </c>
      <c r="Z241" s="500"/>
      <c r="AA241" s="506" t="s">
        <v>605</v>
      </c>
      <c r="AB241" s="505">
        <v>0</v>
      </c>
      <c r="AC241" s="500"/>
      <c r="AD241" s="500"/>
      <c r="AE241" s="500"/>
      <c r="AF241" s="500"/>
      <c r="AG241" s="500"/>
      <c r="AH241" s="500"/>
      <c r="AI241" s="500">
        <v>0</v>
      </c>
      <c r="AJ241" s="506" t="s">
        <v>605</v>
      </c>
    </row>
    <row r="242" spans="6:36" hidden="1">
      <c r="F242" s="500" t="str">
        <f t="shared" si="63"/>
        <v>Commercial - Employee Shower</v>
      </c>
      <c r="G242" s="500" t="str">
        <f t="shared" si="63"/>
        <v>Direct Install</v>
      </c>
      <c r="H242" s="500" t="str">
        <f t="shared" si="63"/>
        <v>1_50</v>
      </c>
      <c r="I242" s="500" t="str">
        <f t="shared" si="63"/>
        <v>Electric Water Heating</v>
      </c>
      <c r="J242" s="500" t="str">
        <f t="shared" si="64"/>
        <v>Commercial Showerhead Replacement_1_50gpm_Commercial - Employee Shower_ Electric Water Heating_Direct Install - Embedded Water Energy</v>
      </c>
      <c r="K242" s="500"/>
      <c r="L242" s="501"/>
      <c r="M242" s="500"/>
      <c r="N242" s="500"/>
      <c r="O242" s="500"/>
      <c r="P242" s="502"/>
      <c r="Q242" s="503"/>
      <c r="R242" s="504"/>
      <c r="S242" s="505"/>
      <c r="T242" s="500"/>
      <c r="U242" s="500" t="str">
        <f t="shared" si="65"/>
        <v>Commercial Showerhead Replacement_1_50gpm_Commercial - Employee Shower_ Electric Water Heating_Direct Install</v>
      </c>
      <c r="V242" s="506" t="s">
        <v>604</v>
      </c>
      <c r="W242" s="502">
        <f t="shared" si="66"/>
        <v>6.3122871042000019</v>
      </c>
      <c r="X242" s="500">
        <v>10</v>
      </c>
      <c r="Y242" s="507">
        <v>0</v>
      </c>
      <c r="Z242" s="500"/>
      <c r="AA242" s="506" t="s">
        <v>605</v>
      </c>
      <c r="AB242" s="505">
        <v>0</v>
      </c>
      <c r="AC242" s="500"/>
      <c r="AD242" s="500"/>
      <c r="AE242" s="500"/>
      <c r="AF242" s="500"/>
      <c r="AG242" s="500"/>
      <c r="AH242" s="500"/>
      <c r="AI242" s="500">
        <v>0</v>
      </c>
      <c r="AJ242" s="506" t="s">
        <v>605</v>
      </c>
    </row>
    <row r="243" spans="6:36" hidden="1">
      <c r="F243" s="500" t="str">
        <f t="shared" si="63"/>
        <v>Commercial - Employee Shower</v>
      </c>
      <c r="G243" s="500" t="str">
        <f t="shared" si="63"/>
        <v>Direct Install</v>
      </c>
      <c r="H243" s="500" t="str">
        <f t="shared" si="63"/>
        <v>1_50</v>
      </c>
      <c r="I243" s="500" t="str">
        <f t="shared" si="63"/>
        <v>Gas Water Heating</v>
      </c>
      <c r="J243" s="500" t="str">
        <f t="shared" si="64"/>
        <v>Commercial Showerhead Replacement_1_50gpm_Commercial - Employee Shower_ Gas Water Heating_Direct Install - Embedded Water Energy</v>
      </c>
      <c r="K243" s="500"/>
      <c r="L243" s="501"/>
      <c r="M243" s="500"/>
      <c r="N243" s="500"/>
      <c r="O243" s="500"/>
      <c r="P243" s="502"/>
      <c r="Q243" s="503"/>
      <c r="R243" s="504"/>
      <c r="S243" s="505"/>
      <c r="T243" s="500"/>
      <c r="U243" s="500" t="str">
        <f t="shared" si="65"/>
        <v>Commercial Showerhead Replacement_1_50gpm_Commercial - Employee Shower_ Gas Water Heating_Direct Install</v>
      </c>
      <c r="V243" s="506" t="s">
        <v>604</v>
      </c>
      <c r="W243" s="502">
        <f t="shared" si="66"/>
        <v>6.3122871042000019</v>
      </c>
      <c r="X243" s="500">
        <v>10</v>
      </c>
      <c r="Y243" s="507">
        <v>0</v>
      </c>
      <c r="Z243" s="500"/>
      <c r="AA243" s="506" t="s">
        <v>605</v>
      </c>
      <c r="AB243" s="505">
        <v>0</v>
      </c>
      <c r="AC243" s="500"/>
      <c r="AD243" s="500"/>
      <c r="AE243" s="500"/>
      <c r="AF243" s="500"/>
      <c r="AG243" s="500"/>
      <c r="AH243" s="500"/>
      <c r="AI243" s="500">
        <v>0</v>
      </c>
      <c r="AJ243" s="506" t="s">
        <v>605</v>
      </c>
    </row>
    <row r="244" spans="6:36">
      <c r="F244" s="500" t="str">
        <f t="shared" si="63"/>
        <v>Commercial - Employee Shower</v>
      </c>
      <c r="G244" s="500" t="str">
        <f t="shared" si="63"/>
        <v>Direct Install</v>
      </c>
      <c r="H244" s="500" t="str">
        <f t="shared" si="63"/>
        <v>1_50</v>
      </c>
      <c r="I244" s="500" t="str">
        <f t="shared" si="63"/>
        <v>Any Water Heating</v>
      </c>
      <c r="J244" s="500" t="str">
        <f t="shared" si="64"/>
        <v>Commercial Showerhead Replacement_1_50gpm_Commercial - Employee Shower_ Any Water Heating_Direct Install - Embedded Water Energy</v>
      </c>
      <c r="K244" s="500"/>
      <c r="L244" s="501"/>
      <c r="M244" s="500"/>
      <c r="N244" s="500"/>
      <c r="O244" s="500"/>
      <c r="P244" s="502"/>
      <c r="Q244" s="503"/>
      <c r="R244" s="504"/>
      <c r="S244" s="505"/>
      <c r="T244" s="500"/>
      <c r="U244" s="500" t="str">
        <f t="shared" si="65"/>
        <v>Commercial Showerhead Replacement_1_50gpm_Commercial - Employee Shower_ Any Water Heating_Direct Install</v>
      </c>
      <c r="V244" s="506" t="s">
        <v>604</v>
      </c>
      <c r="W244" s="502">
        <f t="shared" si="66"/>
        <v>6.3122871042000019</v>
      </c>
      <c r="X244" s="500">
        <v>10</v>
      </c>
      <c r="Y244" s="507">
        <v>0</v>
      </c>
      <c r="Z244" s="500"/>
      <c r="AA244" s="506" t="s">
        <v>605</v>
      </c>
      <c r="AB244" s="505">
        <v>0</v>
      </c>
      <c r="AC244" s="500"/>
      <c r="AD244" s="500"/>
      <c r="AE244" s="500"/>
      <c r="AF244" s="500"/>
      <c r="AG244" s="500"/>
      <c r="AH244" s="500"/>
      <c r="AI244" s="500">
        <v>0</v>
      </c>
      <c r="AJ244" s="506" t="s">
        <v>605</v>
      </c>
    </row>
    <row r="245" spans="6:36" hidden="1">
      <c r="F245" s="500" t="str">
        <f t="shared" si="63"/>
        <v>Commercial - Employee Shower</v>
      </c>
      <c r="G245" s="500" t="str">
        <f t="shared" si="63"/>
        <v>Mail-by-Request</v>
      </c>
      <c r="H245" s="500" t="str">
        <f t="shared" si="63"/>
        <v>2_00</v>
      </c>
      <c r="I245" s="500" t="str">
        <f t="shared" si="63"/>
        <v>Electric Water Heating</v>
      </c>
      <c r="J245" s="500" t="str">
        <f t="shared" si="64"/>
        <v>Commercial Showerhead Replacement_2_00gpm_Commercial - Employee Shower_ Electric Water Heating_Mail-by-Request - Embedded Water Energy</v>
      </c>
      <c r="K245" s="500"/>
      <c r="L245" s="501"/>
      <c r="M245" s="500"/>
      <c r="N245" s="500"/>
      <c r="O245" s="500"/>
      <c r="P245" s="502"/>
      <c r="Q245" s="503"/>
      <c r="R245" s="504"/>
      <c r="S245" s="505"/>
      <c r="T245" s="500"/>
      <c r="U245" s="500" t="str">
        <f t="shared" si="65"/>
        <v>Commercial Showerhead Replacement_2_00gpm_Commercial - Employee Shower_ Electric Water Heating_Mail-by-Request</v>
      </c>
      <c r="V245" s="506" t="s">
        <v>604</v>
      </c>
      <c r="W245" s="502">
        <f t="shared" si="66"/>
        <v>2.404680801600001</v>
      </c>
      <c r="X245" s="500">
        <v>10</v>
      </c>
      <c r="Y245" s="507">
        <v>0</v>
      </c>
      <c r="Z245" s="500"/>
      <c r="AA245" s="506" t="s">
        <v>605</v>
      </c>
      <c r="AB245" s="505">
        <v>0</v>
      </c>
      <c r="AC245" s="500"/>
      <c r="AD245" s="500"/>
      <c r="AE245" s="500"/>
      <c r="AF245" s="500"/>
      <c r="AG245" s="500"/>
      <c r="AH245" s="500"/>
      <c r="AI245" s="500">
        <v>0</v>
      </c>
      <c r="AJ245" s="506" t="s">
        <v>605</v>
      </c>
    </row>
    <row r="246" spans="6:36" hidden="1">
      <c r="F246" s="500" t="str">
        <f t="shared" si="63"/>
        <v>Commercial - Employee Shower</v>
      </c>
      <c r="G246" s="500" t="str">
        <f t="shared" si="63"/>
        <v>Mail-by-Request</v>
      </c>
      <c r="H246" s="500" t="str">
        <f t="shared" si="63"/>
        <v>2_00</v>
      </c>
      <c r="I246" s="500" t="str">
        <f t="shared" si="63"/>
        <v>Gas Water Heating</v>
      </c>
      <c r="J246" s="500" t="str">
        <f t="shared" si="64"/>
        <v>Commercial Showerhead Replacement_2_00gpm_Commercial - Employee Shower_ Gas Water Heating_Mail-by-Request - Embedded Water Energy</v>
      </c>
      <c r="K246" s="500"/>
      <c r="L246" s="501"/>
      <c r="M246" s="500"/>
      <c r="N246" s="500"/>
      <c r="O246" s="500"/>
      <c r="P246" s="502"/>
      <c r="Q246" s="503"/>
      <c r="R246" s="504"/>
      <c r="S246" s="505"/>
      <c r="T246" s="500"/>
      <c r="U246" s="500" t="str">
        <f t="shared" si="65"/>
        <v>Commercial Showerhead Replacement_2_00gpm_Commercial - Employee Shower_ Gas Water Heating_Mail-by-Request</v>
      </c>
      <c r="V246" s="506" t="s">
        <v>604</v>
      </c>
      <c r="W246" s="502">
        <f t="shared" si="66"/>
        <v>2.404680801600001</v>
      </c>
      <c r="X246" s="500">
        <v>10</v>
      </c>
      <c r="Y246" s="507">
        <v>0</v>
      </c>
      <c r="Z246" s="500"/>
      <c r="AA246" s="506" t="s">
        <v>605</v>
      </c>
      <c r="AB246" s="505">
        <v>0</v>
      </c>
      <c r="AC246" s="500"/>
      <c r="AD246" s="500"/>
      <c r="AE246" s="500"/>
      <c r="AF246" s="500"/>
      <c r="AG246" s="500"/>
      <c r="AH246" s="500"/>
      <c r="AI246" s="500">
        <v>0</v>
      </c>
      <c r="AJ246" s="506" t="s">
        <v>605</v>
      </c>
    </row>
    <row r="247" spans="6:36" hidden="1">
      <c r="F247" s="500" t="str">
        <f t="shared" si="63"/>
        <v>Commercial - Employee Shower</v>
      </c>
      <c r="G247" s="500" t="str">
        <f t="shared" si="63"/>
        <v>Mail-by-Request</v>
      </c>
      <c r="H247" s="500" t="str">
        <f t="shared" si="63"/>
        <v>2_00</v>
      </c>
      <c r="I247" s="500" t="str">
        <f t="shared" si="63"/>
        <v>Any Water Heating</v>
      </c>
      <c r="J247" s="500" t="str">
        <f t="shared" si="64"/>
        <v>Commercial Showerhead Replacement_2_00gpm_Commercial - Employee Shower_ Any Water Heating_Mail-by-Request - Embedded Water Energy</v>
      </c>
      <c r="K247" s="500"/>
      <c r="L247" s="501"/>
      <c r="M247" s="500"/>
      <c r="N247" s="500"/>
      <c r="O247" s="500"/>
      <c r="P247" s="502"/>
      <c r="Q247" s="503"/>
      <c r="R247" s="504"/>
      <c r="S247" s="505"/>
      <c r="T247" s="500"/>
      <c r="U247" s="500" t="str">
        <f t="shared" si="65"/>
        <v>Commercial Showerhead Replacement_2_00gpm_Commercial - Employee Shower_ Any Water Heating_Mail-by-Request</v>
      </c>
      <c r="V247" s="506" t="s">
        <v>604</v>
      </c>
      <c r="W247" s="502">
        <f t="shared" si="66"/>
        <v>2.404680801600001</v>
      </c>
      <c r="X247" s="500">
        <v>10</v>
      </c>
      <c r="Y247" s="507">
        <v>0</v>
      </c>
      <c r="Z247" s="500"/>
      <c r="AA247" s="506" t="s">
        <v>605</v>
      </c>
      <c r="AB247" s="505">
        <v>0</v>
      </c>
      <c r="AC247" s="500"/>
      <c r="AD247" s="500"/>
      <c r="AE247" s="500"/>
      <c r="AF247" s="500"/>
      <c r="AG247" s="500"/>
      <c r="AH247" s="500"/>
      <c r="AI247" s="500">
        <v>0</v>
      </c>
      <c r="AJ247" s="506" t="s">
        <v>605</v>
      </c>
    </row>
    <row r="248" spans="6:36" hidden="1">
      <c r="F248" s="500" t="str">
        <f t="shared" si="63"/>
        <v>Commercial - Employee Shower</v>
      </c>
      <c r="G248" s="500" t="str">
        <f t="shared" si="63"/>
        <v>Mail-by-Request</v>
      </c>
      <c r="H248" s="500" t="str">
        <f t="shared" si="63"/>
        <v>1_75</v>
      </c>
      <c r="I248" s="500" t="str">
        <f t="shared" si="63"/>
        <v>Electric Water Heating</v>
      </c>
      <c r="J248" s="500" t="str">
        <f t="shared" si="64"/>
        <v>Commercial Showerhead Replacement_1_75gpm_Commercial - Employee Shower_ Electric Water Heating_Mail-by-Request - Embedded Water Energy</v>
      </c>
      <c r="K248" s="500"/>
      <c r="L248" s="501"/>
      <c r="M248" s="500"/>
      <c r="N248" s="500"/>
      <c r="O248" s="500"/>
      <c r="P248" s="502"/>
      <c r="Q248" s="503"/>
      <c r="R248" s="504"/>
      <c r="S248" s="505"/>
      <c r="T248" s="500"/>
      <c r="U248" s="500" t="str">
        <f t="shared" si="65"/>
        <v>Commercial Showerhead Replacement_1_75gpm_Commercial - Employee Shower_ Electric Water Heating_Mail-by-Request</v>
      </c>
      <c r="V248" s="506" t="s">
        <v>604</v>
      </c>
      <c r="W248" s="502">
        <f t="shared" si="66"/>
        <v>2.7052659018000003</v>
      </c>
      <c r="X248" s="500">
        <v>10</v>
      </c>
      <c r="Y248" s="507">
        <v>0</v>
      </c>
      <c r="Z248" s="500"/>
      <c r="AA248" s="506" t="s">
        <v>605</v>
      </c>
      <c r="AB248" s="505">
        <v>0</v>
      </c>
      <c r="AC248" s="500"/>
      <c r="AD248" s="500"/>
      <c r="AE248" s="500"/>
      <c r="AF248" s="500"/>
      <c r="AG248" s="500"/>
      <c r="AH248" s="500"/>
      <c r="AI248" s="500">
        <v>0</v>
      </c>
      <c r="AJ248" s="506" t="s">
        <v>605</v>
      </c>
    </row>
    <row r="249" spans="6:36" hidden="1">
      <c r="F249" s="500" t="str">
        <f t="shared" si="63"/>
        <v>Commercial - Employee Shower</v>
      </c>
      <c r="G249" s="500" t="str">
        <f t="shared" si="63"/>
        <v>Mail-by-Request</v>
      </c>
      <c r="H249" s="500" t="str">
        <f t="shared" si="63"/>
        <v>1_75</v>
      </c>
      <c r="I249" s="500" t="str">
        <f t="shared" si="63"/>
        <v>Gas Water Heating</v>
      </c>
      <c r="J249" s="500" t="str">
        <f t="shared" si="64"/>
        <v>Commercial Showerhead Replacement_1_75gpm_Commercial - Employee Shower_ Gas Water Heating_Mail-by-Request - Embedded Water Energy</v>
      </c>
      <c r="K249" s="500"/>
      <c r="L249" s="501"/>
      <c r="M249" s="500"/>
      <c r="N249" s="500"/>
      <c r="O249" s="500"/>
      <c r="P249" s="502"/>
      <c r="Q249" s="503"/>
      <c r="R249" s="504"/>
      <c r="S249" s="505"/>
      <c r="T249" s="500"/>
      <c r="U249" s="500" t="str">
        <f t="shared" si="65"/>
        <v>Commercial Showerhead Replacement_1_75gpm_Commercial - Employee Shower_ Gas Water Heating_Mail-by-Request</v>
      </c>
      <c r="V249" s="506" t="s">
        <v>604</v>
      </c>
      <c r="W249" s="502">
        <f t="shared" si="66"/>
        <v>2.7052659018000003</v>
      </c>
      <c r="X249" s="500">
        <v>10</v>
      </c>
      <c r="Y249" s="507">
        <v>0</v>
      </c>
      <c r="Z249" s="500"/>
      <c r="AA249" s="506" t="s">
        <v>605</v>
      </c>
      <c r="AB249" s="505">
        <v>0</v>
      </c>
      <c r="AC249" s="500"/>
      <c r="AD249" s="500"/>
      <c r="AE249" s="500"/>
      <c r="AF249" s="500"/>
      <c r="AG249" s="500"/>
      <c r="AH249" s="500"/>
      <c r="AI249" s="500">
        <v>0</v>
      </c>
      <c r="AJ249" s="506" t="s">
        <v>605</v>
      </c>
    </row>
    <row r="250" spans="6:36" hidden="1">
      <c r="F250" s="500" t="str">
        <f t="shared" si="63"/>
        <v>Commercial - Employee Shower</v>
      </c>
      <c r="G250" s="500" t="str">
        <f t="shared" si="63"/>
        <v>Mail-by-Request</v>
      </c>
      <c r="H250" s="500" t="str">
        <f t="shared" si="63"/>
        <v>1_75</v>
      </c>
      <c r="I250" s="500" t="str">
        <f t="shared" si="63"/>
        <v>Any Water Heating</v>
      </c>
      <c r="J250" s="500" t="str">
        <f t="shared" si="64"/>
        <v>Commercial Showerhead Replacement_1_75gpm_Commercial - Employee Shower_ Any Water Heating_Mail-by-Request - Embedded Water Energy</v>
      </c>
      <c r="K250" s="500"/>
      <c r="L250" s="501"/>
      <c r="M250" s="500"/>
      <c r="N250" s="500"/>
      <c r="O250" s="500"/>
      <c r="P250" s="502"/>
      <c r="Q250" s="503"/>
      <c r="R250" s="504"/>
      <c r="S250" s="505"/>
      <c r="T250" s="500"/>
      <c r="U250" s="500" t="str">
        <f t="shared" si="65"/>
        <v>Commercial Showerhead Replacement_1_75gpm_Commercial - Employee Shower_ Any Water Heating_Mail-by-Request</v>
      </c>
      <c r="V250" s="506" t="s">
        <v>604</v>
      </c>
      <c r="W250" s="502">
        <f t="shared" si="66"/>
        <v>2.7052659018000003</v>
      </c>
      <c r="X250" s="500">
        <v>10</v>
      </c>
      <c r="Y250" s="507">
        <v>0</v>
      </c>
      <c r="Z250" s="500"/>
      <c r="AA250" s="506" t="s">
        <v>605</v>
      </c>
      <c r="AB250" s="505">
        <v>0</v>
      </c>
      <c r="AC250" s="500"/>
      <c r="AD250" s="500"/>
      <c r="AE250" s="500"/>
      <c r="AF250" s="500"/>
      <c r="AG250" s="500"/>
      <c r="AH250" s="500"/>
      <c r="AI250" s="500">
        <v>0</v>
      </c>
      <c r="AJ250" s="506" t="s">
        <v>605</v>
      </c>
    </row>
    <row r="251" spans="6:36" hidden="1">
      <c r="F251" s="500" t="str">
        <f t="shared" si="63"/>
        <v>Commercial - Employee Shower</v>
      </c>
      <c r="G251" s="500" t="str">
        <f t="shared" si="63"/>
        <v>Mail-by-Request</v>
      </c>
      <c r="H251" s="500" t="str">
        <f t="shared" si="63"/>
        <v>1_50</v>
      </c>
      <c r="I251" s="500" t="str">
        <f t="shared" si="63"/>
        <v>Electric Water Heating</v>
      </c>
      <c r="J251" s="500" t="str">
        <f t="shared" si="64"/>
        <v>Commercial Showerhead Replacement_1_50gpm_Commercial - Employee Shower_ Electric Water Heating_Mail-by-Request - Embedded Water Energy</v>
      </c>
      <c r="K251" s="500"/>
      <c r="L251" s="501"/>
      <c r="M251" s="500"/>
      <c r="N251" s="500"/>
      <c r="O251" s="500"/>
      <c r="P251" s="502"/>
      <c r="Q251" s="503"/>
      <c r="R251" s="504"/>
      <c r="S251" s="505"/>
      <c r="T251" s="500"/>
      <c r="U251" s="500" t="str">
        <f t="shared" si="65"/>
        <v>Commercial Showerhead Replacement_1_50gpm_Commercial - Employee Shower_ Electric Water Heating_Mail-by-Request</v>
      </c>
      <c r="V251" s="506" t="s">
        <v>604</v>
      </c>
      <c r="W251" s="502">
        <f t="shared" si="66"/>
        <v>4.2081914028000007</v>
      </c>
      <c r="X251" s="500">
        <v>10</v>
      </c>
      <c r="Y251" s="507">
        <v>0</v>
      </c>
      <c r="Z251" s="500"/>
      <c r="AA251" s="506" t="s">
        <v>605</v>
      </c>
      <c r="AB251" s="505">
        <v>0</v>
      </c>
      <c r="AC251" s="500"/>
      <c r="AD251" s="500"/>
      <c r="AE251" s="500"/>
      <c r="AF251" s="500"/>
      <c r="AG251" s="500"/>
      <c r="AH251" s="500"/>
      <c r="AI251" s="500">
        <v>0</v>
      </c>
      <c r="AJ251" s="506" t="s">
        <v>605</v>
      </c>
    </row>
    <row r="252" spans="6:36" hidden="1">
      <c r="F252" s="500" t="str">
        <f t="shared" si="63"/>
        <v>Commercial - Employee Shower</v>
      </c>
      <c r="G252" s="500" t="str">
        <f t="shared" si="63"/>
        <v>Mail-by-Request</v>
      </c>
      <c r="H252" s="500" t="str">
        <f t="shared" si="63"/>
        <v>1_50</v>
      </c>
      <c r="I252" s="500" t="str">
        <f t="shared" si="63"/>
        <v>Gas Water Heating</v>
      </c>
      <c r="J252" s="500" t="str">
        <f t="shared" si="64"/>
        <v>Commercial Showerhead Replacement_1_50gpm_Commercial - Employee Shower_ Gas Water Heating_Mail-by-Request - Embedded Water Energy</v>
      </c>
      <c r="K252" s="500"/>
      <c r="L252" s="501"/>
      <c r="M252" s="500"/>
      <c r="N252" s="500"/>
      <c r="O252" s="500"/>
      <c r="P252" s="502"/>
      <c r="Q252" s="503"/>
      <c r="R252" s="504"/>
      <c r="S252" s="505"/>
      <c r="T252" s="500"/>
      <c r="U252" s="500" t="str">
        <f t="shared" si="65"/>
        <v>Commercial Showerhead Replacement_1_50gpm_Commercial - Employee Shower_ Gas Water Heating_Mail-by-Request</v>
      </c>
      <c r="V252" s="506" t="s">
        <v>604</v>
      </c>
      <c r="W252" s="502">
        <f t="shared" si="66"/>
        <v>4.2081914028000007</v>
      </c>
      <c r="X252" s="500">
        <v>10</v>
      </c>
      <c r="Y252" s="507">
        <v>0</v>
      </c>
      <c r="Z252" s="500"/>
      <c r="AA252" s="506" t="s">
        <v>605</v>
      </c>
      <c r="AB252" s="505">
        <v>0</v>
      </c>
      <c r="AC252" s="500"/>
      <c r="AD252" s="500"/>
      <c r="AE252" s="500"/>
      <c r="AF252" s="500"/>
      <c r="AG252" s="500"/>
      <c r="AH252" s="500"/>
      <c r="AI252" s="500">
        <v>0</v>
      </c>
      <c r="AJ252" s="506" t="s">
        <v>605</v>
      </c>
    </row>
    <row r="253" spans="6:36" hidden="1">
      <c r="F253" s="500" t="str">
        <f t="shared" ref="F253:I268" si="67">F91</f>
        <v>Commercial - Employee Shower</v>
      </c>
      <c r="G253" s="500" t="str">
        <f t="shared" si="67"/>
        <v>Mail-by-Request</v>
      </c>
      <c r="H253" s="500" t="str">
        <f t="shared" si="67"/>
        <v>1_50</v>
      </c>
      <c r="I253" s="500" t="str">
        <f t="shared" si="67"/>
        <v>Any Water Heating</v>
      </c>
      <c r="J253" s="500" t="str">
        <f t="shared" si="64"/>
        <v>Commercial Showerhead Replacement_1_50gpm_Commercial - Employee Shower_ Any Water Heating_Mail-by-Request - Embedded Water Energy</v>
      </c>
      <c r="K253" s="500"/>
      <c r="L253" s="501"/>
      <c r="M253" s="500"/>
      <c r="N253" s="500"/>
      <c r="O253" s="500"/>
      <c r="P253" s="502"/>
      <c r="Q253" s="503"/>
      <c r="R253" s="504"/>
      <c r="S253" s="505"/>
      <c r="T253" s="500"/>
      <c r="U253" s="500" t="str">
        <f t="shared" si="65"/>
        <v>Commercial Showerhead Replacement_1_50gpm_Commercial - Employee Shower_ Any Water Heating_Mail-by-Request</v>
      </c>
      <c r="V253" s="506" t="s">
        <v>604</v>
      </c>
      <c r="W253" s="502">
        <f t="shared" si="66"/>
        <v>4.2081914028000007</v>
      </c>
      <c r="X253" s="500">
        <v>10</v>
      </c>
      <c r="Y253" s="507">
        <v>0</v>
      </c>
      <c r="Z253" s="500"/>
      <c r="AA253" s="506" t="s">
        <v>605</v>
      </c>
      <c r="AB253" s="505">
        <v>0</v>
      </c>
      <c r="AC253" s="500"/>
      <c r="AD253" s="500"/>
      <c r="AE253" s="500"/>
      <c r="AF253" s="500"/>
      <c r="AG253" s="500"/>
      <c r="AH253" s="500"/>
      <c r="AI253" s="500">
        <v>0</v>
      </c>
      <c r="AJ253" s="506" t="s">
        <v>605</v>
      </c>
    </row>
    <row r="254" spans="6:36" hidden="1">
      <c r="F254" s="500" t="str">
        <f t="shared" si="67"/>
        <v>School</v>
      </c>
      <c r="G254" s="500" t="str">
        <f t="shared" si="67"/>
        <v>Retail</v>
      </c>
      <c r="H254" s="500" t="str">
        <f t="shared" si="67"/>
        <v>2_00</v>
      </c>
      <c r="I254" s="500" t="str">
        <f t="shared" si="67"/>
        <v>Electric Water Heating</v>
      </c>
      <c r="J254" s="500" t="str">
        <f t="shared" si="64"/>
        <v>Commercial Showerhead Replacement_2_00gpm_School_ Electric Water Heating_Retail - Embedded Water Energy</v>
      </c>
      <c r="K254" s="500"/>
      <c r="L254" s="501"/>
      <c r="M254" s="500"/>
      <c r="N254" s="500"/>
      <c r="O254" s="500"/>
      <c r="P254" s="502"/>
      <c r="Q254" s="503"/>
      <c r="R254" s="504"/>
      <c r="S254" s="505"/>
      <c r="T254" s="500"/>
      <c r="U254" s="500" t="str">
        <f t="shared" si="65"/>
        <v>Commercial Showerhead Replacement_2_00gpm_School_ Electric Water Heating_Retail</v>
      </c>
      <c r="V254" s="506" t="s">
        <v>604</v>
      </c>
      <c r="W254" s="502">
        <f t="shared" si="66"/>
        <v>3.482794258373207</v>
      </c>
      <c r="X254" s="500">
        <v>10</v>
      </c>
      <c r="Y254" s="507">
        <v>0</v>
      </c>
      <c r="Z254" s="500"/>
      <c r="AA254" s="506" t="s">
        <v>605</v>
      </c>
      <c r="AB254" s="505">
        <v>0</v>
      </c>
      <c r="AC254" s="500"/>
      <c r="AD254" s="500"/>
      <c r="AE254" s="500"/>
      <c r="AF254" s="500"/>
      <c r="AG254" s="500"/>
      <c r="AH254" s="500"/>
      <c r="AI254" s="500">
        <v>0</v>
      </c>
      <c r="AJ254" s="506" t="s">
        <v>605</v>
      </c>
    </row>
    <row r="255" spans="6:36" hidden="1">
      <c r="F255" s="500" t="str">
        <f t="shared" si="67"/>
        <v>School</v>
      </c>
      <c r="G255" s="500" t="str">
        <f t="shared" si="67"/>
        <v>Retail</v>
      </c>
      <c r="H255" s="500" t="str">
        <f t="shared" si="67"/>
        <v>2_00</v>
      </c>
      <c r="I255" s="500" t="str">
        <f t="shared" si="67"/>
        <v>Gas Water Heating</v>
      </c>
      <c r="J255" s="500" t="str">
        <f t="shared" si="64"/>
        <v>Commercial Showerhead Replacement_2_00gpm_School_ Gas Water Heating_Retail - Embedded Water Energy</v>
      </c>
      <c r="K255" s="500"/>
      <c r="L255" s="501"/>
      <c r="M255" s="500"/>
      <c r="N255" s="500"/>
      <c r="O255" s="500"/>
      <c r="P255" s="502"/>
      <c r="Q255" s="503"/>
      <c r="R255" s="504"/>
      <c r="S255" s="505"/>
      <c r="T255" s="500"/>
      <c r="U255" s="500" t="str">
        <f t="shared" si="65"/>
        <v>Commercial Showerhead Replacement_2_00gpm_School_ Gas Water Heating_Retail</v>
      </c>
      <c r="V255" s="506" t="s">
        <v>604</v>
      </c>
      <c r="W255" s="502">
        <f t="shared" si="66"/>
        <v>3.482794258373207</v>
      </c>
      <c r="X255" s="500">
        <v>10</v>
      </c>
      <c r="Y255" s="507">
        <v>0</v>
      </c>
      <c r="Z255" s="500"/>
      <c r="AA255" s="506" t="s">
        <v>605</v>
      </c>
      <c r="AB255" s="505">
        <v>0</v>
      </c>
      <c r="AC255" s="500"/>
      <c r="AD255" s="500"/>
      <c r="AE255" s="500"/>
      <c r="AF255" s="500"/>
      <c r="AG255" s="500"/>
      <c r="AH255" s="500"/>
      <c r="AI255" s="500">
        <v>0</v>
      </c>
      <c r="AJ255" s="506" t="s">
        <v>605</v>
      </c>
    </row>
    <row r="256" spans="6:36" hidden="1">
      <c r="F256" s="500" t="str">
        <f t="shared" si="67"/>
        <v>School</v>
      </c>
      <c r="G256" s="500" t="str">
        <f t="shared" si="67"/>
        <v>Retail</v>
      </c>
      <c r="H256" s="500" t="str">
        <f t="shared" si="67"/>
        <v>2_00</v>
      </c>
      <c r="I256" s="500" t="str">
        <f t="shared" si="67"/>
        <v>Any Water Heating</v>
      </c>
      <c r="J256" s="500" t="str">
        <f t="shared" si="64"/>
        <v>Commercial Showerhead Replacement_2_00gpm_School_ Any Water Heating_Retail - Embedded Water Energy</v>
      </c>
      <c r="K256" s="500"/>
      <c r="L256" s="501"/>
      <c r="M256" s="500"/>
      <c r="N256" s="500"/>
      <c r="O256" s="500"/>
      <c r="P256" s="502"/>
      <c r="Q256" s="503"/>
      <c r="R256" s="504"/>
      <c r="S256" s="505"/>
      <c r="T256" s="500"/>
      <c r="U256" s="500" t="str">
        <f t="shared" si="65"/>
        <v>Commercial Showerhead Replacement_2_00gpm_School_ Any Water Heating_Retail</v>
      </c>
      <c r="V256" s="506" t="s">
        <v>604</v>
      </c>
      <c r="W256" s="502">
        <f t="shared" si="66"/>
        <v>3.482794258373207</v>
      </c>
      <c r="X256" s="500">
        <v>10</v>
      </c>
      <c r="Y256" s="507">
        <v>0</v>
      </c>
      <c r="Z256" s="500"/>
      <c r="AA256" s="506" t="s">
        <v>605</v>
      </c>
      <c r="AB256" s="505">
        <v>0</v>
      </c>
      <c r="AC256" s="500"/>
      <c r="AD256" s="500"/>
      <c r="AE256" s="500"/>
      <c r="AF256" s="500"/>
      <c r="AG256" s="500"/>
      <c r="AH256" s="500"/>
      <c r="AI256" s="500">
        <v>0</v>
      </c>
      <c r="AJ256" s="506" t="s">
        <v>605</v>
      </c>
    </row>
    <row r="257" spans="6:36" hidden="1">
      <c r="F257" s="500" t="str">
        <f t="shared" si="67"/>
        <v>School</v>
      </c>
      <c r="G257" s="500" t="str">
        <f t="shared" si="67"/>
        <v>Retail</v>
      </c>
      <c r="H257" s="500" t="str">
        <f t="shared" si="67"/>
        <v>1_75</v>
      </c>
      <c r="I257" s="500" t="str">
        <f t="shared" si="67"/>
        <v>Electric Water Heating</v>
      </c>
      <c r="J257" s="500" t="str">
        <f t="shared" si="64"/>
        <v>Commercial Showerhead Replacement_1_75gpm_School_ Electric Water Heating_Retail - Embedded Water Energy</v>
      </c>
      <c r="K257" s="500"/>
      <c r="L257" s="501"/>
      <c r="M257" s="500"/>
      <c r="N257" s="500"/>
      <c r="O257" s="500"/>
      <c r="P257" s="502"/>
      <c r="Q257" s="503"/>
      <c r="R257" s="504"/>
      <c r="S257" s="505"/>
      <c r="T257" s="500"/>
      <c r="U257" s="500" t="str">
        <f t="shared" si="65"/>
        <v>Commercial Showerhead Replacement_1_75gpm_School_ Electric Water Heating_Retail</v>
      </c>
      <c r="V257" s="506" t="s">
        <v>604</v>
      </c>
      <c r="W257" s="502">
        <f t="shared" si="66"/>
        <v>3.6732595693779908</v>
      </c>
      <c r="X257" s="500">
        <v>10</v>
      </c>
      <c r="Y257" s="507">
        <v>0</v>
      </c>
      <c r="Z257" s="500"/>
      <c r="AA257" s="506" t="s">
        <v>605</v>
      </c>
      <c r="AB257" s="505">
        <v>0</v>
      </c>
      <c r="AC257" s="500"/>
      <c r="AD257" s="500"/>
      <c r="AE257" s="500"/>
      <c r="AF257" s="500"/>
      <c r="AG257" s="500"/>
      <c r="AH257" s="500"/>
      <c r="AI257" s="500">
        <v>0</v>
      </c>
      <c r="AJ257" s="506" t="s">
        <v>605</v>
      </c>
    </row>
    <row r="258" spans="6:36" hidden="1">
      <c r="F258" s="500" t="str">
        <f t="shared" si="67"/>
        <v>School</v>
      </c>
      <c r="G258" s="500" t="str">
        <f t="shared" si="67"/>
        <v>Retail</v>
      </c>
      <c r="H258" s="500" t="str">
        <f t="shared" si="67"/>
        <v>1_75</v>
      </c>
      <c r="I258" s="500" t="str">
        <f t="shared" si="67"/>
        <v>Gas Water Heating</v>
      </c>
      <c r="J258" s="500" t="str">
        <f t="shared" si="64"/>
        <v>Commercial Showerhead Replacement_1_75gpm_School_ Gas Water Heating_Retail - Embedded Water Energy</v>
      </c>
      <c r="K258" s="500"/>
      <c r="L258" s="501"/>
      <c r="M258" s="500"/>
      <c r="N258" s="500"/>
      <c r="O258" s="500"/>
      <c r="P258" s="502"/>
      <c r="Q258" s="503"/>
      <c r="R258" s="504"/>
      <c r="S258" s="505"/>
      <c r="T258" s="500"/>
      <c r="U258" s="500" t="str">
        <f t="shared" si="65"/>
        <v>Commercial Showerhead Replacement_1_75gpm_School_ Gas Water Heating_Retail</v>
      </c>
      <c r="V258" s="506" t="s">
        <v>604</v>
      </c>
      <c r="W258" s="502">
        <f t="shared" si="66"/>
        <v>3.6732595693779908</v>
      </c>
      <c r="X258" s="500">
        <v>10</v>
      </c>
      <c r="Y258" s="507">
        <v>0</v>
      </c>
      <c r="Z258" s="500"/>
      <c r="AA258" s="506" t="s">
        <v>605</v>
      </c>
      <c r="AB258" s="505">
        <v>0</v>
      </c>
      <c r="AC258" s="500"/>
      <c r="AD258" s="500"/>
      <c r="AE258" s="500"/>
      <c r="AF258" s="500"/>
      <c r="AG258" s="500"/>
      <c r="AH258" s="500"/>
      <c r="AI258" s="500">
        <v>0</v>
      </c>
      <c r="AJ258" s="506" t="s">
        <v>605</v>
      </c>
    </row>
    <row r="259" spans="6:36" hidden="1">
      <c r="F259" s="500" t="str">
        <f t="shared" si="67"/>
        <v>School</v>
      </c>
      <c r="G259" s="500" t="str">
        <f t="shared" si="67"/>
        <v>Retail</v>
      </c>
      <c r="H259" s="500" t="str">
        <f t="shared" si="67"/>
        <v>1_75</v>
      </c>
      <c r="I259" s="500" t="str">
        <f t="shared" si="67"/>
        <v>Any Water Heating</v>
      </c>
      <c r="J259" s="500" t="str">
        <f t="shared" si="64"/>
        <v>Commercial Showerhead Replacement_1_75gpm_School_ Any Water Heating_Retail - Embedded Water Energy</v>
      </c>
      <c r="K259" s="500"/>
      <c r="L259" s="501"/>
      <c r="M259" s="500"/>
      <c r="N259" s="500"/>
      <c r="O259" s="500"/>
      <c r="P259" s="502"/>
      <c r="Q259" s="503"/>
      <c r="R259" s="504"/>
      <c r="S259" s="505"/>
      <c r="T259" s="500"/>
      <c r="U259" s="500" t="str">
        <f t="shared" si="65"/>
        <v>Commercial Showerhead Replacement_1_75gpm_School_ Any Water Heating_Retail</v>
      </c>
      <c r="V259" s="506" t="s">
        <v>604</v>
      </c>
      <c r="W259" s="502">
        <f t="shared" si="66"/>
        <v>3.6732595693779908</v>
      </c>
      <c r="X259" s="500">
        <v>10</v>
      </c>
      <c r="Y259" s="507">
        <v>0</v>
      </c>
      <c r="Z259" s="500"/>
      <c r="AA259" s="506" t="s">
        <v>605</v>
      </c>
      <c r="AB259" s="505">
        <v>0</v>
      </c>
      <c r="AC259" s="500"/>
      <c r="AD259" s="500"/>
      <c r="AE259" s="500"/>
      <c r="AF259" s="500"/>
      <c r="AG259" s="500"/>
      <c r="AH259" s="500"/>
      <c r="AI259" s="500">
        <v>0</v>
      </c>
      <c r="AJ259" s="506" t="s">
        <v>605</v>
      </c>
    </row>
    <row r="260" spans="6:36" hidden="1">
      <c r="F260" s="500" t="str">
        <f t="shared" si="67"/>
        <v>School</v>
      </c>
      <c r="G260" s="500" t="str">
        <f t="shared" si="67"/>
        <v>Retail</v>
      </c>
      <c r="H260" s="500" t="str">
        <f t="shared" si="67"/>
        <v>1_50</v>
      </c>
      <c r="I260" s="500" t="str">
        <f t="shared" si="67"/>
        <v>Electric Water Heating</v>
      </c>
      <c r="J260" s="500" t="str">
        <f t="shared" si="64"/>
        <v>Commercial Showerhead Replacement_1_50gpm_School_ Electric Water Heating_Retail - Embedded Water Energy</v>
      </c>
      <c r="K260" s="500"/>
      <c r="L260" s="501"/>
      <c r="M260" s="500"/>
      <c r="N260" s="500"/>
      <c r="O260" s="500"/>
      <c r="P260" s="502"/>
      <c r="Q260" s="503"/>
      <c r="R260" s="504"/>
      <c r="S260" s="505"/>
      <c r="T260" s="500"/>
      <c r="U260" s="500" t="str">
        <f t="shared" si="65"/>
        <v>Commercial Showerhead Replacement_1_50gpm_School_ Electric Water Heating_Retail</v>
      </c>
      <c r="V260" s="506" t="s">
        <v>604</v>
      </c>
      <c r="W260" s="502">
        <f t="shared" si="66"/>
        <v>5.3330287081339716</v>
      </c>
      <c r="X260" s="500">
        <v>10</v>
      </c>
      <c r="Y260" s="507">
        <v>0</v>
      </c>
      <c r="Z260" s="500"/>
      <c r="AA260" s="506" t="s">
        <v>605</v>
      </c>
      <c r="AB260" s="505">
        <v>0</v>
      </c>
      <c r="AC260" s="500"/>
      <c r="AD260" s="500"/>
      <c r="AE260" s="500"/>
      <c r="AF260" s="500"/>
      <c r="AG260" s="500"/>
      <c r="AH260" s="500"/>
      <c r="AI260" s="500">
        <v>0</v>
      </c>
      <c r="AJ260" s="506" t="s">
        <v>605</v>
      </c>
    </row>
    <row r="261" spans="6:36" hidden="1">
      <c r="F261" s="500" t="str">
        <f t="shared" si="67"/>
        <v>School</v>
      </c>
      <c r="G261" s="500" t="str">
        <f t="shared" si="67"/>
        <v>Retail</v>
      </c>
      <c r="H261" s="500" t="str">
        <f t="shared" si="67"/>
        <v>1_50</v>
      </c>
      <c r="I261" s="500" t="str">
        <f t="shared" si="67"/>
        <v>Gas Water Heating</v>
      </c>
      <c r="J261" s="500" t="str">
        <f t="shared" si="64"/>
        <v>Commercial Showerhead Replacement_1_50gpm_School_ Gas Water Heating_Retail - Embedded Water Energy</v>
      </c>
      <c r="K261" s="500"/>
      <c r="L261" s="501"/>
      <c r="M261" s="500"/>
      <c r="N261" s="500"/>
      <c r="O261" s="500"/>
      <c r="P261" s="502"/>
      <c r="Q261" s="503"/>
      <c r="R261" s="504"/>
      <c r="S261" s="505"/>
      <c r="T261" s="500"/>
      <c r="U261" s="500" t="str">
        <f t="shared" si="65"/>
        <v>Commercial Showerhead Replacement_1_50gpm_School_ Gas Water Heating_Retail</v>
      </c>
      <c r="V261" s="506" t="s">
        <v>604</v>
      </c>
      <c r="W261" s="502">
        <f t="shared" si="66"/>
        <v>5.3330287081339716</v>
      </c>
      <c r="X261" s="500">
        <v>10</v>
      </c>
      <c r="Y261" s="507">
        <v>0</v>
      </c>
      <c r="Z261" s="500"/>
      <c r="AA261" s="506" t="s">
        <v>605</v>
      </c>
      <c r="AB261" s="505">
        <v>0</v>
      </c>
      <c r="AC261" s="500"/>
      <c r="AD261" s="500"/>
      <c r="AE261" s="500"/>
      <c r="AF261" s="500"/>
      <c r="AG261" s="500"/>
      <c r="AH261" s="500"/>
      <c r="AI261" s="500">
        <v>0</v>
      </c>
      <c r="AJ261" s="506" t="s">
        <v>605</v>
      </c>
    </row>
    <row r="262" spans="6:36" hidden="1">
      <c r="F262" s="500" t="str">
        <f t="shared" si="67"/>
        <v>School</v>
      </c>
      <c r="G262" s="500" t="str">
        <f t="shared" si="67"/>
        <v>Retail</v>
      </c>
      <c r="H262" s="500" t="str">
        <f t="shared" si="67"/>
        <v>1_50</v>
      </c>
      <c r="I262" s="500" t="str">
        <f t="shared" si="67"/>
        <v>Any Water Heating</v>
      </c>
      <c r="J262" s="500" t="str">
        <f t="shared" si="64"/>
        <v>Commercial Showerhead Replacement_1_50gpm_School_ Any Water Heating_Retail - Embedded Water Energy</v>
      </c>
      <c r="K262" s="500"/>
      <c r="L262" s="501"/>
      <c r="M262" s="500"/>
      <c r="N262" s="500"/>
      <c r="O262" s="500"/>
      <c r="P262" s="502"/>
      <c r="Q262" s="503"/>
      <c r="R262" s="504"/>
      <c r="S262" s="505"/>
      <c r="T262" s="500"/>
      <c r="U262" s="500" t="str">
        <f t="shared" si="65"/>
        <v>Commercial Showerhead Replacement_1_50gpm_School_ Any Water Heating_Retail</v>
      </c>
      <c r="V262" s="506" t="s">
        <v>604</v>
      </c>
      <c r="W262" s="502">
        <f t="shared" si="66"/>
        <v>5.3330287081339716</v>
      </c>
      <c r="X262" s="500">
        <v>10</v>
      </c>
      <c r="Y262" s="507">
        <v>0</v>
      </c>
      <c r="Z262" s="500"/>
      <c r="AA262" s="506" t="s">
        <v>605</v>
      </c>
      <c r="AB262" s="505">
        <v>0</v>
      </c>
      <c r="AC262" s="500"/>
      <c r="AD262" s="500"/>
      <c r="AE262" s="500"/>
      <c r="AF262" s="500"/>
      <c r="AG262" s="500"/>
      <c r="AH262" s="500"/>
      <c r="AI262" s="500">
        <v>0</v>
      </c>
      <c r="AJ262" s="506" t="s">
        <v>605</v>
      </c>
    </row>
    <row r="263" spans="6:36" hidden="1">
      <c r="F263" s="500" t="str">
        <f t="shared" si="67"/>
        <v>School</v>
      </c>
      <c r="G263" s="500" t="str">
        <f t="shared" si="67"/>
        <v>Direct Install</v>
      </c>
      <c r="H263" s="500" t="str">
        <f t="shared" si="67"/>
        <v>2_00</v>
      </c>
      <c r="I263" s="500" t="str">
        <f t="shared" si="67"/>
        <v>Electric Water Heating</v>
      </c>
      <c r="J263" s="500" t="str">
        <f t="shared" si="64"/>
        <v>Commercial Showerhead Replacement_2_00gpm_School_ Electric Water Heating_Direct Install - Embedded Water Energy</v>
      </c>
      <c r="K263" s="500"/>
      <c r="L263" s="501"/>
      <c r="M263" s="500"/>
      <c r="N263" s="500"/>
      <c r="O263" s="500"/>
      <c r="P263" s="502"/>
      <c r="Q263" s="503"/>
      <c r="R263" s="504"/>
      <c r="S263" s="505"/>
      <c r="T263" s="500"/>
      <c r="U263" s="500" t="str">
        <f t="shared" si="65"/>
        <v>Commercial Showerhead Replacement_2_00gpm_School_ Electric Water Heating_Direct Install</v>
      </c>
      <c r="V263" s="506" t="s">
        <v>604</v>
      </c>
      <c r="W263" s="502">
        <f t="shared" si="66"/>
        <v>3.9181435406698575</v>
      </c>
      <c r="X263" s="500">
        <v>10</v>
      </c>
      <c r="Y263" s="507">
        <v>0</v>
      </c>
      <c r="Z263" s="500"/>
      <c r="AA263" s="506" t="s">
        <v>605</v>
      </c>
      <c r="AB263" s="505">
        <v>0</v>
      </c>
      <c r="AC263" s="500"/>
      <c r="AD263" s="500"/>
      <c r="AE263" s="500"/>
      <c r="AF263" s="500"/>
      <c r="AG263" s="500"/>
      <c r="AH263" s="500"/>
      <c r="AI263" s="500">
        <v>0</v>
      </c>
      <c r="AJ263" s="506" t="s">
        <v>605</v>
      </c>
    </row>
    <row r="264" spans="6:36" hidden="1">
      <c r="F264" s="500" t="str">
        <f t="shared" si="67"/>
        <v>School</v>
      </c>
      <c r="G264" s="500" t="str">
        <f t="shared" si="67"/>
        <v>Direct Install</v>
      </c>
      <c r="H264" s="500" t="str">
        <f t="shared" si="67"/>
        <v>2_00</v>
      </c>
      <c r="I264" s="500" t="str">
        <f t="shared" si="67"/>
        <v>Gas Water Heating</v>
      </c>
      <c r="J264" s="500" t="str">
        <f t="shared" si="64"/>
        <v>Commercial Showerhead Replacement_2_00gpm_School_ Gas Water Heating_Direct Install - Embedded Water Energy</v>
      </c>
      <c r="K264" s="500"/>
      <c r="L264" s="501"/>
      <c r="M264" s="500"/>
      <c r="N264" s="500"/>
      <c r="O264" s="500"/>
      <c r="P264" s="502"/>
      <c r="Q264" s="503"/>
      <c r="R264" s="504"/>
      <c r="S264" s="505"/>
      <c r="T264" s="500"/>
      <c r="U264" s="500" t="str">
        <f t="shared" si="65"/>
        <v>Commercial Showerhead Replacement_2_00gpm_School_ Gas Water Heating_Direct Install</v>
      </c>
      <c r="V264" s="506" t="s">
        <v>604</v>
      </c>
      <c r="W264" s="502">
        <f t="shared" si="66"/>
        <v>3.9181435406698575</v>
      </c>
      <c r="X264" s="500">
        <v>10</v>
      </c>
      <c r="Y264" s="507">
        <v>0</v>
      </c>
      <c r="Z264" s="500"/>
      <c r="AA264" s="506" t="s">
        <v>605</v>
      </c>
      <c r="AB264" s="505">
        <v>0</v>
      </c>
      <c r="AC264" s="500"/>
      <c r="AD264" s="500"/>
      <c r="AE264" s="500"/>
      <c r="AF264" s="500"/>
      <c r="AG264" s="500"/>
      <c r="AH264" s="500"/>
      <c r="AI264" s="500">
        <v>0</v>
      </c>
      <c r="AJ264" s="506" t="s">
        <v>605</v>
      </c>
    </row>
    <row r="265" spans="6:36" hidden="1">
      <c r="F265" s="500" t="str">
        <f t="shared" si="67"/>
        <v>School</v>
      </c>
      <c r="G265" s="500" t="str">
        <f t="shared" si="67"/>
        <v>Direct Install</v>
      </c>
      <c r="H265" s="500" t="str">
        <f t="shared" si="67"/>
        <v>2_00</v>
      </c>
      <c r="I265" s="500" t="str">
        <f t="shared" si="67"/>
        <v>Any Water Heating</v>
      </c>
      <c r="J265" s="500" t="str">
        <f t="shared" si="64"/>
        <v>Commercial Showerhead Replacement_2_00gpm_School_ Any Water Heating_Direct Install - Embedded Water Energy</v>
      </c>
      <c r="K265" s="500"/>
      <c r="L265" s="501"/>
      <c r="M265" s="500"/>
      <c r="N265" s="500"/>
      <c r="O265" s="500"/>
      <c r="P265" s="502"/>
      <c r="Q265" s="503"/>
      <c r="R265" s="504"/>
      <c r="S265" s="505"/>
      <c r="T265" s="500"/>
      <c r="U265" s="500" t="str">
        <f t="shared" si="65"/>
        <v>Commercial Showerhead Replacement_2_00gpm_School_ Any Water Heating_Direct Install</v>
      </c>
      <c r="V265" s="506" t="s">
        <v>604</v>
      </c>
      <c r="W265" s="502">
        <f t="shared" si="66"/>
        <v>3.9181435406698575</v>
      </c>
      <c r="X265" s="500">
        <v>10</v>
      </c>
      <c r="Y265" s="507">
        <v>0</v>
      </c>
      <c r="Z265" s="500"/>
      <c r="AA265" s="506" t="s">
        <v>605</v>
      </c>
      <c r="AB265" s="505">
        <v>0</v>
      </c>
      <c r="AC265" s="500"/>
      <c r="AD265" s="500"/>
      <c r="AE265" s="500"/>
      <c r="AF265" s="500"/>
      <c r="AG265" s="500"/>
      <c r="AH265" s="500"/>
      <c r="AI265" s="500">
        <v>0</v>
      </c>
      <c r="AJ265" s="506" t="s">
        <v>605</v>
      </c>
    </row>
    <row r="266" spans="6:36" hidden="1">
      <c r="F266" s="500" t="str">
        <f t="shared" si="67"/>
        <v>School</v>
      </c>
      <c r="G266" s="500" t="str">
        <f t="shared" si="67"/>
        <v>Direct Install</v>
      </c>
      <c r="H266" s="500" t="str">
        <f t="shared" si="67"/>
        <v>1_75</v>
      </c>
      <c r="I266" s="500" t="str">
        <f t="shared" si="67"/>
        <v>Electric Water Heating</v>
      </c>
      <c r="J266" s="500" t="str">
        <f t="shared" si="64"/>
        <v>Commercial Showerhead Replacement_1_75gpm_School_ Electric Water Heating_Direct Install - Embedded Water Energy</v>
      </c>
      <c r="K266" s="500"/>
      <c r="L266" s="501"/>
      <c r="M266" s="500"/>
      <c r="N266" s="500"/>
      <c r="O266" s="500"/>
      <c r="P266" s="502"/>
      <c r="Q266" s="503"/>
      <c r="R266" s="504"/>
      <c r="S266" s="505"/>
      <c r="T266" s="500"/>
      <c r="U266" s="500" t="str">
        <f t="shared" si="65"/>
        <v>Commercial Showerhead Replacement_1_75gpm_School_ Electric Water Heating_Direct Install</v>
      </c>
      <c r="V266" s="506" t="s">
        <v>604</v>
      </c>
      <c r="W266" s="502">
        <f t="shared" si="66"/>
        <v>4.4079114832535895</v>
      </c>
      <c r="X266" s="500">
        <v>10</v>
      </c>
      <c r="Y266" s="507">
        <v>0</v>
      </c>
      <c r="Z266" s="500"/>
      <c r="AA266" s="506" t="s">
        <v>605</v>
      </c>
      <c r="AB266" s="505">
        <v>0</v>
      </c>
      <c r="AC266" s="500"/>
      <c r="AD266" s="500"/>
      <c r="AE266" s="500"/>
      <c r="AF266" s="500"/>
      <c r="AG266" s="500"/>
      <c r="AH266" s="500"/>
      <c r="AI266" s="500">
        <v>0</v>
      </c>
      <c r="AJ266" s="506" t="s">
        <v>605</v>
      </c>
    </row>
    <row r="267" spans="6:36" hidden="1">
      <c r="F267" s="500" t="str">
        <f t="shared" si="67"/>
        <v>School</v>
      </c>
      <c r="G267" s="500" t="str">
        <f t="shared" si="67"/>
        <v>Direct Install</v>
      </c>
      <c r="H267" s="500" t="str">
        <f t="shared" si="67"/>
        <v>1_75</v>
      </c>
      <c r="I267" s="500" t="str">
        <f t="shared" si="67"/>
        <v>Gas Water Heating</v>
      </c>
      <c r="J267" s="500" t="str">
        <f t="shared" si="64"/>
        <v>Commercial Showerhead Replacement_1_75gpm_School_ Gas Water Heating_Direct Install - Embedded Water Energy</v>
      </c>
      <c r="K267" s="500"/>
      <c r="L267" s="501"/>
      <c r="M267" s="500"/>
      <c r="N267" s="500"/>
      <c r="O267" s="500"/>
      <c r="P267" s="502"/>
      <c r="Q267" s="503"/>
      <c r="R267" s="504"/>
      <c r="S267" s="505"/>
      <c r="T267" s="500"/>
      <c r="U267" s="500" t="str">
        <f t="shared" si="65"/>
        <v>Commercial Showerhead Replacement_1_75gpm_School_ Gas Water Heating_Direct Install</v>
      </c>
      <c r="V267" s="506" t="s">
        <v>604</v>
      </c>
      <c r="W267" s="502">
        <f t="shared" si="66"/>
        <v>4.4079114832535895</v>
      </c>
      <c r="X267" s="500">
        <v>10</v>
      </c>
      <c r="Y267" s="507">
        <v>0</v>
      </c>
      <c r="Z267" s="500"/>
      <c r="AA267" s="506" t="s">
        <v>605</v>
      </c>
      <c r="AB267" s="505">
        <v>0</v>
      </c>
      <c r="AC267" s="500"/>
      <c r="AD267" s="500"/>
      <c r="AE267" s="500"/>
      <c r="AF267" s="500"/>
      <c r="AG267" s="500"/>
      <c r="AH267" s="500"/>
      <c r="AI267" s="500">
        <v>0</v>
      </c>
      <c r="AJ267" s="506" t="s">
        <v>605</v>
      </c>
    </row>
    <row r="268" spans="6:36" hidden="1">
      <c r="F268" s="500" t="str">
        <f t="shared" si="67"/>
        <v>School</v>
      </c>
      <c r="G268" s="500" t="str">
        <f t="shared" si="67"/>
        <v>Direct Install</v>
      </c>
      <c r="H268" s="500" t="str">
        <f t="shared" si="67"/>
        <v>1_75</v>
      </c>
      <c r="I268" s="500" t="str">
        <f t="shared" si="67"/>
        <v>Any Water Heating</v>
      </c>
      <c r="J268" s="500" t="str">
        <f t="shared" si="64"/>
        <v>Commercial Showerhead Replacement_1_75gpm_School_ Any Water Heating_Direct Install - Embedded Water Energy</v>
      </c>
      <c r="K268" s="500"/>
      <c r="L268" s="501"/>
      <c r="M268" s="500"/>
      <c r="N268" s="500"/>
      <c r="O268" s="500"/>
      <c r="P268" s="502"/>
      <c r="Q268" s="503"/>
      <c r="R268" s="504"/>
      <c r="S268" s="505"/>
      <c r="T268" s="500"/>
      <c r="U268" s="500" t="str">
        <f t="shared" si="65"/>
        <v>Commercial Showerhead Replacement_1_75gpm_School_ Any Water Heating_Direct Install</v>
      </c>
      <c r="V268" s="506" t="s">
        <v>604</v>
      </c>
      <c r="W268" s="502">
        <f t="shared" si="66"/>
        <v>4.4079114832535895</v>
      </c>
      <c r="X268" s="500">
        <v>10</v>
      </c>
      <c r="Y268" s="507">
        <v>0</v>
      </c>
      <c r="Z268" s="500"/>
      <c r="AA268" s="506" t="s">
        <v>605</v>
      </c>
      <c r="AB268" s="505">
        <v>0</v>
      </c>
      <c r="AC268" s="500"/>
      <c r="AD268" s="500"/>
      <c r="AE268" s="500"/>
      <c r="AF268" s="500"/>
      <c r="AG268" s="500"/>
      <c r="AH268" s="500"/>
      <c r="AI268" s="500">
        <v>0</v>
      </c>
      <c r="AJ268" s="506" t="s">
        <v>605</v>
      </c>
    </row>
    <row r="269" spans="6:36" hidden="1">
      <c r="F269" s="500" t="str">
        <f t="shared" ref="F269:I284" si="68">F107</f>
        <v>School</v>
      </c>
      <c r="G269" s="500" t="str">
        <f t="shared" si="68"/>
        <v>Direct Install</v>
      </c>
      <c r="H269" s="500" t="str">
        <f t="shared" si="68"/>
        <v>1_50</v>
      </c>
      <c r="I269" s="500" t="str">
        <f t="shared" si="68"/>
        <v>Electric Water Heating</v>
      </c>
      <c r="J269" s="500" t="str">
        <f t="shared" si="64"/>
        <v>Commercial Showerhead Replacement_1_50gpm_School_ Electric Water Heating_Direct Install - Embedded Water Energy</v>
      </c>
      <c r="K269" s="500"/>
      <c r="L269" s="501"/>
      <c r="M269" s="500"/>
      <c r="N269" s="500"/>
      <c r="O269" s="500"/>
      <c r="P269" s="502"/>
      <c r="Q269" s="503"/>
      <c r="R269" s="504"/>
      <c r="S269" s="505"/>
      <c r="T269" s="500"/>
      <c r="U269" s="500" t="str">
        <f t="shared" si="65"/>
        <v>Commercial Showerhead Replacement_1_50gpm_School_ Electric Water Heating_Direct Install</v>
      </c>
      <c r="V269" s="506" t="s">
        <v>604</v>
      </c>
      <c r="W269" s="502">
        <f t="shared" si="66"/>
        <v>6.85675119617225</v>
      </c>
      <c r="X269" s="500">
        <v>10</v>
      </c>
      <c r="Y269" s="507">
        <v>0</v>
      </c>
      <c r="Z269" s="500"/>
      <c r="AA269" s="506" t="s">
        <v>605</v>
      </c>
      <c r="AB269" s="505">
        <v>0</v>
      </c>
      <c r="AC269" s="500"/>
      <c r="AD269" s="500"/>
      <c r="AE269" s="500"/>
      <c r="AF269" s="500"/>
      <c r="AG269" s="500"/>
      <c r="AH269" s="500"/>
      <c r="AI269" s="500">
        <v>0</v>
      </c>
      <c r="AJ269" s="506" t="s">
        <v>605</v>
      </c>
    </row>
    <row r="270" spans="6:36" hidden="1">
      <c r="F270" s="500" t="str">
        <f t="shared" si="68"/>
        <v>School</v>
      </c>
      <c r="G270" s="500" t="str">
        <f t="shared" si="68"/>
        <v>Direct Install</v>
      </c>
      <c r="H270" s="500" t="str">
        <f t="shared" si="68"/>
        <v>1_50</v>
      </c>
      <c r="I270" s="500" t="str">
        <f t="shared" si="68"/>
        <v>Gas Water Heating</v>
      </c>
      <c r="J270" s="500" t="str">
        <f t="shared" si="64"/>
        <v>Commercial Showerhead Replacement_1_50gpm_School_ Gas Water Heating_Direct Install - Embedded Water Energy</v>
      </c>
      <c r="K270" s="500"/>
      <c r="L270" s="501"/>
      <c r="M270" s="500"/>
      <c r="N270" s="500"/>
      <c r="O270" s="500"/>
      <c r="P270" s="502"/>
      <c r="Q270" s="503"/>
      <c r="R270" s="504"/>
      <c r="S270" s="505"/>
      <c r="T270" s="500"/>
      <c r="U270" s="500" t="str">
        <f t="shared" si="65"/>
        <v>Commercial Showerhead Replacement_1_50gpm_School_ Gas Water Heating_Direct Install</v>
      </c>
      <c r="V270" s="506" t="s">
        <v>604</v>
      </c>
      <c r="W270" s="502">
        <f t="shared" si="66"/>
        <v>6.85675119617225</v>
      </c>
      <c r="X270" s="500">
        <v>10</v>
      </c>
      <c r="Y270" s="507">
        <v>0</v>
      </c>
      <c r="Z270" s="500"/>
      <c r="AA270" s="506" t="s">
        <v>605</v>
      </c>
      <c r="AB270" s="505">
        <v>0</v>
      </c>
      <c r="AC270" s="500"/>
      <c r="AD270" s="500"/>
      <c r="AE270" s="500"/>
      <c r="AF270" s="500"/>
      <c r="AG270" s="500"/>
      <c r="AH270" s="500"/>
      <c r="AI270" s="500">
        <v>0</v>
      </c>
      <c r="AJ270" s="506" t="s">
        <v>605</v>
      </c>
    </row>
    <row r="271" spans="6:36">
      <c r="F271" s="500" t="str">
        <f t="shared" si="68"/>
        <v>School</v>
      </c>
      <c r="G271" s="500" t="str">
        <f t="shared" si="68"/>
        <v>Direct Install</v>
      </c>
      <c r="H271" s="500" t="str">
        <f t="shared" si="68"/>
        <v>1_50</v>
      </c>
      <c r="I271" s="500" t="str">
        <f t="shared" si="68"/>
        <v>Any Water Heating</v>
      </c>
      <c r="J271" s="500" t="str">
        <f t="shared" si="64"/>
        <v>Commercial Showerhead Replacement_1_50gpm_School_ Any Water Heating_Direct Install - Embedded Water Energy</v>
      </c>
      <c r="K271" s="500"/>
      <c r="L271" s="501"/>
      <c r="M271" s="500"/>
      <c r="N271" s="500"/>
      <c r="O271" s="500"/>
      <c r="P271" s="502"/>
      <c r="Q271" s="503"/>
      <c r="R271" s="504"/>
      <c r="S271" s="505"/>
      <c r="T271" s="500"/>
      <c r="U271" s="500" t="str">
        <f t="shared" si="65"/>
        <v>Commercial Showerhead Replacement_1_50gpm_School_ Any Water Heating_Direct Install</v>
      </c>
      <c r="V271" s="506" t="s">
        <v>604</v>
      </c>
      <c r="W271" s="502">
        <f t="shared" si="66"/>
        <v>6.85675119617225</v>
      </c>
      <c r="X271" s="500">
        <v>10</v>
      </c>
      <c r="Y271" s="507">
        <v>0</v>
      </c>
      <c r="Z271" s="500"/>
      <c r="AA271" s="506" t="s">
        <v>605</v>
      </c>
      <c r="AB271" s="505">
        <v>0</v>
      </c>
      <c r="AC271" s="500"/>
      <c r="AD271" s="500"/>
      <c r="AE271" s="500"/>
      <c r="AF271" s="500"/>
      <c r="AG271" s="500"/>
      <c r="AH271" s="500"/>
      <c r="AI271" s="500">
        <v>0</v>
      </c>
      <c r="AJ271" s="506" t="s">
        <v>605</v>
      </c>
    </row>
    <row r="272" spans="6:36" hidden="1">
      <c r="F272" s="500" t="str">
        <f t="shared" si="68"/>
        <v>School</v>
      </c>
      <c r="G272" s="500" t="str">
        <f t="shared" si="68"/>
        <v>Mail-by-Request</v>
      </c>
      <c r="H272" s="500" t="str">
        <f t="shared" si="68"/>
        <v>2_00</v>
      </c>
      <c r="I272" s="500" t="str">
        <f t="shared" si="68"/>
        <v>Electric Water Heating</v>
      </c>
      <c r="J272" s="500" t="str">
        <f t="shared" si="64"/>
        <v>Commercial Showerhead Replacement_2_00gpm_School_ Electric Water Heating_Mail-by-Request - Embedded Water Energy</v>
      </c>
      <c r="K272" s="500"/>
      <c r="L272" s="501"/>
      <c r="M272" s="500"/>
      <c r="N272" s="500"/>
      <c r="O272" s="500"/>
      <c r="P272" s="502"/>
      <c r="Q272" s="503"/>
      <c r="R272" s="504"/>
      <c r="S272" s="505"/>
      <c r="T272" s="500"/>
      <c r="U272" s="500" t="str">
        <f t="shared" si="65"/>
        <v>Commercial Showerhead Replacement_2_00gpm_School_ Electric Water Heating_Mail-by-Request</v>
      </c>
      <c r="V272" s="506" t="s">
        <v>604</v>
      </c>
      <c r="W272" s="502">
        <f t="shared" si="66"/>
        <v>2.6120956937799051</v>
      </c>
      <c r="X272" s="500">
        <v>10</v>
      </c>
      <c r="Y272" s="507">
        <v>0</v>
      </c>
      <c r="Z272" s="500"/>
      <c r="AA272" s="506" t="s">
        <v>605</v>
      </c>
      <c r="AB272" s="505">
        <v>0</v>
      </c>
      <c r="AC272" s="500"/>
      <c r="AD272" s="500"/>
      <c r="AE272" s="500"/>
      <c r="AF272" s="500"/>
      <c r="AG272" s="500"/>
      <c r="AH272" s="500"/>
      <c r="AI272" s="500">
        <v>0</v>
      </c>
      <c r="AJ272" s="506" t="s">
        <v>605</v>
      </c>
    </row>
    <row r="273" spans="6:36" hidden="1">
      <c r="F273" s="500" t="str">
        <f t="shared" si="68"/>
        <v>School</v>
      </c>
      <c r="G273" s="500" t="str">
        <f t="shared" si="68"/>
        <v>Mail-by-Request</v>
      </c>
      <c r="H273" s="500" t="str">
        <f t="shared" si="68"/>
        <v>2_00</v>
      </c>
      <c r="I273" s="500" t="str">
        <f t="shared" si="68"/>
        <v>Gas Water Heating</v>
      </c>
      <c r="J273" s="500" t="str">
        <f t="shared" si="64"/>
        <v>Commercial Showerhead Replacement_2_00gpm_School_ Gas Water Heating_Mail-by-Request - Embedded Water Energy</v>
      </c>
      <c r="K273" s="500"/>
      <c r="L273" s="501"/>
      <c r="M273" s="500"/>
      <c r="N273" s="500"/>
      <c r="O273" s="500"/>
      <c r="P273" s="502"/>
      <c r="Q273" s="503"/>
      <c r="R273" s="504"/>
      <c r="S273" s="505"/>
      <c r="T273" s="500"/>
      <c r="U273" s="500" t="str">
        <f t="shared" si="65"/>
        <v>Commercial Showerhead Replacement_2_00gpm_School_ Gas Water Heating_Mail-by-Request</v>
      </c>
      <c r="V273" s="506" t="s">
        <v>604</v>
      </c>
      <c r="W273" s="502">
        <f t="shared" si="66"/>
        <v>2.6120956937799051</v>
      </c>
      <c r="X273" s="500">
        <v>10</v>
      </c>
      <c r="Y273" s="507">
        <v>0</v>
      </c>
      <c r="Z273" s="500"/>
      <c r="AA273" s="506" t="s">
        <v>605</v>
      </c>
      <c r="AB273" s="505">
        <v>0</v>
      </c>
      <c r="AC273" s="500"/>
      <c r="AD273" s="500"/>
      <c r="AE273" s="500"/>
      <c r="AF273" s="500"/>
      <c r="AG273" s="500"/>
      <c r="AH273" s="500"/>
      <c r="AI273" s="500">
        <v>0</v>
      </c>
      <c r="AJ273" s="506" t="s">
        <v>605</v>
      </c>
    </row>
    <row r="274" spans="6:36" hidden="1">
      <c r="F274" s="500" t="str">
        <f t="shared" si="68"/>
        <v>School</v>
      </c>
      <c r="G274" s="500" t="str">
        <f t="shared" si="68"/>
        <v>Mail-by-Request</v>
      </c>
      <c r="H274" s="500" t="str">
        <f t="shared" si="68"/>
        <v>2_00</v>
      </c>
      <c r="I274" s="500" t="str">
        <f t="shared" si="68"/>
        <v>Any Water Heating</v>
      </c>
      <c r="J274" s="500" t="str">
        <f t="shared" si="64"/>
        <v>Commercial Showerhead Replacement_2_00gpm_School_ Any Water Heating_Mail-by-Request - Embedded Water Energy</v>
      </c>
      <c r="K274" s="500"/>
      <c r="L274" s="501"/>
      <c r="M274" s="500"/>
      <c r="N274" s="500"/>
      <c r="O274" s="500"/>
      <c r="P274" s="502"/>
      <c r="Q274" s="503"/>
      <c r="R274" s="504"/>
      <c r="S274" s="505"/>
      <c r="T274" s="500"/>
      <c r="U274" s="500" t="str">
        <f t="shared" si="65"/>
        <v>Commercial Showerhead Replacement_2_00gpm_School_ Any Water Heating_Mail-by-Request</v>
      </c>
      <c r="V274" s="506" t="s">
        <v>604</v>
      </c>
      <c r="W274" s="502">
        <f t="shared" si="66"/>
        <v>2.6120956937799051</v>
      </c>
      <c r="X274" s="500">
        <v>10</v>
      </c>
      <c r="Y274" s="507">
        <v>0</v>
      </c>
      <c r="Z274" s="500"/>
      <c r="AA274" s="506" t="s">
        <v>605</v>
      </c>
      <c r="AB274" s="505">
        <v>0</v>
      </c>
      <c r="AC274" s="500"/>
      <c r="AD274" s="500"/>
      <c r="AE274" s="500"/>
      <c r="AF274" s="500"/>
      <c r="AG274" s="500"/>
      <c r="AH274" s="500"/>
      <c r="AI274" s="500">
        <v>0</v>
      </c>
      <c r="AJ274" s="506" t="s">
        <v>605</v>
      </c>
    </row>
    <row r="275" spans="6:36" hidden="1">
      <c r="F275" s="500" t="str">
        <f t="shared" si="68"/>
        <v>School</v>
      </c>
      <c r="G275" s="500" t="str">
        <f t="shared" si="68"/>
        <v>Mail-by-Request</v>
      </c>
      <c r="H275" s="500" t="str">
        <f t="shared" si="68"/>
        <v>1_75</v>
      </c>
      <c r="I275" s="500" t="str">
        <f t="shared" si="68"/>
        <v>Electric Water Heating</v>
      </c>
      <c r="J275" s="500" t="str">
        <f t="shared" si="64"/>
        <v>Commercial Showerhead Replacement_1_75gpm_School_ Electric Water Heating_Mail-by-Request - Embedded Water Energy</v>
      </c>
      <c r="K275" s="500"/>
      <c r="L275" s="501"/>
      <c r="M275" s="500"/>
      <c r="N275" s="500"/>
      <c r="O275" s="500"/>
      <c r="P275" s="502"/>
      <c r="Q275" s="503"/>
      <c r="R275" s="504"/>
      <c r="S275" s="505"/>
      <c r="T275" s="500"/>
      <c r="U275" s="500" t="str">
        <f t="shared" si="65"/>
        <v>Commercial Showerhead Replacement_1_75gpm_School_ Electric Water Heating_Mail-by-Request</v>
      </c>
      <c r="V275" s="506" t="s">
        <v>604</v>
      </c>
      <c r="W275" s="502">
        <f t="shared" si="66"/>
        <v>2.9386076555023926</v>
      </c>
      <c r="X275" s="500">
        <v>10</v>
      </c>
      <c r="Y275" s="507">
        <v>0</v>
      </c>
      <c r="Z275" s="500"/>
      <c r="AA275" s="506" t="s">
        <v>605</v>
      </c>
      <c r="AB275" s="505">
        <v>0</v>
      </c>
      <c r="AC275" s="500"/>
      <c r="AD275" s="500"/>
      <c r="AE275" s="500"/>
      <c r="AF275" s="500"/>
      <c r="AG275" s="500"/>
      <c r="AH275" s="500"/>
      <c r="AI275" s="500">
        <v>0</v>
      </c>
      <c r="AJ275" s="506" t="s">
        <v>605</v>
      </c>
    </row>
    <row r="276" spans="6:36" hidden="1">
      <c r="F276" s="500" t="str">
        <f t="shared" si="68"/>
        <v>School</v>
      </c>
      <c r="G276" s="500" t="str">
        <f t="shared" si="68"/>
        <v>Mail-by-Request</v>
      </c>
      <c r="H276" s="500" t="str">
        <f t="shared" si="68"/>
        <v>1_75</v>
      </c>
      <c r="I276" s="500" t="str">
        <f t="shared" si="68"/>
        <v>Gas Water Heating</v>
      </c>
      <c r="J276" s="500" t="str">
        <f t="shared" si="64"/>
        <v>Commercial Showerhead Replacement_1_75gpm_School_ Gas Water Heating_Mail-by-Request - Embedded Water Energy</v>
      </c>
      <c r="K276" s="500"/>
      <c r="L276" s="501"/>
      <c r="M276" s="500"/>
      <c r="N276" s="500"/>
      <c r="O276" s="500"/>
      <c r="P276" s="502"/>
      <c r="Q276" s="503"/>
      <c r="R276" s="504"/>
      <c r="S276" s="505"/>
      <c r="T276" s="500"/>
      <c r="U276" s="500" t="str">
        <f t="shared" si="65"/>
        <v>Commercial Showerhead Replacement_1_75gpm_School_ Gas Water Heating_Mail-by-Request</v>
      </c>
      <c r="V276" s="506" t="s">
        <v>604</v>
      </c>
      <c r="W276" s="502">
        <f t="shared" si="66"/>
        <v>2.9386076555023926</v>
      </c>
      <c r="X276" s="500">
        <v>10</v>
      </c>
      <c r="Y276" s="507">
        <v>0</v>
      </c>
      <c r="Z276" s="500"/>
      <c r="AA276" s="506" t="s">
        <v>605</v>
      </c>
      <c r="AB276" s="505">
        <v>0</v>
      </c>
      <c r="AC276" s="500"/>
      <c r="AD276" s="500"/>
      <c r="AE276" s="500"/>
      <c r="AF276" s="500"/>
      <c r="AG276" s="500"/>
      <c r="AH276" s="500"/>
      <c r="AI276" s="500">
        <v>0</v>
      </c>
      <c r="AJ276" s="506" t="s">
        <v>605</v>
      </c>
    </row>
    <row r="277" spans="6:36" hidden="1">
      <c r="F277" s="500" t="str">
        <f t="shared" si="68"/>
        <v>School</v>
      </c>
      <c r="G277" s="500" t="str">
        <f t="shared" si="68"/>
        <v>Mail-by-Request</v>
      </c>
      <c r="H277" s="500" t="str">
        <f t="shared" si="68"/>
        <v>1_75</v>
      </c>
      <c r="I277" s="500" t="str">
        <f t="shared" si="68"/>
        <v>Any Water Heating</v>
      </c>
      <c r="J277" s="500" t="str">
        <f t="shared" si="64"/>
        <v>Commercial Showerhead Replacement_1_75gpm_School_ Any Water Heating_Mail-by-Request - Embedded Water Energy</v>
      </c>
      <c r="K277" s="500"/>
      <c r="L277" s="501"/>
      <c r="M277" s="500"/>
      <c r="N277" s="500"/>
      <c r="O277" s="500"/>
      <c r="P277" s="502"/>
      <c r="Q277" s="503"/>
      <c r="R277" s="504"/>
      <c r="S277" s="505"/>
      <c r="T277" s="500"/>
      <c r="U277" s="500" t="str">
        <f t="shared" si="65"/>
        <v>Commercial Showerhead Replacement_1_75gpm_School_ Any Water Heating_Mail-by-Request</v>
      </c>
      <c r="V277" s="506" t="s">
        <v>604</v>
      </c>
      <c r="W277" s="502">
        <f t="shared" si="66"/>
        <v>2.9386076555023926</v>
      </c>
      <c r="X277" s="500">
        <v>10</v>
      </c>
      <c r="Y277" s="507">
        <v>0</v>
      </c>
      <c r="Z277" s="500"/>
      <c r="AA277" s="506" t="s">
        <v>605</v>
      </c>
      <c r="AB277" s="505">
        <v>0</v>
      </c>
      <c r="AC277" s="500"/>
      <c r="AD277" s="500"/>
      <c r="AE277" s="500"/>
      <c r="AF277" s="500"/>
      <c r="AG277" s="500"/>
      <c r="AH277" s="500"/>
      <c r="AI277" s="500">
        <v>0</v>
      </c>
      <c r="AJ277" s="506" t="s">
        <v>605</v>
      </c>
    </row>
    <row r="278" spans="6:36" hidden="1">
      <c r="F278" s="500" t="str">
        <f t="shared" si="68"/>
        <v>School</v>
      </c>
      <c r="G278" s="500" t="str">
        <f t="shared" si="68"/>
        <v>Mail-by-Request</v>
      </c>
      <c r="H278" s="500" t="str">
        <f t="shared" si="68"/>
        <v>1_50</v>
      </c>
      <c r="I278" s="500" t="str">
        <f t="shared" si="68"/>
        <v>Electric Water Heating</v>
      </c>
      <c r="J278" s="500" t="str">
        <f t="shared" si="64"/>
        <v>Commercial Showerhead Replacement_1_50gpm_School_ Electric Water Heating_Mail-by-Request - Embedded Water Energy</v>
      </c>
      <c r="K278" s="500"/>
      <c r="L278" s="501"/>
      <c r="M278" s="500"/>
      <c r="N278" s="500"/>
      <c r="O278" s="500"/>
      <c r="P278" s="502"/>
      <c r="Q278" s="503"/>
      <c r="R278" s="504"/>
      <c r="S278" s="505"/>
      <c r="T278" s="500"/>
      <c r="U278" s="500" t="str">
        <f t="shared" si="65"/>
        <v>Commercial Showerhead Replacement_1_50gpm_School_ Electric Water Heating_Mail-by-Request</v>
      </c>
      <c r="V278" s="506" t="s">
        <v>604</v>
      </c>
      <c r="W278" s="502">
        <f t="shared" si="66"/>
        <v>4.5711674641148328</v>
      </c>
      <c r="X278" s="500">
        <v>10</v>
      </c>
      <c r="Y278" s="507">
        <v>0</v>
      </c>
      <c r="Z278" s="500"/>
      <c r="AA278" s="506" t="s">
        <v>605</v>
      </c>
      <c r="AB278" s="505">
        <v>0</v>
      </c>
      <c r="AC278" s="500"/>
      <c r="AD278" s="500"/>
      <c r="AE278" s="500"/>
      <c r="AF278" s="500"/>
      <c r="AG278" s="500"/>
      <c r="AH278" s="500"/>
      <c r="AI278" s="500">
        <v>0</v>
      </c>
      <c r="AJ278" s="506" t="s">
        <v>605</v>
      </c>
    </row>
    <row r="279" spans="6:36" hidden="1">
      <c r="F279" s="500" t="str">
        <f t="shared" si="68"/>
        <v>School</v>
      </c>
      <c r="G279" s="500" t="str">
        <f t="shared" si="68"/>
        <v>Mail-by-Request</v>
      </c>
      <c r="H279" s="500" t="str">
        <f t="shared" si="68"/>
        <v>1_50</v>
      </c>
      <c r="I279" s="500" t="str">
        <f t="shared" si="68"/>
        <v>Gas Water Heating</v>
      </c>
      <c r="J279" s="500" t="str">
        <f t="shared" si="64"/>
        <v>Commercial Showerhead Replacement_1_50gpm_School_ Gas Water Heating_Mail-by-Request - Embedded Water Energy</v>
      </c>
      <c r="K279" s="500"/>
      <c r="L279" s="501"/>
      <c r="M279" s="500"/>
      <c r="N279" s="500"/>
      <c r="O279" s="500"/>
      <c r="P279" s="502"/>
      <c r="Q279" s="503"/>
      <c r="R279" s="504"/>
      <c r="S279" s="505"/>
      <c r="T279" s="500"/>
      <c r="U279" s="500" t="str">
        <f t="shared" si="65"/>
        <v>Commercial Showerhead Replacement_1_50gpm_School_ Gas Water Heating_Mail-by-Request</v>
      </c>
      <c r="V279" s="506" t="s">
        <v>604</v>
      </c>
      <c r="W279" s="502">
        <f t="shared" si="66"/>
        <v>4.5711674641148328</v>
      </c>
      <c r="X279" s="500">
        <v>10</v>
      </c>
      <c r="Y279" s="507">
        <v>0</v>
      </c>
      <c r="Z279" s="500"/>
      <c r="AA279" s="506" t="s">
        <v>605</v>
      </c>
      <c r="AB279" s="505">
        <v>0</v>
      </c>
      <c r="AC279" s="500"/>
      <c r="AD279" s="500"/>
      <c r="AE279" s="500"/>
      <c r="AF279" s="500"/>
      <c r="AG279" s="500"/>
      <c r="AH279" s="500"/>
      <c r="AI279" s="500">
        <v>0</v>
      </c>
      <c r="AJ279" s="506" t="s">
        <v>605</v>
      </c>
    </row>
    <row r="280" spans="6:36" hidden="1">
      <c r="F280" s="500" t="str">
        <f t="shared" si="68"/>
        <v>School</v>
      </c>
      <c r="G280" s="500" t="str">
        <f t="shared" si="68"/>
        <v>Mail-by-Request</v>
      </c>
      <c r="H280" s="500" t="str">
        <f t="shared" si="68"/>
        <v>1_50</v>
      </c>
      <c r="I280" s="500" t="str">
        <f t="shared" si="68"/>
        <v>Any Water Heating</v>
      </c>
      <c r="J280" s="500" t="str">
        <f t="shared" si="64"/>
        <v>Commercial Showerhead Replacement_1_50gpm_School_ Any Water Heating_Mail-by-Request - Embedded Water Energy</v>
      </c>
      <c r="K280" s="500"/>
      <c r="L280" s="501"/>
      <c r="M280" s="500"/>
      <c r="N280" s="500"/>
      <c r="O280" s="500"/>
      <c r="P280" s="502"/>
      <c r="Q280" s="503"/>
      <c r="R280" s="504"/>
      <c r="S280" s="505"/>
      <c r="T280" s="500"/>
      <c r="U280" s="500" t="str">
        <f t="shared" si="65"/>
        <v>Commercial Showerhead Replacement_1_50gpm_School_ Any Water Heating_Mail-by-Request</v>
      </c>
      <c r="V280" s="506" t="s">
        <v>604</v>
      </c>
      <c r="W280" s="502">
        <f t="shared" si="66"/>
        <v>4.5711674641148328</v>
      </c>
      <c r="X280" s="500">
        <v>10</v>
      </c>
      <c r="Y280" s="507">
        <v>0</v>
      </c>
      <c r="Z280" s="500"/>
      <c r="AA280" s="506" t="s">
        <v>605</v>
      </c>
      <c r="AB280" s="505">
        <v>0</v>
      </c>
      <c r="AC280" s="500"/>
      <c r="AD280" s="500"/>
      <c r="AE280" s="500"/>
      <c r="AF280" s="500"/>
      <c r="AG280" s="500"/>
      <c r="AH280" s="500"/>
      <c r="AI280" s="500">
        <v>0</v>
      </c>
      <c r="AJ280" s="506" t="s">
        <v>605</v>
      </c>
    </row>
    <row r="281" spans="6:36" hidden="1">
      <c r="F281" s="500" t="str">
        <f t="shared" si="68"/>
        <v>Any Commercial Except Fitness Center</v>
      </c>
      <c r="G281" s="500" t="str">
        <f t="shared" si="68"/>
        <v>Retail</v>
      </c>
      <c r="H281" s="500" t="str">
        <f t="shared" si="68"/>
        <v>2_00</v>
      </c>
      <c r="I281" s="500" t="str">
        <f t="shared" si="68"/>
        <v>Electric Water Heating</v>
      </c>
      <c r="J281" s="500" t="str">
        <f t="shared" si="64"/>
        <v>Commercial Showerhead Replacement_2_00gpm_Any Commercial Except Fitness Center_ Electric Water Heating_Retail - Embedded Water Energy</v>
      </c>
      <c r="K281" s="500"/>
      <c r="L281" s="501"/>
      <c r="M281" s="500"/>
      <c r="N281" s="500"/>
      <c r="O281" s="500"/>
      <c r="P281" s="502"/>
      <c r="Q281" s="503"/>
      <c r="R281" s="504"/>
      <c r="S281" s="505"/>
      <c r="T281" s="500"/>
      <c r="U281" s="500" t="str">
        <f t="shared" si="65"/>
        <v>Commercial Showerhead Replacement_2_00gpm_Any Commercial Except Fitness Center_ Electric Water Heating_Retail</v>
      </c>
      <c r="V281" s="506" t="s">
        <v>604</v>
      </c>
      <c r="W281" s="502">
        <f t="shared" si="66"/>
        <v>5.1276455631010327</v>
      </c>
      <c r="X281" s="500">
        <v>10</v>
      </c>
      <c r="Y281" s="507">
        <v>0</v>
      </c>
      <c r="Z281" s="500"/>
      <c r="AA281" s="506" t="s">
        <v>605</v>
      </c>
      <c r="AB281" s="505">
        <v>0</v>
      </c>
      <c r="AC281" s="500"/>
      <c r="AD281" s="500"/>
      <c r="AE281" s="500"/>
      <c r="AF281" s="500"/>
      <c r="AG281" s="500"/>
      <c r="AH281" s="500"/>
      <c r="AI281" s="500">
        <v>0</v>
      </c>
      <c r="AJ281" s="506" t="s">
        <v>605</v>
      </c>
    </row>
    <row r="282" spans="6:36" hidden="1">
      <c r="F282" s="500" t="str">
        <f t="shared" si="68"/>
        <v>Any Commercial Except Fitness Center</v>
      </c>
      <c r="G282" s="500" t="str">
        <f t="shared" si="68"/>
        <v>Retail</v>
      </c>
      <c r="H282" s="500" t="str">
        <f t="shared" si="68"/>
        <v>2_00</v>
      </c>
      <c r="I282" s="500" t="str">
        <f t="shared" si="68"/>
        <v>Gas Water Heating</v>
      </c>
      <c r="J282" s="500" t="str">
        <f t="shared" si="64"/>
        <v>Commercial Showerhead Replacement_2_00gpm_Any Commercial Except Fitness Center_ Gas Water Heating_Retail - Embedded Water Energy</v>
      </c>
      <c r="K282" s="500"/>
      <c r="L282" s="501"/>
      <c r="M282" s="500"/>
      <c r="N282" s="500"/>
      <c r="O282" s="500"/>
      <c r="P282" s="502"/>
      <c r="Q282" s="503"/>
      <c r="R282" s="504"/>
      <c r="S282" s="505"/>
      <c r="T282" s="500"/>
      <c r="U282" s="500" t="str">
        <f t="shared" si="65"/>
        <v>Commercial Showerhead Replacement_2_00gpm_Any Commercial Except Fitness Center_ Gas Water Heating_Retail</v>
      </c>
      <c r="V282" s="506" t="s">
        <v>604</v>
      </c>
      <c r="W282" s="502">
        <f t="shared" si="66"/>
        <v>5.1276455631010327</v>
      </c>
      <c r="X282" s="500">
        <v>10</v>
      </c>
      <c r="Y282" s="507">
        <v>0</v>
      </c>
      <c r="Z282" s="500"/>
      <c r="AA282" s="506" t="s">
        <v>605</v>
      </c>
      <c r="AB282" s="505">
        <v>0</v>
      </c>
      <c r="AC282" s="500"/>
      <c r="AD282" s="500"/>
      <c r="AE282" s="500"/>
      <c r="AF282" s="500"/>
      <c r="AG282" s="500"/>
      <c r="AH282" s="500"/>
      <c r="AI282" s="500">
        <v>0</v>
      </c>
      <c r="AJ282" s="506" t="s">
        <v>605</v>
      </c>
    </row>
    <row r="283" spans="6:36" hidden="1">
      <c r="F283" s="500" t="str">
        <f t="shared" si="68"/>
        <v>Any Commercial Except Fitness Center</v>
      </c>
      <c r="G283" s="500" t="str">
        <f t="shared" si="68"/>
        <v>Retail</v>
      </c>
      <c r="H283" s="500" t="str">
        <f t="shared" si="68"/>
        <v>2_00</v>
      </c>
      <c r="I283" s="500" t="str">
        <f t="shared" si="68"/>
        <v>Any Water Heating</v>
      </c>
      <c r="J283" s="500" t="str">
        <f t="shared" si="64"/>
        <v>Commercial Showerhead Replacement_2_00gpm_Any Commercial Except Fitness Center_ Any Water Heating_Retail - Embedded Water Energy</v>
      </c>
      <c r="K283" s="500"/>
      <c r="L283" s="501"/>
      <c r="M283" s="500"/>
      <c r="N283" s="500"/>
      <c r="O283" s="500"/>
      <c r="P283" s="502"/>
      <c r="Q283" s="503"/>
      <c r="R283" s="504"/>
      <c r="S283" s="505"/>
      <c r="T283" s="500"/>
      <c r="U283" s="500" t="str">
        <f t="shared" si="65"/>
        <v>Commercial Showerhead Replacement_2_00gpm_Any Commercial Except Fitness Center_ Any Water Heating_Retail</v>
      </c>
      <c r="V283" s="506" t="s">
        <v>604</v>
      </c>
      <c r="W283" s="502">
        <f t="shared" si="66"/>
        <v>5.1276455631010327</v>
      </c>
      <c r="X283" s="500">
        <v>10</v>
      </c>
      <c r="Y283" s="507">
        <v>0</v>
      </c>
      <c r="Z283" s="500"/>
      <c r="AA283" s="506" t="s">
        <v>605</v>
      </c>
      <c r="AB283" s="505">
        <v>0</v>
      </c>
      <c r="AC283" s="500"/>
      <c r="AD283" s="500"/>
      <c r="AE283" s="500"/>
      <c r="AF283" s="500"/>
      <c r="AG283" s="500"/>
      <c r="AH283" s="500"/>
      <c r="AI283" s="500">
        <v>0</v>
      </c>
      <c r="AJ283" s="506" t="s">
        <v>605</v>
      </c>
    </row>
    <row r="284" spans="6:36" hidden="1">
      <c r="F284" s="500" t="str">
        <f t="shared" si="68"/>
        <v>Any Commercial Except Fitness Center</v>
      </c>
      <c r="G284" s="500" t="str">
        <f t="shared" si="68"/>
        <v>Retail</v>
      </c>
      <c r="H284" s="500" t="str">
        <f t="shared" si="68"/>
        <v>1_75</v>
      </c>
      <c r="I284" s="500" t="str">
        <f t="shared" si="68"/>
        <v>Electric Water Heating</v>
      </c>
      <c r="J284" s="500" t="str">
        <f t="shared" si="64"/>
        <v>Commercial Showerhead Replacement_1_75gpm_Any Commercial Except Fitness Center_ Electric Water Heating_Retail - Embedded Water Energy</v>
      </c>
      <c r="K284" s="500"/>
      <c r="L284" s="501"/>
      <c r="M284" s="500"/>
      <c r="N284" s="500"/>
      <c r="O284" s="500"/>
      <c r="P284" s="502"/>
      <c r="Q284" s="503"/>
      <c r="R284" s="504"/>
      <c r="S284" s="505"/>
      <c r="T284" s="500"/>
      <c r="U284" s="500" t="str">
        <f t="shared" si="65"/>
        <v>Commercial Showerhead Replacement_1_75gpm_Any Commercial Except Fitness Center_ Electric Water Heating_Retail</v>
      </c>
      <c r="V284" s="506" t="s">
        <v>604</v>
      </c>
      <c r="W284" s="502">
        <f t="shared" si="66"/>
        <v>5.4080636798331234</v>
      </c>
      <c r="X284" s="500">
        <v>10</v>
      </c>
      <c r="Y284" s="507">
        <v>0</v>
      </c>
      <c r="Z284" s="500"/>
      <c r="AA284" s="506" t="s">
        <v>605</v>
      </c>
      <c r="AB284" s="505">
        <v>0</v>
      </c>
      <c r="AC284" s="500"/>
      <c r="AD284" s="500"/>
      <c r="AE284" s="500"/>
      <c r="AF284" s="500"/>
      <c r="AG284" s="500"/>
      <c r="AH284" s="500"/>
      <c r="AI284" s="500">
        <v>0</v>
      </c>
      <c r="AJ284" s="506" t="s">
        <v>605</v>
      </c>
    </row>
    <row r="285" spans="6:36" hidden="1">
      <c r="F285" s="500" t="str">
        <f t="shared" ref="F285:I300" si="69">F123</f>
        <v>Any Commercial Except Fitness Center</v>
      </c>
      <c r="G285" s="500" t="str">
        <f t="shared" si="69"/>
        <v>Retail</v>
      </c>
      <c r="H285" s="500" t="str">
        <f t="shared" si="69"/>
        <v>1_75</v>
      </c>
      <c r="I285" s="500" t="str">
        <f t="shared" si="69"/>
        <v>Gas Water Heating</v>
      </c>
      <c r="J285" s="500" t="str">
        <f t="shared" si="64"/>
        <v>Commercial Showerhead Replacement_1_75gpm_Any Commercial Except Fitness Center_ Gas Water Heating_Retail - Embedded Water Energy</v>
      </c>
      <c r="K285" s="500"/>
      <c r="L285" s="501"/>
      <c r="M285" s="500"/>
      <c r="N285" s="500"/>
      <c r="O285" s="500"/>
      <c r="P285" s="502"/>
      <c r="Q285" s="503"/>
      <c r="R285" s="504"/>
      <c r="S285" s="505"/>
      <c r="T285" s="500"/>
      <c r="U285" s="500" t="str">
        <f t="shared" si="65"/>
        <v>Commercial Showerhead Replacement_1_75gpm_Any Commercial Except Fitness Center_ Gas Water Heating_Retail</v>
      </c>
      <c r="V285" s="506" t="s">
        <v>604</v>
      </c>
      <c r="W285" s="502">
        <f t="shared" si="66"/>
        <v>5.4080636798331234</v>
      </c>
      <c r="X285" s="500">
        <v>10</v>
      </c>
      <c r="Y285" s="507">
        <v>0</v>
      </c>
      <c r="Z285" s="500"/>
      <c r="AA285" s="506" t="s">
        <v>605</v>
      </c>
      <c r="AB285" s="505">
        <v>0</v>
      </c>
      <c r="AC285" s="500"/>
      <c r="AD285" s="500"/>
      <c r="AE285" s="500"/>
      <c r="AF285" s="500"/>
      <c r="AG285" s="500"/>
      <c r="AH285" s="500"/>
      <c r="AI285" s="500">
        <v>0</v>
      </c>
      <c r="AJ285" s="506" t="s">
        <v>605</v>
      </c>
    </row>
    <row r="286" spans="6:36" hidden="1">
      <c r="F286" s="500" t="str">
        <f t="shared" si="69"/>
        <v>Any Commercial Except Fitness Center</v>
      </c>
      <c r="G286" s="500" t="str">
        <f t="shared" si="69"/>
        <v>Retail</v>
      </c>
      <c r="H286" s="500" t="str">
        <f t="shared" si="69"/>
        <v>1_75</v>
      </c>
      <c r="I286" s="500" t="str">
        <f t="shared" si="69"/>
        <v>Any Water Heating</v>
      </c>
      <c r="J286" s="500" t="str">
        <f t="shared" si="64"/>
        <v>Commercial Showerhead Replacement_1_75gpm_Any Commercial Except Fitness Center_ Any Water Heating_Retail - Embedded Water Energy</v>
      </c>
      <c r="K286" s="500"/>
      <c r="L286" s="501"/>
      <c r="M286" s="500"/>
      <c r="N286" s="500"/>
      <c r="O286" s="500"/>
      <c r="P286" s="502"/>
      <c r="Q286" s="503"/>
      <c r="R286" s="504"/>
      <c r="S286" s="505"/>
      <c r="T286" s="500"/>
      <c r="U286" s="500" t="str">
        <f t="shared" si="65"/>
        <v>Commercial Showerhead Replacement_1_75gpm_Any Commercial Except Fitness Center_ Any Water Heating_Retail</v>
      </c>
      <c r="V286" s="506" t="s">
        <v>604</v>
      </c>
      <c r="W286" s="502">
        <f t="shared" si="66"/>
        <v>5.4080636798331234</v>
      </c>
      <c r="X286" s="500">
        <v>10</v>
      </c>
      <c r="Y286" s="507">
        <v>0</v>
      </c>
      <c r="Z286" s="500"/>
      <c r="AA286" s="506" t="s">
        <v>605</v>
      </c>
      <c r="AB286" s="505">
        <v>0</v>
      </c>
      <c r="AC286" s="500"/>
      <c r="AD286" s="500"/>
      <c r="AE286" s="500"/>
      <c r="AF286" s="500"/>
      <c r="AG286" s="500"/>
      <c r="AH286" s="500"/>
      <c r="AI286" s="500">
        <v>0</v>
      </c>
      <c r="AJ286" s="506" t="s">
        <v>605</v>
      </c>
    </row>
    <row r="287" spans="6:36" hidden="1">
      <c r="F287" s="500" t="str">
        <f t="shared" si="69"/>
        <v>Any Commercial Except Fitness Center</v>
      </c>
      <c r="G287" s="500" t="str">
        <f t="shared" si="69"/>
        <v>Retail</v>
      </c>
      <c r="H287" s="500" t="str">
        <f t="shared" si="69"/>
        <v>1_50</v>
      </c>
      <c r="I287" s="500" t="str">
        <f t="shared" si="69"/>
        <v>Electric Water Heating</v>
      </c>
      <c r="J287" s="500" t="str">
        <f t="shared" si="64"/>
        <v>Commercial Showerhead Replacement_1_50gpm_Any Commercial Except Fitness Center_ Electric Water Heating_Retail - Embedded Water Energy</v>
      </c>
      <c r="K287" s="500"/>
      <c r="L287" s="501"/>
      <c r="M287" s="500"/>
      <c r="N287" s="500"/>
      <c r="O287" s="500"/>
      <c r="P287" s="502"/>
      <c r="Q287" s="503"/>
      <c r="R287" s="504"/>
      <c r="S287" s="505"/>
      <c r="T287" s="500"/>
      <c r="U287" s="500" t="str">
        <f t="shared" si="65"/>
        <v>Commercial Showerhead Replacement_1_50gpm_Any Commercial Except Fitness Center_ Electric Water Heating_Retail</v>
      </c>
      <c r="V287" s="506" t="s">
        <v>604</v>
      </c>
      <c r="W287" s="502">
        <f t="shared" si="66"/>
        <v>7.8517072684984566</v>
      </c>
      <c r="X287" s="500">
        <v>10</v>
      </c>
      <c r="Y287" s="507">
        <v>0</v>
      </c>
      <c r="Z287" s="500"/>
      <c r="AA287" s="506" t="s">
        <v>605</v>
      </c>
      <c r="AB287" s="505">
        <v>0</v>
      </c>
      <c r="AC287" s="500"/>
      <c r="AD287" s="500"/>
      <c r="AE287" s="500"/>
      <c r="AF287" s="500"/>
      <c r="AG287" s="500"/>
      <c r="AH287" s="500"/>
      <c r="AI287" s="500">
        <v>0</v>
      </c>
      <c r="AJ287" s="506" t="s">
        <v>605</v>
      </c>
    </row>
    <row r="288" spans="6:36" hidden="1">
      <c r="F288" s="500" t="str">
        <f t="shared" si="69"/>
        <v>Any Commercial Except Fitness Center</v>
      </c>
      <c r="G288" s="500" t="str">
        <f t="shared" si="69"/>
        <v>Retail</v>
      </c>
      <c r="H288" s="500" t="str">
        <f t="shared" si="69"/>
        <v>1_50</v>
      </c>
      <c r="I288" s="500" t="str">
        <f t="shared" si="69"/>
        <v>Gas Water Heating</v>
      </c>
      <c r="J288" s="500" t="str">
        <f t="shared" si="64"/>
        <v>Commercial Showerhead Replacement_1_50gpm_Any Commercial Except Fitness Center_ Gas Water Heating_Retail - Embedded Water Energy</v>
      </c>
      <c r="K288" s="500"/>
      <c r="L288" s="501"/>
      <c r="M288" s="500"/>
      <c r="N288" s="500"/>
      <c r="O288" s="500"/>
      <c r="P288" s="502"/>
      <c r="Q288" s="503"/>
      <c r="R288" s="504"/>
      <c r="S288" s="505"/>
      <c r="T288" s="500"/>
      <c r="U288" s="500" t="str">
        <f t="shared" si="65"/>
        <v>Commercial Showerhead Replacement_1_50gpm_Any Commercial Except Fitness Center_ Gas Water Heating_Retail</v>
      </c>
      <c r="V288" s="506" t="s">
        <v>604</v>
      </c>
      <c r="W288" s="502">
        <f t="shared" si="66"/>
        <v>7.8517072684984566</v>
      </c>
      <c r="X288" s="500">
        <v>10</v>
      </c>
      <c r="Y288" s="507">
        <v>0</v>
      </c>
      <c r="Z288" s="500"/>
      <c r="AA288" s="506" t="s">
        <v>605</v>
      </c>
      <c r="AB288" s="505">
        <v>0</v>
      </c>
      <c r="AC288" s="500"/>
      <c r="AD288" s="500"/>
      <c r="AE288" s="500"/>
      <c r="AF288" s="500"/>
      <c r="AG288" s="500"/>
      <c r="AH288" s="500"/>
      <c r="AI288" s="500">
        <v>0</v>
      </c>
      <c r="AJ288" s="506" t="s">
        <v>605</v>
      </c>
    </row>
    <row r="289" spans="6:36" hidden="1">
      <c r="F289" s="500" t="str">
        <f t="shared" si="69"/>
        <v>Any Commercial Except Fitness Center</v>
      </c>
      <c r="G289" s="500" t="str">
        <f t="shared" si="69"/>
        <v>Retail</v>
      </c>
      <c r="H289" s="500" t="str">
        <f t="shared" si="69"/>
        <v>1_50</v>
      </c>
      <c r="I289" s="500" t="str">
        <f t="shared" si="69"/>
        <v>Any Water Heating</v>
      </c>
      <c r="J289" s="500" t="str">
        <f t="shared" si="64"/>
        <v>Commercial Showerhead Replacement_1_50gpm_Any Commercial Except Fitness Center_ Any Water Heating_Retail - Embedded Water Energy</v>
      </c>
      <c r="K289" s="500"/>
      <c r="L289" s="501"/>
      <c r="M289" s="500"/>
      <c r="N289" s="500"/>
      <c r="O289" s="500"/>
      <c r="P289" s="502"/>
      <c r="Q289" s="503"/>
      <c r="R289" s="504"/>
      <c r="S289" s="505"/>
      <c r="T289" s="500"/>
      <c r="U289" s="500" t="str">
        <f t="shared" si="65"/>
        <v>Commercial Showerhead Replacement_1_50gpm_Any Commercial Except Fitness Center_ Any Water Heating_Retail</v>
      </c>
      <c r="V289" s="506" t="s">
        <v>604</v>
      </c>
      <c r="W289" s="502">
        <f t="shared" si="66"/>
        <v>7.8517072684984566</v>
      </c>
      <c r="X289" s="500">
        <v>10</v>
      </c>
      <c r="Y289" s="507">
        <v>0</v>
      </c>
      <c r="Z289" s="500"/>
      <c r="AA289" s="506" t="s">
        <v>605</v>
      </c>
      <c r="AB289" s="505">
        <v>0</v>
      </c>
      <c r="AC289" s="500"/>
      <c r="AD289" s="500"/>
      <c r="AE289" s="500"/>
      <c r="AF289" s="500"/>
      <c r="AG289" s="500"/>
      <c r="AH289" s="500"/>
      <c r="AI289" s="500">
        <v>0</v>
      </c>
      <c r="AJ289" s="506" t="s">
        <v>605</v>
      </c>
    </row>
    <row r="290" spans="6:36" hidden="1">
      <c r="F290" s="500" t="str">
        <f t="shared" si="69"/>
        <v>Any Commercial Except Fitness Center</v>
      </c>
      <c r="G290" s="500" t="str">
        <f t="shared" si="69"/>
        <v>Direct Install</v>
      </c>
      <c r="H290" s="500" t="str">
        <f t="shared" si="69"/>
        <v>2_00</v>
      </c>
      <c r="I290" s="500" t="str">
        <f t="shared" si="69"/>
        <v>Electric Water Heating</v>
      </c>
      <c r="J290" s="500" t="str">
        <f t="shared" si="64"/>
        <v>Commercial Showerhead Replacement_2_00gpm_Any Commercial Except Fitness Center_ Electric Water Heating_Direct Install - Embedded Water Energy</v>
      </c>
      <c r="K290" s="500"/>
      <c r="L290" s="501"/>
      <c r="M290" s="500"/>
      <c r="N290" s="500"/>
      <c r="O290" s="500"/>
      <c r="P290" s="502"/>
      <c r="Q290" s="503"/>
      <c r="R290" s="504"/>
      <c r="S290" s="505"/>
      <c r="T290" s="500"/>
      <c r="U290" s="500" t="str">
        <f t="shared" si="65"/>
        <v>Commercial Showerhead Replacement_2_00gpm_Any Commercial Except Fitness Center_ Electric Water Heating_Direct Install</v>
      </c>
      <c r="V290" s="506" t="s">
        <v>604</v>
      </c>
      <c r="W290" s="502">
        <f t="shared" si="66"/>
        <v>5.768601258488661</v>
      </c>
      <c r="X290" s="500">
        <v>10</v>
      </c>
      <c r="Y290" s="507">
        <v>0</v>
      </c>
      <c r="Z290" s="500"/>
      <c r="AA290" s="506" t="s">
        <v>605</v>
      </c>
      <c r="AB290" s="505">
        <v>0</v>
      </c>
      <c r="AC290" s="500"/>
      <c r="AD290" s="500"/>
      <c r="AE290" s="500"/>
      <c r="AF290" s="500"/>
      <c r="AG290" s="500"/>
      <c r="AH290" s="500"/>
      <c r="AI290" s="500">
        <v>0</v>
      </c>
      <c r="AJ290" s="506" t="s">
        <v>605</v>
      </c>
    </row>
    <row r="291" spans="6:36" hidden="1">
      <c r="F291" s="500" t="str">
        <f t="shared" si="69"/>
        <v>Any Commercial Except Fitness Center</v>
      </c>
      <c r="G291" s="500" t="str">
        <f t="shared" si="69"/>
        <v>Direct Install</v>
      </c>
      <c r="H291" s="500" t="str">
        <f t="shared" si="69"/>
        <v>2_00</v>
      </c>
      <c r="I291" s="500" t="str">
        <f t="shared" si="69"/>
        <v>Gas Water Heating</v>
      </c>
      <c r="J291" s="500" t="str">
        <f t="shared" si="64"/>
        <v>Commercial Showerhead Replacement_2_00gpm_Any Commercial Except Fitness Center_ Gas Water Heating_Direct Install - Embedded Water Energy</v>
      </c>
      <c r="K291" s="500"/>
      <c r="L291" s="501"/>
      <c r="M291" s="500"/>
      <c r="N291" s="500"/>
      <c r="O291" s="500"/>
      <c r="P291" s="502"/>
      <c r="Q291" s="503"/>
      <c r="R291" s="504"/>
      <c r="S291" s="505"/>
      <c r="T291" s="500"/>
      <c r="U291" s="500" t="str">
        <f t="shared" si="65"/>
        <v>Commercial Showerhead Replacement_2_00gpm_Any Commercial Except Fitness Center_ Gas Water Heating_Direct Install</v>
      </c>
      <c r="V291" s="506" t="s">
        <v>604</v>
      </c>
      <c r="W291" s="502">
        <f t="shared" si="66"/>
        <v>5.768601258488661</v>
      </c>
      <c r="X291" s="500">
        <v>10</v>
      </c>
      <c r="Y291" s="507">
        <v>0</v>
      </c>
      <c r="Z291" s="500"/>
      <c r="AA291" s="506" t="s">
        <v>605</v>
      </c>
      <c r="AB291" s="505">
        <v>0</v>
      </c>
      <c r="AC291" s="500"/>
      <c r="AD291" s="500"/>
      <c r="AE291" s="500"/>
      <c r="AF291" s="500"/>
      <c r="AG291" s="500"/>
      <c r="AH291" s="500"/>
      <c r="AI291" s="500">
        <v>0</v>
      </c>
      <c r="AJ291" s="506" t="s">
        <v>605</v>
      </c>
    </row>
    <row r="292" spans="6:36" hidden="1">
      <c r="F292" s="500" t="str">
        <f t="shared" si="69"/>
        <v>Any Commercial Except Fitness Center</v>
      </c>
      <c r="G292" s="500" t="str">
        <f t="shared" si="69"/>
        <v>Direct Install</v>
      </c>
      <c r="H292" s="500" t="str">
        <f t="shared" si="69"/>
        <v>2_00</v>
      </c>
      <c r="I292" s="500" t="str">
        <f t="shared" si="69"/>
        <v>Any Water Heating</v>
      </c>
      <c r="J292" s="500" t="str">
        <f t="shared" si="64"/>
        <v>Commercial Showerhead Replacement_2_00gpm_Any Commercial Except Fitness Center_ Any Water Heating_Direct Install - Embedded Water Energy</v>
      </c>
      <c r="K292" s="500"/>
      <c r="L292" s="501"/>
      <c r="M292" s="500"/>
      <c r="N292" s="500"/>
      <c r="O292" s="500"/>
      <c r="P292" s="502"/>
      <c r="Q292" s="503"/>
      <c r="R292" s="504"/>
      <c r="S292" s="505"/>
      <c r="T292" s="500"/>
      <c r="U292" s="500" t="str">
        <f t="shared" si="65"/>
        <v>Commercial Showerhead Replacement_2_00gpm_Any Commercial Except Fitness Center_ Any Water Heating_Direct Install</v>
      </c>
      <c r="V292" s="506" t="s">
        <v>604</v>
      </c>
      <c r="W292" s="502">
        <f t="shared" si="66"/>
        <v>5.768601258488661</v>
      </c>
      <c r="X292" s="500">
        <v>10</v>
      </c>
      <c r="Y292" s="507">
        <v>0</v>
      </c>
      <c r="Z292" s="500"/>
      <c r="AA292" s="506" t="s">
        <v>605</v>
      </c>
      <c r="AB292" s="505">
        <v>0</v>
      </c>
      <c r="AC292" s="500"/>
      <c r="AD292" s="500"/>
      <c r="AE292" s="500"/>
      <c r="AF292" s="500"/>
      <c r="AG292" s="500"/>
      <c r="AH292" s="500"/>
      <c r="AI292" s="500">
        <v>0</v>
      </c>
      <c r="AJ292" s="506" t="s">
        <v>605</v>
      </c>
    </row>
    <row r="293" spans="6:36" hidden="1">
      <c r="F293" s="500" t="str">
        <f t="shared" si="69"/>
        <v>Any Commercial Except Fitness Center</v>
      </c>
      <c r="G293" s="500" t="str">
        <f t="shared" si="69"/>
        <v>Direct Install</v>
      </c>
      <c r="H293" s="500" t="str">
        <f t="shared" si="69"/>
        <v>1_75</v>
      </c>
      <c r="I293" s="500" t="str">
        <f t="shared" si="69"/>
        <v>Electric Water Heating</v>
      </c>
      <c r="J293" s="500" t="str">
        <f t="shared" si="64"/>
        <v>Commercial Showerhead Replacement_1_75gpm_Any Commercial Except Fitness Center_ Electric Water Heating_Direct Install - Embedded Water Energy</v>
      </c>
      <c r="K293" s="500"/>
      <c r="L293" s="501"/>
      <c r="M293" s="500"/>
      <c r="N293" s="500"/>
      <c r="O293" s="500"/>
      <c r="P293" s="502"/>
      <c r="Q293" s="503"/>
      <c r="R293" s="504"/>
      <c r="S293" s="505"/>
      <c r="T293" s="500"/>
      <c r="U293" s="500" t="str">
        <f t="shared" si="65"/>
        <v>Commercial Showerhead Replacement_1_75gpm_Any Commercial Except Fitness Center_ Electric Water Heating_Direct Install</v>
      </c>
      <c r="V293" s="506" t="s">
        <v>604</v>
      </c>
      <c r="W293" s="502">
        <f t="shared" si="66"/>
        <v>6.4896764157997477</v>
      </c>
      <c r="X293" s="500">
        <v>10</v>
      </c>
      <c r="Y293" s="507">
        <v>0</v>
      </c>
      <c r="Z293" s="500"/>
      <c r="AA293" s="506" t="s">
        <v>605</v>
      </c>
      <c r="AB293" s="505">
        <v>0</v>
      </c>
      <c r="AC293" s="500"/>
      <c r="AD293" s="500"/>
      <c r="AE293" s="500"/>
      <c r="AF293" s="500"/>
      <c r="AG293" s="500"/>
      <c r="AH293" s="500"/>
      <c r="AI293" s="500">
        <v>0</v>
      </c>
      <c r="AJ293" s="506" t="s">
        <v>605</v>
      </c>
    </row>
    <row r="294" spans="6:36" hidden="1">
      <c r="F294" s="500" t="str">
        <f t="shared" si="69"/>
        <v>Any Commercial Except Fitness Center</v>
      </c>
      <c r="G294" s="500" t="str">
        <f t="shared" si="69"/>
        <v>Direct Install</v>
      </c>
      <c r="H294" s="500" t="str">
        <f t="shared" si="69"/>
        <v>1_75</v>
      </c>
      <c r="I294" s="500" t="str">
        <f t="shared" si="69"/>
        <v>Gas Water Heating</v>
      </c>
      <c r="J294" s="500" t="str">
        <f t="shared" si="64"/>
        <v>Commercial Showerhead Replacement_1_75gpm_Any Commercial Except Fitness Center_ Gas Water Heating_Direct Install - Embedded Water Energy</v>
      </c>
      <c r="K294" s="500"/>
      <c r="L294" s="501"/>
      <c r="M294" s="500"/>
      <c r="N294" s="500"/>
      <c r="O294" s="500"/>
      <c r="P294" s="502"/>
      <c r="Q294" s="503"/>
      <c r="R294" s="504"/>
      <c r="S294" s="505"/>
      <c r="T294" s="500"/>
      <c r="U294" s="500" t="str">
        <f t="shared" si="65"/>
        <v>Commercial Showerhead Replacement_1_75gpm_Any Commercial Except Fitness Center_ Gas Water Heating_Direct Install</v>
      </c>
      <c r="V294" s="506" t="s">
        <v>604</v>
      </c>
      <c r="W294" s="502">
        <f t="shared" si="66"/>
        <v>6.4896764157997477</v>
      </c>
      <c r="X294" s="500">
        <v>10</v>
      </c>
      <c r="Y294" s="507">
        <v>0</v>
      </c>
      <c r="Z294" s="500"/>
      <c r="AA294" s="506" t="s">
        <v>605</v>
      </c>
      <c r="AB294" s="505">
        <v>0</v>
      </c>
      <c r="AC294" s="500"/>
      <c r="AD294" s="500"/>
      <c r="AE294" s="500"/>
      <c r="AF294" s="500"/>
      <c r="AG294" s="500"/>
      <c r="AH294" s="500"/>
      <c r="AI294" s="500">
        <v>0</v>
      </c>
      <c r="AJ294" s="506" t="s">
        <v>605</v>
      </c>
    </row>
    <row r="295" spans="6:36" hidden="1">
      <c r="F295" s="500" t="str">
        <f t="shared" si="69"/>
        <v>Any Commercial Except Fitness Center</v>
      </c>
      <c r="G295" s="500" t="str">
        <f t="shared" si="69"/>
        <v>Direct Install</v>
      </c>
      <c r="H295" s="500" t="str">
        <f t="shared" si="69"/>
        <v>1_75</v>
      </c>
      <c r="I295" s="500" t="str">
        <f t="shared" si="69"/>
        <v>Any Water Heating</v>
      </c>
      <c r="J295" s="500" t="str">
        <f t="shared" si="64"/>
        <v>Commercial Showerhead Replacement_1_75gpm_Any Commercial Except Fitness Center_ Any Water Heating_Direct Install - Embedded Water Energy</v>
      </c>
      <c r="K295" s="500"/>
      <c r="L295" s="501"/>
      <c r="M295" s="500"/>
      <c r="N295" s="500"/>
      <c r="O295" s="500"/>
      <c r="P295" s="502"/>
      <c r="Q295" s="503"/>
      <c r="R295" s="504"/>
      <c r="S295" s="505"/>
      <c r="T295" s="500"/>
      <c r="U295" s="500" t="str">
        <f t="shared" si="65"/>
        <v>Commercial Showerhead Replacement_1_75gpm_Any Commercial Except Fitness Center_ Any Water Heating_Direct Install</v>
      </c>
      <c r="V295" s="506" t="s">
        <v>604</v>
      </c>
      <c r="W295" s="502">
        <f t="shared" si="66"/>
        <v>6.4896764157997477</v>
      </c>
      <c r="X295" s="500">
        <v>10</v>
      </c>
      <c r="Y295" s="507">
        <v>0</v>
      </c>
      <c r="Z295" s="500"/>
      <c r="AA295" s="506" t="s">
        <v>605</v>
      </c>
      <c r="AB295" s="505">
        <v>0</v>
      </c>
      <c r="AC295" s="500"/>
      <c r="AD295" s="500"/>
      <c r="AE295" s="500"/>
      <c r="AF295" s="500"/>
      <c r="AG295" s="500"/>
      <c r="AH295" s="500"/>
      <c r="AI295" s="500">
        <v>0</v>
      </c>
      <c r="AJ295" s="506" t="s">
        <v>605</v>
      </c>
    </row>
    <row r="296" spans="6:36" hidden="1">
      <c r="F296" s="500" t="str">
        <f t="shared" si="69"/>
        <v>Any Commercial Except Fitness Center</v>
      </c>
      <c r="G296" s="500" t="str">
        <f t="shared" si="69"/>
        <v>Direct Install</v>
      </c>
      <c r="H296" s="500" t="str">
        <f t="shared" si="69"/>
        <v>1_50</v>
      </c>
      <c r="I296" s="500" t="str">
        <f t="shared" si="69"/>
        <v>Electric Water Heating</v>
      </c>
      <c r="J296" s="500" t="str">
        <f t="shared" si="64"/>
        <v>Commercial Showerhead Replacement_1_50gpm_Any Commercial Except Fitness Center_ Electric Water Heating_Direct Install - Embedded Water Energy</v>
      </c>
      <c r="K296" s="500"/>
      <c r="L296" s="501"/>
      <c r="M296" s="500"/>
      <c r="N296" s="500"/>
      <c r="O296" s="500"/>
      <c r="P296" s="502"/>
      <c r="Q296" s="503"/>
      <c r="R296" s="504"/>
      <c r="S296" s="505"/>
      <c r="T296" s="500"/>
      <c r="U296" s="500" t="str">
        <f t="shared" si="65"/>
        <v>Commercial Showerhead Replacement_1_50gpm_Any Commercial Except Fitness Center_ Electric Water Heating_Direct Install</v>
      </c>
      <c r="V296" s="506" t="s">
        <v>604</v>
      </c>
      <c r="W296" s="502">
        <f t="shared" si="66"/>
        <v>10.095052202355159</v>
      </c>
      <c r="X296" s="500">
        <v>10</v>
      </c>
      <c r="Y296" s="507">
        <v>0</v>
      </c>
      <c r="Z296" s="500"/>
      <c r="AA296" s="506" t="s">
        <v>605</v>
      </c>
      <c r="AB296" s="505">
        <v>0</v>
      </c>
      <c r="AC296" s="500"/>
      <c r="AD296" s="500"/>
      <c r="AE296" s="500"/>
      <c r="AF296" s="500"/>
      <c r="AG296" s="500"/>
      <c r="AH296" s="500"/>
      <c r="AI296" s="500">
        <v>0</v>
      </c>
      <c r="AJ296" s="506" t="s">
        <v>605</v>
      </c>
    </row>
    <row r="297" spans="6:36" hidden="1">
      <c r="F297" s="500" t="str">
        <f t="shared" si="69"/>
        <v>Any Commercial Except Fitness Center</v>
      </c>
      <c r="G297" s="500" t="str">
        <f t="shared" si="69"/>
        <v>Direct Install</v>
      </c>
      <c r="H297" s="500" t="str">
        <f t="shared" si="69"/>
        <v>1_50</v>
      </c>
      <c r="I297" s="500" t="str">
        <f t="shared" si="69"/>
        <v>Gas Water Heating</v>
      </c>
      <c r="J297" s="500" t="str">
        <f t="shared" si="64"/>
        <v>Commercial Showerhead Replacement_1_50gpm_Any Commercial Except Fitness Center_ Gas Water Heating_Direct Install - Embedded Water Energy</v>
      </c>
      <c r="K297" s="500"/>
      <c r="L297" s="501"/>
      <c r="M297" s="500"/>
      <c r="N297" s="500"/>
      <c r="O297" s="500"/>
      <c r="P297" s="502"/>
      <c r="Q297" s="503"/>
      <c r="R297" s="504"/>
      <c r="S297" s="505"/>
      <c r="T297" s="500"/>
      <c r="U297" s="500" t="str">
        <f t="shared" si="65"/>
        <v>Commercial Showerhead Replacement_1_50gpm_Any Commercial Except Fitness Center_ Gas Water Heating_Direct Install</v>
      </c>
      <c r="V297" s="506" t="s">
        <v>604</v>
      </c>
      <c r="W297" s="502">
        <f t="shared" si="66"/>
        <v>10.095052202355159</v>
      </c>
      <c r="X297" s="500">
        <v>10</v>
      </c>
      <c r="Y297" s="507">
        <v>0</v>
      </c>
      <c r="Z297" s="500"/>
      <c r="AA297" s="506" t="s">
        <v>605</v>
      </c>
      <c r="AB297" s="505">
        <v>0</v>
      </c>
      <c r="AC297" s="500"/>
      <c r="AD297" s="500"/>
      <c r="AE297" s="500"/>
      <c r="AF297" s="500"/>
      <c r="AG297" s="500"/>
      <c r="AH297" s="500"/>
      <c r="AI297" s="500">
        <v>0</v>
      </c>
      <c r="AJ297" s="506" t="s">
        <v>605</v>
      </c>
    </row>
    <row r="298" spans="6:36">
      <c r="F298" s="500" t="str">
        <f t="shared" si="69"/>
        <v>Any Commercial Except Fitness Center</v>
      </c>
      <c r="G298" s="500" t="str">
        <f t="shared" si="69"/>
        <v>Direct Install</v>
      </c>
      <c r="H298" s="500" t="str">
        <f t="shared" si="69"/>
        <v>1_50</v>
      </c>
      <c r="I298" s="500" t="str">
        <f t="shared" si="69"/>
        <v>Any Water Heating</v>
      </c>
      <c r="J298" s="500" t="str">
        <f t="shared" si="64"/>
        <v>Commercial Showerhead Replacement_1_50gpm_Any Commercial Except Fitness Center_ Any Water Heating_Direct Install - Embedded Water Energy</v>
      </c>
      <c r="K298" s="500"/>
      <c r="L298" s="501"/>
      <c r="M298" s="500"/>
      <c r="N298" s="500"/>
      <c r="O298" s="500"/>
      <c r="P298" s="502"/>
      <c r="Q298" s="503"/>
      <c r="R298" s="504"/>
      <c r="S298" s="505"/>
      <c r="T298" s="500"/>
      <c r="U298" s="500" t="str">
        <f t="shared" si="65"/>
        <v>Commercial Showerhead Replacement_1_50gpm_Any Commercial Except Fitness Center_ Any Water Heating_Direct Install</v>
      </c>
      <c r="V298" s="506" t="s">
        <v>604</v>
      </c>
      <c r="W298" s="502">
        <f t="shared" si="66"/>
        <v>10.095052202355159</v>
      </c>
      <c r="X298" s="500">
        <v>10</v>
      </c>
      <c r="Y298" s="507">
        <v>0</v>
      </c>
      <c r="Z298" s="500"/>
      <c r="AA298" s="506" t="s">
        <v>605</v>
      </c>
      <c r="AB298" s="505">
        <v>0</v>
      </c>
      <c r="AC298" s="500"/>
      <c r="AD298" s="500"/>
      <c r="AE298" s="500"/>
      <c r="AF298" s="500"/>
      <c r="AG298" s="500"/>
      <c r="AH298" s="500"/>
      <c r="AI298" s="500">
        <v>0</v>
      </c>
      <c r="AJ298" s="506" t="s">
        <v>605</v>
      </c>
    </row>
    <row r="299" spans="6:36" hidden="1">
      <c r="F299" s="500" t="str">
        <f t="shared" si="69"/>
        <v>Any Commercial Except Fitness Center</v>
      </c>
      <c r="G299" s="500" t="str">
        <f t="shared" si="69"/>
        <v>Mail-by-Request</v>
      </c>
      <c r="H299" s="500" t="str">
        <f t="shared" si="69"/>
        <v>2_00</v>
      </c>
      <c r="I299" s="500" t="str">
        <f t="shared" si="69"/>
        <v>Electric Water Heating</v>
      </c>
      <c r="J299" s="500" t="str">
        <f t="shared" si="64"/>
        <v>Commercial Showerhead Replacement_2_00gpm_Any Commercial Except Fitness Center_ Electric Water Heating_Mail-by-Request - Embedded Water Energy</v>
      </c>
      <c r="K299" s="500"/>
      <c r="L299" s="501"/>
      <c r="M299" s="500"/>
      <c r="N299" s="500"/>
      <c r="O299" s="500"/>
      <c r="P299" s="502"/>
      <c r="Q299" s="503"/>
      <c r="R299" s="504"/>
      <c r="S299" s="505"/>
      <c r="T299" s="500"/>
      <c r="U299" s="500" t="str">
        <f t="shared" si="65"/>
        <v>Commercial Showerhead Replacement_2_00gpm_Any Commercial Except Fitness Center_ Electric Water Heating_Mail-by-Request</v>
      </c>
      <c r="V299" s="506" t="s">
        <v>604</v>
      </c>
      <c r="W299" s="502">
        <f t="shared" si="66"/>
        <v>3.8457341723257739</v>
      </c>
      <c r="X299" s="500">
        <v>10</v>
      </c>
      <c r="Y299" s="507">
        <v>0</v>
      </c>
      <c r="Z299" s="500"/>
      <c r="AA299" s="506" t="s">
        <v>605</v>
      </c>
      <c r="AB299" s="505">
        <v>0</v>
      </c>
      <c r="AC299" s="500"/>
      <c r="AD299" s="500"/>
      <c r="AE299" s="500"/>
      <c r="AF299" s="500"/>
      <c r="AG299" s="500"/>
      <c r="AH299" s="500"/>
      <c r="AI299" s="500">
        <v>0</v>
      </c>
      <c r="AJ299" s="506" t="s">
        <v>605</v>
      </c>
    </row>
    <row r="300" spans="6:36" hidden="1">
      <c r="F300" s="500" t="str">
        <f t="shared" si="69"/>
        <v>Any Commercial Except Fitness Center</v>
      </c>
      <c r="G300" s="500" t="str">
        <f t="shared" si="69"/>
        <v>Mail-by-Request</v>
      </c>
      <c r="H300" s="500" t="str">
        <f t="shared" si="69"/>
        <v>2_00</v>
      </c>
      <c r="I300" s="500" t="str">
        <f t="shared" si="69"/>
        <v>Gas Water Heating</v>
      </c>
      <c r="J300" s="500" t="str">
        <f t="shared" si="64"/>
        <v>Commercial Showerhead Replacement_2_00gpm_Any Commercial Except Fitness Center_ Gas Water Heating_Mail-by-Request - Embedded Water Energy</v>
      </c>
      <c r="K300" s="500"/>
      <c r="L300" s="501"/>
      <c r="M300" s="500"/>
      <c r="N300" s="500"/>
      <c r="O300" s="500"/>
      <c r="P300" s="502"/>
      <c r="Q300" s="503"/>
      <c r="R300" s="504"/>
      <c r="S300" s="505"/>
      <c r="T300" s="500"/>
      <c r="U300" s="500" t="str">
        <f t="shared" si="65"/>
        <v>Commercial Showerhead Replacement_2_00gpm_Any Commercial Except Fitness Center_ Gas Water Heating_Mail-by-Request</v>
      </c>
      <c r="V300" s="506" t="s">
        <v>604</v>
      </c>
      <c r="W300" s="502">
        <f t="shared" si="66"/>
        <v>3.8457341723257739</v>
      </c>
      <c r="X300" s="500">
        <v>10</v>
      </c>
      <c r="Y300" s="507">
        <v>0</v>
      </c>
      <c r="Z300" s="500"/>
      <c r="AA300" s="506" t="s">
        <v>605</v>
      </c>
      <c r="AB300" s="505">
        <v>0</v>
      </c>
      <c r="AC300" s="500"/>
      <c r="AD300" s="500"/>
      <c r="AE300" s="500"/>
      <c r="AF300" s="500"/>
      <c r="AG300" s="500"/>
      <c r="AH300" s="500"/>
      <c r="AI300" s="500">
        <v>0</v>
      </c>
      <c r="AJ300" s="506" t="s">
        <v>605</v>
      </c>
    </row>
    <row r="301" spans="6:36" hidden="1">
      <c r="F301" s="500" t="str">
        <f t="shared" ref="F301:I316" si="70">F139</f>
        <v>Any Commercial Except Fitness Center</v>
      </c>
      <c r="G301" s="500" t="str">
        <f t="shared" si="70"/>
        <v>Mail-by-Request</v>
      </c>
      <c r="H301" s="500" t="str">
        <f t="shared" si="70"/>
        <v>2_00</v>
      </c>
      <c r="I301" s="500" t="str">
        <f t="shared" si="70"/>
        <v>Any Water Heating</v>
      </c>
      <c r="J301" s="500" t="str">
        <f t="shared" ref="J301:J332" si="71">J139 &amp; " - Embedded Water Energy"</f>
        <v>Commercial Showerhead Replacement_2_00gpm_Any Commercial Except Fitness Center_ Any Water Heating_Mail-by-Request - Embedded Water Energy</v>
      </c>
      <c r="K301" s="500"/>
      <c r="L301" s="501"/>
      <c r="M301" s="500"/>
      <c r="N301" s="500"/>
      <c r="O301" s="500"/>
      <c r="P301" s="502"/>
      <c r="Q301" s="503"/>
      <c r="R301" s="504"/>
      <c r="S301" s="505"/>
      <c r="T301" s="500"/>
      <c r="U301" s="500" t="str">
        <f t="shared" ref="U301:U332" si="72">U139</f>
        <v>Commercial Showerhead Replacement_2_00gpm_Any Commercial Except Fitness Center_ Any Water Heating_Mail-by-Request</v>
      </c>
      <c r="V301" s="506" t="s">
        <v>604</v>
      </c>
      <c r="W301" s="502">
        <f t="shared" ref="W301:W332" si="73">P139</f>
        <v>3.8457341723257739</v>
      </c>
      <c r="X301" s="500">
        <v>10</v>
      </c>
      <c r="Y301" s="507">
        <v>0</v>
      </c>
      <c r="Z301" s="500"/>
      <c r="AA301" s="506" t="s">
        <v>605</v>
      </c>
      <c r="AB301" s="505">
        <v>0</v>
      </c>
      <c r="AC301" s="500"/>
      <c r="AD301" s="500"/>
      <c r="AE301" s="500"/>
      <c r="AF301" s="500"/>
      <c r="AG301" s="500"/>
      <c r="AH301" s="500"/>
      <c r="AI301" s="500">
        <v>0</v>
      </c>
      <c r="AJ301" s="506" t="s">
        <v>605</v>
      </c>
    </row>
    <row r="302" spans="6:36" hidden="1">
      <c r="F302" s="500" t="str">
        <f t="shared" si="70"/>
        <v>Any Commercial Except Fitness Center</v>
      </c>
      <c r="G302" s="500" t="str">
        <f t="shared" si="70"/>
        <v>Mail-by-Request</v>
      </c>
      <c r="H302" s="500" t="str">
        <f t="shared" si="70"/>
        <v>1_75</v>
      </c>
      <c r="I302" s="500" t="str">
        <f t="shared" si="70"/>
        <v>Electric Water Heating</v>
      </c>
      <c r="J302" s="500" t="str">
        <f t="shared" si="71"/>
        <v>Commercial Showerhead Replacement_1_75gpm_Any Commercial Except Fitness Center_ Electric Water Heating_Mail-by-Request - Embedded Water Energy</v>
      </c>
      <c r="K302" s="500"/>
      <c r="L302" s="501"/>
      <c r="M302" s="500"/>
      <c r="N302" s="500"/>
      <c r="O302" s="500"/>
      <c r="P302" s="502"/>
      <c r="Q302" s="503"/>
      <c r="R302" s="504"/>
      <c r="S302" s="505"/>
      <c r="T302" s="500"/>
      <c r="U302" s="500" t="str">
        <f t="shared" si="72"/>
        <v>Commercial Showerhead Replacement_1_75gpm_Any Commercial Except Fitness Center_ Electric Water Heating_Mail-by-Request</v>
      </c>
      <c r="V302" s="506" t="s">
        <v>604</v>
      </c>
      <c r="W302" s="502">
        <f t="shared" si="73"/>
        <v>4.3264509438664982</v>
      </c>
      <c r="X302" s="500">
        <v>10</v>
      </c>
      <c r="Y302" s="507">
        <v>0</v>
      </c>
      <c r="Z302" s="500"/>
      <c r="AA302" s="506" t="s">
        <v>605</v>
      </c>
      <c r="AB302" s="505">
        <v>0</v>
      </c>
      <c r="AC302" s="500"/>
      <c r="AD302" s="500"/>
      <c r="AE302" s="500"/>
      <c r="AF302" s="500"/>
      <c r="AG302" s="500"/>
      <c r="AH302" s="500"/>
      <c r="AI302" s="500">
        <v>0</v>
      </c>
      <c r="AJ302" s="506" t="s">
        <v>605</v>
      </c>
    </row>
    <row r="303" spans="6:36" hidden="1">
      <c r="F303" s="500" t="str">
        <f t="shared" si="70"/>
        <v>Any Commercial Except Fitness Center</v>
      </c>
      <c r="G303" s="500" t="str">
        <f t="shared" si="70"/>
        <v>Mail-by-Request</v>
      </c>
      <c r="H303" s="500" t="str">
        <f t="shared" si="70"/>
        <v>1_75</v>
      </c>
      <c r="I303" s="500" t="str">
        <f t="shared" si="70"/>
        <v>Gas Water Heating</v>
      </c>
      <c r="J303" s="500" t="str">
        <f t="shared" si="71"/>
        <v>Commercial Showerhead Replacement_1_75gpm_Any Commercial Except Fitness Center_ Gas Water Heating_Mail-by-Request - Embedded Water Energy</v>
      </c>
      <c r="K303" s="500"/>
      <c r="L303" s="501"/>
      <c r="M303" s="500"/>
      <c r="N303" s="500"/>
      <c r="O303" s="500"/>
      <c r="P303" s="502"/>
      <c r="Q303" s="503"/>
      <c r="R303" s="504"/>
      <c r="S303" s="505"/>
      <c r="T303" s="500"/>
      <c r="U303" s="500" t="str">
        <f t="shared" si="72"/>
        <v>Commercial Showerhead Replacement_1_75gpm_Any Commercial Except Fitness Center_ Gas Water Heating_Mail-by-Request</v>
      </c>
      <c r="V303" s="506" t="s">
        <v>604</v>
      </c>
      <c r="W303" s="502">
        <f t="shared" si="73"/>
        <v>4.3264509438664982</v>
      </c>
      <c r="X303" s="500">
        <v>10</v>
      </c>
      <c r="Y303" s="507">
        <v>0</v>
      </c>
      <c r="Z303" s="500"/>
      <c r="AA303" s="506" t="s">
        <v>605</v>
      </c>
      <c r="AB303" s="505">
        <v>0</v>
      </c>
      <c r="AC303" s="500"/>
      <c r="AD303" s="500"/>
      <c r="AE303" s="500"/>
      <c r="AF303" s="500"/>
      <c r="AG303" s="500"/>
      <c r="AH303" s="500"/>
      <c r="AI303" s="500">
        <v>0</v>
      </c>
      <c r="AJ303" s="506" t="s">
        <v>605</v>
      </c>
    </row>
    <row r="304" spans="6:36" hidden="1">
      <c r="F304" s="500" t="str">
        <f t="shared" si="70"/>
        <v>Any Commercial Except Fitness Center</v>
      </c>
      <c r="G304" s="500" t="str">
        <f t="shared" si="70"/>
        <v>Mail-by-Request</v>
      </c>
      <c r="H304" s="500" t="str">
        <f t="shared" si="70"/>
        <v>1_75</v>
      </c>
      <c r="I304" s="500" t="str">
        <f t="shared" si="70"/>
        <v>Any Water Heating</v>
      </c>
      <c r="J304" s="500" t="str">
        <f t="shared" si="71"/>
        <v>Commercial Showerhead Replacement_1_75gpm_Any Commercial Except Fitness Center_ Any Water Heating_Mail-by-Request - Embedded Water Energy</v>
      </c>
      <c r="K304" s="500"/>
      <c r="L304" s="501"/>
      <c r="M304" s="500"/>
      <c r="N304" s="500"/>
      <c r="O304" s="500"/>
      <c r="P304" s="502"/>
      <c r="Q304" s="503"/>
      <c r="R304" s="504"/>
      <c r="S304" s="505"/>
      <c r="T304" s="500"/>
      <c r="U304" s="500" t="str">
        <f t="shared" si="72"/>
        <v>Commercial Showerhead Replacement_1_75gpm_Any Commercial Except Fitness Center_ Any Water Heating_Mail-by-Request</v>
      </c>
      <c r="V304" s="506" t="s">
        <v>604</v>
      </c>
      <c r="W304" s="502">
        <f t="shared" si="73"/>
        <v>4.3264509438664982</v>
      </c>
      <c r="X304" s="500">
        <v>10</v>
      </c>
      <c r="Y304" s="507">
        <v>0</v>
      </c>
      <c r="Z304" s="500"/>
      <c r="AA304" s="506" t="s">
        <v>605</v>
      </c>
      <c r="AB304" s="505">
        <v>0</v>
      </c>
      <c r="AC304" s="500"/>
      <c r="AD304" s="500"/>
      <c r="AE304" s="500"/>
      <c r="AF304" s="500"/>
      <c r="AG304" s="500"/>
      <c r="AH304" s="500"/>
      <c r="AI304" s="500">
        <v>0</v>
      </c>
      <c r="AJ304" s="506" t="s">
        <v>605</v>
      </c>
    </row>
    <row r="305" spans="6:36" hidden="1">
      <c r="F305" s="500" t="str">
        <f t="shared" si="70"/>
        <v>Any Commercial Except Fitness Center</v>
      </c>
      <c r="G305" s="500" t="str">
        <f t="shared" si="70"/>
        <v>Mail-by-Request</v>
      </c>
      <c r="H305" s="500" t="str">
        <f t="shared" si="70"/>
        <v>1_50</v>
      </c>
      <c r="I305" s="500" t="str">
        <f t="shared" si="70"/>
        <v>Electric Water Heating</v>
      </c>
      <c r="J305" s="500" t="str">
        <f t="shared" si="71"/>
        <v>Commercial Showerhead Replacement_1_50gpm_Any Commercial Except Fitness Center_ Electric Water Heating_Mail-by-Request - Embedded Water Energy</v>
      </c>
      <c r="K305" s="500"/>
      <c r="L305" s="501"/>
      <c r="M305" s="500"/>
      <c r="N305" s="500"/>
      <c r="O305" s="500"/>
      <c r="P305" s="502"/>
      <c r="Q305" s="503"/>
      <c r="R305" s="504"/>
      <c r="S305" s="505"/>
      <c r="T305" s="500"/>
      <c r="U305" s="500" t="str">
        <f t="shared" si="72"/>
        <v>Commercial Showerhead Replacement_1_50gpm_Any Commercial Except Fitness Center_ Electric Water Heating_Mail-by-Request</v>
      </c>
      <c r="V305" s="506" t="s">
        <v>604</v>
      </c>
      <c r="W305" s="502">
        <f t="shared" si="73"/>
        <v>6.7300348015701053</v>
      </c>
      <c r="X305" s="500">
        <v>10</v>
      </c>
      <c r="Y305" s="507">
        <v>0</v>
      </c>
      <c r="Z305" s="500"/>
      <c r="AA305" s="506" t="s">
        <v>605</v>
      </c>
      <c r="AB305" s="505">
        <v>0</v>
      </c>
      <c r="AC305" s="500"/>
      <c r="AD305" s="500"/>
      <c r="AE305" s="500"/>
      <c r="AF305" s="500"/>
      <c r="AG305" s="500"/>
      <c r="AH305" s="500"/>
      <c r="AI305" s="500">
        <v>0</v>
      </c>
      <c r="AJ305" s="506" t="s">
        <v>605</v>
      </c>
    </row>
    <row r="306" spans="6:36" hidden="1">
      <c r="F306" s="500" t="str">
        <f t="shared" si="70"/>
        <v>Any Commercial Except Fitness Center</v>
      </c>
      <c r="G306" s="500" t="str">
        <f t="shared" si="70"/>
        <v>Mail-by-Request</v>
      </c>
      <c r="H306" s="500" t="str">
        <f t="shared" si="70"/>
        <v>1_50</v>
      </c>
      <c r="I306" s="500" t="str">
        <f t="shared" si="70"/>
        <v>Gas Water Heating</v>
      </c>
      <c r="J306" s="500" t="str">
        <f t="shared" si="71"/>
        <v>Commercial Showerhead Replacement_1_50gpm_Any Commercial Except Fitness Center_ Gas Water Heating_Mail-by-Request - Embedded Water Energy</v>
      </c>
      <c r="K306" s="500"/>
      <c r="L306" s="501"/>
      <c r="M306" s="500"/>
      <c r="N306" s="500"/>
      <c r="O306" s="500"/>
      <c r="P306" s="502"/>
      <c r="Q306" s="503"/>
      <c r="R306" s="504"/>
      <c r="S306" s="505"/>
      <c r="T306" s="500"/>
      <c r="U306" s="500" t="str">
        <f t="shared" si="72"/>
        <v>Commercial Showerhead Replacement_1_50gpm_Any Commercial Except Fitness Center_ Gas Water Heating_Mail-by-Request</v>
      </c>
      <c r="V306" s="506" t="s">
        <v>604</v>
      </c>
      <c r="W306" s="502">
        <f t="shared" si="73"/>
        <v>6.7300348015701053</v>
      </c>
      <c r="X306" s="500">
        <v>10</v>
      </c>
      <c r="Y306" s="507">
        <v>0</v>
      </c>
      <c r="Z306" s="500"/>
      <c r="AA306" s="506" t="s">
        <v>605</v>
      </c>
      <c r="AB306" s="505">
        <v>0</v>
      </c>
      <c r="AC306" s="500"/>
      <c r="AD306" s="500"/>
      <c r="AE306" s="500"/>
      <c r="AF306" s="500"/>
      <c r="AG306" s="500"/>
      <c r="AH306" s="500"/>
      <c r="AI306" s="500">
        <v>0</v>
      </c>
      <c r="AJ306" s="506" t="s">
        <v>605</v>
      </c>
    </row>
    <row r="307" spans="6:36" hidden="1">
      <c r="F307" s="500" t="str">
        <f t="shared" si="70"/>
        <v>Any Commercial Except Fitness Center</v>
      </c>
      <c r="G307" s="500" t="str">
        <f t="shared" si="70"/>
        <v>Mail-by-Request</v>
      </c>
      <c r="H307" s="500" t="str">
        <f t="shared" si="70"/>
        <v>1_50</v>
      </c>
      <c r="I307" s="500" t="str">
        <f t="shared" si="70"/>
        <v>Any Water Heating</v>
      </c>
      <c r="J307" s="500" t="str">
        <f t="shared" si="71"/>
        <v>Commercial Showerhead Replacement_1_50gpm_Any Commercial Except Fitness Center_ Any Water Heating_Mail-by-Request - Embedded Water Energy</v>
      </c>
      <c r="K307" s="500"/>
      <c r="L307" s="501"/>
      <c r="M307" s="500"/>
      <c r="N307" s="500"/>
      <c r="O307" s="500"/>
      <c r="P307" s="502"/>
      <c r="Q307" s="503"/>
      <c r="R307" s="504"/>
      <c r="S307" s="505"/>
      <c r="T307" s="500"/>
      <c r="U307" s="500" t="str">
        <f t="shared" si="72"/>
        <v>Commercial Showerhead Replacement_1_50gpm_Any Commercial Except Fitness Center_ Any Water Heating_Mail-by-Request</v>
      </c>
      <c r="V307" s="506" t="s">
        <v>604</v>
      </c>
      <c r="W307" s="502">
        <f t="shared" si="73"/>
        <v>6.7300348015701053</v>
      </c>
      <c r="X307" s="500">
        <v>10</v>
      </c>
      <c r="Y307" s="507">
        <v>0</v>
      </c>
      <c r="Z307" s="500"/>
      <c r="AA307" s="506" t="s">
        <v>605</v>
      </c>
      <c r="AB307" s="505">
        <v>0</v>
      </c>
      <c r="AC307" s="500"/>
      <c r="AD307" s="500"/>
      <c r="AE307" s="500"/>
      <c r="AF307" s="500"/>
      <c r="AG307" s="500"/>
      <c r="AH307" s="500"/>
      <c r="AI307" s="500">
        <v>0</v>
      </c>
      <c r="AJ307" s="506" t="s">
        <v>605</v>
      </c>
    </row>
    <row r="308" spans="6:36" hidden="1">
      <c r="F308" s="500" t="str">
        <f t="shared" si="70"/>
        <v>Fitness Center</v>
      </c>
      <c r="G308" s="500" t="str">
        <f t="shared" si="70"/>
        <v>Retail</v>
      </c>
      <c r="H308" s="500" t="str">
        <f t="shared" si="70"/>
        <v>2_00</v>
      </c>
      <c r="I308" s="500" t="str">
        <f t="shared" si="70"/>
        <v>Electric Water Heating</v>
      </c>
      <c r="J308" s="500" t="str">
        <f t="shared" si="71"/>
        <v>Commercial Showerhead Replacement_2_00gpm_Fitness Center_ Electric Water Heating_Retail - Embedded Water Energy</v>
      </c>
      <c r="K308" s="500"/>
      <c r="L308" s="501"/>
      <c r="M308" s="500"/>
      <c r="N308" s="500"/>
      <c r="O308" s="500"/>
      <c r="P308" s="502"/>
      <c r="Q308" s="503"/>
      <c r="R308" s="504"/>
      <c r="S308" s="505"/>
      <c r="T308" s="500"/>
      <c r="U308" s="500" t="str">
        <f t="shared" si="72"/>
        <v>Commercial Showerhead Replacement_2_00gpm_Fitness Center_ Electric Water Heating_Retail</v>
      </c>
      <c r="V308" s="506" t="s">
        <v>604</v>
      </c>
      <c r="W308" s="502">
        <f t="shared" si="73"/>
        <v>96.30796050339346</v>
      </c>
      <c r="X308" s="500">
        <v>10</v>
      </c>
      <c r="Y308" s="507">
        <v>0</v>
      </c>
      <c r="Z308" s="500"/>
      <c r="AA308" s="506" t="s">
        <v>605</v>
      </c>
      <c r="AB308" s="505">
        <v>0</v>
      </c>
      <c r="AC308" s="500"/>
      <c r="AD308" s="500"/>
      <c r="AE308" s="500"/>
      <c r="AF308" s="500"/>
      <c r="AG308" s="500"/>
      <c r="AH308" s="500"/>
      <c r="AI308" s="500">
        <v>0</v>
      </c>
      <c r="AJ308" s="506" t="s">
        <v>605</v>
      </c>
    </row>
    <row r="309" spans="6:36" hidden="1">
      <c r="F309" s="500" t="str">
        <f t="shared" si="70"/>
        <v>Fitness Center</v>
      </c>
      <c r="G309" s="500" t="str">
        <f t="shared" si="70"/>
        <v>Retail</v>
      </c>
      <c r="H309" s="500" t="str">
        <f t="shared" si="70"/>
        <v>2_00</v>
      </c>
      <c r="I309" s="500" t="str">
        <f t="shared" si="70"/>
        <v>Gas Water Heating</v>
      </c>
      <c r="J309" s="500" t="str">
        <f t="shared" si="71"/>
        <v>Commercial Showerhead Replacement_2_00gpm_Fitness Center_ Gas Water Heating_Retail - Embedded Water Energy</v>
      </c>
      <c r="K309" s="500"/>
      <c r="L309" s="501"/>
      <c r="M309" s="500"/>
      <c r="N309" s="500"/>
      <c r="O309" s="500"/>
      <c r="P309" s="502"/>
      <c r="Q309" s="503"/>
      <c r="R309" s="504"/>
      <c r="S309" s="505"/>
      <c r="T309" s="500"/>
      <c r="U309" s="500" t="str">
        <f t="shared" si="72"/>
        <v>Commercial Showerhead Replacement_2_00gpm_Fitness Center_ Gas Water Heating_Retail</v>
      </c>
      <c r="V309" s="506" t="s">
        <v>604</v>
      </c>
      <c r="W309" s="502">
        <f t="shared" si="73"/>
        <v>96.30796050339346</v>
      </c>
      <c r="X309" s="500">
        <v>10</v>
      </c>
      <c r="Y309" s="507">
        <v>0</v>
      </c>
      <c r="Z309" s="500"/>
      <c r="AA309" s="506" t="s">
        <v>605</v>
      </c>
      <c r="AB309" s="505">
        <v>0</v>
      </c>
      <c r="AC309" s="500"/>
      <c r="AD309" s="500"/>
      <c r="AE309" s="500"/>
      <c r="AF309" s="500"/>
      <c r="AG309" s="500"/>
      <c r="AH309" s="500"/>
      <c r="AI309" s="500">
        <v>0</v>
      </c>
      <c r="AJ309" s="506" t="s">
        <v>605</v>
      </c>
    </row>
    <row r="310" spans="6:36" hidden="1">
      <c r="F310" s="500" t="str">
        <f t="shared" si="70"/>
        <v>Fitness Center</v>
      </c>
      <c r="G310" s="500" t="str">
        <f t="shared" si="70"/>
        <v>Retail</v>
      </c>
      <c r="H310" s="500" t="str">
        <f t="shared" si="70"/>
        <v>2_00</v>
      </c>
      <c r="I310" s="500" t="str">
        <f t="shared" si="70"/>
        <v>Any Water Heating</v>
      </c>
      <c r="J310" s="500" t="str">
        <f t="shared" si="71"/>
        <v>Commercial Showerhead Replacement_2_00gpm_Fitness Center_ Any Water Heating_Retail - Embedded Water Energy</v>
      </c>
      <c r="K310" s="500"/>
      <c r="L310" s="501"/>
      <c r="M310" s="500"/>
      <c r="N310" s="500"/>
      <c r="O310" s="500"/>
      <c r="P310" s="502"/>
      <c r="Q310" s="503"/>
      <c r="R310" s="504"/>
      <c r="S310" s="505"/>
      <c r="T310" s="500"/>
      <c r="U310" s="500" t="str">
        <f t="shared" si="72"/>
        <v>Commercial Showerhead Replacement_2_00gpm_Fitness Center_ Any Water Heating_Retail</v>
      </c>
      <c r="V310" s="506" t="s">
        <v>604</v>
      </c>
      <c r="W310" s="502">
        <f t="shared" si="73"/>
        <v>96.30796050339346</v>
      </c>
      <c r="X310" s="500">
        <v>10</v>
      </c>
      <c r="Y310" s="507">
        <v>0</v>
      </c>
      <c r="Z310" s="500"/>
      <c r="AA310" s="506" t="s">
        <v>605</v>
      </c>
      <c r="AB310" s="505">
        <v>0</v>
      </c>
      <c r="AC310" s="500"/>
      <c r="AD310" s="500"/>
      <c r="AE310" s="500"/>
      <c r="AF310" s="500"/>
      <c r="AG310" s="500"/>
      <c r="AH310" s="500"/>
      <c r="AI310" s="500">
        <v>0</v>
      </c>
      <c r="AJ310" s="506" t="s">
        <v>605</v>
      </c>
    </row>
    <row r="311" spans="6:36" hidden="1">
      <c r="F311" s="500" t="str">
        <f t="shared" si="70"/>
        <v>Fitness Center</v>
      </c>
      <c r="G311" s="500" t="str">
        <f t="shared" si="70"/>
        <v>Retail</v>
      </c>
      <c r="H311" s="500" t="str">
        <f t="shared" si="70"/>
        <v>1_75</v>
      </c>
      <c r="I311" s="500" t="str">
        <f t="shared" si="70"/>
        <v>Electric Water Heating</v>
      </c>
      <c r="J311" s="500" t="str">
        <f t="shared" si="71"/>
        <v>Commercial Showerhead Replacement_1_75gpm_Fitness Center_ Electric Water Heating_Retail - Embedded Water Energy</v>
      </c>
      <c r="K311" s="500"/>
      <c r="L311" s="501"/>
      <c r="M311" s="500"/>
      <c r="N311" s="500"/>
      <c r="O311" s="500"/>
      <c r="P311" s="502"/>
      <c r="Q311" s="503"/>
      <c r="R311" s="504"/>
      <c r="S311" s="505"/>
      <c r="T311" s="500"/>
      <c r="U311" s="500" t="str">
        <f t="shared" si="72"/>
        <v>Commercial Showerhead Replacement_1_75gpm_Fitness Center_ Electric Water Heating_Retail</v>
      </c>
      <c r="V311" s="506" t="s">
        <v>604</v>
      </c>
      <c r="W311" s="502">
        <f t="shared" si="73"/>
        <v>101.57480209342276</v>
      </c>
      <c r="X311" s="500">
        <v>10</v>
      </c>
      <c r="Y311" s="507">
        <v>0</v>
      </c>
      <c r="Z311" s="500"/>
      <c r="AA311" s="506" t="s">
        <v>605</v>
      </c>
      <c r="AB311" s="505">
        <v>0</v>
      </c>
      <c r="AC311" s="500"/>
      <c r="AD311" s="500"/>
      <c r="AE311" s="500"/>
      <c r="AF311" s="500"/>
      <c r="AG311" s="500"/>
      <c r="AH311" s="500"/>
      <c r="AI311" s="500">
        <v>0</v>
      </c>
      <c r="AJ311" s="506" t="s">
        <v>605</v>
      </c>
    </row>
    <row r="312" spans="6:36" hidden="1">
      <c r="F312" s="500" t="str">
        <f t="shared" si="70"/>
        <v>Fitness Center</v>
      </c>
      <c r="G312" s="500" t="str">
        <f t="shared" si="70"/>
        <v>Retail</v>
      </c>
      <c r="H312" s="500" t="str">
        <f t="shared" si="70"/>
        <v>1_75</v>
      </c>
      <c r="I312" s="500" t="str">
        <f t="shared" si="70"/>
        <v>Gas Water Heating</v>
      </c>
      <c r="J312" s="500" t="str">
        <f t="shared" si="71"/>
        <v>Commercial Showerhead Replacement_1_75gpm_Fitness Center_ Gas Water Heating_Retail - Embedded Water Energy</v>
      </c>
      <c r="K312" s="500"/>
      <c r="L312" s="501"/>
      <c r="M312" s="500"/>
      <c r="N312" s="500"/>
      <c r="O312" s="500"/>
      <c r="P312" s="502"/>
      <c r="Q312" s="503"/>
      <c r="R312" s="504"/>
      <c r="S312" s="505"/>
      <c r="T312" s="500"/>
      <c r="U312" s="500" t="str">
        <f t="shared" si="72"/>
        <v>Commercial Showerhead Replacement_1_75gpm_Fitness Center_ Gas Water Heating_Retail</v>
      </c>
      <c r="V312" s="506" t="s">
        <v>604</v>
      </c>
      <c r="W312" s="502">
        <f t="shared" si="73"/>
        <v>101.57480209342276</v>
      </c>
      <c r="X312" s="500">
        <v>10</v>
      </c>
      <c r="Y312" s="507">
        <v>0</v>
      </c>
      <c r="Z312" s="500"/>
      <c r="AA312" s="506" t="s">
        <v>605</v>
      </c>
      <c r="AB312" s="505">
        <v>0</v>
      </c>
      <c r="AC312" s="500"/>
      <c r="AD312" s="500"/>
      <c r="AE312" s="500"/>
      <c r="AF312" s="500"/>
      <c r="AG312" s="500"/>
      <c r="AH312" s="500"/>
      <c r="AI312" s="500">
        <v>0</v>
      </c>
      <c r="AJ312" s="506" t="s">
        <v>605</v>
      </c>
    </row>
    <row r="313" spans="6:36" hidden="1">
      <c r="F313" s="500" t="str">
        <f t="shared" si="70"/>
        <v>Fitness Center</v>
      </c>
      <c r="G313" s="500" t="str">
        <f t="shared" si="70"/>
        <v>Retail</v>
      </c>
      <c r="H313" s="500" t="str">
        <f t="shared" si="70"/>
        <v>1_75</v>
      </c>
      <c r="I313" s="500" t="str">
        <f t="shared" si="70"/>
        <v>Any Water Heating</v>
      </c>
      <c r="J313" s="500" t="str">
        <f t="shared" si="71"/>
        <v>Commercial Showerhead Replacement_1_75gpm_Fitness Center_ Any Water Heating_Retail - Embedded Water Energy</v>
      </c>
      <c r="K313" s="500"/>
      <c r="L313" s="501"/>
      <c r="M313" s="500"/>
      <c r="N313" s="500"/>
      <c r="O313" s="500"/>
      <c r="P313" s="502"/>
      <c r="Q313" s="503"/>
      <c r="R313" s="504"/>
      <c r="S313" s="505"/>
      <c r="T313" s="500"/>
      <c r="U313" s="500" t="str">
        <f t="shared" si="72"/>
        <v>Commercial Showerhead Replacement_1_75gpm_Fitness Center_ Any Water Heating_Retail</v>
      </c>
      <c r="V313" s="506" t="s">
        <v>604</v>
      </c>
      <c r="W313" s="502">
        <f t="shared" si="73"/>
        <v>101.57480209342276</v>
      </c>
      <c r="X313" s="500">
        <v>10</v>
      </c>
      <c r="Y313" s="507">
        <v>0</v>
      </c>
      <c r="Z313" s="500"/>
      <c r="AA313" s="506" t="s">
        <v>605</v>
      </c>
      <c r="AB313" s="505">
        <v>0</v>
      </c>
      <c r="AC313" s="500"/>
      <c r="AD313" s="500"/>
      <c r="AE313" s="500"/>
      <c r="AF313" s="500"/>
      <c r="AG313" s="500"/>
      <c r="AH313" s="500"/>
      <c r="AI313" s="500">
        <v>0</v>
      </c>
      <c r="AJ313" s="506" t="s">
        <v>605</v>
      </c>
    </row>
    <row r="314" spans="6:36" hidden="1">
      <c r="F314" s="500" t="str">
        <f t="shared" si="70"/>
        <v>Fitness Center</v>
      </c>
      <c r="G314" s="500" t="str">
        <f t="shared" si="70"/>
        <v>Retail</v>
      </c>
      <c r="H314" s="500" t="str">
        <f t="shared" si="70"/>
        <v>1_50</v>
      </c>
      <c r="I314" s="500" t="str">
        <f t="shared" si="70"/>
        <v>Electric Water Heating</v>
      </c>
      <c r="J314" s="500" t="str">
        <f t="shared" si="71"/>
        <v>Commercial Showerhead Replacement_1_50gpm_Fitness Center_ Electric Water Heating_Retail - Embedded Water Energy</v>
      </c>
      <c r="K314" s="500"/>
      <c r="L314" s="501"/>
      <c r="M314" s="500"/>
      <c r="N314" s="500"/>
      <c r="O314" s="500"/>
      <c r="P314" s="502"/>
      <c r="Q314" s="503"/>
      <c r="R314" s="504"/>
      <c r="S314" s="505"/>
      <c r="T314" s="500"/>
      <c r="U314" s="500" t="str">
        <f t="shared" si="72"/>
        <v>Commercial Showerhead Replacement_1_50gpm_Fitness Center_ Electric Water Heating_Retail</v>
      </c>
      <c r="V314" s="506" t="s">
        <v>604</v>
      </c>
      <c r="W314" s="502">
        <f t="shared" si="73"/>
        <v>147.47156452082115</v>
      </c>
      <c r="X314" s="500">
        <v>10</v>
      </c>
      <c r="Y314" s="507">
        <v>0</v>
      </c>
      <c r="Z314" s="500"/>
      <c r="AA314" s="506" t="s">
        <v>605</v>
      </c>
      <c r="AB314" s="505">
        <v>0</v>
      </c>
      <c r="AC314" s="500"/>
      <c r="AD314" s="500"/>
      <c r="AE314" s="500"/>
      <c r="AF314" s="500"/>
      <c r="AG314" s="500"/>
      <c r="AH314" s="500"/>
      <c r="AI314" s="500">
        <v>0</v>
      </c>
      <c r="AJ314" s="506" t="s">
        <v>605</v>
      </c>
    </row>
    <row r="315" spans="6:36" hidden="1">
      <c r="F315" s="500" t="str">
        <f t="shared" si="70"/>
        <v>Fitness Center</v>
      </c>
      <c r="G315" s="500" t="str">
        <f t="shared" si="70"/>
        <v>Retail</v>
      </c>
      <c r="H315" s="500" t="str">
        <f t="shared" si="70"/>
        <v>1_50</v>
      </c>
      <c r="I315" s="500" t="str">
        <f t="shared" si="70"/>
        <v>Gas Water Heating</v>
      </c>
      <c r="J315" s="500" t="str">
        <f t="shared" si="71"/>
        <v>Commercial Showerhead Replacement_1_50gpm_Fitness Center_ Gas Water Heating_Retail - Embedded Water Energy</v>
      </c>
      <c r="K315" s="500"/>
      <c r="L315" s="501"/>
      <c r="M315" s="500"/>
      <c r="N315" s="500"/>
      <c r="O315" s="500"/>
      <c r="P315" s="502"/>
      <c r="Q315" s="503"/>
      <c r="R315" s="504"/>
      <c r="S315" s="505"/>
      <c r="T315" s="500"/>
      <c r="U315" s="500" t="str">
        <f t="shared" si="72"/>
        <v>Commercial Showerhead Replacement_1_50gpm_Fitness Center_ Gas Water Heating_Retail</v>
      </c>
      <c r="V315" s="506" t="s">
        <v>604</v>
      </c>
      <c r="W315" s="502">
        <f t="shared" si="73"/>
        <v>147.47156452082115</v>
      </c>
      <c r="X315" s="500">
        <v>10</v>
      </c>
      <c r="Y315" s="507">
        <v>0</v>
      </c>
      <c r="Z315" s="500"/>
      <c r="AA315" s="506" t="s">
        <v>605</v>
      </c>
      <c r="AB315" s="505">
        <v>0</v>
      </c>
      <c r="AC315" s="500"/>
      <c r="AD315" s="500"/>
      <c r="AE315" s="500"/>
      <c r="AF315" s="500"/>
      <c r="AG315" s="500"/>
      <c r="AH315" s="500"/>
      <c r="AI315" s="500">
        <v>0</v>
      </c>
      <c r="AJ315" s="506" t="s">
        <v>605</v>
      </c>
    </row>
    <row r="316" spans="6:36" hidden="1">
      <c r="F316" s="500" t="str">
        <f t="shared" si="70"/>
        <v>Fitness Center</v>
      </c>
      <c r="G316" s="500" t="str">
        <f t="shared" si="70"/>
        <v>Retail</v>
      </c>
      <c r="H316" s="500" t="str">
        <f t="shared" si="70"/>
        <v>1_50</v>
      </c>
      <c r="I316" s="500" t="str">
        <f t="shared" si="70"/>
        <v>Any Water Heating</v>
      </c>
      <c r="J316" s="500" t="str">
        <f t="shared" si="71"/>
        <v>Commercial Showerhead Replacement_1_50gpm_Fitness Center_ Any Water Heating_Retail - Embedded Water Energy</v>
      </c>
      <c r="K316" s="500"/>
      <c r="L316" s="501"/>
      <c r="M316" s="500"/>
      <c r="N316" s="500"/>
      <c r="O316" s="500"/>
      <c r="P316" s="502"/>
      <c r="Q316" s="503"/>
      <c r="R316" s="504"/>
      <c r="S316" s="505"/>
      <c r="T316" s="500"/>
      <c r="U316" s="500" t="str">
        <f t="shared" si="72"/>
        <v>Commercial Showerhead Replacement_1_50gpm_Fitness Center_ Any Water Heating_Retail</v>
      </c>
      <c r="V316" s="506" t="s">
        <v>604</v>
      </c>
      <c r="W316" s="502">
        <f t="shared" si="73"/>
        <v>147.47156452082115</v>
      </c>
      <c r="X316" s="500">
        <v>10</v>
      </c>
      <c r="Y316" s="507">
        <v>0</v>
      </c>
      <c r="Z316" s="500"/>
      <c r="AA316" s="506" t="s">
        <v>605</v>
      </c>
      <c r="AB316" s="505">
        <v>0</v>
      </c>
      <c r="AC316" s="500"/>
      <c r="AD316" s="500"/>
      <c r="AE316" s="500"/>
      <c r="AF316" s="500"/>
      <c r="AG316" s="500"/>
      <c r="AH316" s="500"/>
      <c r="AI316" s="500">
        <v>0</v>
      </c>
      <c r="AJ316" s="506" t="s">
        <v>605</v>
      </c>
    </row>
    <row r="317" spans="6:36" hidden="1">
      <c r="F317" s="500" t="str">
        <f t="shared" ref="F317:I332" si="74">F155</f>
        <v>Fitness Center</v>
      </c>
      <c r="G317" s="500" t="str">
        <f t="shared" si="74"/>
        <v>Direct Install</v>
      </c>
      <c r="H317" s="500" t="str">
        <f t="shared" si="74"/>
        <v>2_00</v>
      </c>
      <c r="I317" s="500" t="str">
        <f t="shared" si="74"/>
        <v>Electric Water Heating</v>
      </c>
      <c r="J317" s="500" t="str">
        <f t="shared" si="71"/>
        <v>Commercial Showerhead Replacement_2_00gpm_Fitness Center_ Electric Water Heating_Direct Install - Embedded Water Energy</v>
      </c>
      <c r="K317" s="500"/>
      <c r="L317" s="501"/>
      <c r="M317" s="500"/>
      <c r="N317" s="500"/>
      <c r="O317" s="500"/>
      <c r="P317" s="502"/>
      <c r="Q317" s="503"/>
      <c r="R317" s="504"/>
      <c r="S317" s="505"/>
      <c r="T317" s="500"/>
      <c r="U317" s="500" t="str">
        <f t="shared" si="72"/>
        <v>Commercial Showerhead Replacement_2_00gpm_Fitness Center_ Electric Water Heating_Direct Install</v>
      </c>
      <c r="V317" s="506" t="s">
        <v>604</v>
      </c>
      <c r="W317" s="502">
        <f t="shared" si="73"/>
        <v>108.34645556631763</v>
      </c>
      <c r="X317" s="500">
        <v>10</v>
      </c>
      <c r="Y317" s="507">
        <v>0</v>
      </c>
      <c r="Z317" s="500"/>
      <c r="AA317" s="506" t="s">
        <v>605</v>
      </c>
      <c r="AB317" s="505">
        <v>0</v>
      </c>
      <c r="AC317" s="500"/>
      <c r="AD317" s="500"/>
      <c r="AE317" s="500"/>
      <c r="AF317" s="500"/>
      <c r="AG317" s="500"/>
      <c r="AH317" s="500"/>
      <c r="AI317" s="500">
        <v>0</v>
      </c>
      <c r="AJ317" s="506" t="s">
        <v>605</v>
      </c>
    </row>
    <row r="318" spans="6:36" hidden="1">
      <c r="F318" s="500" t="str">
        <f t="shared" si="74"/>
        <v>Fitness Center</v>
      </c>
      <c r="G318" s="500" t="str">
        <f t="shared" si="74"/>
        <v>Direct Install</v>
      </c>
      <c r="H318" s="500" t="str">
        <f t="shared" si="74"/>
        <v>2_00</v>
      </c>
      <c r="I318" s="500" t="str">
        <f t="shared" si="74"/>
        <v>Gas Water Heating</v>
      </c>
      <c r="J318" s="500" t="str">
        <f t="shared" si="71"/>
        <v>Commercial Showerhead Replacement_2_00gpm_Fitness Center_ Gas Water Heating_Direct Install - Embedded Water Energy</v>
      </c>
      <c r="K318" s="500"/>
      <c r="L318" s="501"/>
      <c r="M318" s="500"/>
      <c r="N318" s="500"/>
      <c r="O318" s="500"/>
      <c r="P318" s="502"/>
      <c r="Q318" s="503"/>
      <c r="R318" s="504"/>
      <c r="S318" s="505"/>
      <c r="T318" s="500"/>
      <c r="U318" s="500" t="str">
        <f t="shared" si="72"/>
        <v>Commercial Showerhead Replacement_2_00gpm_Fitness Center_ Gas Water Heating_Direct Install</v>
      </c>
      <c r="V318" s="506" t="s">
        <v>604</v>
      </c>
      <c r="W318" s="502">
        <f t="shared" si="73"/>
        <v>108.34645556631763</v>
      </c>
      <c r="X318" s="500">
        <v>10</v>
      </c>
      <c r="Y318" s="507">
        <v>0</v>
      </c>
      <c r="Z318" s="500"/>
      <c r="AA318" s="506" t="s">
        <v>605</v>
      </c>
      <c r="AB318" s="505">
        <v>0</v>
      </c>
      <c r="AC318" s="500"/>
      <c r="AD318" s="500"/>
      <c r="AE318" s="500"/>
      <c r="AF318" s="500"/>
      <c r="AG318" s="500"/>
      <c r="AH318" s="500"/>
      <c r="AI318" s="500">
        <v>0</v>
      </c>
      <c r="AJ318" s="506" t="s">
        <v>605</v>
      </c>
    </row>
    <row r="319" spans="6:36" hidden="1">
      <c r="F319" s="500" t="str">
        <f t="shared" si="74"/>
        <v>Fitness Center</v>
      </c>
      <c r="G319" s="500" t="str">
        <f t="shared" si="74"/>
        <v>Direct Install</v>
      </c>
      <c r="H319" s="500" t="str">
        <f t="shared" si="74"/>
        <v>2_00</v>
      </c>
      <c r="I319" s="500" t="str">
        <f t="shared" si="74"/>
        <v>Any Water Heating</v>
      </c>
      <c r="J319" s="500" t="str">
        <f t="shared" si="71"/>
        <v>Commercial Showerhead Replacement_2_00gpm_Fitness Center_ Any Water Heating_Direct Install - Embedded Water Energy</v>
      </c>
      <c r="K319" s="500"/>
      <c r="L319" s="501"/>
      <c r="M319" s="500"/>
      <c r="N319" s="500"/>
      <c r="O319" s="500"/>
      <c r="P319" s="502"/>
      <c r="Q319" s="503"/>
      <c r="R319" s="504"/>
      <c r="S319" s="505"/>
      <c r="T319" s="500"/>
      <c r="U319" s="500" t="str">
        <f t="shared" si="72"/>
        <v>Commercial Showerhead Replacement_2_00gpm_Fitness Center_ Any Water Heating_Direct Install</v>
      </c>
      <c r="V319" s="506" t="s">
        <v>604</v>
      </c>
      <c r="W319" s="502">
        <f t="shared" si="73"/>
        <v>108.34645556631763</v>
      </c>
      <c r="X319" s="500">
        <v>10</v>
      </c>
      <c r="Y319" s="507">
        <v>0</v>
      </c>
      <c r="Z319" s="500"/>
      <c r="AA319" s="506" t="s">
        <v>605</v>
      </c>
      <c r="AB319" s="505">
        <v>0</v>
      </c>
      <c r="AC319" s="500"/>
      <c r="AD319" s="500"/>
      <c r="AE319" s="500"/>
      <c r="AF319" s="500"/>
      <c r="AG319" s="500"/>
      <c r="AH319" s="500"/>
      <c r="AI319" s="500">
        <v>0</v>
      </c>
      <c r="AJ319" s="506" t="s">
        <v>605</v>
      </c>
    </row>
    <row r="320" spans="6:36" hidden="1">
      <c r="F320" s="500" t="str">
        <f t="shared" si="74"/>
        <v>Fitness Center</v>
      </c>
      <c r="G320" s="500" t="str">
        <f t="shared" si="74"/>
        <v>Direct Install</v>
      </c>
      <c r="H320" s="500" t="str">
        <f t="shared" si="74"/>
        <v>1_75</v>
      </c>
      <c r="I320" s="500" t="str">
        <f t="shared" si="74"/>
        <v>Electric Water Heating</v>
      </c>
      <c r="J320" s="500" t="str">
        <f t="shared" si="71"/>
        <v>Commercial Showerhead Replacement_1_75gpm_Fitness Center_ Electric Water Heating_Direct Install - Embedded Water Energy</v>
      </c>
      <c r="K320" s="500"/>
      <c r="L320" s="501"/>
      <c r="M320" s="500"/>
      <c r="N320" s="500"/>
      <c r="O320" s="500"/>
      <c r="P320" s="502"/>
      <c r="Q320" s="503"/>
      <c r="R320" s="504"/>
      <c r="S320" s="505"/>
      <c r="T320" s="500"/>
      <c r="U320" s="500" t="str">
        <f t="shared" si="72"/>
        <v>Commercial Showerhead Replacement_1_75gpm_Fitness Center_ Electric Water Heating_Direct Install</v>
      </c>
      <c r="V320" s="506" t="s">
        <v>604</v>
      </c>
      <c r="W320" s="502">
        <f t="shared" si="73"/>
        <v>121.88976251210731</v>
      </c>
      <c r="X320" s="500">
        <v>10</v>
      </c>
      <c r="Y320" s="507">
        <v>0</v>
      </c>
      <c r="Z320" s="500"/>
      <c r="AA320" s="506" t="s">
        <v>605</v>
      </c>
      <c r="AB320" s="505">
        <v>0</v>
      </c>
      <c r="AC320" s="500"/>
      <c r="AD320" s="500"/>
      <c r="AE320" s="500"/>
      <c r="AF320" s="500"/>
      <c r="AG320" s="500"/>
      <c r="AH320" s="500"/>
      <c r="AI320" s="500">
        <v>0</v>
      </c>
      <c r="AJ320" s="506" t="s">
        <v>605</v>
      </c>
    </row>
    <row r="321" spans="6:36" hidden="1">
      <c r="F321" s="500" t="str">
        <f t="shared" si="74"/>
        <v>Fitness Center</v>
      </c>
      <c r="G321" s="500" t="str">
        <f t="shared" si="74"/>
        <v>Direct Install</v>
      </c>
      <c r="H321" s="500" t="str">
        <f t="shared" si="74"/>
        <v>1_75</v>
      </c>
      <c r="I321" s="500" t="str">
        <f t="shared" si="74"/>
        <v>Gas Water Heating</v>
      </c>
      <c r="J321" s="500" t="str">
        <f t="shared" si="71"/>
        <v>Commercial Showerhead Replacement_1_75gpm_Fitness Center_ Gas Water Heating_Direct Install - Embedded Water Energy</v>
      </c>
      <c r="K321" s="500"/>
      <c r="L321" s="501"/>
      <c r="M321" s="500"/>
      <c r="N321" s="500"/>
      <c r="O321" s="500"/>
      <c r="P321" s="502"/>
      <c r="Q321" s="503"/>
      <c r="R321" s="504"/>
      <c r="S321" s="505"/>
      <c r="T321" s="500"/>
      <c r="U321" s="500" t="str">
        <f t="shared" si="72"/>
        <v>Commercial Showerhead Replacement_1_75gpm_Fitness Center_ Gas Water Heating_Direct Install</v>
      </c>
      <c r="V321" s="506" t="s">
        <v>604</v>
      </c>
      <c r="W321" s="502">
        <f t="shared" si="73"/>
        <v>121.88976251210731</v>
      </c>
      <c r="X321" s="500">
        <v>10</v>
      </c>
      <c r="Y321" s="507">
        <v>0</v>
      </c>
      <c r="Z321" s="500"/>
      <c r="AA321" s="506" t="s">
        <v>605</v>
      </c>
      <c r="AB321" s="505">
        <v>0</v>
      </c>
      <c r="AC321" s="500"/>
      <c r="AD321" s="500"/>
      <c r="AE321" s="500"/>
      <c r="AF321" s="500"/>
      <c r="AG321" s="500"/>
      <c r="AH321" s="500"/>
      <c r="AI321" s="500">
        <v>0</v>
      </c>
      <c r="AJ321" s="506" t="s">
        <v>605</v>
      </c>
    </row>
    <row r="322" spans="6:36" hidden="1">
      <c r="F322" s="500" t="str">
        <f t="shared" si="74"/>
        <v>Fitness Center</v>
      </c>
      <c r="G322" s="500" t="str">
        <f t="shared" si="74"/>
        <v>Direct Install</v>
      </c>
      <c r="H322" s="500" t="str">
        <f t="shared" si="74"/>
        <v>1_75</v>
      </c>
      <c r="I322" s="500" t="str">
        <f t="shared" si="74"/>
        <v>Any Water Heating</v>
      </c>
      <c r="J322" s="500" t="str">
        <f t="shared" si="71"/>
        <v>Commercial Showerhead Replacement_1_75gpm_Fitness Center_ Any Water Heating_Direct Install - Embedded Water Energy</v>
      </c>
      <c r="K322" s="500"/>
      <c r="L322" s="501"/>
      <c r="M322" s="500"/>
      <c r="N322" s="500"/>
      <c r="O322" s="500"/>
      <c r="P322" s="502"/>
      <c r="Q322" s="503"/>
      <c r="R322" s="504"/>
      <c r="S322" s="505"/>
      <c r="T322" s="500"/>
      <c r="U322" s="500" t="str">
        <f t="shared" si="72"/>
        <v>Commercial Showerhead Replacement_1_75gpm_Fitness Center_ Any Water Heating_Direct Install</v>
      </c>
      <c r="V322" s="506" t="s">
        <v>604</v>
      </c>
      <c r="W322" s="502">
        <f t="shared" si="73"/>
        <v>121.88976251210731</v>
      </c>
      <c r="X322" s="500">
        <v>10</v>
      </c>
      <c r="Y322" s="507">
        <v>0</v>
      </c>
      <c r="Z322" s="500"/>
      <c r="AA322" s="506" t="s">
        <v>605</v>
      </c>
      <c r="AB322" s="505">
        <v>0</v>
      </c>
      <c r="AC322" s="500"/>
      <c r="AD322" s="500"/>
      <c r="AE322" s="500"/>
      <c r="AF322" s="500"/>
      <c r="AG322" s="500"/>
      <c r="AH322" s="500"/>
      <c r="AI322" s="500">
        <v>0</v>
      </c>
      <c r="AJ322" s="506" t="s">
        <v>605</v>
      </c>
    </row>
    <row r="323" spans="6:36" hidden="1">
      <c r="F323" s="500" t="str">
        <f t="shared" si="74"/>
        <v>Fitness Center</v>
      </c>
      <c r="G323" s="500" t="str">
        <f t="shared" si="74"/>
        <v>Direct Install</v>
      </c>
      <c r="H323" s="500" t="str">
        <f t="shared" si="74"/>
        <v>1_50</v>
      </c>
      <c r="I323" s="500" t="str">
        <f t="shared" si="74"/>
        <v>Electric Water Heating</v>
      </c>
      <c r="J323" s="500" t="str">
        <f t="shared" si="71"/>
        <v>Commercial Showerhead Replacement_1_50gpm_Fitness Center_ Electric Water Heating_Direct Install - Embedded Water Energy</v>
      </c>
      <c r="K323" s="500"/>
      <c r="L323" s="501"/>
      <c r="M323" s="500"/>
      <c r="N323" s="500"/>
      <c r="O323" s="500"/>
      <c r="P323" s="502"/>
      <c r="Q323" s="503"/>
      <c r="R323" s="504"/>
      <c r="S323" s="505"/>
      <c r="T323" s="500"/>
      <c r="U323" s="500" t="str">
        <f t="shared" si="72"/>
        <v>Commercial Showerhead Replacement_1_50gpm_Fitness Center_ Electric Water Heating_Direct Install</v>
      </c>
      <c r="V323" s="506" t="s">
        <v>604</v>
      </c>
      <c r="W323" s="502">
        <f t="shared" si="73"/>
        <v>189.60629724105578</v>
      </c>
      <c r="X323" s="500">
        <v>10</v>
      </c>
      <c r="Y323" s="507">
        <v>0</v>
      </c>
      <c r="Z323" s="500"/>
      <c r="AA323" s="506" t="s">
        <v>605</v>
      </c>
      <c r="AB323" s="505">
        <v>0</v>
      </c>
      <c r="AC323" s="500"/>
      <c r="AD323" s="500"/>
      <c r="AE323" s="500"/>
      <c r="AF323" s="500"/>
      <c r="AG323" s="500"/>
      <c r="AH323" s="500"/>
      <c r="AI323" s="500">
        <v>0</v>
      </c>
      <c r="AJ323" s="506" t="s">
        <v>605</v>
      </c>
    </row>
    <row r="324" spans="6:36" hidden="1">
      <c r="F324" s="500" t="str">
        <f t="shared" si="74"/>
        <v>Fitness Center</v>
      </c>
      <c r="G324" s="500" t="str">
        <f t="shared" si="74"/>
        <v>Direct Install</v>
      </c>
      <c r="H324" s="500" t="str">
        <f t="shared" si="74"/>
        <v>1_50</v>
      </c>
      <c r="I324" s="500" t="str">
        <f t="shared" si="74"/>
        <v>Gas Water Heating</v>
      </c>
      <c r="J324" s="500" t="str">
        <f t="shared" si="71"/>
        <v>Commercial Showerhead Replacement_1_50gpm_Fitness Center_ Gas Water Heating_Direct Install - Embedded Water Energy</v>
      </c>
      <c r="K324" s="500"/>
      <c r="L324" s="501"/>
      <c r="M324" s="500"/>
      <c r="N324" s="500"/>
      <c r="O324" s="500"/>
      <c r="P324" s="502"/>
      <c r="Q324" s="503"/>
      <c r="R324" s="504"/>
      <c r="S324" s="505"/>
      <c r="T324" s="500"/>
      <c r="U324" s="500" t="str">
        <f t="shared" si="72"/>
        <v>Commercial Showerhead Replacement_1_50gpm_Fitness Center_ Gas Water Heating_Direct Install</v>
      </c>
      <c r="V324" s="506" t="s">
        <v>604</v>
      </c>
      <c r="W324" s="502">
        <f t="shared" si="73"/>
        <v>189.60629724105578</v>
      </c>
      <c r="X324" s="500">
        <v>10</v>
      </c>
      <c r="Y324" s="507">
        <v>0</v>
      </c>
      <c r="Z324" s="500"/>
      <c r="AA324" s="506" t="s">
        <v>605</v>
      </c>
      <c r="AB324" s="505">
        <v>0</v>
      </c>
      <c r="AC324" s="500"/>
      <c r="AD324" s="500"/>
      <c r="AE324" s="500"/>
      <c r="AF324" s="500"/>
      <c r="AG324" s="500"/>
      <c r="AH324" s="500"/>
      <c r="AI324" s="500">
        <v>0</v>
      </c>
      <c r="AJ324" s="506" t="s">
        <v>605</v>
      </c>
    </row>
    <row r="325" spans="6:36">
      <c r="F325" s="500" t="str">
        <f t="shared" si="74"/>
        <v>Fitness Center</v>
      </c>
      <c r="G325" s="500" t="str">
        <f t="shared" si="74"/>
        <v>Direct Install</v>
      </c>
      <c r="H325" s="500" t="str">
        <f t="shared" si="74"/>
        <v>1_50</v>
      </c>
      <c r="I325" s="500" t="str">
        <f t="shared" si="74"/>
        <v>Any Water Heating</v>
      </c>
      <c r="J325" s="500" t="str">
        <f t="shared" si="71"/>
        <v>Commercial Showerhead Replacement_1_50gpm_Fitness Center_ Any Water Heating_Direct Install - Embedded Water Energy</v>
      </c>
      <c r="K325" s="500"/>
      <c r="L325" s="501"/>
      <c r="M325" s="500"/>
      <c r="N325" s="500"/>
      <c r="O325" s="500"/>
      <c r="P325" s="502"/>
      <c r="Q325" s="503"/>
      <c r="R325" s="504"/>
      <c r="S325" s="505"/>
      <c r="T325" s="500"/>
      <c r="U325" s="500" t="str">
        <f t="shared" si="72"/>
        <v>Commercial Showerhead Replacement_1_50gpm_Fitness Center_ Any Water Heating_Direct Install</v>
      </c>
      <c r="V325" s="506" t="s">
        <v>604</v>
      </c>
      <c r="W325" s="502">
        <f t="shared" si="73"/>
        <v>189.60629724105578</v>
      </c>
      <c r="X325" s="500">
        <v>10</v>
      </c>
      <c r="Y325" s="507">
        <v>0</v>
      </c>
      <c r="Z325" s="500"/>
      <c r="AA325" s="506" t="s">
        <v>605</v>
      </c>
      <c r="AB325" s="505">
        <v>0</v>
      </c>
      <c r="AC325" s="500"/>
      <c r="AD325" s="500"/>
      <c r="AE325" s="500"/>
      <c r="AF325" s="500"/>
      <c r="AG325" s="500"/>
      <c r="AH325" s="500"/>
      <c r="AI325" s="500">
        <v>0</v>
      </c>
      <c r="AJ325" s="506" t="s">
        <v>605</v>
      </c>
    </row>
    <row r="326" spans="6:36" hidden="1">
      <c r="F326" s="500" t="str">
        <f t="shared" si="74"/>
        <v>Fitness Center</v>
      </c>
      <c r="G326" s="500" t="str">
        <f t="shared" si="74"/>
        <v>Mail-by-Request</v>
      </c>
      <c r="H326" s="500" t="str">
        <f t="shared" si="74"/>
        <v>2_00</v>
      </c>
      <c r="I326" s="500" t="str">
        <f t="shared" si="74"/>
        <v>Electric Water Heating</v>
      </c>
      <c r="J326" s="500" t="str">
        <f t="shared" si="71"/>
        <v>Commercial Showerhead Replacement_2_00gpm_Fitness Center_ Electric Water Heating_Mail-by-Request - Embedded Water Energy</v>
      </c>
      <c r="K326" s="500"/>
      <c r="L326" s="501"/>
      <c r="M326" s="500"/>
      <c r="N326" s="500"/>
      <c r="O326" s="500"/>
      <c r="P326" s="502"/>
      <c r="Q326" s="503"/>
      <c r="R326" s="504"/>
      <c r="S326" s="505"/>
      <c r="T326" s="500"/>
      <c r="U326" s="500" t="str">
        <f t="shared" si="72"/>
        <v>Commercial Showerhead Replacement_2_00gpm_Fitness Center_ Electric Water Heating_Mail-by-Request</v>
      </c>
      <c r="V326" s="506" t="s">
        <v>604</v>
      </c>
      <c r="W326" s="502">
        <f t="shared" si="73"/>
        <v>72.230970377545091</v>
      </c>
      <c r="X326" s="500">
        <v>10</v>
      </c>
      <c r="Y326" s="507">
        <v>0</v>
      </c>
      <c r="Z326" s="500"/>
      <c r="AA326" s="506" t="s">
        <v>605</v>
      </c>
      <c r="AB326" s="505">
        <v>0</v>
      </c>
      <c r="AC326" s="500"/>
      <c r="AD326" s="500"/>
      <c r="AE326" s="500"/>
      <c r="AF326" s="500"/>
      <c r="AG326" s="500"/>
      <c r="AH326" s="500"/>
      <c r="AI326" s="500">
        <v>0</v>
      </c>
      <c r="AJ326" s="506" t="s">
        <v>605</v>
      </c>
    </row>
    <row r="327" spans="6:36" hidden="1">
      <c r="F327" s="500" t="str">
        <f t="shared" si="74"/>
        <v>Fitness Center</v>
      </c>
      <c r="G327" s="500" t="str">
        <f t="shared" si="74"/>
        <v>Mail-by-Request</v>
      </c>
      <c r="H327" s="500" t="str">
        <f t="shared" si="74"/>
        <v>2_00</v>
      </c>
      <c r="I327" s="500" t="str">
        <f t="shared" si="74"/>
        <v>Gas Water Heating</v>
      </c>
      <c r="J327" s="500" t="str">
        <f t="shared" si="71"/>
        <v>Commercial Showerhead Replacement_2_00gpm_Fitness Center_ Gas Water Heating_Mail-by-Request - Embedded Water Energy</v>
      </c>
      <c r="K327" s="500"/>
      <c r="L327" s="501"/>
      <c r="M327" s="500"/>
      <c r="N327" s="500"/>
      <c r="O327" s="500"/>
      <c r="P327" s="502"/>
      <c r="Q327" s="503"/>
      <c r="R327" s="504"/>
      <c r="S327" s="505"/>
      <c r="T327" s="500"/>
      <c r="U327" s="500" t="str">
        <f t="shared" si="72"/>
        <v>Commercial Showerhead Replacement_2_00gpm_Fitness Center_ Gas Water Heating_Mail-by-Request</v>
      </c>
      <c r="V327" s="506" t="s">
        <v>604</v>
      </c>
      <c r="W327" s="502">
        <f t="shared" si="73"/>
        <v>72.230970377545091</v>
      </c>
      <c r="X327" s="500">
        <v>10</v>
      </c>
      <c r="Y327" s="507">
        <v>0</v>
      </c>
      <c r="Z327" s="500"/>
      <c r="AA327" s="506" t="s">
        <v>605</v>
      </c>
      <c r="AB327" s="505">
        <v>0</v>
      </c>
      <c r="AC327" s="500"/>
      <c r="AD327" s="500"/>
      <c r="AE327" s="500"/>
      <c r="AF327" s="500"/>
      <c r="AG327" s="500"/>
      <c r="AH327" s="500"/>
      <c r="AI327" s="500">
        <v>0</v>
      </c>
      <c r="AJ327" s="506" t="s">
        <v>605</v>
      </c>
    </row>
    <row r="328" spans="6:36" hidden="1">
      <c r="F328" s="500" t="str">
        <f t="shared" si="74"/>
        <v>Fitness Center</v>
      </c>
      <c r="G328" s="500" t="str">
        <f t="shared" si="74"/>
        <v>Mail-by-Request</v>
      </c>
      <c r="H328" s="500" t="str">
        <f t="shared" si="74"/>
        <v>2_00</v>
      </c>
      <c r="I328" s="500" t="str">
        <f t="shared" si="74"/>
        <v>Any Water Heating</v>
      </c>
      <c r="J328" s="500" t="str">
        <f t="shared" si="71"/>
        <v>Commercial Showerhead Replacement_2_00gpm_Fitness Center_ Any Water Heating_Mail-by-Request - Embedded Water Energy</v>
      </c>
      <c r="K328" s="500"/>
      <c r="L328" s="501"/>
      <c r="M328" s="500"/>
      <c r="N328" s="500"/>
      <c r="O328" s="500"/>
      <c r="P328" s="502"/>
      <c r="Q328" s="503"/>
      <c r="R328" s="504"/>
      <c r="S328" s="505"/>
      <c r="T328" s="500"/>
      <c r="U328" s="500" t="str">
        <f t="shared" si="72"/>
        <v>Commercial Showerhead Replacement_2_00gpm_Fitness Center_ Any Water Heating_Mail-by-Request</v>
      </c>
      <c r="V328" s="506" t="s">
        <v>604</v>
      </c>
      <c r="W328" s="502">
        <f t="shared" si="73"/>
        <v>72.230970377545091</v>
      </c>
      <c r="X328" s="500">
        <v>10</v>
      </c>
      <c r="Y328" s="507">
        <v>0</v>
      </c>
      <c r="Z328" s="500"/>
      <c r="AA328" s="506" t="s">
        <v>605</v>
      </c>
      <c r="AB328" s="505">
        <v>0</v>
      </c>
      <c r="AC328" s="500"/>
      <c r="AD328" s="500"/>
      <c r="AE328" s="500"/>
      <c r="AF328" s="500"/>
      <c r="AG328" s="500"/>
      <c r="AH328" s="500"/>
      <c r="AI328" s="500">
        <v>0</v>
      </c>
      <c r="AJ328" s="506" t="s">
        <v>605</v>
      </c>
    </row>
    <row r="329" spans="6:36" hidden="1">
      <c r="F329" s="500" t="str">
        <f t="shared" si="74"/>
        <v>Fitness Center</v>
      </c>
      <c r="G329" s="500" t="str">
        <f t="shared" si="74"/>
        <v>Mail-by-Request</v>
      </c>
      <c r="H329" s="500" t="str">
        <f t="shared" si="74"/>
        <v>1_75</v>
      </c>
      <c r="I329" s="500" t="str">
        <f t="shared" si="74"/>
        <v>Electric Water Heating</v>
      </c>
      <c r="J329" s="500" t="str">
        <f t="shared" si="71"/>
        <v>Commercial Showerhead Replacement_1_75gpm_Fitness Center_ Electric Water Heating_Mail-by-Request - Embedded Water Energy</v>
      </c>
      <c r="K329" s="500"/>
      <c r="L329" s="501"/>
      <c r="M329" s="500"/>
      <c r="N329" s="500"/>
      <c r="O329" s="500"/>
      <c r="P329" s="502"/>
      <c r="Q329" s="503"/>
      <c r="R329" s="504"/>
      <c r="S329" s="505"/>
      <c r="T329" s="500"/>
      <c r="U329" s="500" t="str">
        <f t="shared" si="72"/>
        <v>Commercial Showerhead Replacement_1_75gpm_Fitness Center_ Electric Water Heating_Mail-by-Request</v>
      </c>
      <c r="V329" s="506" t="s">
        <v>604</v>
      </c>
      <c r="W329" s="502">
        <f t="shared" si="73"/>
        <v>81.259841674738198</v>
      </c>
      <c r="X329" s="500">
        <v>10</v>
      </c>
      <c r="Y329" s="507">
        <v>0</v>
      </c>
      <c r="Z329" s="500"/>
      <c r="AA329" s="506" t="s">
        <v>605</v>
      </c>
      <c r="AB329" s="505">
        <v>0</v>
      </c>
      <c r="AC329" s="500"/>
      <c r="AD329" s="500"/>
      <c r="AE329" s="500"/>
      <c r="AF329" s="500"/>
      <c r="AG329" s="500"/>
      <c r="AH329" s="500"/>
      <c r="AI329" s="500">
        <v>0</v>
      </c>
      <c r="AJ329" s="506" t="s">
        <v>605</v>
      </c>
    </row>
    <row r="330" spans="6:36" hidden="1">
      <c r="F330" s="500" t="str">
        <f t="shared" si="74"/>
        <v>Fitness Center</v>
      </c>
      <c r="G330" s="500" t="str">
        <f t="shared" si="74"/>
        <v>Mail-by-Request</v>
      </c>
      <c r="H330" s="500" t="str">
        <f t="shared" si="74"/>
        <v>1_75</v>
      </c>
      <c r="I330" s="500" t="str">
        <f t="shared" si="74"/>
        <v>Gas Water Heating</v>
      </c>
      <c r="J330" s="500" t="str">
        <f t="shared" si="71"/>
        <v>Commercial Showerhead Replacement_1_75gpm_Fitness Center_ Gas Water Heating_Mail-by-Request - Embedded Water Energy</v>
      </c>
      <c r="K330" s="500"/>
      <c r="L330" s="501"/>
      <c r="M330" s="500"/>
      <c r="N330" s="500"/>
      <c r="O330" s="500"/>
      <c r="P330" s="502"/>
      <c r="Q330" s="503"/>
      <c r="R330" s="504"/>
      <c r="S330" s="505"/>
      <c r="T330" s="500"/>
      <c r="U330" s="500" t="str">
        <f t="shared" si="72"/>
        <v>Commercial Showerhead Replacement_1_75gpm_Fitness Center_ Gas Water Heating_Mail-by-Request</v>
      </c>
      <c r="V330" s="506" t="s">
        <v>604</v>
      </c>
      <c r="W330" s="502">
        <f t="shared" si="73"/>
        <v>81.259841674738198</v>
      </c>
      <c r="X330" s="500">
        <v>10</v>
      </c>
      <c r="Y330" s="507">
        <v>0</v>
      </c>
      <c r="Z330" s="500"/>
      <c r="AA330" s="506" t="s">
        <v>605</v>
      </c>
      <c r="AB330" s="505">
        <v>0</v>
      </c>
      <c r="AC330" s="500"/>
      <c r="AD330" s="500"/>
      <c r="AE330" s="500"/>
      <c r="AF330" s="500"/>
      <c r="AG330" s="500"/>
      <c r="AH330" s="500"/>
      <c r="AI330" s="500">
        <v>0</v>
      </c>
      <c r="AJ330" s="506" t="s">
        <v>605</v>
      </c>
    </row>
    <row r="331" spans="6:36" hidden="1">
      <c r="F331" s="500" t="str">
        <f t="shared" si="74"/>
        <v>Fitness Center</v>
      </c>
      <c r="G331" s="500" t="str">
        <f t="shared" si="74"/>
        <v>Mail-by-Request</v>
      </c>
      <c r="H331" s="500" t="str">
        <f t="shared" si="74"/>
        <v>1_75</v>
      </c>
      <c r="I331" s="500" t="str">
        <f t="shared" si="74"/>
        <v>Any Water Heating</v>
      </c>
      <c r="J331" s="500" t="str">
        <f t="shared" si="71"/>
        <v>Commercial Showerhead Replacement_1_75gpm_Fitness Center_ Any Water Heating_Mail-by-Request - Embedded Water Energy</v>
      </c>
      <c r="K331" s="500"/>
      <c r="L331" s="501"/>
      <c r="M331" s="500"/>
      <c r="N331" s="500"/>
      <c r="O331" s="500"/>
      <c r="P331" s="502"/>
      <c r="Q331" s="503"/>
      <c r="R331" s="504"/>
      <c r="S331" s="505"/>
      <c r="T331" s="500"/>
      <c r="U331" s="500" t="str">
        <f t="shared" si="72"/>
        <v>Commercial Showerhead Replacement_1_75gpm_Fitness Center_ Any Water Heating_Mail-by-Request</v>
      </c>
      <c r="V331" s="506" t="s">
        <v>604</v>
      </c>
      <c r="W331" s="502">
        <f t="shared" si="73"/>
        <v>81.259841674738198</v>
      </c>
      <c r="X331" s="500">
        <v>10</v>
      </c>
      <c r="Y331" s="507">
        <v>0</v>
      </c>
      <c r="Z331" s="500"/>
      <c r="AA331" s="506" t="s">
        <v>605</v>
      </c>
      <c r="AB331" s="505">
        <v>0</v>
      </c>
      <c r="AC331" s="500"/>
      <c r="AD331" s="500"/>
      <c r="AE331" s="500"/>
      <c r="AF331" s="500"/>
      <c r="AG331" s="500"/>
      <c r="AH331" s="500"/>
      <c r="AI331" s="500">
        <v>0</v>
      </c>
      <c r="AJ331" s="506" t="s">
        <v>605</v>
      </c>
    </row>
    <row r="332" spans="6:36" hidden="1">
      <c r="F332" s="500" t="str">
        <f t="shared" si="74"/>
        <v>Fitness Center</v>
      </c>
      <c r="G332" s="500" t="str">
        <f t="shared" si="74"/>
        <v>Mail-by-Request</v>
      </c>
      <c r="H332" s="500" t="str">
        <f t="shared" si="74"/>
        <v>1_50</v>
      </c>
      <c r="I332" s="500" t="str">
        <f t="shared" si="74"/>
        <v>Electric Water Heating</v>
      </c>
      <c r="J332" s="500" t="str">
        <f t="shared" si="71"/>
        <v>Commercial Showerhead Replacement_1_50gpm_Fitness Center_ Electric Water Heating_Mail-by-Request - Embedded Water Energy</v>
      </c>
      <c r="K332" s="500"/>
      <c r="L332" s="501"/>
      <c r="M332" s="500"/>
      <c r="N332" s="500"/>
      <c r="O332" s="500"/>
      <c r="P332" s="502"/>
      <c r="Q332" s="503"/>
      <c r="R332" s="504"/>
      <c r="S332" s="505"/>
      <c r="T332" s="500"/>
      <c r="U332" s="500" t="str">
        <f t="shared" si="72"/>
        <v>Commercial Showerhead Replacement_1_50gpm_Fitness Center_ Electric Water Heating_Mail-by-Request</v>
      </c>
      <c r="V332" s="506" t="s">
        <v>604</v>
      </c>
      <c r="W332" s="502">
        <f t="shared" si="73"/>
        <v>126.40419816070384</v>
      </c>
      <c r="X332" s="500">
        <v>10</v>
      </c>
      <c r="Y332" s="507">
        <v>0</v>
      </c>
      <c r="Z332" s="500"/>
      <c r="AA332" s="506" t="s">
        <v>605</v>
      </c>
      <c r="AB332" s="505">
        <v>0</v>
      </c>
      <c r="AC332" s="500"/>
      <c r="AD332" s="500"/>
      <c r="AE332" s="500"/>
      <c r="AF332" s="500"/>
      <c r="AG332" s="500"/>
      <c r="AH332" s="500"/>
      <c r="AI332" s="500">
        <v>0</v>
      </c>
      <c r="AJ332" s="506" t="s">
        <v>605</v>
      </c>
    </row>
    <row r="333" spans="6:36" hidden="1">
      <c r="F333" s="500" t="str">
        <f t="shared" ref="F333:I334" si="75">F171</f>
        <v>Fitness Center</v>
      </c>
      <c r="G333" s="500" t="str">
        <f t="shared" si="75"/>
        <v>Mail-by-Request</v>
      </c>
      <c r="H333" s="500" t="str">
        <f t="shared" si="75"/>
        <v>1_50</v>
      </c>
      <c r="I333" s="500" t="str">
        <f t="shared" si="75"/>
        <v>Gas Water Heating</v>
      </c>
      <c r="J333" s="500" t="str">
        <f>J171 &amp; " - Embedded Water Energy"</f>
        <v>Commercial Showerhead Replacement_1_50gpm_Fitness Center_ Gas Water Heating_Mail-by-Request - Embedded Water Energy</v>
      </c>
      <c r="K333" s="500"/>
      <c r="L333" s="501"/>
      <c r="M333" s="500"/>
      <c r="N333" s="500"/>
      <c r="O333" s="500"/>
      <c r="P333" s="502"/>
      <c r="Q333" s="503"/>
      <c r="R333" s="504"/>
      <c r="S333" s="505"/>
      <c r="T333" s="500"/>
      <c r="U333" s="500" t="str">
        <f>U171</f>
        <v>Commercial Showerhead Replacement_1_50gpm_Fitness Center_ Gas Water Heating_Mail-by-Request</v>
      </c>
      <c r="V333" s="506" t="s">
        <v>604</v>
      </c>
      <c r="W333" s="502">
        <f>P171</f>
        <v>126.40419816070384</v>
      </c>
      <c r="X333" s="500">
        <v>10</v>
      </c>
      <c r="Y333" s="507">
        <v>0</v>
      </c>
      <c r="Z333" s="500"/>
      <c r="AA333" s="506" t="s">
        <v>605</v>
      </c>
      <c r="AB333" s="505">
        <v>0</v>
      </c>
      <c r="AC333" s="500"/>
      <c r="AD333" s="500"/>
      <c r="AE333" s="500"/>
      <c r="AF333" s="500"/>
      <c r="AG333" s="500"/>
      <c r="AH333" s="500"/>
      <c r="AI333" s="500">
        <v>0</v>
      </c>
      <c r="AJ333" s="506" t="s">
        <v>605</v>
      </c>
    </row>
    <row r="334" spans="6:36" hidden="1">
      <c r="F334" s="500" t="str">
        <f t="shared" si="75"/>
        <v>Fitness Center</v>
      </c>
      <c r="G334" s="500" t="str">
        <f t="shared" si="75"/>
        <v>Mail-by-Request</v>
      </c>
      <c r="H334" s="500" t="str">
        <f t="shared" si="75"/>
        <v>1_50</v>
      </c>
      <c r="I334" s="500" t="str">
        <f t="shared" si="75"/>
        <v>Any Water Heating</v>
      </c>
      <c r="J334" s="500" t="str">
        <f>J172 &amp; " - Embedded Water Energy"</f>
        <v>Commercial Showerhead Replacement_1_50gpm_Fitness Center_ Any Water Heating_Mail-by-Request - Embedded Water Energy</v>
      </c>
      <c r="K334" s="500"/>
      <c r="L334" s="501"/>
      <c r="M334" s="500"/>
      <c r="N334" s="500"/>
      <c r="O334" s="500"/>
      <c r="P334" s="502"/>
      <c r="Q334" s="503"/>
      <c r="R334" s="504"/>
      <c r="S334" s="505"/>
      <c r="T334" s="500"/>
      <c r="U334" s="500" t="str">
        <f>U172</f>
        <v>Commercial Showerhead Replacement_1_50gpm_Fitness Center_ Any Water Heating_Mail-by-Request</v>
      </c>
      <c r="V334" s="506" t="s">
        <v>604</v>
      </c>
      <c r="W334" s="502">
        <f>P172</f>
        <v>126.40419816070384</v>
      </c>
      <c r="X334" s="500">
        <v>10</v>
      </c>
      <c r="Y334" s="507">
        <v>0</v>
      </c>
      <c r="Z334" s="500"/>
      <c r="AA334" s="506" t="s">
        <v>605</v>
      </c>
      <c r="AB334" s="505">
        <v>0</v>
      </c>
      <c r="AC334" s="500"/>
      <c r="AD334" s="500"/>
      <c r="AE334" s="500"/>
      <c r="AF334" s="500"/>
      <c r="AG334" s="500"/>
      <c r="AH334" s="500"/>
      <c r="AI334" s="500">
        <v>0</v>
      </c>
      <c r="AJ334" s="506" t="s">
        <v>605</v>
      </c>
    </row>
  </sheetData>
  <autoFilter ref="A10:AJ334">
    <filterColumn colId="6">
      <filters>
        <filter val="Direct Install"/>
      </filters>
    </filterColumn>
    <filterColumn colId="7">
      <filters>
        <filter val="1_50"/>
      </filters>
    </filterColumn>
    <filterColumn colId="8">
      <filters>
        <filter val="Any Water Heating"/>
      </filters>
    </filterColumn>
  </autoFilter>
  <mergeCells count="2">
    <mergeCell ref="AC9:AH9"/>
    <mergeCell ref="AI9:AJ9"/>
  </mergeCells>
  <pageMargins left="0.7" right="0.7" top="0.75" bottom="0.75" header="0.3" footer="0.3"/>
  <pageSetup orientation="portrait" r:id="rId1"/>
  <legacyDrawing r:id="rId2"/>
</worksheet>
</file>

<file path=xl/worksheets/sheet22.xml><?xml version="1.0" encoding="utf-8"?>
<worksheet xmlns="http://schemas.openxmlformats.org/spreadsheetml/2006/main" xmlns:r="http://schemas.openxmlformats.org/officeDocument/2006/relationships">
  <sheetPr codeName="Sheet28"/>
  <dimension ref="A1:AK612"/>
  <sheetViews>
    <sheetView workbookViewId="0">
      <selection activeCell="E8" sqref="E8"/>
    </sheetView>
  </sheetViews>
  <sheetFormatPr defaultRowHeight="12.75"/>
  <cols>
    <col min="1" max="4" width="9.140625" style="277"/>
    <col min="5" max="5" width="9.140625" style="277" customWidth="1"/>
    <col min="6" max="7" width="18.7109375" style="277" customWidth="1"/>
    <col min="8" max="8" width="19.28515625" style="277" customWidth="1"/>
    <col min="9" max="9" width="18.7109375" style="277" customWidth="1"/>
    <col min="10" max="10" width="16.5703125" style="277" customWidth="1"/>
    <col min="11" max="11" width="93.7109375" style="277" customWidth="1"/>
    <col min="12" max="12" width="15.5703125" style="277" customWidth="1"/>
    <col min="13" max="14" width="9.140625" style="277"/>
    <col min="15" max="15" width="15.85546875" style="277" customWidth="1"/>
    <col min="16" max="22" width="9.140625" style="277"/>
    <col min="23" max="23" width="30.5703125" style="277" customWidth="1"/>
    <col min="24" max="36" width="9.140625" style="277"/>
    <col min="37" max="37" width="15.140625" style="277" customWidth="1"/>
    <col min="38" max="16384" width="9.140625" style="277"/>
  </cols>
  <sheetData>
    <row r="1" spans="1:37">
      <c r="A1" s="483" t="s">
        <v>982</v>
      </c>
    </row>
    <row r="3" spans="1:37">
      <c r="A3" s="366"/>
      <c r="G3" s="499" t="str">
        <f>FlowRates!A74</f>
        <v>2_5 gpm or higher</v>
      </c>
      <c r="H3" s="277" t="s">
        <v>935</v>
      </c>
      <c r="I3" s="281" t="s">
        <v>931</v>
      </c>
      <c r="J3" s="281" t="s">
        <v>984</v>
      </c>
    </row>
    <row r="4" spans="1:37">
      <c r="A4" s="281"/>
      <c r="G4" s="499" t="str">
        <f>FlowRates!A75</f>
        <v>2_4 to 2_49 gpm</v>
      </c>
      <c r="H4" s="277" t="s">
        <v>936</v>
      </c>
      <c r="I4" s="281" t="s">
        <v>932</v>
      </c>
      <c r="J4" s="281" t="s">
        <v>985</v>
      </c>
    </row>
    <row r="5" spans="1:37" ht="15">
      <c r="G5" s="499" t="str">
        <f>FlowRates!A76</f>
        <v>2_30 to 2_39 gpm</v>
      </c>
      <c r="H5" s="446" t="s">
        <v>937</v>
      </c>
      <c r="I5" s="281" t="s">
        <v>933</v>
      </c>
      <c r="J5" s="281" t="s">
        <v>986</v>
      </c>
    </row>
    <row r="6" spans="1:37" ht="15">
      <c r="G6" s="499" t="str">
        <f>FlowRates!A77</f>
        <v>2_20 to 2_29 gpm</v>
      </c>
      <c r="H6" s="446"/>
      <c r="I6" s="281"/>
      <c r="J6" s="281"/>
    </row>
    <row r="7" spans="1:37" ht="15">
      <c r="G7" s="499" t="str">
        <f>FlowRates!A78</f>
        <v>2_10 to 2_19 gpm</v>
      </c>
      <c r="H7" s="446"/>
      <c r="I7" s="281"/>
      <c r="J7" s="281"/>
    </row>
    <row r="8" spans="1:37" ht="15">
      <c r="G8" s="499" t="str">
        <f>FlowRates!A79</f>
        <v>2_00 to 2_09 gpm</v>
      </c>
      <c r="H8" s="446"/>
      <c r="I8" s="281"/>
      <c r="J8" s="281"/>
    </row>
    <row r="9" spans="1:37" ht="15">
      <c r="G9" s="499" t="str">
        <f>FlowRates!A80</f>
        <v>1_90 to 1_99 gpm</v>
      </c>
      <c r="H9" s="446"/>
      <c r="I9" s="281"/>
      <c r="J9" s="281"/>
    </row>
    <row r="10" spans="1:37" ht="15">
      <c r="G10" s="499" t="str">
        <f>FlowRates!A81</f>
        <v>1_80 to 1_89 gpm</v>
      </c>
      <c r="H10" s="446"/>
      <c r="I10" s="281"/>
      <c r="J10" s="281"/>
    </row>
    <row r="11" spans="1:37" ht="15">
      <c r="G11" s="499" t="str">
        <f>FlowRates!A82</f>
        <v>1_70 to 1_79 gpm</v>
      </c>
      <c r="H11" s="446"/>
      <c r="I11" s="281"/>
      <c r="J11" s="281"/>
    </row>
    <row r="12" spans="1:37" ht="15">
      <c r="G12" s="499" t="str">
        <f>FlowRates!A83</f>
        <v>1_60 to 1_69 gpm</v>
      </c>
      <c r="H12" s="446"/>
      <c r="I12" s="281"/>
      <c r="J12" s="281"/>
    </row>
    <row r="13" spans="1:37" ht="15">
      <c r="G13" s="499" t="str">
        <f>FlowRates!A84</f>
        <v>1_50 to 1_59 gpm</v>
      </c>
      <c r="H13" s="446"/>
      <c r="I13" s="281"/>
      <c r="J13" s="281"/>
    </row>
    <row r="14" spans="1:37" ht="15">
      <c r="F14" s="281"/>
      <c r="G14" s="281"/>
      <c r="H14" s="446"/>
      <c r="I14" s="281"/>
      <c r="J14" s="281"/>
    </row>
    <row r="15" spans="1:37">
      <c r="A15" s="485" t="s">
        <v>987</v>
      </c>
      <c r="B15" s="486"/>
      <c r="C15" s="486"/>
      <c r="D15" s="486"/>
      <c r="E15" s="486"/>
      <c r="F15" s="487"/>
      <c r="G15" s="487"/>
      <c r="H15" s="486"/>
      <c r="I15" s="487"/>
      <c r="J15" s="487"/>
      <c r="O15" s="463" t="s">
        <v>988</v>
      </c>
      <c r="P15" s="463"/>
      <c r="Q15" s="488"/>
      <c r="R15" s="488"/>
      <c r="S15" s="488"/>
      <c r="T15" s="488"/>
      <c r="V15" s="485" t="s">
        <v>989</v>
      </c>
      <c r="W15" s="486"/>
      <c r="X15" s="486"/>
      <c r="Y15" s="486"/>
      <c r="Z15" s="486"/>
      <c r="AA15" s="486"/>
      <c r="AB15" s="486"/>
      <c r="AC15" s="486"/>
      <c r="AD15" s="486"/>
      <c r="AE15" s="486"/>
      <c r="AF15" s="486"/>
      <c r="AG15" s="486"/>
      <c r="AH15" s="486"/>
      <c r="AI15" s="486"/>
      <c r="AJ15" s="486"/>
      <c r="AK15" s="486"/>
    </row>
    <row r="17" spans="1:37">
      <c r="B17" s="277">
        <f>C17*11</f>
        <v>297</v>
      </c>
      <c r="C17" s="277">
        <v>27</v>
      </c>
      <c r="D17" s="277">
        <v>9</v>
      </c>
      <c r="E17" s="277">
        <v>3</v>
      </c>
      <c r="V17" s="24" t="s">
        <v>16</v>
      </c>
      <c r="W17" s="25"/>
      <c r="X17" s="25"/>
      <c r="Y17" s="25"/>
      <c r="Z17" s="25"/>
      <c r="AA17" s="25"/>
      <c r="AB17" s="26"/>
      <c r="AC17" s="27"/>
      <c r="AD17" s="578" t="s">
        <v>17</v>
      </c>
      <c r="AE17" s="579"/>
      <c r="AF17" s="579"/>
      <c r="AG17" s="579"/>
      <c r="AH17" s="579"/>
      <c r="AI17" s="580"/>
      <c r="AJ17" s="608" t="s">
        <v>18</v>
      </c>
      <c r="AK17" s="609"/>
    </row>
    <row r="18" spans="1:37" ht="63.75">
      <c r="B18" s="281" t="s">
        <v>1000</v>
      </c>
      <c r="C18" s="383" t="s">
        <v>990</v>
      </c>
      <c r="D18" s="383" t="s">
        <v>991</v>
      </c>
      <c r="E18" s="383" t="s">
        <v>992</v>
      </c>
      <c r="F18" s="366" t="s">
        <v>401</v>
      </c>
      <c r="G18" s="366" t="s">
        <v>1001</v>
      </c>
      <c r="H18" s="366" t="s">
        <v>993</v>
      </c>
      <c r="I18" s="366" t="s">
        <v>994</v>
      </c>
      <c r="J18" s="366" t="s">
        <v>995</v>
      </c>
      <c r="K18" s="366" t="s">
        <v>22</v>
      </c>
      <c r="L18" s="366" t="s">
        <v>996</v>
      </c>
      <c r="M18" s="366" t="s">
        <v>997</v>
      </c>
      <c r="O18" s="366" t="s">
        <v>971</v>
      </c>
      <c r="P18" s="366" t="s">
        <v>998</v>
      </c>
      <c r="Q18" s="279" t="s">
        <v>999</v>
      </c>
      <c r="R18" s="279" t="str">
        <f>Impacts!X4</f>
        <v>therms</v>
      </c>
      <c r="S18" s="279" t="str">
        <f>Impacts!Y4</f>
        <v>gallons</v>
      </c>
      <c r="T18" s="279" t="str">
        <f>Impacts!Z4</f>
        <v>water cost savings ($)</v>
      </c>
      <c r="V18" s="33" t="s">
        <v>21</v>
      </c>
      <c r="W18" s="33" t="s">
        <v>22</v>
      </c>
      <c r="X18" s="33" t="s">
        <v>23</v>
      </c>
      <c r="Y18" s="33" t="s">
        <v>24</v>
      </c>
      <c r="Z18" s="33" t="s">
        <v>25</v>
      </c>
      <c r="AA18" s="34" t="s">
        <v>26</v>
      </c>
      <c r="AB18" s="489" t="s">
        <v>27</v>
      </c>
      <c r="AC18" s="35" t="s">
        <v>28</v>
      </c>
      <c r="AD18" s="35" t="s">
        <v>29</v>
      </c>
      <c r="AE18" s="35" t="s">
        <v>30</v>
      </c>
      <c r="AF18" s="35" t="s">
        <v>31</v>
      </c>
      <c r="AG18" s="35" t="s">
        <v>32</v>
      </c>
      <c r="AH18" s="35" t="s">
        <v>33</v>
      </c>
      <c r="AI18" s="35" t="s">
        <v>34</v>
      </c>
      <c r="AJ18" s="490" t="s">
        <v>35</v>
      </c>
      <c r="AK18" s="35" t="s">
        <v>27</v>
      </c>
    </row>
    <row r="19" spans="1:37">
      <c r="A19" s="492">
        <v>1</v>
      </c>
      <c r="B19" s="492">
        <f t="shared" ref="B19:D38" si="0">CEILING((MOD($A19-1,B$17)+1)/C$17,1)</f>
        <v>1</v>
      </c>
      <c r="C19" s="492">
        <f t="shared" si="0"/>
        <v>1</v>
      </c>
      <c r="D19" s="492">
        <f t="shared" si="0"/>
        <v>1</v>
      </c>
      <c r="E19" s="492">
        <f t="shared" ref="E19:E82" si="1">MOD($A19-1,E$17)+1</f>
        <v>1</v>
      </c>
      <c r="F19" s="499" t="s">
        <v>645</v>
      </c>
      <c r="G19" s="499" t="str">
        <f t="shared" ref="G19:G82" si="2">INDEX($G$3:$G$13,B19)</f>
        <v>2_5 gpm or higher</v>
      </c>
      <c r="H19" s="492" t="str">
        <f t="shared" ref="H19:J82" si="3">INDEX(H$3:H$5,C19)</f>
        <v>Retail</v>
      </c>
      <c r="I19" s="492" t="str">
        <f t="shared" si="3"/>
        <v>2_00</v>
      </c>
      <c r="J19" s="492" t="str">
        <f t="shared" si="3"/>
        <v>Electric Water Heating</v>
      </c>
      <c r="K19" s="492" t="str">
        <f t="shared" ref="K19:K82" si="4">CONCATENATE("Commercial Showerhead Replacement_",F19,"_precondition ",G19,"_efficient ",I19," gpm_", H19,"_",J19)</f>
        <v>Commercial Showerhead Replacement_Fitness Center_precondition 2_5 gpm or higher_efficient 2_00 gpm_Retail_Electric Water Heating</v>
      </c>
      <c r="L19" s="493">
        <f>INDEX(InstallRatesCostAndLifetime!$A$2:$D$6,MATCH(InputForProCost_FitnessCenter!H19,InstallRatesCostAndLifetime!$A$2:$A$6,0),MATCH(InputForProCost_FitnessCenter!I19,InstallRatesCostAndLifetime!$A$2:$D$2,0))</f>
        <v>0.8</v>
      </c>
      <c r="M19" s="493">
        <f t="shared" ref="M19:M82" si="5">IF(J19="Electric Water Heating",1,IF(J19 = "Gas Water Heating",0,VLOOKUP(F19,table_ElectricSaturation,2,FALSE)))</f>
        <v>1</v>
      </c>
      <c r="N19" s="492"/>
      <c r="O19" s="492" t="str">
        <f t="shared" ref="O19:O82" si="6">F19&amp;G19&amp;I19</f>
        <v>Fitness Center2_5 gpm or higher2_00</v>
      </c>
      <c r="P19" s="494">
        <f>VLOOKUP($O19,Impacts!$F$27:$Z$59,16,FALSE)</f>
        <v>5550.7514460088951</v>
      </c>
      <c r="Q19" s="494">
        <f>VLOOKUP($O19,Impacts!$F$27:$Z$59,17,FALSE)*L19</f>
        <v>168.53893088093841</v>
      </c>
      <c r="R19" s="495">
        <f>VLOOKUP($O19,Impacts!$F$27:$Z$59,19,FALSE)*L19</f>
        <v>198.03363520687026</v>
      </c>
      <c r="S19" s="496">
        <f>VLOOKUP($O19,Impacts!$F$27:$Z$59,20,FALSE)*L19</f>
        <v>31859.91131964809</v>
      </c>
      <c r="T19" s="497">
        <f>VLOOKUP($O19,Impacts!$F$27:$Z$59,21,FALSE)*L19</f>
        <v>419.36193639962914</v>
      </c>
      <c r="U19" s="492"/>
      <c r="V19" s="492" t="str">
        <f t="shared" ref="V19:V82" si="7">K19</f>
        <v>Commercial Showerhead Replacement_Fitness Center_precondition 2_5 gpm or higher_efficient 2_00 gpm_Retail_Electric Water Heating</v>
      </c>
      <c r="W19" s="492" t="s">
        <v>440</v>
      </c>
      <c r="X19" s="494">
        <f>IF(S19&gt;0,(P19*M19*L19),0)</f>
        <v>4440.6011568071162</v>
      </c>
      <c r="Y19" s="492">
        <v>10</v>
      </c>
      <c r="Z19" s="498">
        <f>IF(S19&gt;0,VLOOKUP(H19,table_MeasureCosts,2,FALSE),0)</f>
        <v>3.2966774171383419</v>
      </c>
      <c r="AA19" s="492"/>
      <c r="AB19" s="499" t="s">
        <v>441</v>
      </c>
      <c r="AC19" s="497">
        <f>IF(S19&gt;0,T19,0)</f>
        <v>419.36193639962914</v>
      </c>
      <c r="AD19" s="492"/>
      <c r="AE19" s="492"/>
      <c r="AF19" s="492"/>
      <c r="AG19" s="492"/>
      <c r="AH19" s="492"/>
      <c r="AI19" s="492"/>
      <c r="AJ19" s="492">
        <f t="shared" ref="AJ19:AJ82" si="8">IF(S19&gt;0,R19*(1-M19),0)</f>
        <v>0</v>
      </c>
      <c r="AK19" s="492" t="s">
        <v>442</v>
      </c>
    </row>
    <row r="20" spans="1:37">
      <c r="A20" s="492">
        <f t="shared" ref="A20:A83" si="9">A19+1</f>
        <v>2</v>
      </c>
      <c r="B20" s="492">
        <f t="shared" si="0"/>
        <v>1</v>
      </c>
      <c r="C20" s="492">
        <f t="shared" si="0"/>
        <v>1</v>
      </c>
      <c r="D20" s="492">
        <f t="shared" si="0"/>
        <v>1</v>
      </c>
      <c r="E20" s="492">
        <f t="shared" si="1"/>
        <v>2</v>
      </c>
      <c r="F20" s="499" t="s">
        <v>645</v>
      </c>
      <c r="G20" s="499" t="str">
        <f t="shared" si="2"/>
        <v>2_5 gpm or higher</v>
      </c>
      <c r="H20" s="492" t="str">
        <f t="shared" si="3"/>
        <v>Retail</v>
      </c>
      <c r="I20" s="492" t="str">
        <f t="shared" si="3"/>
        <v>2_00</v>
      </c>
      <c r="J20" s="492" t="str">
        <f t="shared" si="3"/>
        <v>Gas Water Heating</v>
      </c>
      <c r="K20" s="492" t="str">
        <f t="shared" si="4"/>
        <v>Commercial Showerhead Replacement_Fitness Center_precondition 2_5 gpm or higher_efficient 2_00 gpm_Retail_Gas Water Heating</v>
      </c>
      <c r="L20" s="493">
        <f>INDEX(InstallRatesCostAndLifetime!$A$2:$D$6,MATCH(InputForProCost_FitnessCenter!H20,InstallRatesCostAndLifetime!$A$2:$A$6,0),MATCH(InputForProCost_FitnessCenter!I20,InstallRatesCostAndLifetime!$A$2:$D$2,0))</f>
        <v>0.8</v>
      </c>
      <c r="M20" s="493">
        <f t="shared" si="5"/>
        <v>0</v>
      </c>
      <c r="N20" s="492"/>
      <c r="O20" s="492" t="str">
        <f t="shared" si="6"/>
        <v>Fitness Center2_5 gpm or higher2_00</v>
      </c>
      <c r="P20" s="494">
        <f>VLOOKUP($O20,Impacts!$F$27:$Z$59,16,FALSE)</f>
        <v>5550.7514460088951</v>
      </c>
      <c r="Q20" s="494">
        <f>VLOOKUP($O20,Impacts!$F$27:$Z$59,17,FALSE)*L20</f>
        <v>168.53893088093841</v>
      </c>
      <c r="R20" s="495">
        <f>VLOOKUP($O20,Impacts!$F$27:$Z$59,19,FALSE)*L20</f>
        <v>198.03363520687026</v>
      </c>
      <c r="S20" s="496">
        <f>VLOOKUP($O20,Impacts!$F$27:$Z$59,20,FALSE)*L20</f>
        <v>31859.91131964809</v>
      </c>
      <c r="T20" s="497">
        <f>VLOOKUP($O20,Impacts!$F$27:$Z$59,21,FALSE)*L20</f>
        <v>419.36193639962914</v>
      </c>
      <c r="U20" s="492"/>
      <c r="V20" s="492" t="str">
        <f t="shared" si="7"/>
        <v>Commercial Showerhead Replacement_Fitness Center_precondition 2_5 gpm or higher_efficient 2_00 gpm_Retail_Gas Water Heating</v>
      </c>
      <c r="W20" s="492" t="s">
        <v>440</v>
      </c>
      <c r="X20" s="494">
        <f t="shared" ref="X20:X83" si="10">(P20*M20*L20)</f>
        <v>0</v>
      </c>
      <c r="Y20" s="492">
        <v>10</v>
      </c>
      <c r="Z20" s="498">
        <f t="shared" ref="Z20:Z83" si="11">VLOOKUP(H20,table_MeasureCosts,2,FALSE)</f>
        <v>3.2966774171383419</v>
      </c>
      <c r="AA20" s="492"/>
      <c r="AB20" s="499" t="s">
        <v>441</v>
      </c>
      <c r="AC20" s="497">
        <f t="shared" ref="AC20:AC83" si="12">T20</f>
        <v>419.36193639962914</v>
      </c>
      <c r="AD20" s="492"/>
      <c r="AE20" s="492"/>
      <c r="AF20" s="492"/>
      <c r="AG20" s="492"/>
      <c r="AH20" s="492"/>
      <c r="AI20" s="492"/>
      <c r="AJ20" s="492">
        <f t="shared" si="8"/>
        <v>198.03363520687026</v>
      </c>
      <c r="AK20" s="492" t="s">
        <v>442</v>
      </c>
    </row>
    <row r="21" spans="1:37">
      <c r="A21" s="492">
        <f t="shared" si="9"/>
        <v>3</v>
      </c>
      <c r="B21" s="492">
        <f t="shared" si="0"/>
        <v>1</v>
      </c>
      <c r="C21" s="492">
        <f t="shared" si="0"/>
        <v>1</v>
      </c>
      <c r="D21" s="492">
        <f t="shared" si="0"/>
        <v>1</v>
      </c>
      <c r="E21" s="492">
        <f t="shared" si="1"/>
        <v>3</v>
      </c>
      <c r="F21" s="499" t="s">
        <v>645</v>
      </c>
      <c r="G21" s="499" t="str">
        <f t="shared" si="2"/>
        <v>2_5 gpm or higher</v>
      </c>
      <c r="H21" s="492" t="str">
        <f t="shared" si="3"/>
        <v>Retail</v>
      </c>
      <c r="I21" s="492" t="str">
        <f t="shared" si="3"/>
        <v>2_00</v>
      </c>
      <c r="J21" s="492" t="str">
        <f t="shared" si="3"/>
        <v>Any Water Heating</v>
      </c>
      <c r="K21" s="492" t="str">
        <f t="shared" si="4"/>
        <v>Commercial Showerhead Replacement_Fitness Center_precondition 2_5 gpm or higher_efficient 2_00 gpm_Retail_Any Water Heating</v>
      </c>
      <c r="L21" s="493">
        <f>INDEX(InstallRatesCostAndLifetime!$A$2:$D$6,MATCH(InputForProCost_FitnessCenter!H21,InstallRatesCostAndLifetime!$A$2:$A$6,0),MATCH(InputForProCost_FitnessCenter!I21,InstallRatesCostAndLifetime!$A$2:$D$2,0))</f>
        <v>0.8</v>
      </c>
      <c r="M21" s="493">
        <f t="shared" si="5"/>
        <v>0.31666666666666665</v>
      </c>
      <c r="N21" s="492"/>
      <c r="O21" s="492" t="str">
        <f t="shared" si="6"/>
        <v>Fitness Center2_5 gpm or higher2_00</v>
      </c>
      <c r="P21" s="494">
        <f>VLOOKUP($O21,Impacts!$F$27:$Z$59,16,FALSE)</f>
        <v>5550.7514460088951</v>
      </c>
      <c r="Q21" s="494">
        <f>VLOOKUP($O21,Impacts!$F$27:$Z$59,17,FALSE)*L21</f>
        <v>168.53893088093841</v>
      </c>
      <c r="R21" s="495">
        <f>VLOOKUP($O21,Impacts!$F$27:$Z$59,19,FALSE)*L21</f>
        <v>198.03363520687026</v>
      </c>
      <c r="S21" s="496">
        <f>VLOOKUP($O21,Impacts!$F$27:$Z$59,20,FALSE)*L21</f>
        <v>31859.91131964809</v>
      </c>
      <c r="T21" s="497">
        <f>VLOOKUP($O21,Impacts!$F$27:$Z$59,21,FALSE)*L21</f>
        <v>419.36193639962914</v>
      </c>
      <c r="U21" s="492"/>
      <c r="V21" s="492" t="str">
        <f t="shared" si="7"/>
        <v>Commercial Showerhead Replacement_Fitness Center_precondition 2_5 gpm or higher_efficient 2_00 gpm_Retail_Any Water Heating</v>
      </c>
      <c r="W21" s="492" t="s">
        <v>440</v>
      </c>
      <c r="X21" s="494">
        <f t="shared" si="10"/>
        <v>1406.1903663222536</v>
      </c>
      <c r="Y21" s="492">
        <v>10</v>
      </c>
      <c r="Z21" s="498">
        <f t="shared" si="11"/>
        <v>3.2966774171383419</v>
      </c>
      <c r="AA21" s="492"/>
      <c r="AB21" s="499" t="s">
        <v>441</v>
      </c>
      <c r="AC21" s="497">
        <f t="shared" si="12"/>
        <v>419.36193639962914</v>
      </c>
      <c r="AD21" s="492"/>
      <c r="AE21" s="492"/>
      <c r="AF21" s="492"/>
      <c r="AG21" s="492"/>
      <c r="AH21" s="492"/>
      <c r="AI21" s="492"/>
      <c r="AJ21" s="492">
        <f t="shared" si="8"/>
        <v>135.32298405802803</v>
      </c>
      <c r="AK21" s="492" t="s">
        <v>442</v>
      </c>
    </row>
    <row r="22" spans="1:37">
      <c r="A22" s="492">
        <f t="shared" si="9"/>
        <v>4</v>
      </c>
      <c r="B22" s="492">
        <f t="shared" si="0"/>
        <v>1</v>
      </c>
      <c r="C22" s="492">
        <f t="shared" si="0"/>
        <v>1</v>
      </c>
      <c r="D22" s="492">
        <f t="shared" si="0"/>
        <v>2</v>
      </c>
      <c r="E22" s="492">
        <f t="shared" si="1"/>
        <v>1</v>
      </c>
      <c r="F22" s="499" t="s">
        <v>645</v>
      </c>
      <c r="G22" s="499" t="str">
        <f t="shared" si="2"/>
        <v>2_5 gpm or higher</v>
      </c>
      <c r="H22" s="492" t="str">
        <f t="shared" si="3"/>
        <v>Retail</v>
      </c>
      <c r="I22" s="492" t="str">
        <f t="shared" si="3"/>
        <v>1_75</v>
      </c>
      <c r="J22" s="492" t="str">
        <f t="shared" si="3"/>
        <v>Electric Water Heating</v>
      </c>
      <c r="K22" s="492" t="str">
        <f t="shared" si="4"/>
        <v>Commercial Showerhead Replacement_Fitness Center_precondition 2_5 gpm or higher_efficient 1_75 gpm_Retail_Electric Water Heating</v>
      </c>
      <c r="L22" s="493">
        <f>INDEX(InstallRatesCostAndLifetime!$A$2:$D$6,MATCH(InputForProCost_FitnessCenter!H22,InstallRatesCostAndLifetime!$A$2:$A$6,0),MATCH(InputForProCost_FitnessCenter!I22,InstallRatesCostAndLifetime!$A$2:$D$2,0))</f>
        <v>0.75</v>
      </c>
      <c r="M22" s="493">
        <f t="shared" si="5"/>
        <v>1</v>
      </c>
      <c r="N22" s="492"/>
      <c r="O22" s="492" t="str">
        <f t="shared" si="6"/>
        <v>Fitness Center2_5 gpm or higher1_75</v>
      </c>
      <c r="P22" s="494">
        <f>VLOOKUP($O22,Impacts!$F$27:$Z$59,16,FALSE)</f>
        <v>5724.2124286966719</v>
      </c>
      <c r="Q22" s="494">
        <f>VLOOKUP($O22,Impacts!$F$27:$Z$59,17,FALSE)*L22</f>
        <v>169.29133682237114</v>
      </c>
      <c r="R22" s="495">
        <f>VLOOKUP($O22,Impacts!$F$27:$Z$59,19,FALSE)*L22</f>
        <v>191.45829966289205</v>
      </c>
      <c r="S22" s="496">
        <f>VLOOKUP($O22,Impacts!$F$27:$Z$59,20,FALSE)*L22</f>
        <v>32002.143066610803</v>
      </c>
      <c r="T22" s="497">
        <f>VLOOKUP($O22,Impacts!$F$27:$Z$59,21,FALSE)*L22</f>
        <v>421.23408790141309</v>
      </c>
      <c r="U22" s="492"/>
      <c r="V22" s="492" t="str">
        <f t="shared" si="7"/>
        <v>Commercial Showerhead Replacement_Fitness Center_precondition 2_5 gpm or higher_efficient 1_75 gpm_Retail_Electric Water Heating</v>
      </c>
      <c r="W22" s="492" t="s">
        <v>440</v>
      </c>
      <c r="X22" s="494">
        <f t="shared" si="10"/>
        <v>4293.1593215225039</v>
      </c>
      <c r="Y22" s="492">
        <v>10</v>
      </c>
      <c r="Z22" s="498">
        <f t="shared" si="11"/>
        <v>3.2966774171383419</v>
      </c>
      <c r="AA22" s="492"/>
      <c r="AB22" s="499" t="s">
        <v>441</v>
      </c>
      <c r="AC22" s="497">
        <f t="shared" si="12"/>
        <v>421.23408790141309</v>
      </c>
      <c r="AD22" s="492"/>
      <c r="AE22" s="492"/>
      <c r="AF22" s="492"/>
      <c r="AG22" s="492"/>
      <c r="AH22" s="492"/>
      <c r="AI22" s="492"/>
      <c r="AJ22" s="492">
        <f t="shared" si="8"/>
        <v>0</v>
      </c>
      <c r="AK22" s="492" t="s">
        <v>442</v>
      </c>
    </row>
    <row r="23" spans="1:37">
      <c r="A23" s="492">
        <f t="shared" si="9"/>
        <v>5</v>
      </c>
      <c r="B23" s="492">
        <f t="shared" si="0"/>
        <v>1</v>
      </c>
      <c r="C23" s="492">
        <f t="shared" si="0"/>
        <v>1</v>
      </c>
      <c r="D23" s="492">
        <f t="shared" si="0"/>
        <v>2</v>
      </c>
      <c r="E23" s="492">
        <f t="shared" si="1"/>
        <v>2</v>
      </c>
      <c r="F23" s="499" t="s">
        <v>645</v>
      </c>
      <c r="G23" s="499" t="str">
        <f t="shared" si="2"/>
        <v>2_5 gpm or higher</v>
      </c>
      <c r="H23" s="492" t="str">
        <f t="shared" si="3"/>
        <v>Retail</v>
      </c>
      <c r="I23" s="492" t="str">
        <f t="shared" si="3"/>
        <v>1_75</v>
      </c>
      <c r="J23" s="492" t="str">
        <f t="shared" si="3"/>
        <v>Gas Water Heating</v>
      </c>
      <c r="K23" s="492" t="str">
        <f t="shared" si="4"/>
        <v>Commercial Showerhead Replacement_Fitness Center_precondition 2_5 gpm or higher_efficient 1_75 gpm_Retail_Gas Water Heating</v>
      </c>
      <c r="L23" s="493">
        <f>INDEX(InstallRatesCostAndLifetime!$A$2:$D$6,MATCH(InputForProCost_FitnessCenter!H23,InstallRatesCostAndLifetime!$A$2:$A$6,0),MATCH(InputForProCost_FitnessCenter!I23,InstallRatesCostAndLifetime!$A$2:$D$2,0))</f>
        <v>0.75</v>
      </c>
      <c r="M23" s="493">
        <f t="shared" si="5"/>
        <v>0</v>
      </c>
      <c r="N23" s="492"/>
      <c r="O23" s="492" t="str">
        <f t="shared" si="6"/>
        <v>Fitness Center2_5 gpm or higher1_75</v>
      </c>
      <c r="P23" s="494">
        <f>VLOOKUP($O23,Impacts!$F$27:$Z$59,16,FALSE)</f>
        <v>5724.2124286966719</v>
      </c>
      <c r="Q23" s="494">
        <f>VLOOKUP($O23,Impacts!$F$27:$Z$59,17,FALSE)*L23</f>
        <v>169.29133682237114</v>
      </c>
      <c r="R23" s="495">
        <f>VLOOKUP($O23,Impacts!$F$27:$Z$59,19,FALSE)*L23</f>
        <v>191.45829966289205</v>
      </c>
      <c r="S23" s="496">
        <f>VLOOKUP($O23,Impacts!$F$27:$Z$59,20,FALSE)*L23</f>
        <v>32002.143066610803</v>
      </c>
      <c r="T23" s="497">
        <f>VLOOKUP($O23,Impacts!$F$27:$Z$59,21,FALSE)*L23</f>
        <v>421.23408790141309</v>
      </c>
      <c r="U23" s="492"/>
      <c r="V23" s="492" t="str">
        <f t="shared" si="7"/>
        <v>Commercial Showerhead Replacement_Fitness Center_precondition 2_5 gpm or higher_efficient 1_75 gpm_Retail_Gas Water Heating</v>
      </c>
      <c r="W23" s="492" t="s">
        <v>440</v>
      </c>
      <c r="X23" s="494">
        <f t="shared" si="10"/>
        <v>0</v>
      </c>
      <c r="Y23" s="492">
        <v>10</v>
      </c>
      <c r="Z23" s="498">
        <f t="shared" si="11"/>
        <v>3.2966774171383419</v>
      </c>
      <c r="AA23" s="492"/>
      <c r="AB23" s="499" t="s">
        <v>441</v>
      </c>
      <c r="AC23" s="497">
        <f t="shared" si="12"/>
        <v>421.23408790141309</v>
      </c>
      <c r="AD23" s="492"/>
      <c r="AE23" s="492"/>
      <c r="AF23" s="492"/>
      <c r="AG23" s="492"/>
      <c r="AH23" s="492"/>
      <c r="AI23" s="492"/>
      <c r="AJ23" s="492">
        <f t="shared" si="8"/>
        <v>191.45829966289205</v>
      </c>
      <c r="AK23" s="492" t="s">
        <v>442</v>
      </c>
    </row>
    <row r="24" spans="1:37">
      <c r="A24" s="492">
        <f t="shared" si="9"/>
        <v>6</v>
      </c>
      <c r="B24" s="492">
        <f t="shared" si="0"/>
        <v>1</v>
      </c>
      <c r="C24" s="492">
        <f t="shared" si="0"/>
        <v>1</v>
      </c>
      <c r="D24" s="492">
        <f t="shared" si="0"/>
        <v>2</v>
      </c>
      <c r="E24" s="492">
        <f t="shared" si="1"/>
        <v>3</v>
      </c>
      <c r="F24" s="499" t="s">
        <v>645</v>
      </c>
      <c r="G24" s="499" t="str">
        <f t="shared" si="2"/>
        <v>2_5 gpm or higher</v>
      </c>
      <c r="H24" s="492" t="str">
        <f t="shared" si="3"/>
        <v>Retail</v>
      </c>
      <c r="I24" s="492" t="str">
        <f t="shared" si="3"/>
        <v>1_75</v>
      </c>
      <c r="J24" s="492" t="str">
        <f t="shared" si="3"/>
        <v>Any Water Heating</v>
      </c>
      <c r="K24" s="492" t="str">
        <f t="shared" si="4"/>
        <v>Commercial Showerhead Replacement_Fitness Center_precondition 2_5 gpm or higher_efficient 1_75 gpm_Retail_Any Water Heating</v>
      </c>
      <c r="L24" s="493">
        <f>INDEX(InstallRatesCostAndLifetime!$A$2:$D$6,MATCH(InputForProCost_FitnessCenter!H24,InstallRatesCostAndLifetime!$A$2:$A$6,0),MATCH(InputForProCost_FitnessCenter!I24,InstallRatesCostAndLifetime!$A$2:$D$2,0))</f>
        <v>0.75</v>
      </c>
      <c r="M24" s="493">
        <f t="shared" si="5"/>
        <v>0.31666666666666665</v>
      </c>
      <c r="N24" s="492"/>
      <c r="O24" s="492" t="str">
        <f t="shared" si="6"/>
        <v>Fitness Center2_5 gpm or higher1_75</v>
      </c>
      <c r="P24" s="494">
        <f>VLOOKUP($O24,Impacts!$F$27:$Z$59,16,FALSE)</f>
        <v>5724.2124286966719</v>
      </c>
      <c r="Q24" s="494">
        <f>VLOOKUP($O24,Impacts!$F$27:$Z$59,17,FALSE)*L24</f>
        <v>169.29133682237114</v>
      </c>
      <c r="R24" s="495">
        <f>VLOOKUP($O24,Impacts!$F$27:$Z$59,19,FALSE)*L24</f>
        <v>191.45829966289205</v>
      </c>
      <c r="S24" s="496">
        <f>VLOOKUP($O24,Impacts!$F$27:$Z$59,20,FALSE)*L24</f>
        <v>32002.143066610803</v>
      </c>
      <c r="T24" s="497">
        <f>VLOOKUP($O24,Impacts!$F$27:$Z$59,21,FALSE)*L24</f>
        <v>421.23408790141309</v>
      </c>
      <c r="U24" s="492"/>
      <c r="V24" s="492" t="str">
        <f t="shared" si="7"/>
        <v>Commercial Showerhead Replacement_Fitness Center_precondition 2_5 gpm or higher_efficient 1_75 gpm_Retail_Any Water Heating</v>
      </c>
      <c r="W24" s="492" t="s">
        <v>440</v>
      </c>
      <c r="X24" s="494">
        <f t="shared" si="10"/>
        <v>1359.5004518154594</v>
      </c>
      <c r="Y24" s="492">
        <v>10</v>
      </c>
      <c r="Z24" s="498">
        <f t="shared" si="11"/>
        <v>3.2966774171383419</v>
      </c>
      <c r="AA24" s="492"/>
      <c r="AB24" s="499" t="s">
        <v>441</v>
      </c>
      <c r="AC24" s="497">
        <f t="shared" si="12"/>
        <v>421.23408790141309</v>
      </c>
      <c r="AD24" s="492"/>
      <c r="AE24" s="492"/>
      <c r="AF24" s="492"/>
      <c r="AG24" s="492"/>
      <c r="AH24" s="492"/>
      <c r="AI24" s="492"/>
      <c r="AJ24" s="492">
        <f t="shared" si="8"/>
        <v>130.82983810297623</v>
      </c>
      <c r="AK24" s="492" t="s">
        <v>442</v>
      </c>
    </row>
    <row r="25" spans="1:37">
      <c r="A25" s="492">
        <f t="shared" si="9"/>
        <v>7</v>
      </c>
      <c r="B25" s="492">
        <f t="shared" si="0"/>
        <v>1</v>
      </c>
      <c r="C25" s="492">
        <f t="shared" si="0"/>
        <v>1</v>
      </c>
      <c r="D25" s="492">
        <f t="shared" si="0"/>
        <v>3</v>
      </c>
      <c r="E25" s="492">
        <f t="shared" si="1"/>
        <v>1</v>
      </c>
      <c r="F25" s="499" t="s">
        <v>645</v>
      </c>
      <c r="G25" s="499" t="str">
        <f t="shared" si="2"/>
        <v>2_5 gpm or higher</v>
      </c>
      <c r="H25" s="492" t="str">
        <f t="shared" si="3"/>
        <v>Retail</v>
      </c>
      <c r="I25" s="492" t="str">
        <f t="shared" si="3"/>
        <v>1_50</v>
      </c>
      <c r="J25" s="492" t="str">
        <f t="shared" si="3"/>
        <v>Electric Water Heating</v>
      </c>
      <c r="K25" s="492" t="str">
        <f t="shared" si="4"/>
        <v>Commercial Showerhead Replacement_Fitness Center_precondition 2_5 gpm or higher_efficient 1_50 gpm_Retail_Electric Water Heating</v>
      </c>
      <c r="L25" s="493">
        <f>INDEX(InstallRatesCostAndLifetime!$A$2:$D$6,MATCH(InputForProCost_FitnessCenter!H25,InstallRatesCostAndLifetime!$A$2:$A$6,0),MATCH(InputForProCost_FitnessCenter!I25,InstallRatesCostAndLifetime!$A$2:$D$2,0))</f>
        <v>0.7</v>
      </c>
      <c r="M25" s="493">
        <f t="shared" si="5"/>
        <v>1</v>
      </c>
      <c r="N25" s="492"/>
      <c r="O25" s="492" t="str">
        <f t="shared" si="6"/>
        <v>Fitness Center2_5 gpm or higher1_50</v>
      </c>
      <c r="P25" s="494">
        <f>VLOOKUP($O25,Impacts!$F$27:$Z$59,16,FALSE)</f>
        <v>7523.5465028460094</v>
      </c>
      <c r="Q25" s="494">
        <f>VLOOKUP($O25,Impacts!$F$27:$Z$59,17,FALSE)*L25</f>
        <v>210.67366360117293</v>
      </c>
      <c r="R25" s="495">
        <f>VLOOKUP($O25,Impacts!$F$27:$Z$59,19,FALSE)*L25</f>
        <v>234.86475089658074</v>
      </c>
      <c r="S25" s="496">
        <f>VLOOKUP($O25,Impacts!$F$27:$Z$59,20,FALSE)*L25</f>
        <v>39824.889149560106</v>
      </c>
      <c r="T25" s="497">
        <f>VLOOKUP($O25,Impacts!$F$27:$Z$59,21,FALSE)*L25</f>
        <v>524.2024204995364</v>
      </c>
      <c r="U25" s="492"/>
      <c r="V25" s="492" t="str">
        <f t="shared" si="7"/>
        <v>Commercial Showerhead Replacement_Fitness Center_precondition 2_5 gpm or higher_efficient 1_50 gpm_Retail_Electric Water Heating</v>
      </c>
      <c r="W25" s="492" t="s">
        <v>440</v>
      </c>
      <c r="X25" s="494">
        <f t="shared" si="10"/>
        <v>5266.482551992206</v>
      </c>
      <c r="Y25" s="492">
        <v>10</v>
      </c>
      <c r="Z25" s="498">
        <f t="shared" si="11"/>
        <v>3.2966774171383419</v>
      </c>
      <c r="AA25" s="492"/>
      <c r="AB25" s="499" t="s">
        <v>441</v>
      </c>
      <c r="AC25" s="497">
        <f t="shared" si="12"/>
        <v>524.2024204995364</v>
      </c>
      <c r="AD25" s="492"/>
      <c r="AE25" s="492"/>
      <c r="AF25" s="492"/>
      <c r="AG25" s="492"/>
      <c r="AH25" s="492"/>
      <c r="AI25" s="492"/>
      <c r="AJ25" s="492">
        <f t="shared" si="8"/>
        <v>0</v>
      </c>
      <c r="AK25" s="492" t="s">
        <v>442</v>
      </c>
    </row>
    <row r="26" spans="1:37">
      <c r="A26" s="492">
        <f t="shared" si="9"/>
        <v>8</v>
      </c>
      <c r="B26" s="492">
        <f t="shared" si="0"/>
        <v>1</v>
      </c>
      <c r="C26" s="492">
        <f t="shared" si="0"/>
        <v>1</v>
      </c>
      <c r="D26" s="492">
        <f t="shared" si="0"/>
        <v>3</v>
      </c>
      <c r="E26" s="492">
        <f t="shared" si="1"/>
        <v>2</v>
      </c>
      <c r="F26" s="499" t="s">
        <v>645</v>
      </c>
      <c r="G26" s="499" t="str">
        <f t="shared" si="2"/>
        <v>2_5 gpm or higher</v>
      </c>
      <c r="H26" s="492" t="str">
        <f t="shared" si="3"/>
        <v>Retail</v>
      </c>
      <c r="I26" s="492" t="str">
        <f t="shared" si="3"/>
        <v>1_50</v>
      </c>
      <c r="J26" s="492" t="str">
        <f t="shared" si="3"/>
        <v>Gas Water Heating</v>
      </c>
      <c r="K26" s="492" t="str">
        <f t="shared" si="4"/>
        <v>Commercial Showerhead Replacement_Fitness Center_precondition 2_5 gpm or higher_efficient 1_50 gpm_Retail_Gas Water Heating</v>
      </c>
      <c r="L26" s="493">
        <f>INDEX(InstallRatesCostAndLifetime!$A$2:$D$6,MATCH(InputForProCost_FitnessCenter!H26,InstallRatesCostAndLifetime!$A$2:$A$6,0),MATCH(InputForProCost_FitnessCenter!I26,InstallRatesCostAndLifetime!$A$2:$D$2,0))</f>
        <v>0.7</v>
      </c>
      <c r="M26" s="493">
        <f t="shared" si="5"/>
        <v>0</v>
      </c>
      <c r="N26" s="492"/>
      <c r="O26" s="492" t="str">
        <f t="shared" si="6"/>
        <v>Fitness Center2_5 gpm or higher1_50</v>
      </c>
      <c r="P26" s="494">
        <f>VLOOKUP($O26,Impacts!$F$27:$Z$59,16,FALSE)</f>
        <v>7523.5465028460094</v>
      </c>
      <c r="Q26" s="494">
        <f>VLOOKUP($O26,Impacts!$F$27:$Z$59,17,FALSE)*L26</f>
        <v>210.67366360117293</v>
      </c>
      <c r="R26" s="495">
        <f>VLOOKUP($O26,Impacts!$F$27:$Z$59,19,FALSE)*L26</f>
        <v>234.86475089658074</v>
      </c>
      <c r="S26" s="496">
        <f>VLOOKUP($O26,Impacts!$F$27:$Z$59,20,FALSE)*L26</f>
        <v>39824.889149560106</v>
      </c>
      <c r="T26" s="497">
        <f>VLOOKUP($O26,Impacts!$F$27:$Z$59,21,FALSE)*L26</f>
        <v>524.2024204995364</v>
      </c>
      <c r="U26" s="492"/>
      <c r="V26" s="492" t="str">
        <f t="shared" si="7"/>
        <v>Commercial Showerhead Replacement_Fitness Center_precondition 2_5 gpm or higher_efficient 1_50 gpm_Retail_Gas Water Heating</v>
      </c>
      <c r="W26" s="492" t="s">
        <v>440</v>
      </c>
      <c r="X26" s="494">
        <f t="shared" si="10"/>
        <v>0</v>
      </c>
      <c r="Y26" s="492">
        <v>10</v>
      </c>
      <c r="Z26" s="498">
        <f t="shared" si="11"/>
        <v>3.2966774171383419</v>
      </c>
      <c r="AA26" s="492"/>
      <c r="AB26" s="499" t="s">
        <v>441</v>
      </c>
      <c r="AC26" s="497">
        <f t="shared" si="12"/>
        <v>524.2024204995364</v>
      </c>
      <c r="AD26" s="492"/>
      <c r="AE26" s="492"/>
      <c r="AF26" s="492"/>
      <c r="AG26" s="492"/>
      <c r="AH26" s="492"/>
      <c r="AI26" s="492"/>
      <c r="AJ26" s="492">
        <f t="shared" si="8"/>
        <v>234.86475089658074</v>
      </c>
      <c r="AK26" s="492" t="s">
        <v>442</v>
      </c>
    </row>
    <row r="27" spans="1:37">
      <c r="A27" s="492">
        <f t="shared" si="9"/>
        <v>9</v>
      </c>
      <c r="B27" s="492">
        <f t="shared" si="0"/>
        <v>1</v>
      </c>
      <c r="C27" s="492">
        <f t="shared" si="0"/>
        <v>1</v>
      </c>
      <c r="D27" s="492">
        <f t="shared" si="0"/>
        <v>3</v>
      </c>
      <c r="E27" s="492">
        <f t="shared" si="1"/>
        <v>3</v>
      </c>
      <c r="F27" s="499" t="s">
        <v>645</v>
      </c>
      <c r="G27" s="499" t="str">
        <f t="shared" si="2"/>
        <v>2_5 gpm or higher</v>
      </c>
      <c r="H27" s="492" t="str">
        <f t="shared" si="3"/>
        <v>Retail</v>
      </c>
      <c r="I27" s="492" t="str">
        <f t="shared" si="3"/>
        <v>1_50</v>
      </c>
      <c r="J27" s="492" t="str">
        <f t="shared" si="3"/>
        <v>Any Water Heating</v>
      </c>
      <c r="K27" s="492" t="str">
        <f t="shared" si="4"/>
        <v>Commercial Showerhead Replacement_Fitness Center_precondition 2_5 gpm or higher_efficient 1_50 gpm_Retail_Any Water Heating</v>
      </c>
      <c r="L27" s="493">
        <f>INDEX(InstallRatesCostAndLifetime!$A$2:$D$6,MATCH(InputForProCost_FitnessCenter!H27,InstallRatesCostAndLifetime!$A$2:$A$6,0),MATCH(InputForProCost_FitnessCenter!I27,InstallRatesCostAndLifetime!$A$2:$D$2,0))</f>
        <v>0.7</v>
      </c>
      <c r="M27" s="493">
        <f t="shared" si="5"/>
        <v>0.31666666666666665</v>
      </c>
      <c r="N27" s="492"/>
      <c r="O27" s="492" t="str">
        <f t="shared" si="6"/>
        <v>Fitness Center2_5 gpm or higher1_50</v>
      </c>
      <c r="P27" s="494">
        <f>VLOOKUP($O27,Impacts!$F$27:$Z$59,16,FALSE)</f>
        <v>7523.5465028460094</v>
      </c>
      <c r="Q27" s="494">
        <f>VLOOKUP($O27,Impacts!$F$27:$Z$59,17,FALSE)*L27</f>
        <v>210.67366360117293</v>
      </c>
      <c r="R27" s="495">
        <f>VLOOKUP($O27,Impacts!$F$27:$Z$59,19,FALSE)*L27</f>
        <v>234.86475089658074</v>
      </c>
      <c r="S27" s="496">
        <f>VLOOKUP($O27,Impacts!$F$27:$Z$59,20,FALSE)*L27</f>
        <v>39824.889149560106</v>
      </c>
      <c r="T27" s="497">
        <f>VLOOKUP($O27,Impacts!$F$27:$Z$59,21,FALSE)*L27</f>
        <v>524.2024204995364</v>
      </c>
      <c r="U27" s="492"/>
      <c r="V27" s="492" t="str">
        <f t="shared" si="7"/>
        <v>Commercial Showerhead Replacement_Fitness Center_precondition 2_5 gpm or higher_efficient 1_50 gpm_Retail_Any Water Heating</v>
      </c>
      <c r="W27" s="492" t="s">
        <v>440</v>
      </c>
      <c r="X27" s="494">
        <f t="shared" si="10"/>
        <v>1667.7194747975318</v>
      </c>
      <c r="Y27" s="492">
        <v>10</v>
      </c>
      <c r="Z27" s="498">
        <f t="shared" si="11"/>
        <v>3.2966774171383419</v>
      </c>
      <c r="AA27" s="492"/>
      <c r="AB27" s="499" t="s">
        <v>441</v>
      </c>
      <c r="AC27" s="497">
        <f t="shared" si="12"/>
        <v>524.2024204995364</v>
      </c>
      <c r="AD27" s="492"/>
      <c r="AE27" s="492"/>
      <c r="AF27" s="492"/>
      <c r="AG27" s="492"/>
      <c r="AH27" s="492"/>
      <c r="AI27" s="492"/>
      <c r="AJ27" s="492">
        <f t="shared" si="8"/>
        <v>160.49091311266352</v>
      </c>
      <c r="AK27" s="492" t="s">
        <v>442</v>
      </c>
    </row>
    <row r="28" spans="1:37">
      <c r="A28" s="492">
        <f t="shared" si="9"/>
        <v>10</v>
      </c>
      <c r="B28" s="492">
        <f t="shared" si="0"/>
        <v>1</v>
      </c>
      <c r="C28" s="492">
        <f t="shared" si="0"/>
        <v>2</v>
      </c>
      <c r="D28" s="492">
        <f t="shared" si="0"/>
        <v>1</v>
      </c>
      <c r="E28" s="492">
        <f t="shared" si="1"/>
        <v>1</v>
      </c>
      <c r="F28" s="499" t="s">
        <v>645</v>
      </c>
      <c r="G28" s="499" t="str">
        <f t="shared" si="2"/>
        <v>2_5 gpm or higher</v>
      </c>
      <c r="H28" s="492" t="str">
        <f t="shared" si="3"/>
        <v>Direct Install</v>
      </c>
      <c r="I28" s="492" t="str">
        <f t="shared" si="3"/>
        <v>2_00</v>
      </c>
      <c r="J28" s="492" t="str">
        <f t="shared" si="3"/>
        <v>Electric Water Heating</v>
      </c>
      <c r="K28" s="492" t="str">
        <f t="shared" si="4"/>
        <v>Commercial Showerhead Replacement_Fitness Center_precondition 2_5 gpm or higher_efficient 2_00 gpm_Direct Install_Electric Water Heating</v>
      </c>
      <c r="L28" s="493">
        <f>INDEX(InstallRatesCostAndLifetime!$A$2:$D$6,MATCH(InputForProCost_FitnessCenter!H28,InstallRatesCostAndLifetime!$A$2:$A$6,0),MATCH(InputForProCost_FitnessCenter!I28,InstallRatesCostAndLifetime!$A$2:$D$2,0))</f>
        <v>0.9</v>
      </c>
      <c r="M28" s="493">
        <f t="shared" si="5"/>
        <v>1</v>
      </c>
      <c r="N28" s="492"/>
      <c r="O28" s="492" t="str">
        <f t="shared" si="6"/>
        <v>Fitness Center2_5 gpm or higher2_00</v>
      </c>
      <c r="P28" s="494">
        <f>VLOOKUP($O28,Impacts!$F$27:$Z$59,16,FALSE)</f>
        <v>5550.7514460088951</v>
      </c>
      <c r="Q28" s="494">
        <f>VLOOKUP($O28,Impacts!$F$27:$Z$59,17,FALSE)*L28</f>
        <v>189.6062972410557</v>
      </c>
      <c r="R28" s="495">
        <f>VLOOKUP($O28,Impacts!$F$27:$Z$59,19,FALSE)*L28</f>
        <v>222.78783960772904</v>
      </c>
      <c r="S28" s="496">
        <f>VLOOKUP($O28,Impacts!$F$27:$Z$59,20,FALSE)*L28</f>
        <v>35842.400234604102</v>
      </c>
      <c r="T28" s="497">
        <f>VLOOKUP($O28,Impacts!$F$27:$Z$59,21,FALSE)*L28</f>
        <v>471.78217844958277</v>
      </c>
      <c r="U28" s="492"/>
      <c r="V28" s="492" t="str">
        <f t="shared" si="7"/>
        <v>Commercial Showerhead Replacement_Fitness Center_precondition 2_5 gpm or higher_efficient 2_00 gpm_Direct Install_Electric Water Heating</v>
      </c>
      <c r="W28" s="492" t="s">
        <v>440</v>
      </c>
      <c r="X28" s="494">
        <f t="shared" si="10"/>
        <v>4995.6763014080061</v>
      </c>
      <c r="Y28" s="492">
        <v>10</v>
      </c>
      <c r="Z28" s="498">
        <f t="shared" si="11"/>
        <v>11.336666666666666</v>
      </c>
      <c r="AA28" s="492"/>
      <c r="AB28" s="499" t="s">
        <v>441</v>
      </c>
      <c r="AC28" s="497">
        <f t="shared" si="12"/>
        <v>471.78217844958277</v>
      </c>
      <c r="AD28" s="492"/>
      <c r="AE28" s="492"/>
      <c r="AF28" s="492"/>
      <c r="AG28" s="492"/>
      <c r="AH28" s="492"/>
      <c r="AI28" s="492"/>
      <c r="AJ28" s="492">
        <f t="shared" si="8"/>
        <v>0</v>
      </c>
      <c r="AK28" s="492" t="s">
        <v>442</v>
      </c>
    </row>
    <row r="29" spans="1:37">
      <c r="A29" s="492">
        <f t="shared" si="9"/>
        <v>11</v>
      </c>
      <c r="B29" s="492">
        <f t="shared" si="0"/>
        <v>1</v>
      </c>
      <c r="C29" s="492">
        <f t="shared" si="0"/>
        <v>2</v>
      </c>
      <c r="D29" s="492">
        <f t="shared" si="0"/>
        <v>1</v>
      </c>
      <c r="E29" s="492">
        <f t="shared" si="1"/>
        <v>2</v>
      </c>
      <c r="F29" s="499" t="s">
        <v>645</v>
      </c>
      <c r="G29" s="499" t="str">
        <f t="shared" si="2"/>
        <v>2_5 gpm or higher</v>
      </c>
      <c r="H29" s="492" t="str">
        <f t="shared" si="3"/>
        <v>Direct Install</v>
      </c>
      <c r="I29" s="492" t="str">
        <f t="shared" si="3"/>
        <v>2_00</v>
      </c>
      <c r="J29" s="492" t="str">
        <f t="shared" si="3"/>
        <v>Gas Water Heating</v>
      </c>
      <c r="K29" s="492" t="str">
        <f t="shared" si="4"/>
        <v>Commercial Showerhead Replacement_Fitness Center_precondition 2_5 gpm or higher_efficient 2_00 gpm_Direct Install_Gas Water Heating</v>
      </c>
      <c r="L29" s="493">
        <f>INDEX(InstallRatesCostAndLifetime!$A$2:$D$6,MATCH(InputForProCost_FitnessCenter!H29,InstallRatesCostAndLifetime!$A$2:$A$6,0),MATCH(InputForProCost_FitnessCenter!I29,InstallRatesCostAndLifetime!$A$2:$D$2,0))</f>
        <v>0.9</v>
      </c>
      <c r="M29" s="493">
        <f t="shared" si="5"/>
        <v>0</v>
      </c>
      <c r="N29" s="492"/>
      <c r="O29" s="492" t="str">
        <f t="shared" si="6"/>
        <v>Fitness Center2_5 gpm or higher2_00</v>
      </c>
      <c r="P29" s="494">
        <f>VLOOKUP($O29,Impacts!$F$27:$Z$59,16,FALSE)</f>
        <v>5550.7514460088951</v>
      </c>
      <c r="Q29" s="494">
        <f>VLOOKUP($O29,Impacts!$F$27:$Z$59,17,FALSE)*L29</f>
        <v>189.6062972410557</v>
      </c>
      <c r="R29" s="495">
        <f>VLOOKUP($O29,Impacts!$F$27:$Z$59,19,FALSE)*L29</f>
        <v>222.78783960772904</v>
      </c>
      <c r="S29" s="496">
        <f>VLOOKUP($O29,Impacts!$F$27:$Z$59,20,FALSE)*L29</f>
        <v>35842.400234604102</v>
      </c>
      <c r="T29" s="497">
        <f>VLOOKUP($O29,Impacts!$F$27:$Z$59,21,FALSE)*L29</f>
        <v>471.78217844958277</v>
      </c>
      <c r="U29" s="492"/>
      <c r="V29" s="492" t="str">
        <f t="shared" si="7"/>
        <v>Commercial Showerhead Replacement_Fitness Center_precondition 2_5 gpm or higher_efficient 2_00 gpm_Direct Install_Gas Water Heating</v>
      </c>
      <c r="W29" s="492" t="s">
        <v>440</v>
      </c>
      <c r="X29" s="494">
        <f t="shared" si="10"/>
        <v>0</v>
      </c>
      <c r="Y29" s="492">
        <v>10</v>
      </c>
      <c r="Z29" s="498">
        <f t="shared" si="11"/>
        <v>11.336666666666666</v>
      </c>
      <c r="AA29" s="492"/>
      <c r="AB29" s="499" t="s">
        <v>441</v>
      </c>
      <c r="AC29" s="497">
        <f t="shared" si="12"/>
        <v>471.78217844958277</v>
      </c>
      <c r="AD29" s="492"/>
      <c r="AE29" s="492"/>
      <c r="AF29" s="492"/>
      <c r="AG29" s="492"/>
      <c r="AH29" s="492"/>
      <c r="AI29" s="492"/>
      <c r="AJ29" s="492">
        <f t="shared" si="8"/>
        <v>222.78783960772904</v>
      </c>
      <c r="AK29" s="492" t="s">
        <v>442</v>
      </c>
    </row>
    <row r="30" spans="1:37">
      <c r="A30" s="492">
        <f t="shared" si="9"/>
        <v>12</v>
      </c>
      <c r="B30" s="492">
        <f t="shared" si="0"/>
        <v>1</v>
      </c>
      <c r="C30" s="492">
        <f t="shared" si="0"/>
        <v>2</v>
      </c>
      <c r="D30" s="492">
        <f t="shared" si="0"/>
        <v>1</v>
      </c>
      <c r="E30" s="492">
        <f t="shared" si="1"/>
        <v>3</v>
      </c>
      <c r="F30" s="499" t="s">
        <v>645</v>
      </c>
      <c r="G30" s="499" t="str">
        <f t="shared" si="2"/>
        <v>2_5 gpm or higher</v>
      </c>
      <c r="H30" s="492" t="str">
        <f t="shared" si="3"/>
        <v>Direct Install</v>
      </c>
      <c r="I30" s="492" t="str">
        <f t="shared" si="3"/>
        <v>2_00</v>
      </c>
      <c r="J30" s="492" t="str">
        <f t="shared" si="3"/>
        <v>Any Water Heating</v>
      </c>
      <c r="K30" s="492" t="str">
        <f t="shared" si="4"/>
        <v>Commercial Showerhead Replacement_Fitness Center_precondition 2_5 gpm or higher_efficient 2_00 gpm_Direct Install_Any Water Heating</v>
      </c>
      <c r="L30" s="493">
        <f>INDEX(InstallRatesCostAndLifetime!$A$2:$D$6,MATCH(InputForProCost_FitnessCenter!H30,InstallRatesCostAndLifetime!$A$2:$A$6,0),MATCH(InputForProCost_FitnessCenter!I30,InstallRatesCostAndLifetime!$A$2:$D$2,0))</f>
        <v>0.9</v>
      </c>
      <c r="M30" s="493">
        <f t="shared" si="5"/>
        <v>0.31666666666666665</v>
      </c>
      <c r="N30" s="492"/>
      <c r="O30" s="492" t="str">
        <f t="shared" si="6"/>
        <v>Fitness Center2_5 gpm or higher2_00</v>
      </c>
      <c r="P30" s="494">
        <f>VLOOKUP($O30,Impacts!$F$27:$Z$59,16,FALSE)</f>
        <v>5550.7514460088951</v>
      </c>
      <c r="Q30" s="494">
        <f>VLOOKUP($O30,Impacts!$F$27:$Z$59,17,FALSE)*L30</f>
        <v>189.6062972410557</v>
      </c>
      <c r="R30" s="495">
        <f>VLOOKUP($O30,Impacts!$F$27:$Z$59,19,FALSE)*L30</f>
        <v>222.78783960772904</v>
      </c>
      <c r="S30" s="496">
        <f>VLOOKUP($O30,Impacts!$F$27:$Z$59,20,FALSE)*L30</f>
        <v>35842.400234604102</v>
      </c>
      <c r="T30" s="497">
        <f>VLOOKUP($O30,Impacts!$F$27:$Z$59,21,FALSE)*L30</f>
        <v>471.78217844958277</v>
      </c>
      <c r="U30" s="492"/>
      <c r="V30" s="492" t="str">
        <f t="shared" si="7"/>
        <v>Commercial Showerhead Replacement_Fitness Center_precondition 2_5 gpm or higher_efficient 2_00 gpm_Direct Install_Any Water Heating</v>
      </c>
      <c r="W30" s="492" t="s">
        <v>440</v>
      </c>
      <c r="X30" s="494">
        <f t="shared" si="10"/>
        <v>1581.9641621125352</v>
      </c>
      <c r="Y30" s="492">
        <v>10</v>
      </c>
      <c r="Z30" s="498">
        <f t="shared" si="11"/>
        <v>11.336666666666666</v>
      </c>
      <c r="AA30" s="492"/>
      <c r="AB30" s="499" t="s">
        <v>441</v>
      </c>
      <c r="AC30" s="497">
        <f t="shared" si="12"/>
        <v>471.78217844958277</v>
      </c>
      <c r="AD30" s="492"/>
      <c r="AE30" s="492"/>
      <c r="AF30" s="492"/>
      <c r="AG30" s="492"/>
      <c r="AH30" s="492"/>
      <c r="AI30" s="492"/>
      <c r="AJ30" s="492">
        <f t="shared" si="8"/>
        <v>152.23835706528152</v>
      </c>
      <c r="AK30" s="492" t="s">
        <v>442</v>
      </c>
    </row>
    <row r="31" spans="1:37">
      <c r="A31" s="492">
        <f t="shared" si="9"/>
        <v>13</v>
      </c>
      <c r="B31" s="492">
        <f t="shared" si="0"/>
        <v>1</v>
      </c>
      <c r="C31" s="492">
        <f t="shared" si="0"/>
        <v>2</v>
      </c>
      <c r="D31" s="492">
        <f t="shared" si="0"/>
        <v>2</v>
      </c>
      <c r="E31" s="492">
        <f t="shared" si="1"/>
        <v>1</v>
      </c>
      <c r="F31" s="499" t="s">
        <v>645</v>
      </c>
      <c r="G31" s="499" t="str">
        <f t="shared" si="2"/>
        <v>2_5 gpm or higher</v>
      </c>
      <c r="H31" s="492" t="str">
        <f t="shared" si="3"/>
        <v>Direct Install</v>
      </c>
      <c r="I31" s="492" t="str">
        <f t="shared" si="3"/>
        <v>1_75</v>
      </c>
      <c r="J31" s="492" t="str">
        <f t="shared" si="3"/>
        <v>Electric Water Heating</v>
      </c>
      <c r="K31" s="492" t="str">
        <f t="shared" si="4"/>
        <v>Commercial Showerhead Replacement_Fitness Center_precondition 2_5 gpm or higher_efficient 1_75 gpm_Direct Install_Electric Water Heating</v>
      </c>
      <c r="L31" s="493">
        <f>INDEX(InstallRatesCostAndLifetime!$A$2:$D$6,MATCH(InputForProCost_FitnessCenter!H31,InstallRatesCostAndLifetime!$A$2:$A$6,0),MATCH(InputForProCost_FitnessCenter!I31,InstallRatesCostAndLifetime!$A$2:$D$2,0))</f>
        <v>0.9</v>
      </c>
      <c r="M31" s="493">
        <f t="shared" si="5"/>
        <v>1</v>
      </c>
      <c r="N31" s="492"/>
      <c r="O31" s="492" t="str">
        <f t="shared" si="6"/>
        <v>Fitness Center2_5 gpm or higher1_75</v>
      </c>
      <c r="P31" s="494">
        <f>VLOOKUP($O31,Impacts!$F$27:$Z$59,16,FALSE)</f>
        <v>5724.2124286966719</v>
      </c>
      <c r="Q31" s="494">
        <f>VLOOKUP($O31,Impacts!$F$27:$Z$59,17,FALSE)*L31</f>
        <v>203.14960418684538</v>
      </c>
      <c r="R31" s="495">
        <f>VLOOKUP($O31,Impacts!$F$27:$Z$59,19,FALSE)*L31</f>
        <v>229.74995959547047</v>
      </c>
      <c r="S31" s="496">
        <f>VLOOKUP($O31,Impacts!$F$27:$Z$59,20,FALSE)*L31</f>
        <v>38402.571679932968</v>
      </c>
      <c r="T31" s="497">
        <f>VLOOKUP($O31,Impacts!$F$27:$Z$59,21,FALSE)*L31</f>
        <v>505.48090548169574</v>
      </c>
      <c r="U31" s="492"/>
      <c r="V31" s="492" t="str">
        <f t="shared" si="7"/>
        <v>Commercial Showerhead Replacement_Fitness Center_precondition 2_5 gpm or higher_efficient 1_75 gpm_Direct Install_Electric Water Heating</v>
      </c>
      <c r="W31" s="492" t="s">
        <v>440</v>
      </c>
      <c r="X31" s="494">
        <f t="shared" si="10"/>
        <v>5151.7911858270045</v>
      </c>
      <c r="Y31" s="492">
        <v>10</v>
      </c>
      <c r="Z31" s="498">
        <f t="shared" si="11"/>
        <v>11.336666666666666</v>
      </c>
      <c r="AA31" s="492"/>
      <c r="AB31" s="499" t="s">
        <v>441</v>
      </c>
      <c r="AC31" s="497">
        <f t="shared" si="12"/>
        <v>505.48090548169574</v>
      </c>
      <c r="AD31" s="492"/>
      <c r="AE31" s="492"/>
      <c r="AF31" s="492"/>
      <c r="AG31" s="492"/>
      <c r="AH31" s="492"/>
      <c r="AI31" s="492"/>
      <c r="AJ31" s="492">
        <f t="shared" si="8"/>
        <v>0</v>
      </c>
      <c r="AK31" s="492" t="s">
        <v>442</v>
      </c>
    </row>
    <row r="32" spans="1:37">
      <c r="A32" s="492">
        <f t="shared" si="9"/>
        <v>14</v>
      </c>
      <c r="B32" s="492">
        <f t="shared" si="0"/>
        <v>1</v>
      </c>
      <c r="C32" s="492">
        <f t="shared" si="0"/>
        <v>2</v>
      </c>
      <c r="D32" s="492">
        <f t="shared" si="0"/>
        <v>2</v>
      </c>
      <c r="E32" s="492">
        <f t="shared" si="1"/>
        <v>2</v>
      </c>
      <c r="F32" s="499" t="s">
        <v>645</v>
      </c>
      <c r="G32" s="499" t="str">
        <f t="shared" si="2"/>
        <v>2_5 gpm or higher</v>
      </c>
      <c r="H32" s="492" t="str">
        <f t="shared" si="3"/>
        <v>Direct Install</v>
      </c>
      <c r="I32" s="492" t="str">
        <f t="shared" si="3"/>
        <v>1_75</v>
      </c>
      <c r="J32" s="492" t="str">
        <f t="shared" si="3"/>
        <v>Gas Water Heating</v>
      </c>
      <c r="K32" s="492" t="str">
        <f t="shared" si="4"/>
        <v>Commercial Showerhead Replacement_Fitness Center_precondition 2_5 gpm or higher_efficient 1_75 gpm_Direct Install_Gas Water Heating</v>
      </c>
      <c r="L32" s="493">
        <f>INDEX(InstallRatesCostAndLifetime!$A$2:$D$6,MATCH(InputForProCost_FitnessCenter!H32,InstallRatesCostAndLifetime!$A$2:$A$6,0),MATCH(InputForProCost_FitnessCenter!I32,InstallRatesCostAndLifetime!$A$2:$D$2,0))</f>
        <v>0.9</v>
      </c>
      <c r="M32" s="493">
        <f t="shared" si="5"/>
        <v>0</v>
      </c>
      <c r="N32" s="492"/>
      <c r="O32" s="492" t="str">
        <f t="shared" si="6"/>
        <v>Fitness Center2_5 gpm or higher1_75</v>
      </c>
      <c r="P32" s="494">
        <f>VLOOKUP($O32,Impacts!$F$27:$Z$59,16,FALSE)</f>
        <v>5724.2124286966719</v>
      </c>
      <c r="Q32" s="494">
        <f>VLOOKUP($O32,Impacts!$F$27:$Z$59,17,FALSE)*L32</f>
        <v>203.14960418684538</v>
      </c>
      <c r="R32" s="495">
        <f>VLOOKUP($O32,Impacts!$F$27:$Z$59,19,FALSE)*L32</f>
        <v>229.74995959547047</v>
      </c>
      <c r="S32" s="496">
        <f>VLOOKUP($O32,Impacts!$F$27:$Z$59,20,FALSE)*L32</f>
        <v>38402.571679932968</v>
      </c>
      <c r="T32" s="497">
        <f>VLOOKUP($O32,Impacts!$F$27:$Z$59,21,FALSE)*L32</f>
        <v>505.48090548169574</v>
      </c>
      <c r="U32" s="492"/>
      <c r="V32" s="492" t="str">
        <f t="shared" si="7"/>
        <v>Commercial Showerhead Replacement_Fitness Center_precondition 2_5 gpm or higher_efficient 1_75 gpm_Direct Install_Gas Water Heating</v>
      </c>
      <c r="W32" s="492" t="s">
        <v>440</v>
      </c>
      <c r="X32" s="494">
        <f t="shared" si="10"/>
        <v>0</v>
      </c>
      <c r="Y32" s="492">
        <v>10</v>
      </c>
      <c r="Z32" s="498">
        <f t="shared" si="11"/>
        <v>11.336666666666666</v>
      </c>
      <c r="AA32" s="492"/>
      <c r="AB32" s="499" t="s">
        <v>441</v>
      </c>
      <c r="AC32" s="497">
        <f t="shared" si="12"/>
        <v>505.48090548169574</v>
      </c>
      <c r="AD32" s="492"/>
      <c r="AE32" s="492"/>
      <c r="AF32" s="492"/>
      <c r="AG32" s="492"/>
      <c r="AH32" s="492"/>
      <c r="AI32" s="492"/>
      <c r="AJ32" s="492">
        <f t="shared" si="8"/>
        <v>229.74995959547047</v>
      </c>
      <c r="AK32" s="492" t="s">
        <v>442</v>
      </c>
    </row>
    <row r="33" spans="1:37">
      <c r="A33" s="492">
        <f t="shared" si="9"/>
        <v>15</v>
      </c>
      <c r="B33" s="492">
        <f t="shared" si="0"/>
        <v>1</v>
      </c>
      <c r="C33" s="492">
        <f t="shared" si="0"/>
        <v>2</v>
      </c>
      <c r="D33" s="492">
        <f t="shared" si="0"/>
        <v>2</v>
      </c>
      <c r="E33" s="492">
        <f t="shared" si="1"/>
        <v>3</v>
      </c>
      <c r="F33" s="499" t="s">
        <v>645</v>
      </c>
      <c r="G33" s="499" t="str">
        <f t="shared" si="2"/>
        <v>2_5 gpm or higher</v>
      </c>
      <c r="H33" s="492" t="str">
        <f t="shared" si="3"/>
        <v>Direct Install</v>
      </c>
      <c r="I33" s="492" t="str">
        <f t="shared" si="3"/>
        <v>1_75</v>
      </c>
      <c r="J33" s="492" t="str">
        <f t="shared" si="3"/>
        <v>Any Water Heating</v>
      </c>
      <c r="K33" s="492" t="str">
        <f t="shared" si="4"/>
        <v>Commercial Showerhead Replacement_Fitness Center_precondition 2_5 gpm or higher_efficient 1_75 gpm_Direct Install_Any Water Heating</v>
      </c>
      <c r="L33" s="493">
        <f>INDEX(InstallRatesCostAndLifetime!$A$2:$D$6,MATCH(InputForProCost_FitnessCenter!H33,InstallRatesCostAndLifetime!$A$2:$A$6,0),MATCH(InputForProCost_FitnessCenter!I33,InstallRatesCostAndLifetime!$A$2:$D$2,0))</f>
        <v>0.9</v>
      </c>
      <c r="M33" s="493">
        <f t="shared" si="5"/>
        <v>0.31666666666666665</v>
      </c>
      <c r="N33" s="492"/>
      <c r="O33" s="492" t="str">
        <f t="shared" si="6"/>
        <v>Fitness Center2_5 gpm or higher1_75</v>
      </c>
      <c r="P33" s="494">
        <f>VLOOKUP($O33,Impacts!$F$27:$Z$59,16,FALSE)</f>
        <v>5724.2124286966719</v>
      </c>
      <c r="Q33" s="494">
        <f>VLOOKUP($O33,Impacts!$F$27:$Z$59,17,FALSE)*L33</f>
        <v>203.14960418684538</v>
      </c>
      <c r="R33" s="495">
        <f>VLOOKUP($O33,Impacts!$F$27:$Z$59,19,FALSE)*L33</f>
        <v>229.74995959547047</v>
      </c>
      <c r="S33" s="496">
        <f>VLOOKUP($O33,Impacts!$F$27:$Z$59,20,FALSE)*L33</f>
        <v>38402.571679932968</v>
      </c>
      <c r="T33" s="497">
        <f>VLOOKUP($O33,Impacts!$F$27:$Z$59,21,FALSE)*L33</f>
        <v>505.48090548169574</v>
      </c>
      <c r="U33" s="492"/>
      <c r="V33" s="492" t="str">
        <f t="shared" si="7"/>
        <v>Commercial Showerhead Replacement_Fitness Center_precondition 2_5 gpm or higher_efficient 1_75 gpm_Direct Install_Any Water Heating</v>
      </c>
      <c r="W33" s="492" t="s">
        <v>440</v>
      </c>
      <c r="X33" s="494">
        <f t="shared" si="10"/>
        <v>1631.4005421785514</v>
      </c>
      <c r="Y33" s="492">
        <v>10</v>
      </c>
      <c r="Z33" s="498">
        <f t="shared" si="11"/>
        <v>11.336666666666666</v>
      </c>
      <c r="AA33" s="492"/>
      <c r="AB33" s="499" t="s">
        <v>441</v>
      </c>
      <c r="AC33" s="497">
        <f t="shared" si="12"/>
        <v>505.48090548169574</v>
      </c>
      <c r="AD33" s="492"/>
      <c r="AE33" s="492"/>
      <c r="AF33" s="492"/>
      <c r="AG33" s="492"/>
      <c r="AH33" s="492"/>
      <c r="AI33" s="492"/>
      <c r="AJ33" s="492">
        <f t="shared" si="8"/>
        <v>156.99580572357149</v>
      </c>
      <c r="AK33" s="492" t="s">
        <v>442</v>
      </c>
    </row>
    <row r="34" spans="1:37">
      <c r="A34" s="492">
        <f t="shared" si="9"/>
        <v>16</v>
      </c>
      <c r="B34" s="492">
        <f t="shared" si="0"/>
        <v>1</v>
      </c>
      <c r="C34" s="492">
        <f t="shared" si="0"/>
        <v>2</v>
      </c>
      <c r="D34" s="492">
        <f t="shared" si="0"/>
        <v>3</v>
      </c>
      <c r="E34" s="492">
        <f t="shared" si="1"/>
        <v>1</v>
      </c>
      <c r="F34" s="499" t="s">
        <v>645</v>
      </c>
      <c r="G34" s="499" t="str">
        <f t="shared" si="2"/>
        <v>2_5 gpm or higher</v>
      </c>
      <c r="H34" s="492" t="str">
        <f t="shared" si="3"/>
        <v>Direct Install</v>
      </c>
      <c r="I34" s="492" t="str">
        <f t="shared" si="3"/>
        <v>1_50</v>
      </c>
      <c r="J34" s="492" t="str">
        <f t="shared" si="3"/>
        <v>Electric Water Heating</v>
      </c>
      <c r="K34" s="492" t="str">
        <f t="shared" si="4"/>
        <v>Commercial Showerhead Replacement_Fitness Center_precondition 2_5 gpm or higher_efficient 1_50 gpm_Direct Install_Electric Water Heating</v>
      </c>
      <c r="L34" s="493">
        <f>INDEX(InstallRatesCostAndLifetime!$A$2:$D$6,MATCH(InputForProCost_FitnessCenter!H34,InstallRatesCostAndLifetime!$A$2:$A$6,0),MATCH(InputForProCost_FitnessCenter!I34,InstallRatesCostAndLifetime!$A$2:$D$2,0))</f>
        <v>0.9</v>
      </c>
      <c r="M34" s="493">
        <f t="shared" si="5"/>
        <v>1</v>
      </c>
      <c r="N34" s="492"/>
      <c r="O34" s="492" t="str">
        <f t="shared" si="6"/>
        <v>Fitness Center2_5 gpm or higher1_50</v>
      </c>
      <c r="P34" s="494">
        <f>VLOOKUP($O34,Impacts!$F$27:$Z$59,16,FALSE)</f>
        <v>7523.5465028460094</v>
      </c>
      <c r="Q34" s="494">
        <f>VLOOKUP($O34,Impacts!$F$27:$Z$59,17,FALSE)*L34</f>
        <v>270.86613891579378</v>
      </c>
      <c r="R34" s="495">
        <f>VLOOKUP($O34,Impacts!$F$27:$Z$59,19,FALSE)*L34</f>
        <v>301.968965438461</v>
      </c>
      <c r="S34" s="496">
        <f>VLOOKUP($O34,Impacts!$F$27:$Z$59,20,FALSE)*L34</f>
        <v>51203.428906577283</v>
      </c>
      <c r="T34" s="497">
        <f>VLOOKUP($O34,Impacts!$F$27:$Z$59,21,FALSE)*L34</f>
        <v>673.9745406422611</v>
      </c>
      <c r="U34" s="492"/>
      <c r="V34" s="492" t="str">
        <f t="shared" si="7"/>
        <v>Commercial Showerhead Replacement_Fitness Center_precondition 2_5 gpm or higher_efficient 1_50 gpm_Direct Install_Electric Water Heating</v>
      </c>
      <c r="W34" s="492" t="s">
        <v>440</v>
      </c>
      <c r="X34" s="494">
        <f t="shared" si="10"/>
        <v>6771.1918525614083</v>
      </c>
      <c r="Y34" s="492">
        <v>10</v>
      </c>
      <c r="Z34" s="498">
        <f t="shared" si="11"/>
        <v>11.336666666666666</v>
      </c>
      <c r="AA34" s="492"/>
      <c r="AB34" s="499" t="s">
        <v>441</v>
      </c>
      <c r="AC34" s="497">
        <f t="shared" si="12"/>
        <v>673.9745406422611</v>
      </c>
      <c r="AD34" s="492"/>
      <c r="AE34" s="492"/>
      <c r="AF34" s="492"/>
      <c r="AG34" s="492"/>
      <c r="AH34" s="492"/>
      <c r="AI34" s="492"/>
      <c r="AJ34" s="492">
        <f t="shared" si="8"/>
        <v>0</v>
      </c>
      <c r="AK34" s="492" t="s">
        <v>442</v>
      </c>
    </row>
    <row r="35" spans="1:37">
      <c r="A35" s="492">
        <f t="shared" si="9"/>
        <v>17</v>
      </c>
      <c r="B35" s="492">
        <f t="shared" si="0"/>
        <v>1</v>
      </c>
      <c r="C35" s="492">
        <f t="shared" si="0"/>
        <v>2</v>
      </c>
      <c r="D35" s="492">
        <f t="shared" si="0"/>
        <v>3</v>
      </c>
      <c r="E35" s="492">
        <f t="shared" si="1"/>
        <v>2</v>
      </c>
      <c r="F35" s="499" t="s">
        <v>645</v>
      </c>
      <c r="G35" s="499" t="str">
        <f t="shared" si="2"/>
        <v>2_5 gpm or higher</v>
      </c>
      <c r="H35" s="492" t="str">
        <f t="shared" si="3"/>
        <v>Direct Install</v>
      </c>
      <c r="I35" s="492" t="str">
        <f t="shared" si="3"/>
        <v>1_50</v>
      </c>
      <c r="J35" s="492" t="str">
        <f t="shared" si="3"/>
        <v>Gas Water Heating</v>
      </c>
      <c r="K35" s="492" t="str">
        <f t="shared" si="4"/>
        <v>Commercial Showerhead Replacement_Fitness Center_precondition 2_5 gpm or higher_efficient 1_50 gpm_Direct Install_Gas Water Heating</v>
      </c>
      <c r="L35" s="493">
        <f>INDEX(InstallRatesCostAndLifetime!$A$2:$D$6,MATCH(InputForProCost_FitnessCenter!H35,InstallRatesCostAndLifetime!$A$2:$A$6,0),MATCH(InputForProCost_FitnessCenter!I35,InstallRatesCostAndLifetime!$A$2:$D$2,0))</f>
        <v>0.9</v>
      </c>
      <c r="M35" s="493">
        <f t="shared" si="5"/>
        <v>0</v>
      </c>
      <c r="N35" s="492"/>
      <c r="O35" s="492" t="str">
        <f t="shared" si="6"/>
        <v>Fitness Center2_5 gpm or higher1_50</v>
      </c>
      <c r="P35" s="494">
        <f>VLOOKUP($O35,Impacts!$F$27:$Z$59,16,FALSE)</f>
        <v>7523.5465028460094</v>
      </c>
      <c r="Q35" s="494">
        <f>VLOOKUP($O35,Impacts!$F$27:$Z$59,17,FALSE)*L35</f>
        <v>270.86613891579378</v>
      </c>
      <c r="R35" s="495">
        <f>VLOOKUP($O35,Impacts!$F$27:$Z$59,19,FALSE)*L35</f>
        <v>301.968965438461</v>
      </c>
      <c r="S35" s="496">
        <f>VLOOKUP($O35,Impacts!$F$27:$Z$59,20,FALSE)*L35</f>
        <v>51203.428906577283</v>
      </c>
      <c r="T35" s="497">
        <f>VLOOKUP($O35,Impacts!$F$27:$Z$59,21,FALSE)*L35</f>
        <v>673.9745406422611</v>
      </c>
      <c r="U35" s="492"/>
      <c r="V35" s="492" t="str">
        <f t="shared" si="7"/>
        <v>Commercial Showerhead Replacement_Fitness Center_precondition 2_5 gpm or higher_efficient 1_50 gpm_Direct Install_Gas Water Heating</v>
      </c>
      <c r="W35" s="492" t="s">
        <v>440</v>
      </c>
      <c r="X35" s="494">
        <f t="shared" si="10"/>
        <v>0</v>
      </c>
      <c r="Y35" s="492">
        <v>10</v>
      </c>
      <c r="Z35" s="498">
        <f t="shared" si="11"/>
        <v>11.336666666666666</v>
      </c>
      <c r="AA35" s="492"/>
      <c r="AB35" s="499" t="s">
        <v>441</v>
      </c>
      <c r="AC35" s="497">
        <f t="shared" si="12"/>
        <v>673.9745406422611</v>
      </c>
      <c r="AD35" s="492"/>
      <c r="AE35" s="492"/>
      <c r="AF35" s="492"/>
      <c r="AG35" s="492"/>
      <c r="AH35" s="492"/>
      <c r="AI35" s="492"/>
      <c r="AJ35" s="492">
        <f t="shared" si="8"/>
        <v>301.968965438461</v>
      </c>
      <c r="AK35" s="492" t="s">
        <v>442</v>
      </c>
    </row>
    <row r="36" spans="1:37">
      <c r="A36" s="492">
        <f t="shared" si="9"/>
        <v>18</v>
      </c>
      <c r="B36" s="492">
        <f t="shared" si="0"/>
        <v>1</v>
      </c>
      <c r="C36" s="492">
        <f t="shared" si="0"/>
        <v>2</v>
      </c>
      <c r="D36" s="492">
        <f t="shared" si="0"/>
        <v>3</v>
      </c>
      <c r="E36" s="492">
        <f t="shared" si="1"/>
        <v>3</v>
      </c>
      <c r="F36" s="499" t="s">
        <v>645</v>
      </c>
      <c r="G36" s="499" t="str">
        <f t="shared" si="2"/>
        <v>2_5 gpm or higher</v>
      </c>
      <c r="H36" s="492" t="str">
        <f t="shared" si="3"/>
        <v>Direct Install</v>
      </c>
      <c r="I36" s="492" t="str">
        <f t="shared" si="3"/>
        <v>1_50</v>
      </c>
      <c r="J36" s="492" t="str">
        <f t="shared" si="3"/>
        <v>Any Water Heating</v>
      </c>
      <c r="K36" s="492" t="str">
        <f t="shared" si="4"/>
        <v>Commercial Showerhead Replacement_Fitness Center_precondition 2_5 gpm or higher_efficient 1_50 gpm_Direct Install_Any Water Heating</v>
      </c>
      <c r="L36" s="493">
        <f>INDEX(InstallRatesCostAndLifetime!$A$2:$D$6,MATCH(InputForProCost_FitnessCenter!H36,InstallRatesCostAndLifetime!$A$2:$A$6,0),MATCH(InputForProCost_FitnessCenter!I36,InstallRatesCostAndLifetime!$A$2:$D$2,0))</f>
        <v>0.9</v>
      </c>
      <c r="M36" s="493">
        <f t="shared" si="5"/>
        <v>0.31666666666666665</v>
      </c>
      <c r="N36" s="492"/>
      <c r="O36" s="492" t="str">
        <f t="shared" si="6"/>
        <v>Fitness Center2_5 gpm or higher1_50</v>
      </c>
      <c r="P36" s="494">
        <f>VLOOKUP($O36,Impacts!$F$27:$Z$59,16,FALSE)</f>
        <v>7523.5465028460094</v>
      </c>
      <c r="Q36" s="494">
        <f>VLOOKUP($O36,Impacts!$F$27:$Z$59,17,FALSE)*L36</f>
        <v>270.86613891579378</v>
      </c>
      <c r="R36" s="495">
        <f>VLOOKUP($O36,Impacts!$F$27:$Z$59,19,FALSE)*L36</f>
        <v>301.968965438461</v>
      </c>
      <c r="S36" s="496">
        <f>VLOOKUP($O36,Impacts!$F$27:$Z$59,20,FALSE)*L36</f>
        <v>51203.428906577283</v>
      </c>
      <c r="T36" s="497">
        <f>VLOOKUP($O36,Impacts!$F$27:$Z$59,21,FALSE)*L36</f>
        <v>673.9745406422611</v>
      </c>
      <c r="U36" s="492"/>
      <c r="V36" s="492" t="str">
        <f t="shared" si="7"/>
        <v>Commercial Showerhead Replacement_Fitness Center_precondition 2_5 gpm or higher_efficient 1_50 gpm_Direct Install_Any Water Heating</v>
      </c>
      <c r="W36" s="492" t="s">
        <v>440</v>
      </c>
      <c r="X36" s="494">
        <f t="shared" si="10"/>
        <v>2144.2107533111125</v>
      </c>
      <c r="Y36" s="492">
        <v>10</v>
      </c>
      <c r="Z36" s="498">
        <f t="shared" si="11"/>
        <v>11.336666666666666</v>
      </c>
      <c r="AA36" s="492"/>
      <c r="AB36" s="499" t="s">
        <v>441</v>
      </c>
      <c r="AC36" s="497">
        <f t="shared" si="12"/>
        <v>673.9745406422611</v>
      </c>
      <c r="AD36" s="492"/>
      <c r="AE36" s="492"/>
      <c r="AF36" s="492"/>
      <c r="AG36" s="492"/>
      <c r="AH36" s="492"/>
      <c r="AI36" s="492"/>
      <c r="AJ36" s="492">
        <f t="shared" si="8"/>
        <v>206.34545971628168</v>
      </c>
      <c r="AK36" s="492" t="s">
        <v>442</v>
      </c>
    </row>
    <row r="37" spans="1:37">
      <c r="A37" s="492">
        <f t="shared" si="9"/>
        <v>19</v>
      </c>
      <c r="B37" s="492">
        <f t="shared" si="0"/>
        <v>1</v>
      </c>
      <c r="C37" s="492">
        <f t="shared" si="0"/>
        <v>3</v>
      </c>
      <c r="D37" s="492">
        <f t="shared" si="0"/>
        <v>1</v>
      </c>
      <c r="E37" s="492">
        <f t="shared" si="1"/>
        <v>1</v>
      </c>
      <c r="F37" s="499" t="s">
        <v>645</v>
      </c>
      <c r="G37" s="499" t="str">
        <f t="shared" si="2"/>
        <v>2_5 gpm or higher</v>
      </c>
      <c r="H37" s="492" t="str">
        <f t="shared" si="3"/>
        <v>Mail-by-Request</v>
      </c>
      <c r="I37" s="492" t="str">
        <f t="shared" si="3"/>
        <v>2_00</v>
      </c>
      <c r="J37" s="492" t="str">
        <f t="shared" si="3"/>
        <v>Electric Water Heating</v>
      </c>
      <c r="K37" s="492" t="str">
        <f t="shared" si="4"/>
        <v>Commercial Showerhead Replacement_Fitness Center_precondition 2_5 gpm or higher_efficient 2_00 gpm_Mail-by-Request_Electric Water Heating</v>
      </c>
      <c r="L37" s="493">
        <f>INDEX(InstallRatesCostAndLifetime!$A$2:$D$6,MATCH(InputForProCost_FitnessCenter!H37,InstallRatesCostAndLifetime!$A$2:$A$6,0),MATCH(InputForProCost_FitnessCenter!I37,InstallRatesCostAndLifetime!$A$2:$D$2,0))</f>
        <v>0.6</v>
      </c>
      <c r="M37" s="493">
        <f t="shared" si="5"/>
        <v>1</v>
      </c>
      <c r="N37" s="492"/>
      <c r="O37" s="492" t="str">
        <f t="shared" si="6"/>
        <v>Fitness Center2_5 gpm or higher2_00</v>
      </c>
      <c r="P37" s="494">
        <f>VLOOKUP($O37,Impacts!$F$27:$Z$59,16,FALSE)</f>
        <v>5550.7514460088951</v>
      </c>
      <c r="Q37" s="494">
        <f>VLOOKUP($O37,Impacts!$F$27:$Z$59,17,FALSE)*L37</f>
        <v>126.40419816070379</v>
      </c>
      <c r="R37" s="495">
        <f>VLOOKUP($O37,Impacts!$F$27:$Z$59,19,FALSE)*L37</f>
        <v>148.52522640515269</v>
      </c>
      <c r="S37" s="496">
        <f>VLOOKUP($O37,Impacts!$F$27:$Z$59,20,FALSE)*L37</f>
        <v>23894.933489736068</v>
      </c>
      <c r="T37" s="497">
        <f>VLOOKUP($O37,Impacts!$F$27:$Z$59,21,FALSE)*L37</f>
        <v>314.52145229972183</v>
      </c>
      <c r="U37" s="492"/>
      <c r="V37" s="492" t="str">
        <f t="shared" si="7"/>
        <v>Commercial Showerhead Replacement_Fitness Center_precondition 2_5 gpm or higher_efficient 2_00 gpm_Mail-by-Request_Electric Water Heating</v>
      </c>
      <c r="W37" s="492" t="s">
        <v>440</v>
      </c>
      <c r="X37" s="494">
        <f t="shared" si="10"/>
        <v>3330.450867605337</v>
      </c>
      <c r="Y37" s="492">
        <v>10</v>
      </c>
      <c r="Z37" s="498">
        <f t="shared" si="11"/>
        <v>8.1096944444444432</v>
      </c>
      <c r="AA37" s="492"/>
      <c r="AB37" s="499" t="s">
        <v>441</v>
      </c>
      <c r="AC37" s="497">
        <f t="shared" si="12"/>
        <v>314.52145229972183</v>
      </c>
      <c r="AD37" s="492"/>
      <c r="AE37" s="492"/>
      <c r="AF37" s="492"/>
      <c r="AG37" s="492"/>
      <c r="AH37" s="492"/>
      <c r="AI37" s="492"/>
      <c r="AJ37" s="492">
        <f t="shared" si="8"/>
        <v>0</v>
      </c>
      <c r="AK37" s="492" t="s">
        <v>442</v>
      </c>
    </row>
    <row r="38" spans="1:37">
      <c r="A38" s="492">
        <f t="shared" si="9"/>
        <v>20</v>
      </c>
      <c r="B38" s="492">
        <f t="shared" si="0"/>
        <v>1</v>
      </c>
      <c r="C38" s="492">
        <f t="shared" si="0"/>
        <v>3</v>
      </c>
      <c r="D38" s="492">
        <f t="shared" si="0"/>
        <v>1</v>
      </c>
      <c r="E38" s="492">
        <f t="shared" si="1"/>
        <v>2</v>
      </c>
      <c r="F38" s="499" t="s">
        <v>645</v>
      </c>
      <c r="G38" s="499" t="str">
        <f t="shared" si="2"/>
        <v>2_5 gpm or higher</v>
      </c>
      <c r="H38" s="492" t="str">
        <f t="shared" si="3"/>
        <v>Mail-by-Request</v>
      </c>
      <c r="I38" s="492" t="str">
        <f t="shared" si="3"/>
        <v>2_00</v>
      </c>
      <c r="J38" s="492" t="str">
        <f t="shared" si="3"/>
        <v>Gas Water Heating</v>
      </c>
      <c r="K38" s="492" t="str">
        <f t="shared" si="4"/>
        <v>Commercial Showerhead Replacement_Fitness Center_precondition 2_5 gpm or higher_efficient 2_00 gpm_Mail-by-Request_Gas Water Heating</v>
      </c>
      <c r="L38" s="493">
        <f>INDEX(InstallRatesCostAndLifetime!$A$2:$D$6,MATCH(InputForProCost_FitnessCenter!H38,InstallRatesCostAndLifetime!$A$2:$A$6,0),MATCH(InputForProCost_FitnessCenter!I38,InstallRatesCostAndLifetime!$A$2:$D$2,0))</f>
        <v>0.6</v>
      </c>
      <c r="M38" s="493">
        <f t="shared" si="5"/>
        <v>0</v>
      </c>
      <c r="N38" s="492"/>
      <c r="O38" s="492" t="str">
        <f t="shared" si="6"/>
        <v>Fitness Center2_5 gpm or higher2_00</v>
      </c>
      <c r="P38" s="494">
        <f>VLOOKUP($O38,Impacts!$F$27:$Z$59,16,FALSE)</f>
        <v>5550.7514460088951</v>
      </c>
      <c r="Q38" s="494">
        <f>VLOOKUP($O38,Impacts!$F$27:$Z$59,17,FALSE)*L38</f>
        <v>126.40419816070379</v>
      </c>
      <c r="R38" s="495">
        <f>VLOOKUP($O38,Impacts!$F$27:$Z$59,19,FALSE)*L38</f>
        <v>148.52522640515269</v>
      </c>
      <c r="S38" s="496">
        <f>VLOOKUP($O38,Impacts!$F$27:$Z$59,20,FALSE)*L38</f>
        <v>23894.933489736068</v>
      </c>
      <c r="T38" s="497">
        <f>VLOOKUP($O38,Impacts!$F$27:$Z$59,21,FALSE)*L38</f>
        <v>314.52145229972183</v>
      </c>
      <c r="U38" s="492"/>
      <c r="V38" s="492" t="str">
        <f t="shared" si="7"/>
        <v>Commercial Showerhead Replacement_Fitness Center_precondition 2_5 gpm or higher_efficient 2_00 gpm_Mail-by-Request_Gas Water Heating</v>
      </c>
      <c r="W38" s="492" t="s">
        <v>440</v>
      </c>
      <c r="X38" s="494">
        <f t="shared" si="10"/>
        <v>0</v>
      </c>
      <c r="Y38" s="492">
        <v>10</v>
      </c>
      <c r="Z38" s="498">
        <f t="shared" si="11"/>
        <v>8.1096944444444432</v>
      </c>
      <c r="AA38" s="492"/>
      <c r="AB38" s="499" t="s">
        <v>441</v>
      </c>
      <c r="AC38" s="497">
        <f t="shared" si="12"/>
        <v>314.52145229972183</v>
      </c>
      <c r="AD38" s="492"/>
      <c r="AE38" s="492"/>
      <c r="AF38" s="492"/>
      <c r="AG38" s="492"/>
      <c r="AH38" s="492"/>
      <c r="AI38" s="492"/>
      <c r="AJ38" s="492">
        <f t="shared" si="8"/>
        <v>148.52522640515269</v>
      </c>
      <c r="AK38" s="492" t="s">
        <v>442</v>
      </c>
    </row>
    <row r="39" spans="1:37">
      <c r="A39" s="492">
        <f t="shared" si="9"/>
        <v>21</v>
      </c>
      <c r="B39" s="492">
        <f t="shared" ref="B39:D58" si="13">CEILING((MOD($A39-1,B$17)+1)/C$17,1)</f>
        <v>1</v>
      </c>
      <c r="C39" s="492">
        <f t="shared" si="13"/>
        <v>3</v>
      </c>
      <c r="D39" s="492">
        <f t="shared" si="13"/>
        <v>1</v>
      </c>
      <c r="E39" s="492">
        <f t="shared" si="1"/>
        <v>3</v>
      </c>
      <c r="F39" s="499" t="s">
        <v>645</v>
      </c>
      <c r="G39" s="499" t="str">
        <f t="shared" si="2"/>
        <v>2_5 gpm or higher</v>
      </c>
      <c r="H39" s="492" t="str">
        <f t="shared" si="3"/>
        <v>Mail-by-Request</v>
      </c>
      <c r="I39" s="492" t="str">
        <f t="shared" si="3"/>
        <v>2_00</v>
      </c>
      <c r="J39" s="492" t="str">
        <f t="shared" si="3"/>
        <v>Any Water Heating</v>
      </c>
      <c r="K39" s="492" t="str">
        <f t="shared" si="4"/>
        <v>Commercial Showerhead Replacement_Fitness Center_precondition 2_5 gpm or higher_efficient 2_00 gpm_Mail-by-Request_Any Water Heating</v>
      </c>
      <c r="L39" s="493">
        <f>INDEX(InstallRatesCostAndLifetime!$A$2:$D$6,MATCH(InputForProCost_FitnessCenter!H39,InstallRatesCostAndLifetime!$A$2:$A$6,0),MATCH(InputForProCost_FitnessCenter!I39,InstallRatesCostAndLifetime!$A$2:$D$2,0))</f>
        <v>0.6</v>
      </c>
      <c r="M39" s="493">
        <f t="shared" si="5"/>
        <v>0.31666666666666665</v>
      </c>
      <c r="N39" s="492"/>
      <c r="O39" s="492" t="str">
        <f t="shared" si="6"/>
        <v>Fitness Center2_5 gpm or higher2_00</v>
      </c>
      <c r="P39" s="494">
        <f>VLOOKUP($O39,Impacts!$F$27:$Z$59,16,FALSE)</f>
        <v>5550.7514460088951</v>
      </c>
      <c r="Q39" s="494">
        <f>VLOOKUP($O39,Impacts!$F$27:$Z$59,17,FALSE)*L39</f>
        <v>126.40419816070379</v>
      </c>
      <c r="R39" s="495">
        <f>VLOOKUP($O39,Impacts!$F$27:$Z$59,19,FALSE)*L39</f>
        <v>148.52522640515269</v>
      </c>
      <c r="S39" s="496">
        <f>VLOOKUP($O39,Impacts!$F$27:$Z$59,20,FALSE)*L39</f>
        <v>23894.933489736068</v>
      </c>
      <c r="T39" s="497">
        <f>VLOOKUP($O39,Impacts!$F$27:$Z$59,21,FALSE)*L39</f>
        <v>314.52145229972183</v>
      </c>
      <c r="U39" s="492"/>
      <c r="V39" s="492" t="str">
        <f t="shared" si="7"/>
        <v>Commercial Showerhead Replacement_Fitness Center_precondition 2_5 gpm or higher_efficient 2_00 gpm_Mail-by-Request_Any Water Heating</v>
      </c>
      <c r="W39" s="492" t="s">
        <v>440</v>
      </c>
      <c r="X39" s="494">
        <f t="shared" si="10"/>
        <v>1054.6427747416901</v>
      </c>
      <c r="Y39" s="492">
        <v>10</v>
      </c>
      <c r="Z39" s="498">
        <f t="shared" si="11"/>
        <v>8.1096944444444432</v>
      </c>
      <c r="AA39" s="492"/>
      <c r="AB39" s="499" t="s">
        <v>441</v>
      </c>
      <c r="AC39" s="497">
        <f t="shared" si="12"/>
        <v>314.52145229972183</v>
      </c>
      <c r="AD39" s="492"/>
      <c r="AE39" s="492"/>
      <c r="AF39" s="492"/>
      <c r="AG39" s="492"/>
      <c r="AH39" s="492"/>
      <c r="AI39" s="492"/>
      <c r="AJ39" s="492">
        <f t="shared" si="8"/>
        <v>101.49223804352101</v>
      </c>
      <c r="AK39" s="492" t="s">
        <v>442</v>
      </c>
    </row>
    <row r="40" spans="1:37">
      <c r="A40" s="492">
        <f t="shared" si="9"/>
        <v>22</v>
      </c>
      <c r="B40" s="492">
        <f t="shared" si="13"/>
        <v>1</v>
      </c>
      <c r="C40" s="492">
        <f t="shared" si="13"/>
        <v>3</v>
      </c>
      <c r="D40" s="492">
        <f t="shared" si="13"/>
        <v>2</v>
      </c>
      <c r="E40" s="492">
        <f t="shared" si="1"/>
        <v>1</v>
      </c>
      <c r="F40" s="499" t="s">
        <v>645</v>
      </c>
      <c r="G40" s="499" t="str">
        <f t="shared" si="2"/>
        <v>2_5 gpm or higher</v>
      </c>
      <c r="H40" s="492" t="str">
        <f t="shared" si="3"/>
        <v>Mail-by-Request</v>
      </c>
      <c r="I40" s="492" t="str">
        <f t="shared" si="3"/>
        <v>1_75</v>
      </c>
      <c r="J40" s="492" t="str">
        <f t="shared" si="3"/>
        <v>Electric Water Heating</v>
      </c>
      <c r="K40" s="492" t="str">
        <f t="shared" si="4"/>
        <v>Commercial Showerhead Replacement_Fitness Center_precondition 2_5 gpm or higher_efficient 1_75 gpm_Mail-by-Request_Electric Water Heating</v>
      </c>
      <c r="L40" s="493">
        <f>INDEX(InstallRatesCostAndLifetime!$A$2:$D$6,MATCH(InputForProCost_FitnessCenter!H40,InstallRatesCostAndLifetime!$A$2:$A$6,0),MATCH(InputForProCost_FitnessCenter!I40,InstallRatesCostAndLifetime!$A$2:$D$2,0))</f>
        <v>0.6</v>
      </c>
      <c r="M40" s="493">
        <f t="shared" si="5"/>
        <v>1</v>
      </c>
      <c r="N40" s="492"/>
      <c r="O40" s="492" t="str">
        <f t="shared" si="6"/>
        <v>Fitness Center2_5 gpm or higher1_75</v>
      </c>
      <c r="P40" s="494">
        <f>VLOOKUP($O40,Impacts!$F$27:$Z$59,16,FALSE)</f>
        <v>5724.2124286966719</v>
      </c>
      <c r="Q40" s="494">
        <f>VLOOKUP($O40,Impacts!$F$27:$Z$59,17,FALSE)*L40</f>
        <v>135.43306945789689</v>
      </c>
      <c r="R40" s="495">
        <f>VLOOKUP($O40,Impacts!$F$27:$Z$59,19,FALSE)*L40</f>
        <v>153.16663973031362</v>
      </c>
      <c r="S40" s="496">
        <f>VLOOKUP($O40,Impacts!$F$27:$Z$59,20,FALSE)*L40</f>
        <v>25601.714453288641</v>
      </c>
      <c r="T40" s="497">
        <f>VLOOKUP($O40,Impacts!$F$27:$Z$59,21,FALSE)*L40</f>
        <v>336.9872703211305</v>
      </c>
      <c r="U40" s="492"/>
      <c r="V40" s="492" t="str">
        <f t="shared" si="7"/>
        <v>Commercial Showerhead Replacement_Fitness Center_precondition 2_5 gpm or higher_efficient 1_75 gpm_Mail-by-Request_Electric Water Heating</v>
      </c>
      <c r="W40" s="492" t="s">
        <v>440</v>
      </c>
      <c r="X40" s="494">
        <f t="shared" si="10"/>
        <v>3434.5274572180028</v>
      </c>
      <c r="Y40" s="492">
        <v>10</v>
      </c>
      <c r="Z40" s="498">
        <f t="shared" si="11"/>
        <v>8.1096944444444432</v>
      </c>
      <c r="AA40" s="492"/>
      <c r="AB40" s="499" t="s">
        <v>441</v>
      </c>
      <c r="AC40" s="497">
        <f t="shared" si="12"/>
        <v>336.9872703211305</v>
      </c>
      <c r="AD40" s="492"/>
      <c r="AE40" s="492"/>
      <c r="AF40" s="492"/>
      <c r="AG40" s="492"/>
      <c r="AH40" s="492"/>
      <c r="AI40" s="492"/>
      <c r="AJ40" s="492">
        <f t="shared" si="8"/>
        <v>0</v>
      </c>
      <c r="AK40" s="492" t="s">
        <v>442</v>
      </c>
    </row>
    <row r="41" spans="1:37">
      <c r="A41" s="492">
        <f t="shared" si="9"/>
        <v>23</v>
      </c>
      <c r="B41" s="492">
        <f t="shared" si="13"/>
        <v>1</v>
      </c>
      <c r="C41" s="492">
        <f t="shared" si="13"/>
        <v>3</v>
      </c>
      <c r="D41" s="492">
        <f t="shared" si="13"/>
        <v>2</v>
      </c>
      <c r="E41" s="492">
        <f t="shared" si="1"/>
        <v>2</v>
      </c>
      <c r="F41" s="499" t="s">
        <v>645</v>
      </c>
      <c r="G41" s="499" t="str">
        <f t="shared" si="2"/>
        <v>2_5 gpm or higher</v>
      </c>
      <c r="H41" s="492" t="str">
        <f t="shared" si="3"/>
        <v>Mail-by-Request</v>
      </c>
      <c r="I41" s="492" t="str">
        <f t="shared" si="3"/>
        <v>1_75</v>
      </c>
      <c r="J41" s="492" t="str">
        <f t="shared" si="3"/>
        <v>Gas Water Heating</v>
      </c>
      <c r="K41" s="492" t="str">
        <f t="shared" si="4"/>
        <v>Commercial Showerhead Replacement_Fitness Center_precondition 2_5 gpm or higher_efficient 1_75 gpm_Mail-by-Request_Gas Water Heating</v>
      </c>
      <c r="L41" s="493">
        <f>INDEX(InstallRatesCostAndLifetime!$A$2:$D$6,MATCH(InputForProCost_FitnessCenter!H41,InstallRatesCostAndLifetime!$A$2:$A$6,0),MATCH(InputForProCost_FitnessCenter!I41,InstallRatesCostAndLifetime!$A$2:$D$2,0))</f>
        <v>0.6</v>
      </c>
      <c r="M41" s="493">
        <f t="shared" si="5"/>
        <v>0</v>
      </c>
      <c r="N41" s="492"/>
      <c r="O41" s="492" t="str">
        <f t="shared" si="6"/>
        <v>Fitness Center2_5 gpm or higher1_75</v>
      </c>
      <c r="P41" s="494">
        <f>VLOOKUP($O41,Impacts!$F$27:$Z$59,16,FALSE)</f>
        <v>5724.2124286966719</v>
      </c>
      <c r="Q41" s="494">
        <f>VLOOKUP($O41,Impacts!$F$27:$Z$59,17,FALSE)*L41</f>
        <v>135.43306945789689</v>
      </c>
      <c r="R41" s="495">
        <f>VLOOKUP($O41,Impacts!$F$27:$Z$59,19,FALSE)*L41</f>
        <v>153.16663973031362</v>
      </c>
      <c r="S41" s="496">
        <f>VLOOKUP($O41,Impacts!$F$27:$Z$59,20,FALSE)*L41</f>
        <v>25601.714453288641</v>
      </c>
      <c r="T41" s="497">
        <f>VLOOKUP($O41,Impacts!$F$27:$Z$59,21,FALSE)*L41</f>
        <v>336.9872703211305</v>
      </c>
      <c r="U41" s="492"/>
      <c r="V41" s="492" t="str">
        <f t="shared" si="7"/>
        <v>Commercial Showerhead Replacement_Fitness Center_precondition 2_5 gpm or higher_efficient 1_75 gpm_Mail-by-Request_Gas Water Heating</v>
      </c>
      <c r="W41" s="492" t="s">
        <v>440</v>
      </c>
      <c r="X41" s="494">
        <f t="shared" si="10"/>
        <v>0</v>
      </c>
      <c r="Y41" s="492">
        <v>10</v>
      </c>
      <c r="Z41" s="498">
        <f t="shared" si="11"/>
        <v>8.1096944444444432</v>
      </c>
      <c r="AA41" s="492"/>
      <c r="AB41" s="499" t="s">
        <v>441</v>
      </c>
      <c r="AC41" s="497">
        <f t="shared" si="12"/>
        <v>336.9872703211305</v>
      </c>
      <c r="AD41" s="492"/>
      <c r="AE41" s="492"/>
      <c r="AF41" s="492"/>
      <c r="AG41" s="492"/>
      <c r="AH41" s="492"/>
      <c r="AI41" s="492"/>
      <c r="AJ41" s="492">
        <f t="shared" si="8"/>
        <v>153.16663973031362</v>
      </c>
      <c r="AK41" s="492" t="s">
        <v>442</v>
      </c>
    </row>
    <row r="42" spans="1:37">
      <c r="A42" s="492">
        <f t="shared" si="9"/>
        <v>24</v>
      </c>
      <c r="B42" s="492">
        <f t="shared" si="13"/>
        <v>1</v>
      </c>
      <c r="C42" s="492">
        <f t="shared" si="13"/>
        <v>3</v>
      </c>
      <c r="D42" s="492">
        <f t="shared" si="13"/>
        <v>2</v>
      </c>
      <c r="E42" s="492">
        <f t="shared" si="1"/>
        <v>3</v>
      </c>
      <c r="F42" s="499" t="s">
        <v>645</v>
      </c>
      <c r="G42" s="499" t="str">
        <f t="shared" si="2"/>
        <v>2_5 gpm or higher</v>
      </c>
      <c r="H42" s="492" t="str">
        <f t="shared" si="3"/>
        <v>Mail-by-Request</v>
      </c>
      <c r="I42" s="492" t="str">
        <f t="shared" si="3"/>
        <v>1_75</v>
      </c>
      <c r="J42" s="492" t="str">
        <f t="shared" si="3"/>
        <v>Any Water Heating</v>
      </c>
      <c r="K42" s="492" t="str">
        <f t="shared" si="4"/>
        <v>Commercial Showerhead Replacement_Fitness Center_precondition 2_5 gpm or higher_efficient 1_75 gpm_Mail-by-Request_Any Water Heating</v>
      </c>
      <c r="L42" s="493">
        <f>INDEX(InstallRatesCostAndLifetime!$A$2:$D$6,MATCH(InputForProCost_FitnessCenter!H42,InstallRatesCostAndLifetime!$A$2:$A$6,0),MATCH(InputForProCost_FitnessCenter!I42,InstallRatesCostAndLifetime!$A$2:$D$2,0))</f>
        <v>0.6</v>
      </c>
      <c r="M42" s="493">
        <f t="shared" si="5"/>
        <v>0.31666666666666665</v>
      </c>
      <c r="N42" s="492"/>
      <c r="O42" s="492" t="str">
        <f t="shared" si="6"/>
        <v>Fitness Center2_5 gpm or higher1_75</v>
      </c>
      <c r="P42" s="494">
        <f>VLOOKUP($O42,Impacts!$F$27:$Z$59,16,FALSE)</f>
        <v>5724.2124286966719</v>
      </c>
      <c r="Q42" s="494">
        <f>VLOOKUP($O42,Impacts!$F$27:$Z$59,17,FALSE)*L42</f>
        <v>135.43306945789689</v>
      </c>
      <c r="R42" s="495">
        <f>VLOOKUP($O42,Impacts!$F$27:$Z$59,19,FALSE)*L42</f>
        <v>153.16663973031362</v>
      </c>
      <c r="S42" s="496">
        <f>VLOOKUP($O42,Impacts!$F$27:$Z$59,20,FALSE)*L42</f>
        <v>25601.714453288641</v>
      </c>
      <c r="T42" s="497">
        <f>VLOOKUP($O42,Impacts!$F$27:$Z$59,21,FALSE)*L42</f>
        <v>336.9872703211305</v>
      </c>
      <c r="U42" s="492"/>
      <c r="V42" s="492" t="str">
        <f t="shared" si="7"/>
        <v>Commercial Showerhead Replacement_Fitness Center_precondition 2_5 gpm or higher_efficient 1_75 gpm_Mail-by-Request_Any Water Heating</v>
      </c>
      <c r="W42" s="492" t="s">
        <v>440</v>
      </c>
      <c r="X42" s="494">
        <f t="shared" si="10"/>
        <v>1087.6003614523675</v>
      </c>
      <c r="Y42" s="492">
        <v>10</v>
      </c>
      <c r="Z42" s="498">
        <f t="shared" si="11"/>
        <v>8.1096944444444432</v>
      </c>
      <c r="AA42" s="492"/>
      <c r="AB42" s="499" t="s">
        <v>441</v>
      </c>
      <c r="AC42" s="497">
        <f t="shared" si="12"/>
        <v>336.9872703211305</v>
      </c>
      <c r="AD42" s="492"/>
      <c r="AE42" s="492"/>
      <c r="AF42" s="492"/>
      <c r="AG42" s="492"/>
      <c r="AH42" s="492"/>
      <c r="AI42" s="492"/>
      <c r="AJ42" s="492">
        <f t="shared" si="8"/>
        <v>104.66387048238097</v>
      </c>
      <c r="AK42" s="492" t="s">
        <v>442</v>
      </c>
    </row>
    <row r="43" spans="1:37">
      <c r="A43" s="492">
        <f t="shared" si="9"/>
        <v>25</v>
      </c>
      <c r="B43" s="492">
        <f t="shared" si="13"/>
        <v>1</v>
      </c>
      <c r="C43" s="492">
        <f t="shared" si="13"/>
        <v>3</v>
      </c>
      <c r="D43" s="492">
        <f t="shared" si="13"/>
        <v>3</v>
      </c>
      <c r="E43" s="492">
        <f t="shared" si="1"/>
        <v>1</v>
      </c>
      <c r="F43" s="499" t="s">
        <v>645</v>
      </c>
      <c r="G43" s="499" t="str">
        <f t="shared" si="2"/>
        <v>2_5 gpm or higher</v>
      </c>
      <c r="H43" s="492" t="str">
        <f t="shared" si="3"/>
        <v>Mail-by-Request</v>
      </c>
      <c r="I43" s="492" t="str">
        <f t="shared" si="3"/>
        <v>1_50</v>
      </c>
      <c r="J43" s="492" t="str">
        <f t="shared" si="3"/>
        <v>Electric Water Heating</v>
      </c>
      <c r="K43" s="492" t="str">
        <f t="shared" si="4"/>
        <v>Commercial Showerhead Replacement_Fitness Center_precondition 2_5 gpm or higher_efficient 1_50 gpm_Mail-by-Request_Electric Water Heating</v>
      </c>
      <c r="L43" s="493">
        <f>INDEX(InstallRatesCostAndLifetime!$A$2:$D$6,MATCH(InputForProCost_FitnessCenter!H43,InstallRatesCostAndLifetime!$A$2:$A$6,0),MATCH(InputForProCost_FitnessCenter!I43,InstallRatesCostAndLifetime!$A$2:$D$2,0))</f>
        <v>0.6</v>
      </c>
      <c r="M43" s="493">
        <f t="shared" si="5"/>
        <v>1</v>
      </c>
      <c r="N43" s="492"/>
      <c r="O43" s="492" t="str">
        <f t="shared" si="6"/>
        <v>Fitness Center2_5 gpm or higher1_50</v>
      </c>
      <c r="P43" s="494">
        <f>VLOOKUP($O43,Impacts!$F$27:$Z$59,16,FALSE)</f>
        <v>7523.5465028460094</v>
      </c>
      <c r="Q43" s="494">
        <f>VLOOKUP($O43,Impacts!$F$27:$Z$59,17,FALSE)*L43</f>
        <v>180.57742594386252</v>
      </c>
      <c r="R43" s="495">
        <f>VLOOKUP($O43,Impacts!$F$27:$Z$59,19,FALSE)*L43</f>
        <v>201.31264362564065</v>
      </c>
      <c r="S43" s="496">
        <f>VLOOKUP($O43,Impacts!$F$27:$Z$59,20,FALSE)*L43</f>
        <v>34135.619271051524</v>
      </c>
      <c r="T43" s="497">
        <f>VLOOKUP($O43,Impacts!$F$27:$Z$59,21,FALSE)*L43</f>
        <v>449.31636042817405</v>
      </c>
      <c r="U43" s="492"/>
      <c r="V43" s="492" t="str">
        <f t="shared" si="7"/>
        <v>Commercial Showerhead Replacement_Fitness Center_precondition 2_5 gpm or higher_efficient 1_50 gpm_Mail-by-Request_Electric Water Heating</v>
      </c>
      <c r="W43" s="492" t="s">
        <v>440</v>
      </c>
      <c r="X43" s="494">
        <f t="shared" si="10"/>
        <v>4514.1279017076058</v>
      </c>
      <c r="Y43" s="492">
        <v>10</v>
      </c>
      <c r="Z43" s="498">
        <f t="shared" si="11"/>
        <v>8.1096944444444432</v>
      </c>
      <c r="AA43" s="492"/>
      <c r="AB43" s="499" t="s">
        <v>441</v>
      </c>
      <c r="AC43" s="497">
        <f t="shared" si="12"/>
        <v>449.31636042817405</v>
      </c>
      <c r="AD43" s="492"/>
      <c r="AE43" s="492"/>
      <c r="AF43" s="492"/>
      <c r="AG43" s="492"/>
      <c r="AH43" s="492"/>
      <c r="AI43" s="492"/>
      <c r="AJ43" s="492">
        <f t="shared" si="8"/>
        <v>0</v>
      </c>
      <c r="AK43" s="492" t="s">
        <v>442</v>
      </c>
    </row>
    <row r="44" spans="1:37">
      <c r="A44" s="492">
        <f t="shared" si="9"/>
        <v>26</v>
      </c>
      <c r="B44" s="492">
        <f t="shared" si="13"/>
        <v>1</v>
      </c>
      <c r="C44" s="492">
        <f t="shared" si="13"/>
        <v>3</v>
      </c>
      <c r="D44" s="492">
        <f t="shared" si="13"/>
        <v>3</v>
      </c>
      <c r="E44" s="492">
        <f t="shared" si="1"/>
        <v>2</v>
      </c>
      <c r="F44" s="499" t="s">
        <v>645</v>
      </c>
      <c r="G44" s="499" t="str">
        <f t="shared" si="2"/>
        <v>2_5 gpm or higher</v>
      </c>
      <c r="H44" s="492" t="str">
        <f t="shared" si="3"/>
        <v>Mail-by-Request</v>
      </c>
      <c r="I44" s="492" t="str">
        <f t="shared" si="3"/>
        <v>1_50</v>
      </c>
      <c r="J44" s="492" t="str">
        <f t="shared" si="3"/>
        <v>Gas Water Heating</v>
      </c>
      <c r="K44" s="492" t="str">
        <f t="shared" si="4"/>
        <v>Commercial Showerhead Replacement_Fitness Center_precondition 2_5 gpm or higher_efficient 1_50 gpm_Mail-by-Request_Gas Water Heating</v>
      </c>
      <c r="L44" s="493">
        <f>INDEX(InstallRatesCostAndLifetime!$A$2:$D$6,MATCH(InputForProCost_FitnessCenter!H44,InstallRatesCostAndLifetime!$A$2:$A$6,0),MATCH(InputForProCost_FitnessCenter!I44,InstallRatesCostAndLifetime!$A$2:$D$2,0))</f>
        <v>0.6</v>
      </c>
      <c r="M44" s="493">
        <f t="shared" si="5"/>
        <v>0</v>
      </c>
      <c r="N44" s="492"/>
      <c r="O44" s="492" t="str">
        <f t="shared" si="6"/>
        <v>Fitness Center2_5 gpm or higher1_50</v>
      </c>
      <c r="P44" s="494">
        <f>VLOOKUP($O44,Impacts!$F$27:$Z$59,16,FALSE)</f>
        <v>7523.5465028460094</v>
      </c>
      <c r="Q44" s="494">
        <f>VLOOKUP($O44,Impacts!$F$27:$Z$59,17,FALSE)*L44</f>
        <v>180.57742594386252</v>
      </c>
      <c r="R44" s="495">
        <f>VLOOKUP($O44,Impacts!$F$27:$Z$59,19,FALSE)*L44</f>
        <v>201.31264362564065</v>
      </c>
      <c r="S44" s="496">
        <f>VLOOKUP($O44,Impacts!$F$27:$Z$59,20,FALSE)*L44</f>
        <v>34135.619271051524</v>
      </c>
      <c r="T44" s="497">
        <f>VLOOKUP($O44,Impacts!$F$27:$Z$59,21,FALSE)*L44</f>
        <v>449.31636042817405</v>
      </c>
      <c r="U44" s="492"/>
      <c r="V44" s="492" t="str">
        <f t="shared" si="7"/>
        <v>Commercial Showerhead Replacement_Fitness Center_precondition 2_5 gpm or higher_efficient 1_50 gpm_Mail-by-Request_Gas Water Heating</v>
      </c>
      <c r="W44" s="492" t="s">
        <v>440</v>
      </c>
      <c r="X44" s="494">
        <f t="shared" si="10"/>
        <v>0</v>
      </c>
      <c r="Y44" s="492">
        <v>10</v>
      </c>
      <c r="Z44" s="498">
        <f t="shared" si="11"/>
        <v>8.1096944444444432</v>
      </c>
      <c r="AA44" s="492"/>
      <c r="AB44" s="499" t="s">
        <v>441</v>
      </c>
      <c r="AC44" s="497">
        <f t="shared" si="12"/>
        <v>449.31636042817405</v>
      </c>
      <c r="AD44" s="492"/>
      <c r="AE44" s="492"/>
      <c r="AF44" s="492"/>
      <c r="AG44" s="492"/>
      <c r="AH44" s="492"/>
      <c r="AI44" s="492"/>
      <c r="AJ44" s="492">
        <f t="shared" si="8"/>
        <v>201.31264362564065</v>
      </c>
      <c r="AK44" s="492" t="s">
        <v>442</v>
      </c>
    </row>
    <row r="45" spans="1:37">
      <c r="A45" s="492">
        <f t="shared" si="9"/>
        <v>27</v>
      </c>
      <c r="B45" s="492">
        <f t="shared" si="13"/>
        <v>1</v>
      </c>
      <c r="C45" s="492">
        <f t="shared" si="13"/>
        <v>3</v>
      </c>
      <c r="D45" s="492">
        <f t="shared" si="13"/>
        <v>3</v>
      </c>
      <c r="E45" s="492">
        <f t="shared" si="1"/>
        <v>3</v>
      </c>
      <c r="F45" s="499" t="s">
        <v>645</v>
      </c>
      <c r="G45" s="499" t="str">
        <f t="shared" si="2"/>
        <v>2_5 gpm or higher</v>
      </c>
      <c r="H45" s="492" t="str">
        <f t="shared" si="3"/>
        <v>Mail-by-Request</v>
      </c>
      <c r="I45" s="492" t="str">
        <f t="shared" si="3"/>
        <v>1_50</v>
      </c>
      <c r="J45" s="492" t="str">
        <f t="shared" si="3"/>
        <v>Any Water Heating</v>
      </c>
      <c r="K45" s="492" t="str">
        <f t="shared" si="4"/>
        <v>Commercial Showerhead Replacement_Fitness Center_precondition 2_5 gpm or higher_efficient 1_50 gpm_Mail-by-Request_Any Water Heating</v>
      </c>
      <c r="L45" s="493">
        <f>INDEX(InstallRatesCostAndLifetime!$A$2:$D$6,MATCH(InputForProCost_FitnessCenter!H45,InstallRatesCostAndLifetime!$A$2:$A$6,0),MATCH(InputForProCost_FitnessCenter!I45,InstallRatesCostAndLifetime!$A$2:$D$2,0))</f>
        <v>0.6</v>
      </c>
      <c r="M45" s="493">
        <f t="shared" si="5"/>
        <v>0.31666666666666665</v>
      </c>
      <c r="N45" s="492"/>
      <c r="O45" s="492" t="str">
        <f t="shared" si="6"/>
        <v>Fitness Center2_5 gpm or higher1_50</v>
      </c>
      <c r="P45" s="494">
        <f>VLOOKUP($O45,Impacts!$F$27:$Z$59,16,FALSE)</f>
        <v>7523.5465028460094</v>
      </c>
      <c r="Q45" s="494">
        <f>VLOOKUP($O45,Impacts!$F$27:$Z$59,17,FALSE)*L45</f>
        <v>180.57742594386252</v>
      </c>
      <c r="R45" s="495">
        <f>VLOOKUP($O45,Impacts!$F$27:$Z$59,19,FALSE)*L45</f>
        <v>201.31264362564065</v>
      </c>
      <c r="S45" s="496">
        <f>VLOOKUP($O45,Impacts!$F$27:$Z$59,20,FALSE)*L45</f>
        <v>34135.619271051524</v>
      </c>
      <c r="T45" s="497">
        <f>VLOOKUP($O45,Impacts!$F$27:$Z$59,21,FALSE)*L45</f>
        <v>449.31636042817405</v>
      </c>
      <c r="U45" s="492"/>
      <c r="V45" s="492" t="str">
        <f t="shared" si="7"/>
        <v>Commercial Showerhead Replacement_Fitness Center_precondition 2_5 gpm or higher_efficient 1_50 gpm_Mail-by-Request_Any Water Heating</v>
      </c>
      <c r="W45" s="492" t="s">
        <v>440</v>
      </c>
      <c r="X45" s="494">
        <f t="shared" si="10"/>
        <v>1429.4738355407414</v>
      </c>
      <c r="Y45" s="492">
        <v>10</v>
      </c>
      <c r="Z45" s="498">
        <f t="shared" si="11"/>
        <v>8.1096944444444432</v>
      </c>
      <c r="AA45" s="492"/>
      <c r="AB45" s="499" t="s">
        <v>441</v>
      </c>
      <c r="AC45" s="497">
        <f t="shared" si="12"/>
        <v>449.31636042817405</v>
      </c>
      <c r="AD45" s="492"/>
      <c r="AE45" s="492"/>
      <c r="AF45" s="492"/>
      <c r="AG45" s="492"/>
      <c r="AH45" s="492"/>
      <c r="AI45" s="492"/>
      <c r="AJ45" s="492">
        <f t="shared" si="8"/>
        <v>137.56363981085445</v>
      </c>
      <c r="AK45" s="492" t="s">
        <v>442</v>
      </c>
    </row>
    <row r="46" spans="1:37">
      <c r="A46" s="492">
        <f t="shared" si="9"/>
        <v>28</v>
      </c>
      <c r="B46" s="492">
        <f t="shared" si="13"/>
        <v>2</v>
      </c>
      <c r="C46" s="492">
        <f t="shared" si="13"/>
        <v>1</v>
      </c>
      <c r="D46" s="492">
        <f t="shared" si="13"/>
        <v>1</v>
      </c>
      <c r="E46" s="492">
        <f t="shared" si="1"/>
        <v>1</v>
      </c>
      <c r="F46" s="499" t="s">
        <v>645</v>
      </c>
      <c r="G46" s="499" t="str">
        <f t="shared" si="2"/>
        <v>2_4 to 2_49 gpm</v>
      </c>
      <c r="H46" s="492" t="str">
        <f t="shared" si="3"/>
        <v>Retail</v>
      </c>
      <c r="I46" s="492" t="str">
        <f t="shared" si="3"/>
        <v>2_00</v>
      </c>
      <c r="J46" s="492" t="str">
        <f t="shared" si="3"/>
        <v>Electric Water Heating</v>
      </c>
      <c r="K46" s="492" t="str">
        <f t="shared" si="4"/>
        <v>Commercial Showerhead Replacement_Fitness Center_precondition 2_4 to 2_49 gpm_efficient 2_00 gpm_Retail_Electric Water Heating</v>
      </c>
      <c r="L46" s="493">
        <f>INDEX(InstallRatesCostAndLifetime!$A$2:$D$6,MATCH(InputForProCost_FitnessCenter!H46,InstallRatesCostAndLifetime!$A$2:$A$6,0),MATCH(InputForProCost_FitnessCenter!I46,InstallRatesCostAndLifetime!$A$2:$D$2,0))</f>
        <v>0.8</v>
      </c>
      <c r="M46" s="493">
        <f t="shared" si="5"/>
        <v>1</v>
      </c>
      <c r="N46" s="492"/>
      <c r="O46" s="492" t="str">
        <f t="shared" si="6"/>
        <v>Fitness Center2_4 to 2_49 gpm2_00</v>
      </c>
      <c r="P46" s="494">
        <f>VLOOKUP($O46,Impacts!$F$27:$Z$59,16,FALSE)</f>
        <v>5158.2636105541624</v>
      </c>
      <c r="Q46" s="494">
        <f>VLOOKUP($O46,Impacts!$F$27:$Z$59,17,FALSE)*L46</f>
        <v>156.50043581801424</v>
      </c>
      <c r="R46" s="495">
        <f>VLOOKUP($O46,Impacts!$F$27:$Z$59,19,FALSE)*L46</f>
        <v>184.03088376220541</v>
      </c>
      <c r="S46" s="496">
        <f>VLOOKUP($O46,Impacts!$F$27:$Z$59,20,FALSE)*L46</f>
        <v>29584.20336824466</v>
      </c>
      <c r="T46" s="497">
        <f>VLOOKUP($O46,Impacts!$F$27:$Z$59,21,FALSE)*L46</f>
        <v>389.40751237108429</v>
      </c>
      <c r="U46" s="492"/>
      <c r="V46" s="492" t="str">
        <f t="shared" si="7"/>
        <v>Commercial Showerhead Replacement_Fitness Center_precondition 2_4 to 2_49 gpm_efficient 2_00 gpm_Retail_Electric Water Heating</v>
      </c>
      <c r="W46" s="492" t="s">
        <v>440</v>
      </c>
      <c r="X46" s="494">
        <f t="shared" si="10"/>
        <v>4126.6108884433297</v>
      </c>
      <c r="Y46" s="492">
        <v>10</v>
      </c>
      <c r="Z46" s="498">
        <f t="shared" si="11"/>
        <v>3.2966774171383419</v>
      </c>
      <c r="AA46" s="492"/>
      <c r="AB46" s="499" t="s">
        <v>441</v>
      </c>
      <c r="AC46" s="497">
        <f t="shared" si="12"/>
        <v>389.40751237108429</v>
      </c>
      <c r="AD46" s="492"/>
      <c r="AE46" s="492"/>
      <c r="AF46" s="492"/>
      <c r="AG46" s="492"/>
      <c r="AH46" s="492"/>
      <c r="AI46" s="492"/>
      <c r="AJ46" s="492">
        <f t="shared" si="8"/>
        <v>0</v>
      </c>
      <c r="AK46" s="492" t="s">
        <v>442</v>
      </c>
    </row>
    <row r="47" spans="1:37">
      <c r="A47" s="492">
        <f t="shared" si="9"/>
        <v>29</v>
      </c>
      <c r="B47" s="492">
        <f t="shared" si="13"/>
        <v>2</v>
      </c>
      <c r="C47" s="492">
        <f t="shared" si="13"/>
        <v>1</v>
      </c>
      <c r="D47" s="492">
        <f t="shared" si="13"/>
        <v>1</v>
      </c>
      <c r="E47" s="492">
        <f t="shared" si="1"/>
        <v>2</v>
      </c>
      <c r="F47" s="499" t="s">
        <v>645</v>
      </c>
      <c r="G47" s="499" t="str">
        <f t="shared" si="2"/>
        <v>2_4 to 2_49 gpm</v>
      </c>
      <c r="H47" s="492" t="str">
        <f t="shared" si="3"/>
        <v>Retail</v>
      </c>
      <c r="I47" s="492" t="str">
        <f t="shared" si="3"/>
        <v>2_00</v>
      </c>
      <c r="J47" s="492" t="str">
        <f t="shared" si="3"/>
        <v>Gas Water Heating</v>
      </c>
      <c r="K47" s="492" t="str">
        <f t="shared" si="4"/>
        <v>Commercial Showerhead Replacement_Fitness Center_precondition 2_4 to 2_49 gpm_efficient 2_00 gpm_Retail_Gas Water Heating</v>
      </c>
      <c r="L47" s="493">
        <f>INDEX(InstallRatesCostAndLifetime!$A$2:$D$6,MATCH(InputForProCost_FitnessCenter!H47,InstallRatesCostAndLifetime!$A$2:$A$6,0),MATCH(InputForProCost_FitnessCenter!I47,InstallRatesCostAndLifetime!$A$2:$D$2,0))</f>
        <v>0.8</v>
      </c>
      <c r="M47" s="493">
        <f t="shared" si="5"/>
        <v>0</v>
      </c>
      <c r="N47" s="492"/>
      <c r="O47" s="492" t="str">
        <f t="shared" si="6"/>
        <v>Fitness Center2_4 to 2_49 gpm2_00</v>
      </c>
      <c r="P47" s="494">
        <f>VLOOKUP($O47,Impacts!$F$27:$Z$59,16,FALSE)</f>
        <v>5158.2636105541624</v>
      </c>
      <c r="Q47" s="494">
        <f>VLOOKUP($O47,Impacts!$F$27:$Z$59,17,FALSE)*L47</f>
        <v>156.50043581801424</v>
      </c>
      <c r="R47" s="495">
        <f>VLOOKUP($O47,Impacts!$F$27:$Z$59,19,FALSE)*L47</f>
        <v>184.03088376220541</v>
      </c>
      <c r="S47" s="496">
        <f>VLOOKUP($O47,Impacts!$F$27:$Z$59,20,FALSE)*L47</f>
        <v>29584.20336824466</v>
      </c>
      <c r="T47" s="497">
        <f>VLOOKUP($O47,Impacts!$F$27:$Z$59,21,FALSE)*L47</f>
        <v>389.40751237108429</v>
      </c>
      <c r="U47" s="492"/>
      <c r="V47" s="492" t="str">
        <f t="shared" si="7"/>
        <v>Commercial Showerhead Replacement_Fitness Center_precondition 2_4 to 2_49 gpm_efficient 2_00 gpm_Retail_Gas Water Heating</v>
      </c>
      <c r="W47" s="492" t="s">
        <v>440</v>
      </c>
      <c r="X47" s="494">
        <f t="shared" si="10"/>
        <v>0</v>
      </c>
      <c r="Y47" s="492">
        <v>10</v>
      </c>
      <c r="Z47" s="498">
        <f t="shared" si="11"/>
        <v>3.2966774171383419</v>
      </c>
      <c r="AA47" s="492"/>
      <c r="AB47" s="499" t="s">
        <v>441</v>
      </c>
      <c r="AC47" s="497">
        <f t="shared" si="12"/>
        <v>389.40751237108429</v>
      </c>
      <c r="AD47" s="492"/>
      <c r="AE47" s="492"/>
      <c r="AF47" s="492"/>
      <c r="AG47" s="492"/>
      <c r="AH47" s="492"/>
      <c r="AI47" s="492"/>
      <c r="AJ47" s="492">
        <f t="shared" si="8"/>
        <v>184.03088376220541</v>
      </c>
      <c r="AK47" s="492" t="s">
        <v>442</v>
      </c>
    </row>
    <row r="48" spans="1:37">
      <c r="A48" s="492">
        <f t="shared" si="9"/>
        <v>30</v>
      </c>
      <c r="B48" s="492">
        <f t="shared" si="13"/>
        <v>2</v>
      </c>
      <c r="C48" s="492">
        <f t="shared" si="13"/>
        <v>1</v>
      </c>
      <c r="D48" s="492">
        <f t="shared" si="13"/>
        <v>1</v>
      </c>
      <c r="E48" s="492">
        <f t="shared" si="1"/>
        <v>3</v>
      </c>
      <c r="F48" s="499" t="s">
        <v>645</v>
      </c>
      <c r="G48" s="499" t="str">
        <f t="shared" si="2"/>
        <v>2_4 to 2_49 gpm</v>
      </c>
      <c r="H48" s="492" t="str">
        <f t="shared" si="3"/>
        <v>Retail</v>
      </c>
      <c r="I48" s="492" t="str">
        <f t="shared" si="3"/>
        <v>2_00</v>
      </c>
      <c r="J48" s="492" t="str">
        <f t="shared" si="3"/>
        <v>Any Water Heating</v>
      </c>
      <c r="K48" s="492" t="str">
        <f t="shared" si="4"/>
        <v>Commercial Showerhead Replacement_Fitness Center_precondition 2_4 to 2_49 gpm_efficient 2_00 gpm_Retail_Any Water Heating</v>
      </c>
      <c r="L48" s="493">
        <f>INDEX(InstallRatesCostAndLifetime!$A$2:$D$6,MATCH(InputForProCost_FitnessCenter!H48,InstallRatesCostAndLifetime!$A$2:$A$6,0),MATCH(InputForProCost_FitnessCenter!I48,InstallRatesCostAndLifetime!$A$2:$D$2,0))</f>
        <v>0.8</v>
      </c>
      <c r="M48" s="493">
        <f t="shared" si="5"/>
        <v>0.31666666666666665</v>
      </c>
      <c r="N48" s="492"/>
      <c r="O48" s="492" t="str">
        <f t="shared" si="6"/>
        <v>Fitness Center2_4 to 2_49 gpm2_00</v>
      </c>
      <c r="P48" s="494">
        <f>VLOOKUP($O48,Impacts!$F$27:$Z$59,16,FALSE)</f>
        <v>5158.2636105541624</v>
      </c>
      <c r="Q48" s="494">
        <f>VLOOKUP($O48,Impacts!$F$27:$Z$59,17,FALSE)*L48</f>
        <v>156.50043581801424</v>
      </c>
      <c r="R48" s="495">
        <f>VLOOKUP($O48,Impacts!$F$27:$Z$59,19,FALSE)*L48</f>
        <v>184.03088376220541</v>
      </c>
      <c r="S48" s="496">
        <f>VLOOKUP($O48,Impacts!$F$27:$Z$59,20,FALSE)*L48</f>
        <v>29584.20336824466</v>
      </c>
      <c r="T48" s="497">
        <f>VLOOKUP($O48,Impacts!$F$27:$Z$59,21,FALSE)*L48</f>
        <v>389.40751237108429</v>
      </c>
      <c r="U48" s="492"/>
      <c r="V48" s="492" t="str">
        <f t="shared" si="7"/>
        <v>Commercial Showerhead Replacement_Fitness Center_precondition 2_4 to 2_49 gpm_efficient 2_00 gpm_Retail_Any Water Heating</v>
      </c>
      <c r="W48" s="492" t="s">
        <v>440</v>
      </c>
      <c r="X48" s="494">
        <f t="shared" si="10"/>
        <v>1306.7601146737211</v>
      </c>
      <c r="Y48" s="492">
        <v>10</v>
      </c>
      <c r="Z48" s="498">
        <f t="shared" si="11"/>
        <v>3.2966774171383419</v>
      </c>
      <c r="AA48" s="492"/>
      <c r="AB48" s="499" t="s">
        <v>441</v>
      </c>
      <c r="AC48" s="497">
        <f t="shared" si="12"/>
        <v>389.40751237108429</v>
      </c>
      <c r="AD48" s="492"/>
      <c r="AE48" s="492"/>
      <c r="AF48" s="492"/>
      <c r="AG48" s="492"/>
      <c r="AH48" s="492"/>
      <c r="AI48" s="492"/>
      <c r="AJ48" s="492">
        <f t="shared" si="8"/>
        <v>125.75443723750703</v>
      </c>
      <c r="AK48" s="492" t="s">
        <v>442</v>
      </c>
    </row>
    <row r="49" spans="1:37">
      <c r="A49" s="492">
        <f t="shared" si="9"/>
        <v>31</v>
      </c>
      <c r="B49" s="492">
        <f t="shared" si="13"/>
        <v>2</v>
      </c>
      <c r="C49" s="492">
        <f t="shared" si="13"/>
        <v>1</v>
      </c>
      <c r="D49" s="492">
        <f t="shared" si="13"/>
        <v>2</v>
      </c>
      <c r="E49" s="492">
        <f t="shared" si="1"/>
        <v>1</v>
      </c>
      <c r="F49" s="499" t="s">
        <v>645</v>
      </c>
      <c r="G49" s="499" t="str">
        <f t="shared" si="2"/>
        <v>2_4 to 2_49 gpm</v>
      </c>
      <c r="H49" s="492" t="str">
        <f t="shared" si="3"/>
        <v>Retail</v>
      </c>
      <c r="I49" s="492" t="str">
        <f t="shared" si="3"/>
        <v>1_75</v>
      </c>
      <c r="J49" s="492" t="str">
        <f t="shared" si="3"/>
        <v>Electric Water Heating</v>
      </c>
      <c r="K49" s="492" t="str">
        <f t="shared" si="4"/>
        <v>Commercial Showerhead Replacement_Fitness Center_precondition 2_4 to 2_49 gpm_efficient 1_75 gpm_Retail_Electric Water Heating</v>
      </c>
      <c r="L49" s="493">
        <f>INDEX(InstallRatesCostAndLifetime!$A$2:$D$6,MATCH(InputForProCost_FitnessCenter!H49,InstallRatesCostAndLifetime!$A$2:$A$6,0),MATCH(InputForProCost_FitnessCenter!I49,InstallRatesCostAndLifetime!$A$2:$D$2,0))</f>
        <v>0.75</v>
      </c>
      <c r="M49" s="493">
        <f t="shared" si="5"/>
        <v>1</v>
      </c>
      <c r="N49" s="492"/>
      <c r="O49" s="492" t="str">
        <f t="shared" si="6"/>
        <v>Fitness Center2_4 to 2_49 gpm1_75</v>
      </c>
      <c r="P49" s="494">
        <f>VLOOKUP($O49,Impacts!$F$27:$Z$59,16,FALSE)</f>
        <v>5331.7245932419391</v>
      </c>
      <c r="Q49" s="494">
        <f>VLOOKUP($O49,Impacts!$F$27:$Z$59,17,FALSE)*L49</f>
        <v>158.00524770087975</v>
      </c>
      <c r="R49" s="495">
        <f>VLOOKUP($O49,Impacts!$F$27:$Z$59,19,FALSE)*L49</f>
        <v>178.33072018351874</v>
      </c>
      <c r="S49" s="496">
        <f>VLOOKUP($O49,Impacts!$F$27:$Z$59,20,FALSE)*L49</f>
        <v>29868.666862170085</v>
      </c>
      <c r="T49" s="497">
        <f>VLOOKUP($O49,Impacts!$F$27:$Z$59,21,FALSE)*L49</f>
        <v>393.1518153746523</v>
      </c>
      <c r="U49" s="492"/>
      <c r="V49" s="492" t="str">
        <f t="shared" si="7"/>
        <v>Commercial Showerhead Replacement_Fitness Center_precondition 2_4 to 2_49 gpm_efficient 1_75 gpm_Retail_Electric Water Heating</v>
      </c>
      <c r="W49" s="492" t="s">
        <v>440</v>
      </c>
      <c r="X49" s="494">
        <f t="shared" si="10"/>
        <v>3998.7934449314544</v>
      </c>
      <c r="Y49" s="492">
        <v>10</v>
      </c>
      <c r="Z49" s="498">
        <f t="shared" si="11"/>
        <v>3.2966774171383419</v>
      </c>
      <c r="AA49" s="492"/>
      <c r="AB49" s="499" t="s">
        <v>441</v>
      </c>
      <c r="AC49" s="497">
        <f t="shared" si="12"/>
        <v>393.1518153746523</v>
      </c>
      <c r="AD49" s="492"/>
      <c r="AE49" s="492"/>
      <c r="AF49" s="492"/>
      <c r="AG49" s="492"/>
      <c r="AH49" s="492"/>
      <c r="AI49" s="492"/>
      <c r="AJ49" s="492">
        <f t="shared" si="8"/>
        <v>0</v>
      </c>
      <c r="AK49" s="492" t="s">
        <v>442</v>
      </c>
    </row>
    <row r="50" spans="1:37">
      <c r="A50" s="492">
        <f t="shared" si="9"/>
        <v>32</v>
      </c>
      <c r="B50" s="492">
        <f t="shared" si="13"/>
        <v>2</v>
      </c>
      <c r="C50" s="492">
        <f t="shared" si="13"/>
        <v>1</v>
      </c>
      <c r="D50" s="492">
        <f t="shared" si="13"/>
        <v>2</v>
      </c>
      <c r="E50" s="492">
        <f t="shared" si="1"/>
        <v>2</v>
      </c>
      <c r="F50" s="499" t="s">
        <v>645</v>
      </c>
      <c r="G50" s="499" t="str">
        <f t="shared" si="2"/>
        <v>2_4 to 2_49 gpm</v>
      </c>
      <c r="H50" s="492" t="str">
        <f t="shared" si="3"/>
        <v>Retail</v>
      </c>
      <c r="I50" s="492" t="str">
        <f t="shared" si="3"/>
        <v>1_75</v>
      </c>
      <c r="J50" s="492" t="str">
        <f t="shared" si="3"/>
        <v>Gas Water Heating</v>
      </c>
      <c r="K50" s="492" t="str">
        <f t="shared" si="4"/>
        <v>Commercial Showerhead Replacement_Fitness Center_precondition 2_4 to 2_49 gpm_efficient 1_75 gpm_Retail_Gas Water Heating</v>
      </c>
      <c r="L50" s="493">
        <f>INDEX(InstallRatesCostAndLifetime!$A$2:$D$6,MATCH(InputForProCost_FitnessCenter!H50,InstallRatesCostAndLifetime!$A$2:$A$6,0),MATCH(InputForProCost_FitnessCenter!I50,InstallRatesCostAndLifetime!$A$2:$D$2,0))</f>
        <v>0.75</v>
      </c>
      <c r="M50" s="493">
        <f t="shared" si="5"/>
        <v>0</v>
      </c>
      <c r="N50" s="492"/>
      <c r="O50" s="492" t="str">
        <f t="shared" si="6"/>
        <v>Fitness Center2_4 to 2_49 gpm1_75</v>
      </c>
      <c r="P50" s="494">
        <f>VLOOKUP($O50,Impacts!$F$27:$Z$59,16,FALSE)</f>
        <v>5331.7245932419391</v>
      </c>
      <c r="Q50" s="494">
        <f>VLOOKUP($O50,Impacts!$F$27:$Z$59,17,FALSE)*L50</f>
        <v>158.00524770087975</v>
      </c>
      <c r="R50" s="495">
        <f>VLOOKUP($O50,Impacts!$F$27:$Z$59,19,FALSE)*L50</f>
        <v>178.33072018351874</v>
      </c>
      <c r="S50" s="496">
        <f>VLOOKUP($O50,Impacts!$F$27:$Z$59,20,FALSE)*L50</f>
        <v>29868.666862170085</v>
      </c>
      <c r="T50" s="497">
        <f>VLOOKUP($O50,Impacts!$F$27:$Z$59,21,FALSE)*L50</f>
        <v>393.1518153746523</v>
      </c>
      <c r="U50" s="492"/>
      <c r="V50" s="492" t="str">
        <f t="shared" si="7"/>
        <v>Commercial Showerhead Replacement_Fitness Center_precondition 2_4 to 2_49 gpm_efficient 1_75 gpm_Retail_Gas Water Heating</v>
      </c>
      <c r="W50" s="492" t="s">
        <v>440</v>
      </c>
      <c r="X50" s="494">
        <f t="shared" si="10"/>
        <v>0</v>
      </c>
      <c r="Y50" s="492">
        <v>10</v>
      </c>
      <c r="Z50" s="498">
        <f t="shared" si="11"/>
        <v>3.2966774171383419</v>
      </c>
      <c r="AA50" s="492"/>
      <c r="AB50" s="499" t="s">
        <v>441</v>
      </c>
      <c r="AC50" s="497">
        <f t="shared" si="12"/>
        <v>393.1518153746523</v>
      </c>
      <c r="AD50" s="492"/>
      <c r="AE50" s="492"/>
      <c r="AF50" s="492"/>
      <c r="AG50" s="492"/>
      <c r="AH50" s="492"/>
      <c r="AI50" s="492"/>
      <c r="AJ50" s="492">
        <f t="shared" si="8"/>
        <v>178.33072018351874</v>
      </c>
      <c r="AK50" s="492" t="s">
        <v>442</v>
      </c>
    </row>
    <row r="51" spans="1:37">
      <c r="A51" s="492">
        <f t="shared" si="9"/>
        <v>33</v>
      </c>
      <c r="B51" s="492">
        <f t="shared" si="13"/>
        <v>2</v>
      </c>
      <c r="C51" s="492">
        <f t="shared" si="13"/>
        <v>1</v>
      </c>
      <c r="D51" s="492">
        <f t="shared" si="13"/>
        <v>2</v>
      </c>
      <c r="E51" s="492">
        <f t="shared" si="1"/>
        <v>3</v>
      </c>
      <c r="F51" s="499" t="s">
        <v>645</v>
      </c>
      <c r="G51" s="499" t="str">
        <f t="shared" si="2"/>
        <v>2_4 to 2_49 gpm</v>
      </c>
      <c r="H51" s="492" t="str">
        <f t="shared" si="3"/>
        <v>Retail</v>
      </c>
      <c r="I51" s="492" t="str">
        <f t="shared" si="3"/>
        <v>1_75</v>
      </c>
      <c r="J51" s="492" t="str">
        <f t="shared" si="3"/>
        <v>Any Water Heating</v>
      </c>
      <c r="K51" s="492" t="str">
        <f t="shared" si="4"/>
        <v>Commercial Showerhead Replacement_Fitness Center_precondition 2_4 to 2_49 gpm_efficient 1_75 gpm_Retail_Any Water Heating</v>
      </c>
      <c r="L51" s="493">
        <f>INDEX(InstallRatesCostAndLifetime!$A$2:$D$6,MATCH(InputForProCost_FitnessCenter!H51,InstallRatesCostAndLifetime!$A$2:$A$6,0),MATCH(InputForProCost_FitnessCenter!I51,InstallRatesCostAndLifetime!$A$2:$D$2,0))</f>
        <v>0.75</v>
      </c>
      <c r="M51" s="493">
        <f t="shared" si="5"/>
        <v>0.31666666666666665</v>
      </c>
      <c r="N51" s="492"/>
      <c r="O51" s="492" t="str">
        <f t="shared" si="6"/>
        <v>Fitness Center2_4 to 2_49 gpm1_75</v>
      </c>
      <c r="P51" s="494">
        <f>VLOOKUP($O51,Impacts!$F$27:$Z$59,16,FALSE)</f>
        <v>5331.7245932419391</v>
      </c>
      <c r="Q51" s="494">
        <f>VLOOKUP($O51,Impacts!$F$27:$Z$59,17,FALSE)*L51</f>
        <v>158.00524770087975</v>
      </c>
      <c r="R51" s="495">
        <f>VLOOKUP($O51,Impacts!$F$27:$Z$59,19,FALSE)*L51</f>
        <v>178.33072018351874</v>
      </c>
      <c r="S51" s="496">
        <f>VLOOKUP($O51,Impacts!$F$27:$Z$59,20,FALSE)*L51</f>
        <v>29868.666862170085</v>
      </c>
      <c r="T51" s="497">
        <f>VLOOKUP($O51,Impacts!$F$27:$Z$59,21,FALSE)*L51</f>
        <v>393.1518153746523</v>
      </c>
      <c r="U51" s="492"/>
      <c r="V51" s="492" t="str">
        <f t="shared" si="7"/>
        <v>Commercial Showerhead Replacement_Fitness Center_precondition 2_4 to 2_49 gpm_efficient 1_75 gpm_Retail_Any Water Heating</v>
      </c>
      <c r="W51" s="492" t="s">
        <v>440</v>
      </c>
      <c r="X51" s="494">
        <f t="shared" si="10"/>
        <v>1266.2845908949605</v>
      </c>
      <c r="Y51" s="492">
        <v>10</v>
      </c>
      <c r="Z51" s="498">
        <f t="shared" si="11"/>
        <v>3.2966774171383419</v>
      </c>
      <c r="AA51" s="492"/>
      <c r="AB51" s="499" t="s">
        <v>441</v>
      </c>
      <c r="AC51" s="497">
        <f t="shared" si="12"/>
        <v>393.1518153746523</v>
      </c>
      <c r="AD51" s="492"/>
      <c r="AE51" s="492"/>
      <c r="AF51" s="492"/>
      <c r="AG51" s="492"/>
      <c r="AH51" s="492"/>
      <c r="AI51" s="492"/>
      <c r="AJ51" s="492">
        <f t="shared" si="8"/>
        <v>121.8593254587378</v>
      </c>
      <c r="AK51" s="492" t="s">
        <v>442</v>
      </c>
    </row>
    <row r="52" spans="1:37">
      <c r="A52" s="492">
        <f t="shared" si="9"/>
        <v>34</v>
      </c>
      <c r="B52" s="492">
        <f t="shared" si="13"/>
        <v>2</v>
      </c>
      <c r="C52" s="492">
        <f t="shared" si="13"/>
        <v>1</v>
      </c>
      <c r="D52" s="492">
        <f t="shared" si="13"/>
        <v>3</v>
      </c>
      <c r="E52" s="492">
        <f t="shared" si="1"/>
        <v>1</v>
      </c>
      <c r="F52" s="499" t="s">
        <v>645</v>
      </c>
      <c r="G52" s="499" t="str">
        <f t="shared" si="2"/>
        <v>2_4 to 2_49 gpm</v>
      </c>
      <c r="H52" s="492" t="str">
        <f t="shared" si="3"/>
        <v>Retail</v>
      </c>
      <c r="I52" s="492" t="str">
        <f t="shared" si="3"/>
        <v>1_50</v>
      </c>
      <c r="J52" s="492" t="str">
        <f t="shared" si="3"/>
        <v>Electric Water Heating</v>
      </c>
      <c r="K52" s="492" t="str">
        <f t="shared" si="4"/>
        <v>Commercial Showerhead Replacement_Fitness Center_precondition 2_4 to 2_49 gpm_efficient 1_50 gpm_Retail_Electric Water Heating</v>
      </c>
      <c r="L52" s="493">
        <f>INDEX(InstallRatesCostAndLifetime!$A$2:$D$6,MATCH(InputForProCost_FitnessCenter!H52,InstallRatesCostAndLifetime!$A$2:$A$6,0),MATCH(InputForProCost_FitnessCenter!I52,InstallRatesCostAndLifetime!$A$2:$D$2,0))</f>
        <v>0.7</v>
      </c>
      <c r="M52" s="493">
        <f t="shared" si="5"/>
        <v>1</v>
      </c>
      <c r="N52" s="492"/>
      <c r="O52" s="492" t="str">
        <f t="shared" si="6"/>
        <v>Fitness Center2_4 to 2_49 gpm1_50</v>
      </c>
      <c r="P52" s="494">
        <f>VLOOKUP($O52,Impacts!$F$27:$Z$59,16,FALSE)</f>
        <v>7131.0586673912767</v>
      </c>
      <c r="Q52" s="494">
        <f>VLOOKUP($O52,Impacts!$F$27:$Z$59,17,FALSE)*L52</f>
        <v>200.13998042111433</v>
      </c>
      <c r="R52" s="495">
        <f>VLOOKUP($O52,Impacts!$F$27:$Z$59,19,FALSE)*L52</f>
        <v>222.61234338249901</v>
      </c>
      <c r="S52" s="496">
        <f>VLOOKUP($O52,Impacts!$F$27:$Z$59,20,FALSE)*L52</f>
        <v>37833.644692082104</v>
      </c>
      <c r="T52" s="497">
        <f>VLOOKUP($O52,Impacts!$F$27:$Z$59,21,FALSE)*L52</f>
        <v>497.9922994745595</v>
      </c>
      <c r="U52" s="492"/>
      <c r="V52" s="492" t="str">
        <f t="shared" si="7"/>
        <v>Commercial Showerhead Replacement_Fitness Center_precondition 2_4 to 2_49 gpm_efficient 1_50 gpm_Retail_Electric Water Heating</v>
      </c>
      <c r="W52" s="492" t="s">
        <v>440</v>
      </c>
      <c r="X52" s="494">
        <f t="shared" si="10"/>
        <v>4991.7410671738935</v>
      </c>
      <c r="Y52" s="492">
        <v>10</v>
      </c>
      <c r="Z52" s="498">
        <f t="shared" si="11"/>
        <v>3.2966774171383419</v>
      </c>
      <c r="AA52" s="492"/>
      <c r="AB52" s="499" t="s">
        <v>441</v>
      </c>
      <c r="AC52" s="497">
        <f t="shared" si="12"/>
        <v>497.9922994745595</v>
      </c>
      <c r="AD52" s="492"/>
      <c r="AE52" s="492"/>
      <c r="AF52" s="492"/>
      <c r="AG52" s="492"/>
      <c r="AH52" s="492"/>
      <c r="AI52" s="492"/>
      <c r="AJ52" s="492">
        <f t="shared" si="8"/>
        <v>0</v>
      </c>
      <c r="AK52" s="492" t="s">
        <v>442</v>
      </c>
    </row>
    <row r="53" spans="1:37">
      <c r="A53" s="492">
        <f t="shared" si="9"/>
        <v>35</v>
      </c>
      <c r="B53" s="492">
        <f t="shared" si="13"/>
        <v>2</v>
      </c>
      <c r="C53" s="492">
        <f t="shared" si="13"/>
        <v>1</v>
      </c>
      <c r="D53" s="492">
        <f t="shared" si="13"/>
        <v>3</v>
      </c>
      <c r="E53" s="492">
        <f t="shared" si="1"/>
        <v>2</v>
      </c>
      <c r="F53" s="499" t="s">
        <v>645</v>
      </c>
      <c r="G53" s="499" t="str">
        <f t="shared" si="2"/>
        <v>2_4 to 2_49 gpm</v>
      </c>
      <c r="H53" s="492" t="str">
        <f t="shared" si="3"/>
        <v>Retail</v>
      </c>
      <c r="I53" s="492" t="str">
        <f t="shared" si="3"/>
        <v>1_50</v>
      </c>
      <c r="J53" s="492" t="str">
        <f t="shared" si="3"/>
        <v>Gas Water Heating</v>
      </c>
      <c r="K53" s="492" t="str">
        <f t="shared" si="4"/>
        <v>Commercial Showerhead Replacement_Fitness Center_precondition 2_4 to 2_49 gpm_efficient 1_50 gpm_Retail_Gas Water Heating</v>
      </c>
      <c r="L53" s="493">
        <f>INDEX(InstallRatesCostAndLifetime!$A$2:$D$6,MATCH(InputForProCost_FitnessCenter!H53,InstallRatesCostAndLifetime!$A$2:$A$6,0),MATCH(InputForProCost_FitnessCenter!I53,InstallRatesCostAndLifetime!$A$2:$D$2,0))</f>
        <v>0.7</v>
      </c>
      <c r="M53" s="493">
        <f t="shared" si="5"/>
        <v>0</v>
      </c>
      <c r="N53" s="492"/>
      <c r="O53" s="492" t="str">
        <f t="shared" si="6"/>
        <v>Fitness Center2_4 to 2_49 gpm1_50</v>
      </c>
      <c r="P53" s="494">
        <f>VLOOKUP($O53,Impacts!$F$27:$Z$59,16,FALSE)</f>
        <v>7131.0586673912767</v>
      </c>
      <c r="Q53" s="494">
        <f>VLOOKUP($O53,Impacts!$F$27:$Z$59,17,FALSE)*L53</f>
        <v>200.13998042111433</v>
      </c>
      <c r="R53" s="495">
        <f>VLOOKUP($O53,Impacts!$F$27:$Z$59,19,FALSE)*L53</f>
        <v>222.61234338249901</v>
      </c>
      <c r="S53" s="496">
        <f>VLOOKUP($O53,Impacts!$F$27:$Z$59,20,FALSE)*L53</f>
        <v>37833.644692082104</v>
      </c>
      <c r="T53" s="497">
        <f>VLOOKUP($O53,Impacts!$F$27:$Z$59,21,FALSE)*L53</f>
        <v>497.9922994745595</v>
      </c>
      <c r="U53" s="492"/>
      <c r="V53" s="492" t="str">
        <f t="shared" si="7"/>
        <v>Commercial Showerhead Replacement_Fitness Center_precondition 2_4 to 2_49 gpm_efficient 1_50 gpm_Retail_Gas Water Heating</v>
      </c>
      <c r="W53" s="492" t="s">
        <v>440</v>
      </c>
      <c r="X53" s="494">
        <f t="shared" si="10"/>
        <v>0</v>
      </c>
      <c r="Y53" s="492">
        <v>10</v>
      </c>
      <c r="Z53" s="498">
        <f t="shared" si="11"/>
        <v>3.2966774171383419</v>
      </c>
      <c r="AA53" s="492"/>
      <c r="AB53" s="499" t="s">
        <v>441</v>
      </c>
      <c r="AC53" s="497">
        <f t="shared" si="12"/>
        <v>497.9922994745595</v>
      </c>
      <c r="AD53" s="492"/>
      <c r="AE53" s="492"/>
      <c r="AF53" s="492"/>
      <c r="AG53" s="492"/>
      <c r="AH53" s="492"/>
      <c r="AI53" s="492"/>
      <c r="AJ53" s="492">
        <f t="shared" si="8"/>
        <v>222.61234338249901</v>
      </c>
      <c r="AK53" s="492" t="s">
        <v>442</v>
      </c>
    </row>
    <row r="54" spans="1:37">
      <c r="A54" s="492">
        <f t="shared" si="9"/>
        <v>36</v>
      </c>
      <c r="B54" s="492">
        <f t="shared" si="13"/>
        <v>2</v>
      </c>
      <c r="C54" s="492">
        <f t="shared" si="13"/>
        <v>1</v>
      </c>
      <c r="D54" s="492">
        <f t="shared" si="13"/>
        <v>3</v>
      </c>
      <c r="E54" s="492">
        <f t="shared" si="1"/>
        <v>3</v>
      </c>
      <c r="F54" s="499" t="s">
        <v>645</v>
      </c>
      <c r="G54" s="499" t="str">
        <f t="shared" si="2"/>
        <v>2_4 to 2_49 gpm</v>
      </c>
      <c r="H54" s="492" t="str">
        <f t="shared" si="3"/>
        <v>Retail</v>
      </c>
      <c r="I54" s="492" t="str">
        <f t="shared" si="3"/>
        <v>1_50</v>
      </c>
      <c r="J54" s="492" t="str">
        <f t="shared" si="3"/>
        <v>Any Water Heating</v>
      </c>
      <c r="K54" s="492" t="str">
        <f t="shared" si="4"/>
        <v>Commercial Showerhead Replacement_Fitness Center_precondition 2_4 to 2_49 gpm_efficient 1_50 gpm_Retail_Any Water Heating</v>
      </c>
      <c r="L54" s="493">
        <f>INDEX(InstallRatesCostAndLifetime!$A$2:$D$6,MATCH(InputForProCost_FitnessCenter!H54,InstallRatesCostAndLifetime!$A$2:$A$6,0),MATCH(InputForProCost_FitnessCenter!I54,InstallRatesCostAndLifetime!$A$2:$D$2,0))</f>
        <v>0.7</v>
      </c>
      <c r="M54" s="493">
        <f t="shared" si="5"/>
        <v>0.31666666666666665</v>
      </c>
      <c r="N54" s="492"/>
      <c r="O54" s="492" t="str">
        <f t="shared" si="6"/>
        <v>Fitness Center2_4 to 2_49 gpm1_50</v>
      </c>
      <c r="P54" s="494">
        <f>VLOOKUP($O54,Impacts!$F$27:$Z$59,16,FALSE)</f>
        <v>7131.0586673912767</v>
      </c>
      <c r="Q54" s="494">
        <f>VLOOKUP($O54,Impacts!$F$27:$Z$59,17,FALSE)*L54</f>
        <v>200.13998042111433</v>
      </c>
      <c r="R54" s="495">
        <f>VLOOKUP($O54,Impacts!$F$27:$Z$59,19,FALSE)*L54</f>
        <v>222.61234338249901</v>
      </c>
      <c r="S54" s="496">
        <f>VLOOKUP($O54,Impacts!$F$27:$Z$59,20,FALSE)*L54</f>
        <v>37833.644692082104</v>
      </c>
      <c r="T54" s="497">
        <f>VLOOKUP($O54,Impacts!$F$27:$Z$59,21,FALSE)*L54</f>
        <v>497.9922994745595</v>
      </c>
      <c r="U54" s="492"/>
      <c r="V54" s="492" t="str">
        <f t="shared" si="7"/>
        <v>Commercial Showerhead Replacement_Fitness Center_precondition 2_4 to 2_49 gpm_efficient 1_50 gpm_Retail_Any Water Heating</v>
      </c>
      <c r="W54" s="492" t="s">
        <v>440</v>
      </c>
      <c r="X54" s="494">
        <f t="shared" si="10"/>
        <v>1580.7180046050662</v>
      </c>
      <c r="Y54" s="492">
        <v>10</v>
      </c>
      <c r="Z54" s="498">
        <f t="shared" si="11"/>
        <v>3.2966774171383419</v>
      </c>
      <c r="AA54" s="492"/>
      <c r="AB54" s="499" t="s">
        <v>441</v>
      </c>
      <c r="AC54" s="497">
        <f t="shared" si="12"/>
        <v>497.9922994745595</v>
      </c>
      <c r="AD54" s="492"/>
      <c r="AE54" s="492"/>
      <c r="AF54" s="492"/>
      <c r="AG54" s="492"/>
      <c r="AH54" s="492"/>
      <c r="AI54" s="492"/>
      <c r="AJ54" s="492">
        <f t="shared" si="8"/>
        <v>152.11843464470766</v>
      </c>
      <c r="AK54" s="492" t="s">
        <v>442</v>
      </c>
    </row>
    <row r="55" spans="1:37">
      <c r="A55" s="492">
        <f t="shared" si="9"/>
        <v>37</v>
      </c>
      <c r="B55" s="492">
        <f t="shared" si="13"/>
        <v>2</v>
      </c>
      <c r="C55" s="492">
        <f t="shared" si="13"/>
        <v>2</v>
      </c>
      <c r="D55" s="492">
        <f t="shared" si="13"/>
        <v>1</v>
      </c>
      <c r="E55" s="492">
        <f t="shared" si="1"/>
        <v>1</v>
      </c>
      <c r="F55" s="499" t="s">
        <v>645</v>
      </c>
      <c r="G55" s="499" t="str">
        <f t="shared" si="2"/>
        <v>2_4 to 2_49 gpm</v>
      </c>
      <c r="H55" s="492" t="str">
        <f t="shared" si="3"/>
        <v>Direct Install</v>
      </c>
      <c r="I55" s="492" t="str">
        <f t="shared" si="3"/>
        <v>2_00</v>
      </c>
      <c r="J55" s="492" t="str">
        <f t="shared" si="3"/>
        <v>Electric Water Heating</v>
      </c>
      <c r="K55" s="492" t="str">
        <f t="shared" si="4"/>
        <v>Commercial Showerhead Replacement_Fitness Center_precondition 2_4 to 2_49 gpm_efficient 2_00 gpm_Direct Install_Electric Water Heating</v>
      </c>
      <c r="L55" s="493">
        <f>INDEX(InstallRatesCostAndLifetime!$A$2:$D$6,MATCH(InputForProCost_FitnessCenter!H55,InstallRatesCostAndLifetime!$A$2:$A$6,0),MATCH(InputForProCost_FitnessCenter!I55,InstallRatesCostAndLifetime!$A$2:$D$2,0))</f>
        <v>0.9</v>
      </c>
      <c r="M55" s="493">
        <f t="shared" si="5"/>
        <v>1</v>
      </c>
      <c r="N55" s="492"/>
      <c r="O55" s="492" t="str">
        <f t="shared" si="6"/>
        <v>Fitness Center2_4 to 2_49 gpm2_00</v>
      </c>
      <c r="P55" s="494">
        <f>VLOOKUP($O55,Impacts!$F$27:$Z$59,16,FALSE)</f>
        <v>5158.2636105541624</v>
      </c>
      <c r="Q55" s="494">
        <f>VLOOKUP($O55,Impacts!$F$27:$Z$59,17,FALSE)*L55</f>
        <v>176.06299029526602</v>
      </c>
      <c r="R55" s="495">
        <f>VLOOKUP($O55,Impacts!$F$27:$Z$59,19,FALSE)*L55</f>
        <v>207.03474423248107</v>
      </c>
      <c r="S55" s="496">
        <f>VLOOKUP($O55,Impacts!$F$27:$Z$59,20,FALSE)*L55</f>
        <v>33282.228789275243</v>
      </c>
      <c r="T55" s="497">
        <f>VLOOKUP($O55,Impacts!$F$27:$Z$59,21,FALSE)*L55</f>
        <v>438.0834514174698</v>
      </c>
      <c r="U55" s="492"/>
      <c r="V55" s="492" t="str">
        <f t="shared" si="7"/>
        <v>Commercial Showerhead Replacement_Fitness Center_precondition 2_4 to 2_49 gpm_efficient 2_00 gpm_Direct Install_Electric Water Heating</v>
      </c>
      <c r="W55" s="492" t="s">
        <v>440</v>
      </c>
      <c r="X55" s="494">
        <f t="shared" si="10"/>
        <v>4642.4372494987465</v>
      </c>
      <c r="Y55" s="492">
        <v>10</v>
      </c>
      <c r="Z55" s="498">
        <f t="shared" si="11"/>
        <v>11.336666666666666</v>
      </c>
      <c r="AA55" s="492"/>
      <c r="AB55" s="499" t="s">
        <v>441</v>
      </c>
      <c r="AC55" s="497">
        <f t="shared" si="12"/>
        <v>438.0834514174698</v>
      </c>
      <c r="AD55" s="492"/>
      <c r="AE55" s="492"/>
      <c r="AF55" s="492"/>
      <c r="AG55" s="492"/>
      <c r="AH55" s="492"/>
      <c r="AI55" s="492"/>
      <c r="AJ55" s="492">
        <f t="shared" si="8"/>
        <v>0</v>
      </c>
      <c r="AK55" s="492" t="s">
        <v>442</v>
      </c>
    </row>
    <row r="56" spans="1:37">
      <c r="A56" s="492">
        <f t="shared" si="9"/>
        <v>38</v>
      </c>
      <c r="B56" s="492">
        <f t="shared" si="13"/>
        <v>2</v>
      </c>
      <c r="C56" s="492">
        <f t="shared" si="13"/>
        <v>2</v>
      </c>
      <c r="D56" s="492">
        <f t="shared" si="13"/>
        <v>1</v>
      </c>
      <c r="E56" s="492">
        <f t="shared" si="1"/>
        <v>2</v>
      </c>
      <c r="F56" s="499" t="s">
        <v>645</v>
      </c>
      <c r="G56" s="499" t="str">
        <f t="shared" si="2"/>
        <v>2_4 to 2_49 gpm</v>
      </c>
      <c r="H56" s="492" t="str">
        <f t="shared" si="3"/>
        <v>Direct Install</v>
      </c>
      <c r="I56" s="492" t="str">
        <f t="shared" si="3"/>
        <v>2_00</v>
      </c>
      <c r="J56" s="492" t="str">
        <f t="shared" si="3"/>
        <v>Gas Water Heating</v>
      </c>
      <c r="K56" s="492" t="str">
        <f t="shared" si="4"/>
        <v>Commercial Showerhead Replacement_Fitness Center_precondition 2_4 to 2_49 gpm_efficient 2_00 gpm_Direct Install_Gas Water Heating</v>
      </c>
      <c r="L56" s="493">
        <f>INDEX(InstallRatesCostAndLifetime!$A$2:$D$6,MATCH(InputForProCost_FitnessCenter!H56,InstallRatesCostAndLifetime!$A$2:$A$6,0),MATCH(InputForProCost_FitnessCenter!I56,InstallRatesCostAndLifetime!$A$2:$D$2,0))</f>
        <v>0.9</v>
      </c>
      <c r="M56" s="493">
        <f t="shared" si="5"/>
        <v>0</v>
      </c>
      <c r="N56" s="492"/>
      <c r="O56" s="492" t="str">
        <f t="shared" si="6"/>
        <v>Fitness Center2_4 to 2_49 gpm2_00</v>
      </c>
      <c r="P56" s="494">
        <f>VLOOKUP($O56,Impacts!$F$27:$Z$59,16,FALSE)</f>
        <v>5158.2636105541624</v>
      </c>
      <c r="Q56" s="494">
        <f>VLOOKUP($O56,Impacts!$F$27:$Z$59,17,FALSE)*L56</f>
        <v>176.06299029526602</v>
      </c>
      <c r="R56" s="495">
        <f>VLOOKUP($O56,Impacts!$F$27:$Z$59,19,FALSE)*L56</f>
        <v>207.03474423248107</v>
      </c>
      <c r="S56" s="496">
        <f>VLOOKUP($O56,Impacts!$F$27:$Z$59,20,FALSE)*L56</f>
        <v>33282.228789275243</v>
      </c>
      <c r="T56" s="497">
        <f>VLOOKUP($O56,Impacts!$F$27:$Z$59,21,FALSE)*L56</f>
        <v>438.0834514174698</v>
      </c>
      <c r="U56" s="492"/>
      <c r="V56" s="492" t="str">
        <f t="shared" si="7"/>
        <v>Commercial Showerhead Replacement_Fitness Center_precondition 2_4 to 2_49 gpm_efficient 2_00 gpm_Direct Install_Gas Water Heating</v>
      </c>
      <c r="W56" s="492" t="s">
        <v>440</v>
      </c>
      <c r="X56" s="494">
        <f t="shared" si="10"/>
        <v>0</v>
      </c>
      <c r="Y56" s="492">
        <v>10</v>
      </c>
      <c r="Z56" s="498">
        <f t="shared" si="11"/>
        <v>11.336666666666666</v>
      </c>
      <c r="AA56" s="492"/>
      <c r="AB56" s="499" t="s">
        <v>441</v>
      </c>
      <c r="AC56" s="497">
        <f t="shared" si="12"/>
        <v>438.0834514174698</v>
      </c>
      <c r="AD56" s="492"/>
      <c r="AE56" s="492"/>
      <c r="AF56" s="492"/>
      <c r="AG56" s="492"/>
      <c r="AH56" s="492"/>
      <c r="AI56" s="492"/>
      <c r="AJ56" s="492">
        <f t="shared" si="8"/>
        <v>207.03474423248107</v>
      </c>
      <c r="AK56" s="492" t="s">
        <v>442</v>
      </c>
    </row>
    <row r="57" spans="1:37">
      <c r="A57" s="492">
        <f t="shared" si="9"/>
        <v>39</v>
      </c>
      <c r="B57" s="492">
        <f t="shared" si="13"/>
        <v>2</v>
      </c>
      <c r="C57" s="492">
        <f t="shared" si="13"/>
        <v>2</v>
      </c>
      <c r="D57" s="492">
        <f t="shared" si="13"/>
        <v>1</v>
      </c>
      <c r="E57" s="492">
        <f t="shared" si="1"/>
        <v>3</v>
      </c>
      <c r="F57" s="499" t="s">
        <v>645</v>
      </c>
      <c r="G57" s="499" t="str">
        <f t="shared" si="2"/>
        <v>2_4 to 2_49 gpm</v>
      </c>
      <c r="H57" s="492" t="str">
        <f t="shared" si="3"/>
        <v>Direct Install</v>
      </c>
      <c r="I57" s="492" t="str">
        <f t="shared" si="3"/>
        <v>2_00</v>
      </c>
      <c r="J57" s="492" t="str">
        <f t="shared" si="3"/>
        <v>Any Water Heating</v>
      </c>
      <c r="K57" s="492" t="str">
        <f t="shared" si="4"/>
        <v>Commercial Showerhead Replacement_Fitness Center_precondition 2_4 to 2_49 gpm_efficient 2_00 gpm_Direct Install_Any Water Heating</v>
      </c>
      <c r="L57" s="493">
        <f>INDEX(InstallRatesCostAndLifetime!$A$2:$D$6,MATCH(InputForProCost_FitnessCenter!H57,InstallRatesCostAndLifetime!$A$2:$A$6,0),MATCH(InputForProCost_FitnessCenter!I57,InstallRatesCostAndLifetime!$A$2:$D$2,0))</f>
        <v>0.9</v>
      </c>
      <c r="M57" s="493">
        <f t="shared" si="5"/>
        <v>0.31666666666666665</v>
      </c>
      <c r="N57" s="492"/>
      <c r="O57" s="492" t="str">
        <f t="shared" si="6"/>
        <v>Fitness Center2_4 to 2_49 gpm2_00</v>
      </c>
      <c r="P57" s="494">
        <f>VLOOKUP($O57,Impacts!$F$27:$Z$59,16,FALSE)</f>
        <v>5158.2636105541624</v>
      </c>
      <c r="Q57" s="494">
        <f>VLOOKUP($O57,Impacts!$F$27:$Z$59,17,FALSE)*L57</f>
        <v>176.06299029526602</v>
      </c>
      <c r="R57" s="495">
        <f>VLOOKUP($O57,Impacts!$F$27:$Z$59,19,FALSE)*L57</f>
        <v>207.03474423248107</v>
      </c>
      <c r="S57" s="496">
        <f>VLOOKUP($O57,Impacts!$F$27:$Z$59,20,FALSE)*L57</f>
        <v>33282.228789275243</v>
      </c>
      <c r="T57" s="497">
        <f>VLOOKUP($O57,Impacts!$F$27:$Z$59,21,FALSE)*L57</f>
        <v>438.0834514174698</v>
      </c>
      <c r="U57" s="492"/>
      <c r="V57" s="492" t="str">
        <f t="shared" si="7"/>
        <v>Commercial Showerhead Replacement_Fitness Center_precondition 2_4 to 2_49 gpm_efficient 2_00 gpm_Direct Install_Any Water Heating</v>
      </c>
      <c r="W57" s="492" t="s">
        <v>440</v>
      </c>
      <c r="X57" s="494">
        <f t="shared" si="10"/>
        <v>1470.1051290079361</v>
      </c>
      <c r="Y57" s="492">
        <v>10</v>
      </c>
      <c r="Z57" s="498">
        <f t="shared" si="11"/>
        <v>11.336666666666666</v>
      </c>
      <c r="AA57" s="492"/>
      <c r="AB57" s="499" t="s">
        <v>441</v>
      </c>
      <c r="AC57" s="497">
        <f t="shared" si="12"/>
        <v>438.0834514174698</v>
      </c>
      <c r="AD57" s="492"/>
      <c r="AE57" s="492"/>
      <c r="AF57" s="492"/>
      <c r="AG57" s="492"/>
      <c r="AH57" s="492"/>
      <c r="AI57" s="492"/>
      <c r="AJ57" s="492">
        <f t="shared" si="8"/>
        <v>141.47374189219539</v>
      </c>
      <c r="AK57" s="492" t="s">
        <v>442</v>
      </c>
    </row>
    <row r="58" spans="1:37">
      <c r="A58" s="492">
        <f t="shared" si="9"/>
        <v>40</v>
      </c>
      <c r="B58" s="492">
        <f t="shared" si="13"/>
        <v>2</v>
      </c>
      <c r="C58" s="492">
        <f t="shared" si="13"/>
        <v>2</v>
      </c>
      <c r="D58" s="492">
        <f t="shared" si="13"/>
        <v>2</v>
      </c>
      <c r="E58" s="492">
        <f t="shared" si="1"/>
        <v>1</v>
      </c>
      <c r="F58" s="499" t="s">
        <v>645</v>
      </c>
      <c r="G58" s="499" t="str">
        <f t="shared" si="2"/>
        <v>2_4 to 2_49 gpm</v>
      </c>
      <c r="H58" s="492" t="str">
        <f t="shared" si="3"/>
        <v>Direct Install</v>
      </c>
      <c r="I58" s="492" t="str">
        <f t="shared" si="3"/>
        <v>1_75</v>
      </c>
      <c r="J58" s="492" t="str">
        <f t="shared" si="3"/>
        <v>Electric Water Heating</v>
      </c>
      <c r="K58" s="492" t="str">
        <f t="shared" si="4"/>
        <v>Commercial Showerhead Replacement_Fitness Center_precondition 2_4 to 2_49 gpm_efficient 1_75 gpm_Direct Install_Electric Water Heating</v>
      </c>
      <c r="L58" s="493">
        <f>INDEX(InstallRatesCostAndLifetime!$A$2:$D$6,MATCH(InputForProCost_FitnessCenter!H58,InstallRatesCostAndLifetime!$A$2:$A$6,0),MATCH(InputForProCost_FitnessCenter!I58,InstallRatesCostAndLifetime!$A$2:$D$2,0))</f>
        <v>0.9</v>
      </c>
      <c r="M58" s="493">
        <f t="shared" si="5"/>
        <v>1</v>
      </c>
      <c r="N58" s="492"/>
      <c r="O58" s="492" t="str">
        <f t="shared" si="6"/>
        <v>Fitness Center2_4 to 2_49 gpm1_75</v>
      </c>
      <c r="P58" s="494">
        <f>VLOOKUP($O58,Impacts!$F$27:$Z$59,16,FALSE)</f>
        <v>5331.7245932419391</v>
      </c>
      <c r="Q58" s="494">
        <f>VLOOKUP($O58,Impacts!$F$27:$Z$59,17,FALSE)*L58</f>
        <v>189.6062972410557</v>
      </c>
      <c r="R58" s="495">
        <f>VLOOKUP($O58,Impacts!$F$27:$Z$59,19,FALSE)*L58</f>
        <v>213.99686422022248</v>
      </c>
      <c r="S58" s="496">
        <f>VLOOKUP($O58,Impacts!$F$27:$Z$59,20,FALSE)*L58</f>
        <v>35842.400234604102</v>
      </c>
      <c r="T58" s="497">
        <f>VLOOKUP($O58,Impacts!$F$27:$Z$59,21,FALSE)*L58</f>
        <v>471.78217844958277</v>
      </c>
      <c r="U58" s="492"/>
      <c r="V58" s="492" t="str">
        <f t="shared" si="7"/>
        <v>Commercial Showerhead Replacement_Fitness Center_precondition 2_4 to 2_49 gpm_efficient 1_75 gpm_Direct Install_Electric Water Heating</v>
      </c>
      <c r="W58" s="492" t="s">
        <v>440</v>
      </c>
      <c r="X58" s="494">
        <f t="shared" si="10"/>
        <v>4798.5521339177458</v>
      </c>
      <c r="Y58" s="492">
        <v>10</v>
      </c>
      <c r="Z58" s="498">
        <f t="shared" si="11"/>
        <v>11.336666666666666</v>
      </c>
      <c r="AA58" s="492"/>
      <c r="AB58" s="499" t="s">
        <v>441</v>
      </c>
      <c r="AC58" s="497">
        <f t="shared" si="12"/>
        <v>471.78217844958277</v>
      </c>
      <c r="AD58" s="492"/>
      <c r="AE58" s="492"/>
      <c r="AF58" s="492"/>
      <c r="AG58" s="492"/>
      <c r="AH58" s="492"/>
      <c r="AI58" s="492"/>
      <c r="AJ58" s="492">
        <f t="shared" si="8"/>
        <v>0</v>
      </c>
      <c r="AK58" s="492" t="s">
        <v>442</v>
      </c>
    </row>
    <row r="59" spans="1:37">
      <c r="A59" s="492">
        <f t="shared" si="9"/>
        <v>41</v>
      </c>
      <c r="B59" s="492">
        <f t="shared" ref="B59:D78" si="14">CEILING((MOD($A59-1,B$17)+1)/C$17,1)</f>
        <v>2</v>
      </c>
      <c r="C59" s="492">
        <f t="shared" si="14"/>
        <v>2</v>
      </c>
      <c r="D59" s="492">
        <f t="shared" si="14"/>
        <v>2</v>
      </c>
      <c r="E59" s="492">
        <f t="shared" si="1"/>
        <v>2</v>
      </c>
      <c r="F59" s="499" t="s">
        <v>645</v>
      </c>
      <c r="G59" s="499" t="str">
        <f t="shared" si="2"/>
        <v>2_4 to 2_49 gpm</v>
      </c>
      <c r="H59" s="492" t="str">
        <f t="shared" si="3"/>
        <v>Direct Install</v>
      </c>
      <c r="I59" s="492" t="str">
        <f t="shared" si="3"/>
        <v>1_75</v>
      </c>
      <c r="J59" s="492" t="str">
        <f t="shared" si="3"/>
        <v>Gas Water Heating</v>
      </c>
      <c r="K59" s="492" t="str">
        <f t="shared" si="4"/>
        <v>Commercial Showerhead Replacement_Fitness Center_precondition 2_4 to 2_49 gpm_efficient 1_75 gpm_Direct Install_Gas Water Heating</v>
      </c>
      <c r="L59" s="493">
        <f>INDEX(InstallRatesCostAndLifetime!$A$2:$D$6,MATCH(InputForProCost_FitnessCenter!H59,InstallRatesCostAndLifetime!$A$2:$A$6,0),MATCH(InputForProCost_FitnessCenter!I59,InstallRatesCostAndLifetime!$A$2:$D$2,0))</f>
        <v>0.9</v>
      </c>
      <c r="M59" s="493">
        <f t="shared" si="5"/>
        <v>0</v>
      </c>
      <c r="N59" s="492"/>
      <c r="O59" s="492" t="str">
        <f t="shared" si="6"/>
        <v>Fitness Center2_4 to 2_49 gpm1_75</v>
      </c>
      <c r="P59" s="494">
        <f>VLOOKUP($O59,Impacts!$F$27:$Z$59,16,FALSE)</f>
        <v>5331.7245932419391</v>
      </c>
      <c r="Q59" s="494">
        <f>VLOOKUP($O59,Impacts!$F$27:$Z$59,17,FALSE)*L59</f>
        <v>189.6062972410557</v>
      </c>
      <c r="R59" s="495">
        <f>VLOOKUP($O59,Impacts!$F$27:$Z$59,19,FALSE)*L59</f>
        <v>213.99686422022248</v>
      </c>
      <c r="S59" s="496">
        <f>VLOOKUP($O59,Impacts!$F$27:$Z$59,20,FALSE)*L59</f>
        <v>35842.400234604102</v>
      </c>
      <c r="T59" s="497">
        <f>VLOOKUP($O59,Impacts!$F$27:$Z$59,21,FALSE)*L59</f>
        <v>471.78217844958277</v>
      </c>
      <c r="U59" s="492"/>
      <c r="V59" s="492" t="str">
        <f t="shared" si="7"/>
        <v>Commercial Showerhead Replacement_Fitness Center_precondition 2_4 to 2_49 gpm_efficient 1_75 gpm_Direct Install_Gas Water Heating</v>
      </c>
      <c r="W59" s="492" t="s">
        <v>440</v>
      </c>
      <c r="X59" s="494">
        <f t="shared" si="10"/>
        <v>0</v>
      </c>
      <c r="Y59" s="492">
        <v>10</v>
      </c>
      <c r="Z59" s="498">
        <f t="shared" si="11"/>
        <v>11.336666666666666</v>
      </c>
      <c r="AA59" s="492"/>
      <c r="AB59" s="499" t="s">
        <v>441</v>
      </c>
      <c r="AC59" s="497">
        <f t="shared" si="12"/>
        <v>471.78217844958277</v>
      </c>
      <c r="AD59" s="492"/>
      <c r="AE59" s="492"/>
      <c r="AF59" s="492"/>
      <c r="AG59" s="492"/>
      <c r="AH59" s="492"/>
      <c r="AI59" s="492"/>
      <c r="AJ59" s="492">
        <f t="shared" si="8"/>
        <v>213.99686422022248</v>
      </c>
      <c r="AK59" s="492" t="s">
        <v>442</v>
      </c>
    </row>
    <row r="60" spans="1:37">
      <c r="A60" s="492">
        <f t="shared" si="9"/>
        <v>42</v>
      </c>
      <c r="B60" s="492">
        <f t="shared" si="14"/>
        <v>2</v>
      </c>
      <c r="C60" s="492">
        <f t="shared" si="14"/>
        <v>2</v>
      </c>
      <c r="D60" s="492">
        <f t="shared" si="14"/>
        <v>2</v>
      </c>
      <c r="E60" s="492">
        <f t="shared" si="1"/>
        <v>3</v>
      </c>
      <c r="F60" s="499" t="s">
        <v>645</v>
      </c>
      <c r="G60" s="499" t="str">
        <f t="shared" si="2"/>
        <v>2_4 to 2_49 gpm</v>
      </c>
      <c r="H60" s="492" t="str">
        <f t="shared" si="3"/>
        <v>Direct Install</v>
      </c>
      <c r="I60" s="492" t="str">
        <f t="shared" si="3"/>
        <v>1_75</v>
      </c>
      <c r="J60" s="492" t="str">
        <f t="shared" si="3"/>
        <v>Any Water Heating</v>
      </c>
      <c r="K60" s="492" t="str">
        <f t="shared" si="4"/>
        <v>Commercial Showerhead Replacement_Fitness Center_precondition 2_4 to 2_49 gpm_efficient 1_75 gpm_Direct Install_Any Water Heating</v>
      </c>
      <c r="L60" s="493">
        <f>INDEX(InstallRatesCostAndLifetime!$A$2:$D$6,MATCH(InputForProCost_FitnessCenter!H60,InstallRatesCostAndLifetime!$A$2:$A$6,0),MATCH(InputForProCost_FitnessCenter!I60,InstallRatesCostAndLifetime!$A$2:$D$2,0))</f>
        <v>0.9</v>
      </c>
      <c r="M60" s="493">
        <f t="shared" si="5"/>
        <v>0.31666666666666665</v>
      </c>
      <c r="N60" s="492"/>
      <c r="O60" s="492" t="str">
        <f t="shared" si="6"/>
        <v>Fitness Center2_4 to 2_49 gpm1_75</v>
      </c>
      <c r="P60" s="494">
        <f>VLOOKUP($O60,Impacts!$F$27:$Z$59,16,FALSE)</f>
        <v>5331.7245932419391</v>
      </c>
      <c r="Q60" s="494">
        <f>VLOOKUP($O60,Impacts!$F$27:$Z$59,17,FALSE)*L60</f>
        <v>189.6062972410557</v>
      </c>
      <c r="R60" s="495">
        <f>VLOOKUP($O60,Impacts!$F$27:$Z$59,19,FALSE)*L60</f>
        <v>213.99686422022248</v>
      </c>
      <c r="S60" s="496">
        <f>VLOOKUP($O60,Impacts!$F$27:$Z$59,20,FALSE)*L60</f>
        <v>35842.400234604102</v>
      </c>
      <c r="T60" s="497">
        <f>VLOOKUP($O60,Impacts!$F$27:$Z$59,21,FALSE)*L60</f>
        <v>471.78217844958277</v>
      </c>
      <c r="U60" s="492"/>
      <c r="V60" s="492" t="str">
        <f t="shared" si="7"/>
        <v>Commercial Showerhead Replacement_Fitness Center_precondition 2_4 to 2_49 gpm_efficient 1_75 gpm_Direct Install_Any Water Heating</v>
      </c>
      <c r="W60" s="492" t="s">
        <v>440</v>
      </c>
      <c r="X60" s="494">
        <f t="shared" si="10"/>
        <v>1519.5415090739525</v>
      </c>
      <c r="Y60" s="492">
        <v>10</v>
      </c>
      <c r="Z60" s="498">
        <f t="shared" si="11"/>
        <v>11.336666666666666</v>
      </c>
      <c r="AA60" s="492"/>
      <c r="AB60" s="499" t="s">
        <v>441</v>
      </c>
      <c r="AC60" s="497">
        <f t="shared" si="12"/>
        <v>471.78217844958277</v>
      </c>
      <c r="AD60" s="492"/>
      <c r="AE60" s="492"/>
      <c r="AF60" s="492"/>
      <c r="AG60" s="492"/>
      <c r="AH60" s="492"/>
      <c r="AI60" s="492"/>
      <c r="AJ60" s="492">
        <f t="shared" si="8"/>
        <v>146.23119055048537</v>
      </c>
      <c r="AK60" s="492" t="s">
        <v>442</v>
      </c>
    </row>
    <row r="61" spans="1:37">
      <c r="A61" s="492">
        <f t="shared" si="9"/>
        <v>43</v>
      </c>
      <c r="B61" s="492">
        <f t="shared" si="14"/>
        <v>2</v>
      </c>
      <c r="C61" s="492">
        <f t="shared" si="14"/>
        <v>2</v>
      </c>
      <c r="D61" s="492">
        <f t="shared" si="14"/>
        <v>3</v>
      </c>
      <c r="E61" s="492">
        <f t="shared" si="1"/>
        <v>1</v>
      </c>
      <c r="F61" s="499" t="s">
        <v>645</v>
      </c>
      <c r="G61" s="499" t="str">
        <f t="shared" si="2"/>
        <v>2_4 to 2_49 gpm</v>
      </c>
      <c r="H61" s="492" t="str">
        <f t="shared" si="3"/>
        <v>Direct Install</v>
      </c>
      <c r="I61" s="492" t="str">
        <f t="shared" si="3"/>
        <v>1_50</v>
      </c>
      <c r="J61" s="492" t="str">
        <f t="shared" si="3"/>
        <v>Electric Water Heating</v>
      </c>
      <c r="K61" s="492" t="str">
        <f t="shared" si="4"/>
        <v>Commercial Showerhead Replacement_Fitness Center_precondition 2_4 to 2_49 gpm_efficient 1_50 gpm_Direct Install_Electric Water Heating</v>
      </c>
      <c r="L61" s="493">
        <f>INDEX(InstallRatesCostAndLifetime!$A$2:$D$6,MATCH(InputForProCost_FitnessCenter!H61,InstallRatesCostAndLifetime!$A$2:$A$6,0),MATCH(InputForProCost_FitnessCenter!I61,InstallRatesCostAndLifetime!$A$2:$D$2,0))</f>
        <v>0.9</v>
      </c>
      <c r="M61" s="493">
        <f t="shared" si="5"/>
        <v>1</v>
      </c>
      <c r="N61" s="492"/>
      <c r="O61" s="492" t="str">
        <f t="shared" si="6"/>
        <v>Fitness Center2_4 to 2_49 gpm1_50</v>
      </c>
      <c r="P61" s="494">
        <f>VLOOKUP($O61,Impacts!$F$27:$Z$59,16,FALSE)</f>
        <v>7131.0586673912767</v>
      </c>
      <c r="Q61" s="494">
        <f>VLOOKUP($O61,Impacts!$F$27:$Z$59,17,FALSE)*L61</f>
        <v>257.32283197000419</v>
      </c>
      <c r="R61" s="495">
        <f>VLOOKUP($O61,Impacts!$F$27:$Z$59,19,FALSE)*L61</f>
        <v>286.215870063213</v>
      </c>
      <c r="S61" s="496">
        <f>VLOOKUP($O61,Impacts!$F$27:$Z$59,20,FALSE)*L61</f>
        <v>48643.257461248424</v>
      </c>
      <c r="T61" s="497">
        <f>VLOOKUP($O61,Impacts!$F$27:$Z$59,21,FALSE)*L61</f>
        <v>640.27581361014802</v>
      </c>
      <c r="U61" s="492"/>
      <c r="V61" s="492" t="str">
        <f t="shared" si="7"/>
        <v>Commercial Showerhead Replacement_Fitness Center_precondition 2_4 to 2_49 gpm_efficient 1_50 gpm_Direct Install_Electric Water Heating</v>
      </c>
      <c r="W61" s="492" t="s">
        <v>440</v>
      </c>
      <c r="X61" s="494">
        <f t="shared" si="10"/>
        <v>6417.9528006521496</v>
      </c>
      <c r="Y61" s="492">
        <v>10</v>
      </c>
      <c r="Z61" s="498">
        <f t="shared" si="11"/>
        <v>11.336666666666666</v>
      </c>
      <c r="AA61" s="492"/>
      <c r="AB61" s="499" t="s">
        <v>441</v>
      </c>
      <c r="AC61" s="497">
        <f t="shared" si="12"/>
        <v>640.27581361014802</v>
      </c>
      <c r="AD61" s="492"/>
      <c r="AE61" s="492"/>
      <c r="AF61" s="492"/>
      <c r="AG61" s="492"/>
      <c r="AH61" s="492"/>
      <c r="AI61" s="492"/>
      <c r="AJ61" s="492">
        <f t="shared" si="8"/>
        <v>0</v>
      </c>
      <c r="AK61" s="492" t="s">
        <v>442</v>
      </c>
    </row>
    <row r="62" spans="1:37">
      <c r="A62" s="492">
        <f t="shared" si="9"/>
        <v>44</v>
      </c>
      <c r="B62" s="492">
        <f t="shared" si="14"/>
        <v>2</v>
      </c>
      <c r="C62" s="492">
        <f t="shared" si="14"/>
        <v>2</v>
      </c>
      <c r="D62" s="492">
        <f t="shared" si="14"/>
        <v>3</v>
      </c>
      <c r="E62" s="492">
        <f t="shared" si="1"/>
        <v>2</v>
      </c>
      <c r="F62" s="499" t="s">
        <v>645</v>
      </c>
      <c r="G62" s="499" t="str">
        <f t="shared" si="2"/>
        <v>2_4 to 2_49 gpm</v>
      </c>
      <c r="H62" s="492" t="str">
        <f t="shared" si="3"/>
        <v>Direct Install</v>
      </c>
      <c r="I62" s="492" t="str">
        <f t="shared" si="3"/>
        <v>1_50</v>
      </c>
      <c r="J62" s="492" t="str">
        <f t="shared" si="3"/>
        <v>Gas Water Heating</v>
      </c>
      <c r="K62" s="492" t="str">
        <f t="shared" si="4"/>
        <v>Commercial Showerhead Replacement_Fitness Center_precondition 2_4 to 2_49 gpm_efficient 1_50 gpm_Direct Install_Gas Water Heating</v>
      </c>
      <c r="L62" s="493">
        <f>INDEX(InstallRatesCostAndLifetime!$A$2:$D$6,MATCH(InputForProCost_FitnessCenter!H62,InstallRatesCostAndLifetime!$A$2:$A$6,0),MATCH(InputForProCost_FitnessCenter!I62,InstallRatesCostAndLifetime!$A$2:$D$2,0))</f>
        <v>0.9</v>
      </c>
      <c r="M62" s="493">
        <f t="shared" si="5"/>
        <v>0</v>
      </c>
      <c r="N62" s="492"/>
      <c r="O62" s="492" t="str">
        <f t="shared" si="6"/>
        <v>Fitness Center2_4 to 2_49 gpm1_50</v>
      </c>
      <c r="P62" s="494">
        <f>VLOOKUP($O62,Impacts!$F$27:$Z$59,16,FALSE)</f>
        <v>7131.0586673912767</v>
      </c>
      <c r="Q62" s="494">
        <f>VLOOKUP($O62,Impacts!$F$27:$Z$59,17,FALSE)*L62</f>
        <v>257.32283197000419</v>
      </c>
      <c r="R62" s="495">
        <f>VLOOKUP($O62,Impacts!$F$27:$Z$59,19,FALSE)*L62</f>
        <v>286.215870063213</v>
      </c>
      <c r="S62" s="496">
        <f>VLOOKUP($O62,Impacts!$F$27:$Z$59,20,FALSE)*L62</f>
        <v>48643.257461248424</v>
      </c>
      <c r="T62" s="497">
        <f>VLOOKUP($O62,Impacts!$F$27:$Z$59,21,FALSE)*L62</f>
        <v>640.27581361014802</v>
      </c>
      <c r="U62" s="492"/>
      <c r="V62" s="492" t="str">
        <f t="shared" si="7"/>
        <v>Commercial Showerhead Replacement_Fitness Center_precondition 2_4 to 2_49 gpm_efficient 1_50 gpm_Direct Install_Gas Water Heating</v>
      </c>
      <c r="W62" s="492" t="s">
        <v>440</v>
      </c>
      <c r="X62" s="494">
        <f t="shared" si="10"/>
        <v>0</v>
      </c>
      <c r="Y62" s="492">
        <v>10</v>
      </c>
      <c r="Z62" s="498">
        <f t="shared" si="11"/>
        <v>11.336666666666666</v>
      </c>
      <c r="AA62" s="492"/>
      <c r="AB62" s="499" t="s">
        <v>441</v>
      </c>
      <c r="AC62" s="497">
        <f t="shared" si="12"/>
        <v>640.27581361014802</v>
      </c>
      <c r="AD62" s="492"/>
      <c r="AE62" s="492"/>
      <c r="AF62" s="492"/>
      <c r="AG62" s="492"/>
      <c r="AH62" s="492"/>
      <c r="AI62" s="492"/>
      <c r="AJ62" s="492">
        <f t="shared" si="8"/>
        <v>286.215870063213</v>
      </c>
      <c r="AK62" s="492" t="s">
        <v>442</v>
      </c>
    </row>
    <row r="63" spans="1:37">
      <c r="A63" s="492">
        <f t="shared" si="9"/>
        <v>45</v>
      </c>
      <c r="B63" s="492">
        <f t="shared" si="14"/>
        <v>2</v>
      </c>
      <c r="C63" s="492">
        <f t="shared" si="14"/>
        <v>2</v>
      </c>
      <c r="D63" s="492">
        <f t="shared" si="14"/>
        <v>3</v>
      </c>
      <c r="E63" s="492">
        <f t="shared" si="1"/>
        <v>3</v>
      </c>
      <c r="F63" s="499" t="s">
        <v>645</v>
      </c>
      <c r="G63" s="499" t="str">
        <f t="shared" si="2"/>
        <v>2_4 to 2_49 gpm</v>
      </c>
      <c r="H63" s="492" t="str">
        <f t="shared" si="3"/>
        <v>Direct Install</v>
      </c>
      <c r="I63" s="492" t="str">
        <f t="shared" si="3"/>
        <v>1_50</v>
      </c>
      <c r="J63" s="492" t="str">
        <f t="shared" si="3"/>
        <v>Any Water Heating</v>
      </c>
      <c r="K63" s="492" t="str">
        <f t="shared" si="4"/>
        <v>Commercial Showerhead Replacement_Fitness Center_precondition 2_4 to 2_49 gpm_efficient 1_50 gpm_Direct Install_Any Water Heating</v>
      </c>
      <c r="L63" s="493">
        <f>INDEX(InstallRatesCostAndLifetime!$A$2:$D$6,MATCH(InputForProCost_FitnessCenter!H63,InstallRatesCostAndLifetime!$A$2:$A$6,0),MATCH(InputForProCost_FitnessCenter!I63,InstallRatesCostAndLifetime!$A$2:$D$2,0))</f>
        <v>0.9</v>
      </c>
      <c r="M63" s="493">
        <f t="shared" si="5"/>
        <v>0.31666666666666665</v>
      </c>
      <c r="N63" s="492"/>
      <c r="O63" s="492" t="str">
        <f t="shared" si="6"/>
        <v>Fitness Center2_4 to 2_49 gpm1_50</v>
      </c>
      <c r="P63" s="494">
        <f>VLOOKUP($O63,Impacts!$F$27:$Z$59,16,FALSE)</f>
        <v>7131.0586673912767</v>
      </c>
      <c r="Q63" s="494">
        <f>VLOOKUP($O63,Impacts!$F$27:$Z$59,17,FALSE)*L63</f>
        <v>257.32283197000419</v>
      </c>
      <c r="R63" s="495">
        <f>VLOOKUP($O63,Impacts!$F$27:$Z$59,19,FALSE)*L63</f>
        <v>286.215870063213</v>
      </c>
      <c r="S63" s="496">
        <f>VLOOKUP($O63,Impacts!$F$27:$Z$59,20,FALSE)*L63</f>
        <v>48643.257461248424</v>
      </c>
      <c r="T63" s="497">
        <f>VLOOKUP($O63,Impacts!$F$27:$Z$59,21,FALSE)*L63</f>
        <v>640.27581361014802</v>
      </c>
      <c r="U63" s="492"/>
      <c r="V63" s="492" t="str">
        <f t="shared" si="7"/>
        <v>Commercial Showerhead Replacement_Fitness Center_precondition 2_4 to 2_49 gpm_efficient 1_50 gpm_Direct Install_Any Water Heating</v>
      </c>
      <c r="W63" s="492" t="s">
        <v>440</v>
      </c>
      <c r="X63" s="494">
        <f t="shared" si="10"/>
        <v>2032.3517202065138</v>
      </c>
      <c r="Y63" s="492">
        <v>10</v>
      </c>
      <c r="Z63" s="498">
        <f t="shared" si="11"/>
        <v>11.336666666666666</v>
      </c>
      <c r="AA63" s="492"/>
      <c r="AB63" s="499" t="s">
        <v>441</v>
      </c>
      <c r="AC63" s="497">
        <f t="shared" si="12"/>
        <v>640.27581361014802</v>
      </c>
      <c r="AD63" s="492"/>
      <c r="AE63" s="492"/>
      <c r="AF63" s="492"/>
      <c r="AG63" s="492"/>
      <c r="AH63" s="492"/>
      <c r="AI63" s="492"/>
      <c r="AJ63" s="492">
        <f t="shared" si="8"/>
        <v>195.58084454319555</v>
      </c>
      <c r="AK63" s="492" t="s">
        <v>442</v>
      </c>
    </row>
    <row r="64" spans="1:37">
      <c r="A64" s="492">
        <f t="shared" si="9"/>
        <v>46</v>
      </c>
      <c r="B64" s="492">
        <f t="shared" si="14"/>
        <v>2</v>
      </c>
      <c r="C64" s="492">
        <f t="shared" si="14"/>
        <v>3</v>
      </c>
      <c r="D64" s="492">
        <f t="shared" si="14"/>
        <v>1</v>
      </c>
      <c r="E64" s="492">
        <f t="shared" si="1"/>
        <v>1</v>
      </c>
      <c r="F64" s="499" t="s">
        <v>645</v>
      </c>
      <c r="G64" s="499" t="str">
        <f t="shared" si="2"/>
        <v>2_4 to 2_49 gpm</v>
      </c>
      <c r="H64" s="492" t="str">
        <f t="shared" si="3"/>
        <v>Mail-by-Request</v>
      </c>
      <c r="I64" s="492" t="str">
        <f t="shared" si="3"/>
        <v>2_00</v>
      </c>
      <c r="J64" s="492" t="str">
        <f t="shared" si="3"/>
        <v>Electric Water Heating</v>
      </c>
      <c r="K64" s="492" t="str">
        <f t="shared" si="4"/>
        <v>Commercial Showerhead Replacement_Fitness Center_precondition 2_4 to 2_49 gpm_efficient 2_00 gpm_Mail-by-Request_Electric Water Heating</v>
      </c>
      <c r="L64" s="493">
        <f>INDEX(InstallRatesCostAndLifetime!$A$2:$D$6,MATCH(InputForProCost_FitnessCenter!H64,InstallRatesCostAndLifetime!$A$2:$A$6,0),MATCH(InputForProCost_FitnessCenter!I64,InstallRatesCostAndLifetime!$A$2:$D$2,0))</f>
        <v>0.6</v>
      </c>
      <c r="M64" s="493">
        <f t="shared" si="5"/>
        <v>1</v>
      </c>
      <c r="N64" s="492"/>
      <c r="O64" s="492" t="str">
        <f t="shared" si="6"/>
        <v>Fitness Center2_4 to 2_49 gpm2_00</v>
      </c>
      <c r="P64" s="494">
        <f>VLOOKUP($O64,Impacts!$F$27:$Z$59,16,FALSE)</f>
        <v>5158.2636105541624</v>
      </c>
      <c r="Q64" s="494">
        <f>VLOOKUP($O64,Impacts!$F$27:$Z$59,17,FALSE)*L64</f>
        <v>117.37532686351068</v>
      </c>
      <c r="R64" s="495">
        <f>VLOOKUP($O64,Impacts!$F$27:$Z$59,19,FALSE)*L64</f>
        <v>138.02316282165404</v>
      </c>
      <c r="S64" s="496">
        <f>VLOOKUP($O64,Impacts!$F$27:$Z$59,20,FALSE)*L64</f>
        <v>22188.152526183494</v>
      </c>
      <c r="T64" s="497">
        <f>VLOOKUP($O64,Impacts!$F$27:$Z$59,21,FALSE)*L64</f>
        <v>292.05563427831316</v>
      </c>
      <c r="U64" s="492"/>
      <c r="V64" s="492" t="str">
        <f t="shared" si="7"/>
        <v>Commercial Showerhead Replacement_Fitness Center_precondition 2_4 to 2_49 gpm_efficient 2_00 gpm_Mail-by-Request_Electric Water Heating</v>
      </c>
      <c r="W64" s="492" t="s">
        <v>440</v>
      </c>
      <c r="X64" s="494">
        <f t="shared" si="10"/>
        <v>3094.9581663324975</v>
      </c>
      <c r="Y64" s="492">
        <v>10</v>
      </c>
      <c r="Z64" s="498">
        <f t="shared" si="11"/>
        <v>8.1096944444444432</v>
      </c>
      <c r="AA64" s="492"/>
      <c r="AB64" s="499" t="s">
        <v>441</v>
      </c>
      <c r="AC64" s="497">
        <f t="shared" si="12"/>
        <v>292.05563427831316</v>
      </c>
      <c r="AD64" s="492"/>
      <c r="AE64" s="492"/>
      <c r="AF64" s="492"/>
      <c r="AG64" s="492"/>
      <c r="AH64" s="492"/>
      <c r="AI64" s="492"/>
      <c r="AJ64" s="492">
        <f t="shared" si="8"/>
        <v>0</v>
      </c>
      <c r="AK64" s="492" t="s">
        <v>442</v>
      </c>
    </row>
    <row r="65" spans="1:37">
      <c r="A65" s="492">
        <f t="shared" si="9"/>
        <v>47</v>
      </c>
      <c r="B65" s="492">
        <f t="shared" si="14"/>
        <v>2</v>
      </c>
      <c r="C65" s="492">
        <f t="shared" si="14"/>
        <v>3</v>
      </c>
      <c r="D65" s="492">
        <f t="shared" si="14"/>
        <v>1</v>
      </c>
      <c r="E65" s="492">
        <f t="shared" si="1"/>
        <v>2</v>
      </c>
      <c r="F65" s="499" t="s">
        <v>645</v>
      </c>
      <c r="G65" s="499" t="str">
        <f t="shared" si="2"/>
        <v>2_4 to 2_49 gpm</v>
      </c>
      <c r="H65" s="492" t="str">
        <f t="shared" si="3"/>
        <v>Mail-by-Request</v>
      </c>
      <c r="I65" s="492" t="str">
        <f t="shared" si="3"/>
        <v>2_00</v>
      </c>
      <c r="J65" s="492" t="str">
        <f t="shared" si="3"/>
        <v>Gas Water Heating</v>
      </c>
      <c r="K65" s="492" t="str">
        <f t="shared" si="4"/>
        <v>Commercial Showerhead Replacement_Fitness Center_precondition 2_4 to 2_49 gpm_efficient 2_00 gpm_Mail-by-Request_Gas Water Heating</v>
      </c>
      <c r="L65" s="493">
        <f>INDEX(InstallRatesCostAndLifetime!$A$2:$D$6,MATCH(InputForProCost_FitnessCenter!H65,InstallRatesCostAndLifetime!$A$2:$A$6,0),MATCH(InputForProCost_FitnessCenter!I65,InstallRatesCostAndLifetime!$A$2:$D$2,0))</f>
        <v>0.6</v>
      </c>
      <c r="M65" s="493">
        <f t="shared" si="5"/>
        <v>0</v>
      </c>
      <c r="N65" s="492"/>
      <c r="O65" s="492" t="str">
        <f t="shared" si="6"/>
        <v>Fitness Center2_4 to 2_49 gpm2_00</v>
      </c>
      <c r="P65" s="494">
        <f>VLOOKUP($O65,Impacts!$F$27:$Z$59,16,FALSE)</f>
        <v>5158.2636105541624</v>
      </c>
      <c r="Q65" s="494">
        <f>VLOOKUP($O65,Impacts!$F$27:$Z$59,17,FALSE)*L65</f>
        <v>117.37532686351068</v>
      </c>
      <c r="R65" s="495">
        <f>VLOOKUP($O65,Impacts!$F$27:$Z$59,19,FALSE)*L65</f>
        <v>138.02316282165404</v>
      </c>
      <c r="S65" s="496">
        <f>VLOOKUP($O65,Impacts!$F$27:$Z$59,20,FALSE)*L65</f>
        <v>22188.152526183494</v>
      </c>
      <c r="T65" s="497">
        <f>VLOOKUP($O65,Impacts!$F$27:$Z$59,21,FALSE)*L65</f>
        <v>292.05563427831316</v>
      </c>
      <c r="U65" s="492"/>
      <c r="V65" s="492" t="str">
        <f t="shared" si="7"/>
        <v>Commercial Showerhead Replacement_Fitness Center_precondition 2_4 to 2_49 gpm_efficient 2_00 gpm_Mail-by-Request_Gas Water Heating</v>
      </c>
      <c r="W65" s="492" t="s">
        <v>440</v>
      </c>
      <c r="X65" s="494">
        <f t="shared" si="10"/>
        <v>0</v>
      </c>
      <c r="Y65" s="492">
        <v>10</v>
      </c>
      <c r="Z65" s="498">
        <f t="shared" si="11"/>
        <v>8.1096944444444432</v>
      </c>
      <c r="AA65" s="492"/>
      <c r="AB65" s="499" t="s">
        <v>441</v>
      </c>
      <c r="AC65" s="497">
        <f t="shared" si="12"/>
        <v>292.05563427831316</v>
      </c>
      <c r="AD65" s="492"/>
      <c r="AE65" s="492"/>
      <c r="AF65" s="492"/>
      <c r="AG65" s="492"/>
      <c r="AH65" s="492"/>
      <c r="AI65" s="492"/>
      <c r="AJ65" s="492">
        <f t="shared" si="8"/>
        <v>138.02316282165404</v>
      </c>
      <c r="AK65" s="492" t="s">
        <v>442</v>
      </c>
    </row>
    <row r="66" spans="1:37">
      <c r="A66" s="492">
        <f t="shared" si="9"/>
        <v>48</v>
      </c>
      <c r="B66" s="492">
        <f t="shared" si="14"/>
        <v>2</v>
      </c>
      <c r="C66" s="492">
        <f t="shared" si="14"/>
        <v>3</v>
      </c>
      <c r="D66" s="492">
        <f t="shared" si="14"/>
        <v>1</v>
      </c>
      <c r="E66" s="492">
        <f t="shared" si="1"/>
        <v>3</v>
      </c>
      <c r="F66" s="499" t="s">
        <v>645</v>
      </c>
      <c r="G66" s="499" t="str">
        <f t="shared" si="2"/>
        <v>2_4 to 2_49 gpm</v>
      </c>
      <c r="H66" s="492" t="str">
        <f t="shared" si="3"/>
        <v>Mail-by-Request</v>
      </c>
      <c r="I66" s="492" t="str">
        <f t="shared" si="3"/>
        <v>2_00</v>
      </c>
      <c r="J66" s="492" t="str">
        <f t="shared" si="3"/>
        <v>Any Water Heating</v>
      </c>
      <c r="K66" s="492" t="str">
        <f t="shared" si="4"/>
        <v>Commercial Showerhead Replacement_Fitness Center_precondition 2_4 to 2_49 gpm_efficient 2_00 gpm_Mail-by-Request_Any Water Heating</v>
      </c>
      <c r="L66" s="493">
        <f>INDEX(InstallRatesCostAndLifetime!$A$2:$D$6,MATCH(InputForProCost_FitnessCenter!H66,InstallRatesCostAndLifetime!$A$2:$A$6,0),MATCH(InputForProCost_FitnessCenter!I66,InstallRatesCostAndLifetime!$A$2:$D$2,0))</f>
        <v>0.6</v>
      </c>
      <c r="M66" s="493">
        <f t="shared" si="5"/>
        <v>0.31666666666666665</v>
      </c>
      <c r="N66" s="492"/>
      <c r="O66" s="492" t="str">
        <f t="shared" si="6"/>
        <v>Fitness Center2_4 to 2_49 gpm2_00</v>
      </c>
      <c r="P66" s="494">
        <f>VLOOKUP($O66,Impacts!$F$27:$Z$59,16,FALSE)</f>
        <v>5158.2636105541624</v>
      </c>
      <c r="Q66" s="494">
        <f>VLOOKUP($O66,Impacts!$F$27:$Z$59,17,FALSE)*L66</f>
        <v>117.37532686351068</v>
      </c>
      <c r="R66" s="495">
        <f>VLOOKUP($O66,Impacts!$F$27:$Z$59,19,FALSE)*L66</f>
        <v>138.02316282165404</v>
      </c>
      <c r="S66" s="496">
        <f>VLOOKUP($O66,Impacts!$F$27:$Z$59,20,FALSE)*L66</f>
        <v>22188.152526183494</v>
      </c>
      <c r="T66" s="497">
        <f>VLOOKUP($O66,Impacts!$F$27:$Z$59,21,FALSE)*L66</f>
        <v>292.05563427831316</v>
      </c>
      <c r="U66" s="492"/>
      <c r="V66" s="492" t="str">
        <f t="shared" si="7"/>
        <v>Commercial Showerhead Replacement_Fitness Center_precondition 2_4 to 2_49 gpm_efficient 2_00 gpm_Mail-by-Request_Any Water Heating</v>
      </c>
      <c r="W66" s="492" t="s">
        <v>440</v>
      </c>
      <c r="X66" s="494">
        <f t="shared" si="10"/>
        <v>980.0700860052907</v>
      </c>
      <c r="Y66" s="492">
        <v>10</v>
      </c>
      <c r="Z66" s="498">
        <f t="shared" si="11"/>
        <v>8.1096944444444432</v>
      </c>
      <c r="AA66" s="492"/>
      <c r="AB66" s="499" t="s">
        <v>441</v>
      </c>
      <c r="AC66" s="497">
        <f t="shared" si="12"/>
        <v>292.05563427831316</v>
      </c>
      <c r="AD66" s="492"/>
      <c r="AE66" s="492"/>
      <c r="AF66" s="492"/>
      <c r="AG66" s="492"/>
      <c r="AH66" s="492"/>
      <c r="AI66" s="492"/>
      <c r="AJ66" s="492">
        <f t="shared" si="8"/>
        <v>94.315827928130261</v>
      </c>
      <c r="AK66" s="492" t="s">
        <v>442</v>
      </c>
    </row>
    <row r="67" spans="1:37">
      <c r="A67" s="492">
        <f t="shared" si="9"/>
        <v>49</v>
      </c>
      <c r="B67" s="492">
        <f t="shared" si="14"/>
        <v>2</v>
      </c>
      <c r="C67" s="492">
        <f t="shared" si="14"/>
        <v>3</v>
      </c>
      <c r="D67" s="492">
        <f t="shared" si="14"/>
        <v>2</v>
      </c>
      <c r="E67" s="492">
        <f t="shared" si="1"/>
        <v>1</v>
      </c>
      <c r="F67" s="499" t="s">
        <v>645</v>
      </c>
      <c r="G67" s="499" t="str">
        <f t="shared" si="2"/>
        <v>2_4 to 2_49 gpm</v>
      </c>
      <c r="H67" s="492" t="str">
        <f t="shared" si="3"/>
        <v>Mail-by-Request</v>
      </c>
      <c r="I67" s="492" t="str">
        <f t="shared" si="3"/>
        <v>1_75</v>
      </c>
      <c r="J67" s="492" t="str">
        <f t="shared" si="3"/>
        <v>Electric Water Heating</v>
      </c>
      <c r="K67" s="492" t="str">
        <f t="shared" si="4"/>
        <v>Commercial Showerhead Replacement_Fitness Center_precondition 2_4 to 2_49 gpm_efficient 1_75 gpm_Mail-by-Request_Electric Water Heating</v>
      </c>
      <c r="L67" s="493">
        <f>INDEX(InstallRatesCostAndLifetime!$A$2:$D$6,MATCH(InputForProCost_FitnessCenter!H67,InstallRatesCostAndLifetime!$A$2:$A$6,0),MATCH(InputForProCost_FitnessCenter!I67,InstallRatesCostAndLifetime!$A$2:$D$2,0))</f>
        <v>0.6</v>
      </c>
      <c r="M67" s="493">
        <f t="shared" si="5"/>
        <v>1</v>
      </c>
      <c r="N67" s="492"/>
      <c r="O67" s="492" t="str">
        <f t="shared" si="6"/>
        <v>Fitness Center2_4 to 2_49 gpm1_75</v>
      </c>
      <c r="P67" s="494">
        <f>VLOOKUP($O67,Impacts!$F$27:$Z$59,16,FALSE)</f>
        <v>5331.7245932419391</v>
      </c>
      <c r="Q67" s="494">
        <f>VLOOKUP($O67,Impacts!$F$27:$Z$59,17,FALSE)*L67</f>
        <v>126.40419816070379</v>
      </c>
      <c r="R67" s="495">
        <f>VLOOKUP($O67,Impacts!$F$27:$Z$59,19,FALSE)*L67</f>
        <v>142.66457614681499</v>
      </c>
      <c r="S67" s="496">
        <f>VLOOKUP($O67,Impacts!$F$27:$Z$59,20,FALSE)*L67</f>
        <v>23894.933489736068</v>
      </c>
      <c r="T67" s="497">
        <f>VLOOKUP($O67,Impacts!$F$27:$Z$59,21,FALSE)*L67</f>
        <v>314.52145229972183</v>
      </c>
      <c r="U67" s="492"/>
      <c r="V67" s="492" t="str">
        <f t="shared" si="7"/>
        <v>Commercial Showerhead Replacement_Fitness Center_precondition 2_4 to 2_49 gpm_efficient 1_75 gpm_Mail-by-Request_Electric Water Heating</v>
      </c>
      <c r="W67" s="492" t="s">
        <v>440</v>
      </c>
      <c r="X67" s="494">
        <f t="shared" si="10"/>
        <v>3199.0347559451634</v>
      </c>
      <c r="Y67" s="492">
        <v>10</v>
      </c>
      <c r="Z67" s="498">
        <f t="shared" si="11"/>
        <v>8.1096944444444432</v>
      </c>
      <c r="AA67" s="492"/>
      <c r="AB67" s="499" t="s">
        <v>441</v>
      </c>
      <c r="AC67" s="497">
        <f t="shared" si="12"/>
        <v>314.52145229972183</v>
      </c>
      <c r="AD67" s="492"/>
      <c r="AE67" s="492"/>
      <c r="AF67" s="492"/>
      <c r="AG67" s="492"/>
      <c r="AH67" s="492"/>
      <c r="AI67" s="492"/>
      <c r="AJ67" s="492">
        <f t="shared" si="8"/>
        <v>0</v>
      </c>
      <c r="AK67" s="492" t="s">
        <v>442</v>
      </c>
    </row>
    <row r="68" spans="1:37">
      <c r="A68" s="492">
        <f t="shared" si="9"/>
        <v>50</v>
      </c>
      <c r="B68" s="492">
        <f t="shared" si="14"/>
        <v>2</v>
      </c>
      <c r="C68" s="492">
        <f t="shared" si="14"/>
        <v>3</v>
      </c>
      <c r="D68" s="492">
        <f t="shared" si="14"/>
        <v>2</v>
      </c>
      <c r="E68" s="492">
        <f t="shared" si="1"/>
        <v>2</v>
      </c>
      <c r="F68" s="499" t="s">
        <v>645</v>
      </c>
      <c r="G68" s="499" t="str">
        <f t="shared" si="2"/>
        <v>2_4 to 2_49 gpm</v>
      </c>
      <c r="H68" s="492" t="str">
        <f t="shared" si="3"/>
        <v>Mail-by-Request</v>
      </c>
      <c r="I68" s="492" t="str">
        <f t="shared" si="3"/>
        <v>1_75</v>
      </c>
      <c r="J68" s="492" t="str">
        <f t="shared" si="3"/>
        <v>Gas Water Heating</v>
      </c>
      <c r="K68" s="492" t="str">
        <f t="shared" si="4"/>
        <v>Commercial Showerhead Replacement_Fitness Center_precondition 2_4 to 2_49 gpm_efficient 1_75 gpm_Mail-by-Request_Gas Water Heating</v>
      </c>
      <c r="L68" s="493">
        <f>INDEX(InstallRatesCostAndLifetime!$A$2:$D$6,MATCH(InputForProCost_FitnessCenter!H68,InstallRatesCostAndLifetime!$A$2:$A$6,0),MATCH(InputForProCost_FitnessCenter!I68,InstallRatesCostAndLifetime!$A$2:$D$2,0))</f>
        <v>0.6</v>
      </c>
      <c r="M68" s="493">
        <f t="shared" si="5"/>
        <v>0</v>
      </c>
      <c r="N68" s="492"/>
      <c r="O68" s="492" t="str">
        <f t="shared" si="6"/>
        <v>Fitness Center2_4 to 2_49 gpm1_75</v>
      </c>
      <c r="P68" s="494">
        <f>VLOOKUP($O68,Impacts!$F$27:$Z$59,16,FALSE)</f>
        <v>5331.7245932419391</v>
      </c>
      <c r="Q68" s="494">
        <f>VLOOKUP($O68,Impacts!$F$27:$Z$59,17,FALSE)*L68</f>
        <v>126.40419816070379</v>
      </c>
      <c r="R68" s="495">
        <f>VLOOKUP($O68,Impacts!$F$27:$Z$59,19,FALSE)*L68</f>
        <v>142.66457614681499</v>
      </c>
      <c r="S68" s="496">
        <f>VLOOKUP($O68,Impacts!$F$27:$Z$59,20,FALSE)*L68</f>
        <v>23894.933489736068</v>
      </c>
      <c r="T68" s="497">
        <f>VLOOKUP($O68,Impacts!$F$27:$Z$59,21,FALSE)*L68</f>
        <v>314.52145229972183</v>
      </c>
      <c r="U68" s="492"/>
      <c r="V68" s="492" t="str">
        <f t="shared" si="7"/>
        <v>Commercial Showerhead Replacement_Fitness Center_precondition 2_4 to 2_49 gpm_efficient 1_75 gpm_Mail-by-Request_Gas Water Heating</v>
      </c>
      <c r="W68" s="492" t="s">
        <v>440</v>
      </c>
      <c r="X68" s="494">
        <f t="shared" si="10"/>
        <v>0</v>
      </c>
      <c r="Y68" s="492">
        <v>10</v>
      </c>
      <c r="Z68" s="498">
        <f t="shared" si="11"/>
        <v>8.1096944444444432</v>
      </c>
      <c r="AA68" s="492"/>
      <c r="AB68" s="499" t="s">
        <v>441</v>
      </c>
      <c r="AC68" s="497">
        <f t="shared" si="12"/>
        <v>314.52145229972183</v>
      </c>
      <c r="AD68" s="492"/>
      <c r="AE68" s="492"/>
      <c r="AF68" s="492"/>
      <c r="AG68" s="492"/>
      <c r="AH68" s="492"/>
      <c r="AI68" s="492"/>
      <c r="AJ68" s="492">
        <f t="shared" si="8"/>
        <v>142.66457614681499</v>
      </c>
      <c r="AK68" s="492" t="s">
        <v>442</v>
      </c>
    </row>
    <row r="69" spans="1:37">
      <c r="A69" s="492">
        <f t="shared" si="9"/>
        <v>51</v>
      </c>
      <c r="B69" s="492">
        <f t="shared" si="14"/>
        <v>2</v>
      </c>
      <c r="C69" s="492">
        <f t="shared" si="14"/>
        <v>3</v>
      </c>
      <c r="D69" s="492">
        <f t="shared" si="14"/>
        <v>2</v>
      </c>
      <c r="E69" s="492">
        <f t="shared" si="1"/>
        <v>3</v>
      </c>
      <c r="F69" s="499" t="s">
        <v>645</v>
      </c>
      <c r="G69" s="499" t="str">
        <f t="shared" si="2"/>
        <v>2_4 to 2_49 gpm</v>
      </c>
      <c r="H69" s="492" t="str">
        <f t="shared" si="3"/>
        <v>Mail-by-Request</v>
      </c>
      <c r="I69" s="492" t="str">
        <f t="shared" si="3"/>
        <v>1_75</v>
      </c>
      <c r="J69" s="492" t="str">
        <f t="shared" si="3"/>
        <v>Any Water Heating</v>
      </c>
      <c r="K69" s="492" t="str">
        <f t="shared" si="4"/>
        <v>Commercial Showerhead Replacement_Fitness Center_precondition 2_4 to 2_49 gpm_efficient 1_75 gpm_Mail-by-Request_Any Water Heating</v>
      </c>
      <c r="L69" s="493">
        <f>INDEX(InstallRatesCostAndLifetime!$A$2:$D$6,MATCH(InputForProCost_FitnessCenter!H69,InstallRatesCostAndLifetime!$A$2:$A$6,0),MATCH(InputForProCost_FitnessCenter!I69,InstallRatesCostAndLifetime!$A$2:$D$2,0))</f>
        <v>0.6</v>
      </c>
      <c r="M69" s="493">
        <f t="shared" si="5"/>
        <v>0.31666666666666665</v>
      </c>
      <c r="N69" s="492"/>
      <c r="O69" s="492" t="str">
        <f t="shared" si="6"/>
        <v>Fitness Center2_4 to 2_49 gpm1_75</v>
      </c>
      <c r="P69" s="494">
        <f>VLOOKUP($O69,Impacts!$F$27:$Z$59,16,FALSE)</f>
        <v>5331.7245932419391</v>
      </c>
      <c r="Q69" s="494">
        <f>VLOOKUP($O69,Impacts!$F$27:$Z$59,17,FALSE)*L69</f>
        <v>126.40419816070379</v>
      </c>
      <c r="R69" s="495">
        <f>VLOOKUP($O69,Impacts!$F$27:$Z$59,19,FALSE)*L69</f>
        <v>142.66457614681499</v>
      </c>
      <c r="S69" s="496">
        <f>VLOOKUP($O69,Impacts!$F$27:$Z$59,20,FALSE)*L69</f>
        <v>23894.933489736068</v>
      </c>
      <c r="T69" s="497">
        <f>VLOOKUP($O69,Impacts!$F$27:$Z$59,21,FALSE)*L69</f>
        <v>314.52145229972183</v>
      </c>
      <c r="U69" s="492"/>
      <c r="V69" s="492" t="str">
        <f t="shared" si="7"/>
        <v>Commercial Showerhead Replacement_Fitness Center_precondition 2_4 to 2_49 gpm_efficient 1_75 gpm_Mail-by-Request_Any Water Heating</v>
      </c>
      <c r="W69" s="492" t="s">
        <v>440</v>
      </c>
      <c r="X69" s="494">
        <f t="shared" si="10"/>
        <v>1013.0276727159683</v>
      </c>
      <c r="Y69" s="492">
        <v>10</v>
      </c>
      <c r="Z69" s="498">
        <f t="shared" si="11"/>
        <v>8.1096944444444432</v>
      </c>
      <c r="AA69" s="492"/>
      <c r="AB69" s="499" t="s">
        <v>441</v>
      </c>
      <c r="AC69" s="497">
        <f t="shared" si="12"/>
        <v>314.52145229972183</v>
      </c>
      <c r="AD69" s="492"/>
      <c r="AE69" s="492"/>
      <c r="AF69" s="492"/>
      <c r="AG69" s="492"/>
      <c r="AH69" s="492"/>
      <c r="AI69" s="492"/>
      <c r="AJ69" s="492">
        <f t="shared" si="8"/>
        <v>97.487460366990248</v>
      </c>
      <c r="AK69" s="492" t="s">
        <v>442</v>
      </c>
    </row>
    <row r="70" spans="1:37">
      <c r="A70" s="492">
        <f t="shared" si="9"/>
        <v>52</v>
      </c>
      <c r="B70" s="492">
        <f t="shared" si="14"/>
        <v>2</v>
      </c>
      <c r="C70" s="492">
        <f t="shared" si="14"/>
        <v>3</v>
      </c>
      <c r="D70" s="492">
        <f t="shared" si="14"/>
        <v>3</v>
      </c>
      <c r="E70" s="492">
        <f t="shared" si="1"/>
        <v>1</v>
      </c>
      <c r="F70" s="499" t="s">
        <v>645</v>
      </c>
      <c r="G70" s="499" t="str">
        <f t="shared" si="2"/>
        <v>2_4 to 2_49 gpm</v>
      </c>
      <c r="H70" s="492" t="str">
        <f t="shared" si="3"/>
        <v>Mail-by-Request</v>
      </c>
      <c r="I70" s="492" t="str">
        <f t="shared" si="3"/>
        <v>1_50</v>
      </c>
      <c r="J70" s="492" t="str">
        <f t="shared" si="3"/>
        <v>Electric Water Heating</v>
      </c>
      <c r="K70" s="492" t="str">
        <f t="shared" si="4"/>
        <v>Commercial Showerhead Replacement_Fitness Center_precondition 2_4 to 2_49 gpm_efficient 1_50 gpm_Mail-by-Request_Electric Water Heating</v>
      </c>
      <c r="L70" s="493">
        <f>INDEX(InstallRatesCostAndLifetime!$A$2:$D$6,MATCH(InputForProCost_FitnessCenter!H70,InstallRatesCostAndLifetime!$A$2:$A$6,0),MATCH(InputForProCost_FitnessCenter!I70,InstallRatesCostAndLifetime!$A$2:$D$2,0))</f>
        <v>0.6</v>
      </c>
      <c r="M70" s="493">
        <f t="shared" si="5"/>
        <v>1</v>
      </c>
      <c r="N70" s="492"/>
      <c r="O70" s="492" t="str">
        <f t="shared" si="6"/>
        <v>Fitness Center2_4 to 2_49 gpm1_50</v>
      </c>
      <c r="P70" s="494">
        <f>VLOOKUP($O70,Impacts!$F$27:$Z$59,16,FALSE)</f>
        <v>7131.0586673912767</v>
      </c>
      <c r="Q70" s="494">
        <f>VLOOKUP($O70,Impacts!$F$27:$Z$59,17,FALSE)*L70</f>
        <v>171.54855464666943</v>
      </c>
      <c r="R70" s="495">
        <f>VLOOKUP($O70,Impacts!$F$27:$Z$59,19,FALSE)*L70</f>
        <v>190.81058004214199</v>
      </c>
      <c r="S70" s="496">
        <f>VLOOKUP($O70,Impacts!$F$27:$Z$59,20,FALSE)*L70</f>
        <v>32428.838307498947</v>
      </c>
      <c r="T70" s="497">
        <f>VLOOKUP($O70,Impacts!$F$27:$Z$59,21,FALSE)*L70</f>
        <v>426.85054240676533</v>
      </c>
      <c r="U70" s="492"/>
      <c r="V70" s="492" t="str">
        <f t="shared" si="7"/>
        <v>Commercial Showerhead Replacement_Fitness Center_precondition 2_4 to 2_49 gpm_efficient 1_50 gpm_Mail-by-Request_Electric Water Heating</v>
      </c>
      <c r="W70" s="492" t="s">
        <v>440</v>
      </c>
      <c r="X70" s="494">
        <f t="shared" si="10"/>
        <v>4278.6352004347655</v>
      </c>
      <c r="Y70" s="492">
        <v>10</v>
      </c>
      <c r="Z70" s="498">
        <f t="shared" si="11"/>
        <v>8.1096944444444432</v>
      </c>
      <c r="AA70" s="492"/>
      <c r="AB70" s="499" t="s">
        <v>441</v>
      </c>
      <c r="AC70" s="497">
        <f t="shared" si="12"/>
        <v>426.85054240676533</v>
      </c>
      <c r="AD70" s="492"/>
      <c r="AE70" s="492"/>
      <c r="AF70" s="492"/>
      <c r="AG70" s="492"/>
      <c r="AH70" s="492"/>
      <c r="AI70" s="492"/>
      <c r="AJ70" s="492">
        <f t="shared" si="8"/>
        <v>0</v>
      </c>
      <c r="AK70" s="492" t="s">
        <v>442</v>
      </c>
    </row>
    <row r="71" spans="1:37">
      <c r="A71" s="492">
        <f t="shared" si="9"/>
        <v>53</v>
      </c>
      <c r="B71" s="492">
        <f t="shared" si="14"/>
        <v>2</v>
      </c>
      <c r="C71" s="492">
        <f t="shared" si="14"/>
        <v>3</v>
      </c>
      <c r="D71" s="492">
        <f t="shared" si="14"/>
        <v>3</v>
      </c>
      <c r="E71" s="492">
        <f t="shared" si="1"/>
        <v>2</v>
      </c>
      <c r="F71" s="499" t="s">
        <v>645</v>
      </c>
      <c r="G71" s="499" t="str">
        <f t="shared" si="2"/>
        <v>2_4 to 2_49 gpm</v>
      </c>
      <c r="H71" s="492" t="str">
        <f t="shared" si="3"/>
        <v>Mail-by-Request</v>
      </c>
      <c r="I71" s="492" t="str">
        <f t="shared" si="3"/>
        <v>1_50</v>
      </c>
      <c r="J71" s="492" t="str">
        <f t="shared" si="3"/>
        <v>Gas Water Heating</v>
      </c>
      <c r="K71" s="492" t="str">
        <f t="shared" si="4"/>
        <v>Commercial Showerhead Replacement_Fitness Center_precondition 2_4 to 2_49 gpm_efficient 1_50 gpm_Mail-by-Request_Gas Water Heating</v>
      </c>
      <c r="L71" s="493">
        <f>INDEX(InstallRatesCostAndLifetime!$A$2:$D$6,MATCH(InputForProCost_FitnessCenter!H71,InstallRatesCostAndLifetime!$A$2:$A$6,0),MATCH(InputForProCost_FitnessCenter!I71,InstallRatesCostAndLifetime!$A$2:$D$2,0))</f>
        <v>0.6</v>
      </c>
      <c r="M71" s="493">
        <f t="shared" si="5"/>
        <v>0</v>
      </c>
      <c r="N71" s="492"/>
      <c r="O71" s="492" t="str">
        <f t="shared" si="6"/>
        <v>Fitness Center2_4 to 2_49 gpm1_50</v>
      </c>
      <c r="P71" s="494">
        <f>VLOOKUP($O71,Impacts!$F$27:$Z$59,16,FALSE)</f>
        <v>7131.0586673912767</v>
      </c>
      <c r="Q71" s="494">
        <f>VLOOKUP($O71,Impacts!$F$27:$Z$59,17,FALSE)*L71</f>
        <v>171.54855464666943</v>
      </c>
      <c r="R71" s="495">
        <f>VLOOKUP($O71,Impacts!$F$27:$Z$59,19,FALSE)*L71</f>
        <v>190.81058004214199</v>
      </c>
      <c r="S71" s="496">
        <f>VLOOKUP($O71,Impacts!$F$27:$Z$59,20,FALSE)*L71</f>
        <v>32428.838307498947</v>
      </c>
      <c r="T71" s="497">
        <f>VLOOKUP($O71,Impacts!$F$27:$Z$59,21,FALSE)*L71</f>
        <v>426.85054240676533</v>
      </c>
      <c r="U71" s="492"/>
      <c r="V71" s="492" t="str">
        <f t="shared" si="7"/>
        <v>Commercial Showerhead Replacement_Fitness Center_precondition 2_4 to 2_49 gpm_efficient 1_50 gpm_Mail-by-Request_Gas Water Heating</v>
      </c>
      <c r="W71" s="492" t="s">
        <v>440</v>
      </c>
      <c r="X71" s="494">
        <f t="shared" si="10"/>
        <v>0</v>
      </c>
      <c r="Y71" s="492">
        <v>10</v>
      </c>
      <c r="Z71" s="498">
        <f t="shared" si="11"/>
        <v>8.1096944444444432</v>
      </c>
      <c r="AA71" s="492"/>
      <c r="AB71" s="499" t="s">
        <v>441</v>
      </c>
      <c r="AC71" s="497">
        <f t="shared" si="12"/>
        <v>426.85054240676533</v>
      </c>
      <c r="AD71" s="492"/>
      <c r="AE71" s="492"/>
      <c r="AF71" s="492"/>
      <c r="AG71" s="492"/>
      <c r="AH71" s="492"/>
      <c r="AI71" s="492"/>
      <c r="AJ71" s="492">
        <f t="shared" si="8"/>
        <v>190.81058004214199</v>
      </c>
      <c r="AK71" s="492" t="s">
        <v>442</v>
      </c>
    </row>
    <row r="72" spans="1:37">
      <c r="A72" s="492">
        <f t="shared" si="9"/>
        <v>54</v>
      </c>
      <c r="B72" s="492">
        <f t="shared" si="14"/>
        <v>2</v>
      </c>
      <c r="C72" s="492">
        <f t="shared" si="14"/>
        <v>3</v>
      </c>
      <c r="D72" s="492">
        <f t="shared" si="14"/>
        <v>3</v>
      </c>
      <c r="E72" s="492">
        <f t="shared" si="1"/>
        <v>3</v>
      </c>
      <c r="F72" s="499" t="s">
        <v>645</v>
      </c>
      <c r="G72" s="499" t="str">
        <f t="shared" si="2"/>
        <v>2_4 to 2_49 gpm</v>
      </c>
      <c r="H72" s="492" t="str">
        <f t="shared" si="3"/>
        <v>Mail-by-Request</v>
      </c>
      <c r="I72" s="492" t="str">
        <f t="shared" si="3"/>
        <v>1_50</v>
      </c>
      <c r="J72" s="492" t="str">
        <f t="shared" si="3"/>
        <v>Any Water Heating</v>
      </c>
      <c r="K72" s="492" t="str">
        <f t="shared" si="4"/>
        <v>Commercial Showerhead Replacement_Fitness Center_precondition 2_4 to 2_49 gpm_efficient 1_50 gpm_Mail-by-Request_Any Water Heating</v>
      </c>
      <c r="L72" s="493">
        <f>INDEX(InstallRatesCostAndLifetime!$A$2:$D$6,MATCH(InputForProCost_FitnessCenter!H72,InstallRatesCostAndLifetime!$A$2:$A$6,0),MATCH(InputForProCost_FitnessCenter!I72,InstallRatesCostAndLifetime!$A$2:$D$2,0))</f>
        <v>0.6</v>
      </c>
      <c r="M72" s="493">
        <f t="shared" si="5"/>
        <v>0.31666666666666665</v>
      </c>
      <c r="N72" s="492"/>
      <c r="O72" s="492" t="str">
        <f t="shared" si="6"/>
        <v>Fitness Center2_4 to 2_49 gpm1_50</v>
      </c>
      <c r="P72" s="494">
        <f>VLOOKUP($O72,Impacts!$F$27:$Z$59,16,FALSE)</f>
        <v>7131.0586673912767</v>
      </c>
      <c r="Q72" s="494">
        <f>VLOOKUP($O72,Impacts!$F$27:$Z$59,17,FALSE)*L72</f>
        <v>171.54855464666943</v>
      </c>
      <c r="R72" s="495">
        <f>VLOOKUP($O72,Impacts!$F$27:$Z$59,19,FALSE)*L72</f>
        <v>190.81058004214199</v>
      </c>
      <c r="S72" s="496">
        <f>VLOOKUP($O72,Impacts!$F$27:$Z$59,20,FALSE)*L72</f>
        <v>32428.838307498947</v>
      </c>
      <c r="T72" s="497">
        <f>VLOOKUP($O72,Impacts!$F$27:$Z$59,21,FALSE)*L72</f>
        <v>426.85054240676533</v>
      </c>
      <c r="U72" s="492"/>
      <c r="V72" s="492" t="str">
        <f t="shared" si="7"/>
        <v>Commercial Showerhead Replacement_Fitness Center_precondition 2_4 to 2_49 gpm_efficient 1_50 gpm_Mail-by-Request_Any Water Heating</v>
      </c>
      <c r="W72" s="492" t="s">
        <v>440</v>
      </c>
      <c r="X72" s="494">
        <f t="shared" si="10"/>
        <v>1354.9011468043425</v>
      </c>
      <c r="Y72" s="492">
        <v>10</v>
      </c>
      <c r="Z72" s="498">
        <f t="shared" si="11"/>
        <v>8.1096944444444432</v>
      </c>
      <c r="AA72" s="492"/>
      <c r="AB72" s="499" t="s">
        <v>441</v>
      </c>
      <c r="AC72" s="497">
        <f t="shared" si="12"/>
        <v>426.85054240676533</v>
      </c>
      <c r="AD72" s="492"/>
      <c r="AE72" s="492"/>
      <c r="AF72" s="492"/>
      <c r="AG72" s="492"/>
      <c r="AH72" s="492"/>
      <c r="AI72" s="492"/>
      <c r="AJ72" s="492">
        <f t="shared" si="8"/>
        <v>130.3872296954637</v>
      </c>
      <c r="AK72" s="492" t="s">
        <v>442</v>
      </c>
    </row>
    <row r="73" spans="1:37">
      <c r="A73" s="492">
        <f t="shared" si="9"/>
        <v>55</v>
      </c>
      <c r="B73" s="492">
        <f t="shared" si="14"/>
        <v>3</v>
      </c>
      <c r="C73" s="492">
        <f t="shared" si="14"/>
        <v>1</v>
      </c>
      <c r="D73" s="492">
        <f t="shared" si="14"/>
        <v>1</v>
      </c>
      <c r="E73" s="492">
        <f t="shared" si="1"/>
        <v>1</v>
      </c>
      <c r="F73" s="499" t="s">
        <v>645</v>
      </c>
      <c r="G73" s="499" t="str">
        <f t="shared" si="2"/>
        <v>2_30 to 2_39 gpm</v>
      </c>
      <c r="H73" s="492" t="str">
        <f t="shared" si="3"/>
        <v>Retail</v>
      </c>
      <c r="I73" s="492" t="str">
        <f t="shared" si="3"/>
        <v>2_00</v>
      </c>
      <c r="J73" s="492" t="str">
        <f t="shared" si="3"/>
        <v>Electric Water Heating</v>
      </c>
      <c r="K73" s="492" t="str">
        <f t="shared" si="4"/>
        <v>Commercial Showerhead Replacement_Fitness Center_precondition 2_30 to 2_39 gpm_efficient 2_00 gpm_Retail_Electric Water Heating</v>
      </c>
      <c r="L73" s="493">
        <f>INDEX(InstallRatesCostAndLifetime!$A$2:$D$6,MATCH(InputForProCost_FitnessCenter!H73,InstallRatesCostAndLifetime!$A$2:$A$6,0),MATCH(InputForProCost_FitnessCenter!I73,InstallRatesCostAndLifetime!$A$2:$D$2,0))</f>
        <v>0.8</v>
      </c>
      <c r="M73" s="493">
        <f t="shared" si="5"/>
        <v>1</v>
      </c>
      <c r="N73" s="492"/>
      <c r="O73" s="492" t="str">
        <f t="shared" si="6"/>
        <v>Fitness Center2_30 to 2_39 gpm2_00</v>
      </c>
      <c r="P73" s="494">
        <f>VLOOKUP($O73,Impacts!$F$27:$Z$59,16,FALSE)</f>
        <v>4373.2879396446933</v>
      </c>
      <c r="Q73" s="494">
        <f>VLOOKUP($O73,Impacts!$F$27:$Z$59,17,FALSE)*L73</f>
        <v>132.42344569216593</v>
      </c>
      <c r="R73" s="495">
        <f>VLOOKUP($O73,Impacts!$F$27:$Z$59,19,FALSE)*L73</f>
        <v>156.02538087287567</v>
      </c>
      <c r="S73" s="496">
        <f>VLOOKUP($O73,Impacts!$F$27:$Z$59,20,FALSE)*L73</f>
        <v>25032.787465437796</v>
      </c>
      <c r="T73" s="497">
        <f>VLOOKUP($O73,Impacts!$F$27:$Z$59,21,FALSE)*L73</f>
        <v>329.49866431399448</v>
      </c>
      <c r="U73" s="492"/>
      <c r="V73" s="492" t="str">
        <f t="shared" si="7"/>
        <v>Commercial Showerhead Replacement_Fitness Center_precondition 2_30 to 2_39 gpm_efficient 2_00 gpm_Retail_Electric Water Heating</v>
      </c>
      <c r="W73" s="492" t="s">
        <v>440</v>
      </c>
      <c r="X73" s="494">
        <f t="shared" si="10"/>
        <v>3498.6303517157548</v>
      </c>
      <c r="Y73" s="492">
        <v>10</v>
      </c>
      <c r="Z73" s="498">
        <f t="shared" si="11"/>
        <v>3.2966774171383419</v>
      </c>
      <c r="AA73" s="492"/>
      <c r="AB73" s="499" t="s">
        <v>441</v>
      </c>
      <c r="AC73" s="497">
        <f t="shared" si="12"/>
        <v>329.49866431399448</v>
      </c>
      <c r="AD73" s="492"/>
      <c r="AE73" s="492"/>
      <c r="AF73" s="492"/>
      <c r="AG73" s="492"/>
      <c r="AH73" s="492"/>
      <c r="AI73" s="492"/>
      <c r="AJ73" s="492">
        <f t="shared" si="8"/>
        <v>0</v>
      </c>
      <c r="AK73" s="492" t="s">
        <v>442</v>
      </c>
    </row>
    <row r="74" spans="1:37">
      <c r="A74" s="492">
        <f t="shared" si="9"/>
        <v>56</v>
      </c>
      <c r="B74" s="492">
        <f t="shared" si="14"/>
        <v>3</v>
      </c>
      <c r="C74" s="492">
        <f t="shared" si="14"/>
        <v>1</v>
      </c>
      <c r="D74" s="492">
        <f t="shared" si="14"/>
        <v>1</v>
      </c>
      <c r="E74" s="492">
        <f t="shared" si="1"/>
        <v>2</v>
      </c>
      <c r="F74" s="499" t="s">
        <v>645</v>
      </c>
      <c r="G74" s="499" t="str">
        <f t="shared" si="2"/>
        <v>2_30 to 2_39 gpm</v>
      </c>
      <c r="H74" s="492" t="str">
        <f t="shared" si="3"/>
        <v>Retail</v>
      </c>
      <c r="I74" s="492" t="str">
        <f t="shared" si="3"/>
        <v>2_00</v>
      </c>
      <c r="J74" s="492" t="str">
        <f t="shared" si="3"/>
        <v>Gas Water Heating</v>
      </c>
      <c r="K74" s="492" t="str">
        <f t="shared" si="4"/>
        <v>Commercial Showerhead Replacement_Fitness Center_precondition 2_30 to 2_39 gpm_efficient 2_00 gpm_Retail_Gas Water Heating</v>
      </c>
      <c r="L74" s="493">
        <f>INDEX(InstallRatesCostAndLifetime!$A$2:$D$6,MATCH(InputForProCost_FitnessCenter!H74,InstallRatesCostAndLifetime!$A$2:$A$6,0),MATCH(InputForProCost_FitnessCenter!I74,InstallRatesCostAndLifetime!$A$2:$D$2,0))</f>
        <v>0.8</v>
      </c>
      <c r="M74" s="493">
        <f t="shared" si="5"/>
        <v>0</v>
      </c>
      <c r="N74" s="492"/>
      <c r="O74" s="492" t="str">
        <f t="shared" si="6"/>
        <v>Fitness Center2_30 to 2_39 gpm2_00</v>
      </c>
      <c r="P74" s="494">
        <f>VLOOKUP($O74,Impacts!$F$27:$Z$59,16,FALSE)</f>
        <v>4373.2879396446933</v>
      </c>
      <c r="Q74" s="494">
        <f>VLOOKUP($O74,Impacts!$F$27:$Z$59,17,FALSE)*L74</f>
        <v>132.42344569216593</v>
      </c>
      <c r="R74" s="495">
        <f>VLOOKUP($O74,Impacts!$F$27:$Z$59,19,FALSE)*L74</f>
        <v>156.02538087287567</v>
      </c>
      <c r="S74" s="496">
        <f>VLOOKUP($O74,Impacts!$F$27:$Z$59,20,FALSE)*L74</f>
        <v>25032.787465437796</v>
      </c>
      <c r="T74" s="497">
        <f>VLOOKUP($O74,Impacts!$F$27:$Z$59,21,FALSE)*L74</f>
        <v>329.49866431399448</v>
      </c>
      <c r="U74" s="492"/>
      <c r="V74" s="492" t="str">
        <f t="shared" si="7"/>
        <v>Commercial Showerhead Replacement_Fitness Center_precondition 2_30 to 2_39 gpm_efficient 2_00 gpm_Retail_Gas Water Heating</v>
      </c>
      <c r="W74" s="492" t="s">
        <v>440</v>
      </c>
      <c r="X74" s="494">
        <f t="shared" si="10"/>
        <v>0</v>
      </c>
      <c r="Y74" s="492">
        <v>10</v>
      </c>
      <c r="Z74" s="498">
        <f t="shared" si="11"/>
        <v>3.2966774171383419</v>
      </c>
      <c r="AA74" s="492"/>
      <c r="AB74" s="499" t="s">
        <v>441</v>
      </c>
      <c r="AC74" s="497">
        <f t="shared" si="12"/>
        <v>329.49866431399448</v>
      </c>
      <c r="AD74" s="492"/>
      <c r="AE74" s="492"/>
      <c r="AF74" s="492"/>
      <c r="AG74" s="492"/>
      <c r="AH74" s="492"/>
      <c r="AI74" s="492"/>
      <c r="AJ74" s="492">
        <f t="shared" si="8"/>
        <v>156.02538087287567</v>
      </c>
      <c r="AK74" s="492" t="s">
        <v>442</v>
      </c>
    </row>
    <row r="75" spans="1:37">
      <c r="A75" s="492">
        <f t="shared" si="9"/>
        <v>57</v>
      </c>
      <c r="B75" s="492">
        <f t="shared" si="14"/>
        <v>3</v>
      </c>
      <c r="C75" s="492">
        <f t="shared" si="14"/>
        <v>1</v>
      </c>
      <c r="D75" s="492">
        <f t="shared" si="14"/>
        <v>1</v>
      </c>
      <c r="E75" s="492">
        <f t="shared" si="1"/>
        <v>3</v>
      </c>
      <c r="F75" s="499" t="s">
        <v>645</v>
      </c>
      <c r="G75" s="499" t="str">
        <f t="shared" si="2"/>
        <v>2_30 to 2_39 gpm</v>
      </c>
      <c r="H75" s="492" t="str">
        <f t="shared" si="3"/>
        <v>Retail</v>
      </c>
      <c r="I75" s="492" t="str">
        <f t="shared" si="3"/>
        <v>2_00</v>
      </c>
      <c r="J75" s="492" t="str">
        <f t="shared" si="3"/>
        <v>Any Water Heating</v>
      </c>
      <c r="K75" s="492" t="str">
        <f t="shared" si="4"/>
        <v>Commercial Showerhead Replacement_Fitness Center_precondition 2_30 to 2_39 gpm_efficient 2_00 gpm_Retail_Any Water Heating</v>
      </c>
      <c r="L75" s="493">
        <f>INDEX(InstallRatesCostAndLifetime!$A$2:$D$6,MATCH(InputForProCost_FitnessCenter!H75,InstallRatesCostAndLifetime!$A$2:$A$6,0),MATCH(InputForProCost_FitnessCenter!I75,InstallRatesCostAndLifetime!$A$2:$D$2,0))</f>
        <v>0.8</v>
      </c>
      <c r="M75" s="493">
        <f t="shared" si="5"/>
        <v>0.31666666666666665</v>
      </c>
      <c r="N75" s="492"/>
      <c r="O75" s="492" t="str">
        <f t="shared" si="6"/>
        <v>Fitness Center2_30 to 2_39 gpm2_00</v>
      </c>
      <c r="P75" s="494">
        <f>VLOOKUP($O75,Impacts!$F$27:$Z$59,16,FALSE)</f>
        <v>4373.2879396446933</v>
      </c>
      <c r="Q75" s="494">
        <f>VLOOKUP($O75,Impacts!$F$27:$Z$59,17,FALSE)*L75</f>
        <v>132.42344569216593</v>
      </c>
      <c r="R75" s="495">
        <f>VLOOKUP($O75,Impacts!$F$27:$Z$59,19,FALSE)*L75</f>
        <v>156.02538087287567</v>
      </c>
      <c r="S75" s="496">
        <f>VLOOKUP($O75,Impacts!$F$27:$Z$59,20,FALSE)*L75</f>
        <v>25032.787465437796</v>
      </c>
      <c r="T75" s="497">
        <f>VLOOKUP($O75,Impacts!$F$27:$Z$59,21,FALSE)*L75</f>
        <v>329.49866431399448</v>
      </c>
      <c r="U75" s="492"/>
      <c r="V75" s="492" t="str">
        <f t="shared" si="7"/>
        <v>Commercial Showerhead Replacement_Fitness Center_precondition 2_30 to 2_39 gpm_efficient 2_00 gpm_Retail_Any Water Heating</v>
      </c>
      <c r="W75" s="492" t="s">
        <v>440</v>
      </c>
      <c r="X75" s="494">
        <f t="shared" si="10"/>
        <v>1107.8996113766557</v>
      </c>
      <c r="Y75" s="492">
        <v>10</v>
      </c>
      <c r="Z75" s="498">
        <f t="shared" si="11"/>
        <v>3.2966774171383419</v>
      </c>
      <c r="AA75" s="492"/>
      <c r="AB75" s="499" t="s">
        <v>441</v>
      </c>
      <c r="AC75" s="497">
        <f t="shared" si="12"/>
        <v>329.49866431399448</v>
      </c>
      <c r="AD75" s="492"/>
      <c r="AE75" s="492"/>
      <c r="AF75" s="492"/>
      <c r="AG75" s="492"/>
      <c r="AH75" s="492"/>
      <c r="AI75" s="492"/>
      <c r="AJ75" s="492">
        <f t="shared" si="8"/>
        <v>106.61734359646505</v>
      </c>
      <c r="AK75" s="492" t="s">
        <v>442</v>
      </c>
    </row>
    <row r="76" spans="1:37">
      <c r="A76" s="492">
        <f t="shared" si="9"/>
        <v>58</v>
      </c>
      <c r="B76" s="492">
        <f t="shared" si="14"/>
        <v>3</v>
      </c>
      <c r="C76" s="492">
        <f t="shared" si="14"/>
        <v>1</v>
      </c>
      <c r="D76" s="492">
        <f t="shared" si="14"/>
        <v>2</v>
      </c>
      <c r="E76" s="492">
        <f t="shared" si="1"/>
        <v>1</v>
      </c>
      <c r="F76" s="499" t="s">
        <v>645</v>
      </c>
      <c r="G76" s="499" t="str">
        <f t="shared" si="2"/>
        <v>2_30 to 2_39 gpm</v>
      </c>
      <c r="H76" s="492" t="str">
        <f t="shared" si="3"/>
        <v>Retail</v>
      </c>
      <c r="I76" s="492" t="str">
        <f t="shared" si="3"/>
        <v>1_75</v>
      </c>
      <c r="J76" s="492" t="str">
        <f t="shared" si="3"/>
        <v>Electric Water Heating</v>
      </c>
      <c r="K76" s="492" t="str">
        <f t="shared" si="4"/>
        <v>Commercial Showerhead Replacement_Fitness Center_precondition 2_30 to 2_39 gpm_efficient 1_75 gpm_Retail_Electric Water Heating</v>
      </c>
      <c r="L76" s="493">
        <f>INDEX(InstallRatesCostAndLifetime!$A$2:$D$6,MATCH(InputForProCost_FitnessCenter!H76,InstallRatesCostAndLifetime!$A$2:$A$6,0),MATCH(InputForProCost_FitnessCenter!I76,InstallRatesCostAndLifetime!$A$2:$D$2,0))</f>
        <v>0.75</v>
      </c>
      <c r="M76" s="493">
        <f t="shared" si="5"/>
        <v>1</v>
      </c>
      <c r="N76" s="492"/>
      <c r="O76" s="492" t="str">
        <f t="shared" si="6"/>
        <v>Fitness Center2_30 to 2_39 gpm1_75</v>
      </c>
      <c r="P76" s="494">
        <f>VLOOKUP($O76,Impacts!$F$27:$Z$59,16,FALSE)</f>
        <v>4546.7489223324701</v>
      </c>
      <c r="Q76" s="494">
        <f>VLOOKUP($O76,Impacts!$F$27:$Z$59,17,FALSE)*L76</f>
        <v>135.43306945789692</v>
      </c>
      <c r="R76" s="495">
        <f>VLOOKUP($O76,Impacts!$F$27:$Z$59,19,FALSE)*L76</f>
        <v>152.07556122477212</v>
      </c>
      <c r="S76" s="496">
        <f>VLOOKUP($O76,Impacts!$F$27:$Z$59,20,FALSE)*L76</f>
        <v>25601.714453288649</v>
      </c>
      <c r="T76" s="497">
        <f>VLOOKUP($O76,Impacts!$F$27:$Z$59,21,FALSE)*L76</f>
        <v>336.98727032113061</v>
      </c>
      <c r="U76" s="492"/>
      <c r="V76" s="492" t="str">
        <f t="shared" si="7"/>
        <v>Commercial Showerhead Replacement_Fitness Center_precondition 2_30 to 2_39 gpm_efficient 1_75 gpm_Retail_Electric Water Heating</v>
      </c>
      <c r="W76" s="492" t="s">
        <v>440</v>
      </c>
      <c r="X76" s="494">
        <f t="shared" si="10"/>
        <v>3410.0616917493526</v>
      </c>
      <c r="Y76" s="492">
        <v>10</v>
      </c>
      <c r="Z76" s="498">
        <f t="shared" si="11"/>
        <v>3.2966774171383419</v>
      </c>
      <c r="AA76" s="492"/>
      <c r="AB76" s="499" t="s">
        <v>441</v>
      </c>
      <c r="AC76" s="497">
        <f t="shared" si="12"/>
        <v>336.98727032113061</v>
      </c>
      <c r="AD76" s="492"/>
      <c r="AE76" s="492"/>
      <c r="AF76" s="492"/>
      <c r="AG76" s="492"/>
      <c r="AH76" s="492"/>
      <c r="AI76" s="492"/>
      <c r="AJ76" s="492">
        <f t="shared" si="8"/>
        <v>0</v>
      </c>
      <c r="AK76" s="492" t="s">
        <v>442</v>
      </c>
    </row>
    <row r="77" spans="1:37">
      <c r="A77" s="492">
        <f t="shared" si="9"/>
        <v>59</v>
      </c>
      <c r="B77" s="492">
        <f t="shared" si="14"/>
        <v>3</v>
      </c>
      <c r="C77" s="492">
        <f t="shared" si="14"/>
        <v>1</v>
      </c>
      <c r="D77" s="492">
        <f t="shared" si="14"/>
        <v>2</v>
      </c>
      <c r="E77" s="492">
        <f t="shared" si="1"/>
        <v>2</v>
      </c>
      <c r="F77" s="499" t="s">
        <v>645</v>
      </c>
      <c r="G77" s="499" t="str">
        <f t="shared" si="2"/>
        <v>2_30 to 2_39 gpm</v>
      </c>
      <c r="H77" s="492" t="str">
        <f t="shared" si="3"/>
        <v>Retail</v>
      </c>
      <c r="I77" s="492" t="str">
        <f t="shared" si="3"/>
        <v>1_75</v>
      </c>
      <c r="J77" s="492" t="str">
        <f t="shared" si="3"/>
        <v>Gas Water Heating</v>
      </c>
      <c r="K77" s="492" t="str">
        <f t="shared" si="4"/>
        <v>Commercial Showerhead Replacement_Fitness Center_precondition 2_30 to 2_39 gpm_efficient 1_75 gpm_Retail_Gas Water Heating</v>
      </c>
      <c r="L77" s="493">
        <f>INDEX(InstallRatesCostAndLifetime!$A$2:$D$6,MATCH(InputForProCost_FitnessCenter!H77,InstallRatesCostAndLifetime!$A$2:$A$6,0),MATCH(InputForProCost_FitnessCenter!I77,InstallRatesCostAndLifetime!$A$2:$D$2,0))</f>
        <v>0.75</v>
      </c>
      <c r="M77" s="493">
        <f t="shared" si="5"/>
        <v>0</v>
      </c>
      <c r="N77" s="492"/>
      <c r="O77" s="492" t="str">
        <f t="shared" si="6"/>
        <v>Fitness Center2_30 to 2_39 gpm1_75</v>
      </c>
      <c r="P77" s="494">
        <f>VLOOKUP($O77,Impacts!$F$27:$Z$59,16,FALSE)</f>
        <v>4546.7489223324701</v>
      </c>
      <c r="Q77" s="494">
        <f>VLOOKUP($O77,Impacts!$F$27:$Z$59,17,FALSE)*L77</f>
        <v>135.43306945789692</v>
      </c>
      <c r="R77" s="495">
        <f>VLOOKUP($O77,Impacts!$F$27:$Z$59,19,FALSE)*L77</f>
        <v>152.07556122477212</v>
      </c>
      <c r="S77" s="496">
        <f>VLOOKUP($O77,Impacts!$F$27:$Z$59,20,FALSE)*L77</f>
        <v>25601.714453288649</v>
      </c>
      <c r="T77" s="497">
        <f>VLOOKUP($O77,Impacts!$F$27:$Z$59,21,FALSE)*L77</f>
        <v>336.98727032113061</v>
      </c>
      <c r="U77" s="492"/>
      <c r="V77" s="492" t="str">
        <f t="shared" si="7"/>
        <v>Commercial Showerhead Replacement_Fitness Center_precondition 2_30 to 2_39 gpm_efficient 1_75 gpm_Retail_Gas Water Heating</v>
      </c>
      <c r="W77" s="492" t="s">
        <v>440</v>
      </c>
      <c r="X77" s="494">
        <f t="shared" si="10"/>
        <v>0</v>
      </c>
      <c r="Y77" s="492">
        <v>10</v>
      </c>
      <c r="Z77" s="498">
        <f t="shared" si="11"/>
        <v>3.2966774171383419</v>
      </c>
      <c r="AA77" s="492"/>
      <c r="AB77" s="499" t="s">
        <v>441</v>
      </c>
      <c r="AC77" s="497">
        <f t="shared" si="12"/>
        <v>336.98727032113061</v>
      </c>
      <c r="AD77" s="492"/>
      <c r="AE77" s="492"/>
      <c r="AF77" s="492"/>
      <c r="AG77" s="492"/>
      <c r="AH77" s="492"/>
      <c r="AI77" s="492"/>
      <c r="AJ77" s="492">
        <f t="shared" si="8"/>
        <v>152.07556122477212</v>
      </c>
      <c r="AK77" s="492" t="s">
        <v>442</v>
      </c>
    </row>
    <row r="78" spans="1:37">
      <c r="A78" s="492">
        <f t="shared" si="9"/>
        <v>60</v>
      </c>
      <c r="B78" s="492">
        <f t="shared" si="14"/>
        <v>3</v>
      </c>
      <c r="C78" s="492">
        <f t="shared" si="14"/>
        <v>1</v>
      </c>
      <c r="D78" s="492">
        <f t="shared" si="14"/>
        <v>2</v>
      </c>
      <c r="E78" s="492">
        <f t="shared" si="1"/>
        <v>3</v>
      </c>
      <c r="F78" s="499" t="s">
        <v>645</v>
      </c>
      <c r="G78" s="499" t="str">
        <f t="shared" si="2"/>
        <v>2_30 to 2_39 gpm</v>
      </c>
      <c r="H78" s="492" t="str">
        <f t="shared" si="3"/>
        <v>Retail</v>
      </c>
      <c r="I78" s="492" t="str">
        <f t="shared" si="3"/>
        <v>1_75</v>
      </c>
      <c r="J78" s="492" t="str">
        <f t="shared" si="3"/>
        <v>Any Water Heating</v>
      </c>
      <c r="K78" s="492" t="str">
        <f t="shared" si="4"/>
        <v>Commercial Showerhead Replacement_Fitness Center_precondition 2_30 to 2_39 gpm_efficient 1_75 gpm_Retail_Any Water Heating</v>
      </c>
      <c r="L78" s="493">
        <f>INDEX(InstallRatesCostAndLifetime!$A$2:$D$6,MATCH(InputForProCost_FitnessCenter!H78,InstallRatesCostAndLifetime!$A$2:$A$6,0),MATCH(InputForProCost_FitnessCenter!I78,InstallRatesCostAndLifetime!$A$2:$D$2,0))</f>
        <v>0.75</v>
      </c>
      <c r="M78" s="493">
        <f t="shared" si="5"/>
        <v>0.31666666666666665</v>
      </c>
      <c r="N78" s="492"/>
      <c r="O78" s="492" t="str">
        <f t="shared" si="6"/>
        <v>Fitness Center2_30 to 2_39 gpm1_75</v>
      </c>
      <c r="P78" s="494">
        <f>VLOOKUP($O78,Impacts!$F$27:$Z$59,16,FALSE)</f>
        <v>4546.7489223324701</v>
      </c>
      <c r="Q78" s="494">
        <f>VLOOKUP($O78,Impacts!$F$27:$Z$59,17,FALSE)*L78</f>
        <v>135.43306945789692</v>
      </c>
      <c r="R78" s="495">
        <f>VLOOKUP($O78,Impacts!$F$27:$Z$59,19,FALSE)*L78</f>
        <v>152.07556122477212</v>
      </c>
      <c r="S78" s="496">
        <f>VLOOKUP($O78,Impacts!$F$27:$Z$59,20,FALSE)*L78</f>
        <v>25601.714453288649</v>
      </c>
      <c r="T78" s="497">
        <f>VLOOKUP($O78,Impacts!$F$27:$Z$59,21,FALSE)*L78</f>
        <v>336.98727032113061</v>
      </c>
      <c r="U78" s="492"/>
      <c r="V78" s="492" t="str">
        <f t="shared" si="7"/>
        <v>Commercial Showerhead Replacement_Fitness Center_precondition 2_30 to 2_39 gpm_efficient 1_75 gpm_Retail_Any Water Heating</v>
      </c>
      <c r="W78" s="492" t="s">
        <v>440</v>
      </c>
      <c r="X78" s="494">
        <f t="shared" si="10"/>
        <v>1079.8528690539615</v>
      </c>
      <c r="Y78" s="492">
        <v>10</v>
      </c>
      <c r="Z78" s="498">
        <f t="shared" si="11"/>
        <v>3.2966774171383419</v>
      </c>
      <c r="AA78" s="492"/>
      <c r="AB78" s="499" t="s">
        <v>441</v>
      </c>
      <c r="AC78" s="497">
        <f t="shared" si="12"/>
        <v>336.98727032113061</v>
      </c>
      <c r="AD78" s="492"/>
      <c r="AE78" s="492"/>
      <c r="AF78" s="492"/>
      <c r="AG78" s="492"/>
      <c r="AH78" s="492"/>
      <c r="AI78" s="492"/>
      <c r="AJ78" s="492">
        <f t="shared" si="8"/>
        <v>103.91830017026095</v>
      </c>
      <c r="AK78" s="492" t="s">
        <v>442</v>
      </c>
    </row>
    <row r="79" spans="1:37">
      <c r="A79" s="492">
        <f t="shared" si="9"/>
        <v>61</v>
      </c>
      <c r="B79" s="492">
        <f t="shared" ref="B79:D98" si="15">CEILING((MOD($A79-1,B$17)+1)/C$17,1)</f>
        <v>3</v>
      </c>
      <c r="C79" s="492">
        <f t="shared" si="15"/>
        <v>1</v>
      </c>
      <c r="D79" s="492">
        <f t="shared" si="15"/>
        <v>3</v>
      </c>
      <c r="E79" s="492">
        <f t="shared" si="1"/>
        <v>1</v>
      </c>
      <c r="F79" s="499" t="s">
        <v>645</v>
      </c>
      <c r="G79" s="499" t="str">
        <f t="shared" si="2"/>
        <v>2_30 to 2_39 gpm</v>
      </c>
      <c r="H79" s="492" t="str">
        <f t="shared" si="3"/>
        <v>Retail</v>
      </c>
      <c r="I79" s="492" t="str">
        <f t="shared" si="3"/>
        <v>1_50</v>
      </c>
      <c r="J79" s="492" t="str">
        <f t="shared" si="3"/>
        <v>Electric Water Heating</v>
      </c>
      <c r="K79" s="492" t="str">
        <f t="shared" si="4"/>
        <v>Commercial Showerhead Replacement_Fitness Center_precondition 2_30 to 2_39 gpm_efficient 1_50 gpm_Retail_Electric Water Heating</v>
      </c>
      <c r="L79" s="493">
        <f>INDEX(InstallRatesCostAndLifetime!$A$2:$D$6,MATCH(InputForProCost_FitnessCenter!H79,InstallRatesCostAndLifetime!$A$2:$A$6,0),MATCH(InputForProCost_FitnessCenter!I79,InstallRatesCostAndLifetime!$A$2:$D$2,0))</f>
        <v>0.7</v>
      </c>
      <c r="M79" s="493">
        <f t="shared" si="5"/>
        <v>1</v>
      </c>
      <c r="N79" s="492"/>
      <c r="O79" s="492" t="str">
        <f t="shared" si="6"/>
        <v>Fitness Center2_30 to 2_39 gpm1_50</v>
      </c>
      <c r="P79" s="494">
        <f>VLOOKUP($O79,Impacts!$F$27:$Z$59,16,FALSE)</f>
        <v>6346.0829964818076</v>
      </c>
      <c r="Q79" s="494">
        <f>VLOOKUP($O79,Impacts!$F$27:$Z$59,17,FALSE)*L79</f>
        <v>179.07261406099704</v>
      </c>
      <c r="R79" s="495">
        <f>VLOOKUP($O79,Impacts!$F$27:$Z$59,19,FALSE)*L79</f>
        <v>198.1075283543355</v>
      </c>
      <c r="S79" s="496">
        <f>VLOOKUP($O79,Impacts!$F$27:$Z$59,20,FALSE)*L79</f>
        <v>33851.1557771261</v>
      </c>
      <c r="T79" s="497">
        <f>VLOOKUP($O79,Impacts!$F$27:$Z$59,21,FALSE)*L79</f>
        <v>445.57205742460593</v>
      </c>
      <c r="U79" s="492"/>
      <c r="V79" s="492" t="str">
        <f t="shared" si="7"/>
        <v>Commercial Showerhead Replacement_Fitness Center_precondition 2_30 to 2_39 gpm_efficient 1_50 gpm_Retail_Electric Water Heating</v>
      </c>
      <c r="W79" s="492" t="s">
        <v>440</v>
      </c>
      <c r="X79" s="494">
        <f t="shared" si="10"/>
        <v>4442.2580975372648</v>
      </c>
      <c r="Y79" s="492">
        <v>10</v>
      </c>
      <c r="Z79" s="498">
        <f t="shared" si="11"/>
        <v>3.2966774171383419</v>
      </c>
      <c r="AA79" s="492"/>
      <c r="AB79" s="499" t="s">
        <v>441</v>
      </c>
      <c r="AC79" s="497">
        <f t="shared" si="12"/>
        <v>445.57205742460593</v>
      </c>
      <c r="AD79" s="492"/>
      <c r="AE79" s="492"/>
      <c r="AF79" s="492"/>
      <c r="AG79" s="492"/>
      <c r="AH79" s="492"/>
      <c r="AI79" s="492"/>
      <c r="AJ79" s="492">
        <f t="shared" si="8"/>
        <v>0</v>
      </c>
      <c r="AK79" s="492" t="s">
        <v>442</v>
      </c>
    </row>
    <row r="80" spans="1:37">
      <c r="A80" s="492">
        <f t="shared" si="9"/>
        <v>62</v>
      </c>
      <c r="B80" s="492">
        <f t="shared" si="15"/>
        <v>3</v>
      </c>
      <c r="C80" s="492">
        <f t="shared" si="15"/>
        <v>1</v>
      </c>
      <c r="D80" s="492">
        <f t="shared" si="15"/>
        <v>3</v>
      </c>
      <c r="E80" s="492">
        <f t="shared" si="1"/>
        <v>2</v>
      </c>
      <c r="F80" s="499" t="s">
        <v>645</v>
      </c>
      <c r="G80" s="499" t="str">
        <f t="shared" si="2"/>
        <v>2_30 to 2_39 gpm</v>
      </c>
      <c r="H80" s="492" t="str">
        <f t="shared" si="3"/>
        <v>Retail</v>
      </c>
      <c r="I80" s="492" t="str">
        <f t="shared" si="3"/>
        <v>1_50</v>
      </c>
      <c r="J80" s="492" t="str">
        <f t="shared" si="3"/>
        <v>Gas Water Heating</v>
      </c>
      <c r="K80" s="492" t="str">
        <f t="shared" si="4"/>
        <v>Commercial Showerhead Replacement_Fitness Center_precondition 2_30 to 2_39 gpm_efficient 1_50 gpm_Retail_Gas Water Heating</v>
      </c>
      <c r="L80" s="493">
        <f>INDEX(InstallRatesCostAndLifetime!$A$2:$D$6,MATCH(InputForProCost_FitnessCenter!H80,InstallRatesCostAndLifetime!$A$2:$A$6,0),MATCH(InputForProCost_FitnessCenter!I80,InstallRatesCostAndLifetime!$A$2:$D$2,0))</f>
        <v>0.7</v>
      </c>
      <c r="M80" s="493">
        <f t="shared" si="5"/>
        <v>0</v>
      </c>
      <c r="N80" s="492"/>
      <c r="O80" s="492" t="str">
        <f t="shared" si="6"/>
        <v>Fitness Center2_30 to 2_39 gpm1_50</v>
      </c>
      <c r="P80" s="494">
        <f>VLOOKUP($O80,Impacts!$F$27:$Z$59,16,FALSE)</f>
        <v>6346.0829964818076</v>
      </c>
      <c r="Q80" s="494">
        <f>VLOOKUP($O80,Impacts!$F$27:$Z$59,17,FALSE)*L80</f>
        <v>179.07261406099704</v>
      </c>
      <c r="R80" s="495">
        <f>VLOOKUP($O80,Impacts!$F$27:$Z$59,19,FALSE)*L80</f>
        <v>198.1075283543355</v>
      </c>
      <c r="S80" s="496">
        <f>VLOOKUP($O80,Impacts!$F$27:$Z$59,20,FALSE)*L80</f>
        <v>33851.1557771261</v>
      </c>
      <c r="T80" s="497">
        <f>VLOOKUP($O80,Impacts!$F$27:$Z$59,21,FALSE)*L80</f>
        <v>445.57205742460593</v>
      </c>
      <c r="U80" s="492"/>
      <c r="V80" s="492" t="str">
        <f t="shared" si="7"/>
        <v>Commercial Showerhead Replacement_Fitness Center_precondition 2_30 to 2_39 gpm_efficient 1_50 gpm_Retail_Gas Water Heating</v>
      </c>
      <c r="W80" s="492" t="s">
        <v>440</v>
      </c>
      <c r="X80" s="494">
        <f t="shared" si="10"/>
        <v>0</v>
      </c>
      <c r="Y80" s="492">
        <v>10</v>
      </c>
      <c r="Z80" s="498">
        <f t="shared" si="11"/>
        <v>3.2966774171383419</v>
      </c>
      <c r="AA80" s="492"/>
      <c r="AB80" s="499" t="s">
        <v>441</v>
      </c>
      <c r="AC80" s="497">
        <f t="shared" si="12"/>
        <v>445.57205742460593</v>
      </c>
      <c r="AD80" s="492"/>
      <c r="AE80" s="492"/>
      <c r="AF80" s="492"/>
      <c r="AG80" s="492"/>
      <c r="AH80" s="492"/>
      <c r="AI80" s="492"/>
      <c r="AJ80" s="492">
        <f t="shared" si="8"/>
        <v>198.1075283543355</v>
      </c>
      <c r="AK80" s="492" t="s">
        <v>442</v>
      </c>
    </row>
    <row r="81" spans="1:37">
      <c r="A81" s="492">
        <f t="shared" si="9"/>
        <v>63</v>
      </c>
      <c r="B81" s="492">
        <f t="shared" si="15"/>
        <v>3</v>
      </c>
      <c r="C81" s="492">
        <f t="shared" si="15"/>
        <v>1</v>
      </c>
      <c r="D81" s="492">
        <f t="shared" si="15"/>
        <v>3</v>
      </c>
      <c r="E81" s="492">
        <f t="shared" si="1"/>
        <v>3</v>
      </c>
      <c r="F81" s="499" t="s">
        <v>645</v>
      </c>
      <c r="G81" s="499" t="str">
        <f t="shared" si="2"/>
        <v>2_30 to 2_39 gpm</v>
      </c>
      <c r="H81" s="492" t="str">
        <f t="shared" si="3"/>
        <v>Retail</v>
      </c>
      <c r="I81" s="492" t="str">
        <f t="shared" si="3"/>
        <v>1_50</v>
      </c>
      <c r="J81" s="492" t="str">
        <f t="shared" si="3"/>
        <v>Any Water Heating</v>
      </c>
      <c r="K81" s="492" t="str">
        <f t="shared" si="4"/>
        <v>Commercial Showerhead Replacement_Fitness Center_precondition 2_30 to 2_39 gpm_efficient 1_50 gpm_Retail_Any Water Heating</v>
      </c>
      <c r="L81" s="493">
        <f>INDEX(InstallRatesCostAndLifetime!$A$2:$D$6,MATCH(InputForProCost_FitnessCenter!H81,InstallRatesCostAndLifetime!$A$2:$A$6,0),MATCH(InputForProCost_FitnessCenter!I81,InstallRatesCostAndLifetime!$A$2:$D$2,0))</f>
        <v>0.7</v>
      </c>
      <c r="M81" s="493">
        <f t="shared" si="5"/>
        <v>0.31666666666666665</v>
      </c>
      <c r="N81" s="492"/>
      <c r="O81" s="492" t="str">
        <f t="shared" si="6"/>
        <v>Fitness Center2_30 to 2_39 gpm1_50</v>
      </c>
      <c r="P81" s="494">
        <f>VLOOKUP($O81,Impacts!$F$27:$Z$59,16,FALSE)</f>
        <v>6346.0829964818076</v>
      </c>
      <c r="Q81" s="494">
        <f>VLOOKUP($O81,Impacts!$F$27:$Z$59,17,FALSE)*L81</f>
        <v>179.07261406099704</v>
      </c>
      <c r="R81" s="495">
        <f>VLOOKUP($O81,Impacts!$F$27:$Z$59,19,FALSE)*L81</f>
        <v>198.1075283543355</v>
      </c>
      <c r="S81" s="496">
        <f>VLOOKUP($O81,Impacts!$F$27:$Z$59,20,FALSE)*L81</f>
        <v>33851.1557771261</v>
      </c>
      <c r="T81" s="497">
        <f>VLOOKUP($O81,Impacts!$F$27:$Z$59,21,FALSE)*L81</f>
        <v>445.57205742460593</v>
      </c>
      <c r="U81" s="492"/>
      <c r="V81" s="492" t="str">
        <f t="shared" si="7"/>
        <v>Commercial Showerhead Replacement_Fitness Center_precondition 2_30 to 2_39 gpm_efficient 1_50 gpm_Retail_Any Water Heating</v>
      </c>
      <c r="W81" s="492" t="s">
        <v>440</v>
      </c>
      <c r="X81" s="494">
        <f t="shared" si="10"/>
        <v>1406.7150642201339</v>
      </c>
      <c r="Y81" s="492">
        <v>10</v>
      </c>
      <c r="Z81" s="498">
        <f t="shared" si="11"/>
        <v>3.2966774171383419</v>
      </c>
      <c r="AA81" s="492"/>
      <c r="AB81" s="499" t="s">
        <v>441</v>
      </c>
      <c r="AC81" s="497">
        <f t="shared" si="12"/>
        <v>445.57205742460593</v>
      </c>
      <c r="AD81" s="492"/>
      <c r="AE81" s="492"/>
      <c r="AF81" s="492"/>
      <c r="AG81" s="492"/>
      <c r="AH81" s="492"/>
      <c r="AI81" s="492"/>
      <c r="AJ81" s="492">
        <f t="shared" si="8"/>
        <v>135.37347770879592</v>
      </c>
      <c r="AK81" s="492" t="s">
        <v>442</v>
      </c>
    </row>
    <row r="82" spans="1:37">
      <c r="A82" s="492">
        <f t="shared" si="9"/>
        <v>64</v>
      </c>
      <c r="B82" s="492">
        <f t="shared" si="15"/>
        <v>3</v>
      </c>
      <c r="C82" s="492">
        <f t="shared" si="15"/>
        <v>2</v>
      </c>
      <c r="D82" s="492">
        <f t="shared" si="15"/>
        <v>1</v>
      </c>
      <c r="E82" s="492">
        <f t="shared" si="1"/>
        <v>1</v>
      </c>
      <c r="F82" s="499" t="s">
        <v>645</v>
      </c>
      <c r="G82" s="499" t="str">
        <f t="shared" si="2"/>
        <v>2_30 to 2_39 gpm</v>
      </c>
      <c r="H82" s="492" t="str">
        <f t="shared" si="3"/>
        <v>Direct Install</v>
      </c>
      <c r="I82" s="492" t="str">
        <f t="shared" si="3"/>
        <v>2_00</v>
      </c>
      <c r="J82" s="492" t="str">
        <f t="shared" si="3"/>
        <v>Electric Water Heating</v>
      </c>
      <c r="K82" s="492" t="str">
        <f t="shared" si="4"/>
        <v>Commercial Showerhead Replacement_Fitness Center_precondition 2_30 to 2_39 gpm_efficient 2_00 gpm_Direct Install_Electric Water Heating</v>
      </c>
      <c r="L82" s="493">
        <f>INDEX(InstallRatesCostAndLifetime!$A$2:$D$6,MATCH(InputForProCost_FitnessCenter!H82,InstallRatesCostAndLifetime!$A$2:$A$6,0),MATCH(InputForProCost_FitnessCenter!I82,InstallRatesCostAndLifetime!$A$2:$D$2,0))</f>
        <v>0.9</v>
      </c>
      <c r="M82" s="493">
        <f t="shared" si="5"/>
        <v>1</v>
      </c>
      <c r="N82" s="492"/>
      <c r="O82" s="492" t="str">
        <f t="shared" si="6"/>
        <v>Fitness Center2_30 to 2_39 gpm2_00</v>
      </c>
      <c r="P82" s="494">
        <f>VLOOKUP($O82,Impacts!$F$27:$Z$59,16,FALSE)</f>
        <v>4373.2879396446933</v>
      </c>
      <c r="Q82" s="494">
        <f>VLOOKUP($O82,Impacts!$F$27:$Z$59,17,FALSE)*L82</f>
        <v>148.97637640368666</v>
      </c>
      <c r="R82" s="495">
        <f>VLOOKUP($O82,Impacts!$F$27:$Z$59,19,FALSE)*L82</f>
        <v>175.52855348198514</v>
      </c>
      <c r="S82" s="496">
        <f>VLOOKUP($O82,Impacts!$F$27:$Z$59,20,FALSE)*L82</f>
        <v>28161.885898617518</v>
      </c>
      <c r="T82" s="497">
        <f>VLOOKUP($O82,Impacts!$F$27:$Z$59,21,FALSE)*L82</f>
        <v>370.68599735324375</v>
      </c>
      <c r="U82" s="492"/>
      <c r="V82" s="492" t="str">
        <f t="shared" si="7"/>
        <v>Commercial Showerhead Replacement_Fitness Center_precondition 2_30 to 2_39 gpm_efficient 2_00 gpm_Direct Install_Electric Water Heating</v>
      </c>
      <c r="W82" s="492" t="s">
        <v>440</v>
      </c>
      <c r="X82" s="494">
        <f t="shared" si="10"/>
        <v>3935.9591456802241</v>
      </c>
      <c r="Y82" s="492">
        <v>10</v>
      </c>
      <c r="Z82" s="498">
        <f t="shared" si="11"/>
        <v>11.336666666666666</v>
      </c>
      <c r="AA82" s="492"/>
      <c r="AB82" s="499" t="s">
        <v>441</v>
      </c>
      <c r="AC82" s="497">
        <f t="shared" si="12"/>
        <v>370.68599735324375</v>
      </c>
      <c r="AD82" s="492"/>
      <c r="AE82" s="492"/>
      <c r="AF82" s="492"/>
      <c r="AG82" s="492"/>
      <c r="AH82" s="492"/>
      <c r="AI82" s="492"/>
      <c r="AJ82" s="492">
        <f t="shared" si="8"/>
        <v>0</v>
      </c>
      <c r="AK82" s="492" t="s">
        <v>442</v>
      </c>
    </row>
    <row r="83" spans="1:37">
      <c r="A83" s="492">
        <f t="shared" si="9"/>
        <v>65</v>
      </c>
      <c r="B83" s="492">
        <f t="shared" si="15"/>
        <v>3</v>
      </c>
      <c r="C83" s="492">
        <f t="shared" si="15"/>
        <v>2</v>
      </c>
      <c r="D83" s="492">
        <f t="shared" si="15"/>
        <v>1</v>
      </c>
      <c r="E83" s="492">
        <f t="shared" ref="E83:E146" si="16">MOD($A83-1,E$17)+1</f>
        <v>2</v>
      </c>
      <c r="F83" s="499" t="s">
        <v>645</v>
      </c>
      <c r="G83" s="499" t="str">
        <f t="shared" ref="G83:G146" si="17">INDEX($G$3:$G$13,B83)</f>
        <v>2_30 to 2_39 gpm</v>
      </c>
      <c r="H83" s="492" t="str">
        <f t="shared" ref="H83:J146" si="18">INDEX(H$3:H$5,C83)</f>
        <v>Direct Install</v>
      </c>
      <c r="I83" s="492" t="str">
        <f t="shared" si="18"/>
        <v>2_00</v>
      </c>
      <c r="J83" s="492" t="str">
        <f t="shared" si="18"/>
        <v>Gas Water Heating</v>
      </c>
      <c r="K83" s="492" t="str">
        <f t="shared" ref="K83:K146" si="19">CONCATENATE("Commercial Showerhead Replacement_",F83,"_precondition ",G83,"_efficient ",I83," gpm_", H83,"_",J83)</f>
        <v>Commercial Showerhead Replacement_Fitness Center_precondition 2_30 to 2_39 gpm_efficient 2_00 gpm_Direct Install_Gas Water Heating</v>
      </c>
      <c r="L83" s="493">
        <f>INDEX(InstallRatesCostAndLifetime!$A$2:$D$6,MATCH(InputForProCost_FitnessCenter!H83,InstallRatesCostAndLifetime!$A$2:$A$6,0),MATCH(InputForProCost_FitnessCenter!I83,InstallRatesCostAndLifetime!$A$2:$D$2,0))</f>
        <v>0.9</v>
      </c>
      <c r="M83" s="493">
        <f t="shared" ref="M83:M146" si="20">IF(J83="Electric Water Heating",1,IF(J83 = "Gas Water Heating",0,VLOOKUP(F83,table_ElectricSaturation,2,FALSE)))</f>
        <v>0</v>
      </c>
      <c r="N83" s="492"/>
      <c r="O83" s="492" t="str">
        <f t="shared" ref="O83:O146" si="21">F83&amp;G83&amp;I83</f>
        <v>Fitness Center2_30 to 2_39 gpm2_00</v>
      </c>
      <c r="P83" s="494">
        <f>VLOOKUP($O83,Impacts!$F$27:$Z$59,16,FALSE)</f>
        <v>4373.2879396446933</v>
      </c>
      <c r="Q83" s="494">
        <f>VLOOKUP($O83,Impacts!$F$27:$Z$59,17,FALSE)*L83</f>
        <v>148.97637640368666</v>
      </c>
      <c r="R83" s="495">
        <f>VLOOKUP($O83,Impacts!$F$27:$Z$59,19,FALSE)*L83</f>
        <v>175.52855348198514</v>
      </c>
      <c r="S83" s="496">
        <f>VLOOKUP($O83,Impacts!$F$27:$Z$59,20,FALSE)*L83</f>
        <v>28161.885898617518</v>
      </c>
      <c r="T83" s="497">
        <f>VLOOKUP($O83,Impacts!$F$27:$Z$59,21,FALSE)*L83</f>
        <v>370.68599735324375</v>
      </c>
      <c r="U83" s="492"/>
      <c r="V83" s="492" t="str">
        <f t="shared" ref="V83:V146" si="22">K83</f>
        <v>Commercial Showerhead Replacement_Fitness Center_precondition 2_30 to 2_39 gpm_efficient 2_00 gpm_Direct Install_Gas Water Heating</v>
      </c>
      <c r="W83" s="492" t="s">
        <v>440</v>
      </c>
      <c r="X83" s="494">
        <f t="shared" si="10"/>
        <v>0</v>
      </c>
      <c r="Y83" s="492">
        <v>10</v>
      </c>
      <c r="Z83" s="498">
        <f t="shared" si="11"/>
        <v>11.336666666666666</v>
      </c>
      <c r="AA83" s="492"/>
      <c r="AB83" s="499" t="s">
        <v>441</v>
      </c>
      <c r="AC83" s="497">
        <f t="shared" si="12"/>
        <v>370.68599735324375</v>
      </c>
      <c r="AD83" s="492"/>
      <c r="AE83" s="492"/>
      <c r="AF83" s="492"/>
      <c r="AG83" s="492"/>
      <c r="AH83" s="492"/>
      <c r="AI83" s="492"/>
      <c r="AJ83" s="492">
        <f t="shared" ref="AJ83:AJ146" si="23">IF(S83&gt;0,R83*(1-M83),0)</f>
        <v>175.52855348198514</v>
      </c>
      <c r="AK83" s="492" t="s">
        <v>442</v>
      </c>
    </row>
    <row r="84" spans="1:37">
      <c r="A84" s="492">
        <f t="shared" ref="A84:A147" si="24">A83+1</f>
        <v>66</v>
      </c>
      <c r="B84" s="492">
        <f t="shared" si="15"/>
        <v>3</v>
      </c>
      <c r="C84" s="492">
        <f t="shared" si="15"/>
        <v>2</v>
      </c>
      <c r="D84" s="492">
        <f t="shared" si="15"/>
        <v>1</v>
      </c>
      <c r="E84" s="492">
        <f t="shared" si="16"/>
        <v>3</v>
      </c>
      <c r="F84" s="499" t="s">
        <v>645</v>
      </c>
      <c r="G84" s="499" t="str">
        <f t="shared" si="17"/>
        <v>2_30 to 2_39 gpm</v>
      </c>
      <c r="H84" s="492" t="str">
        <f t="shared" si="18"/>
        <v>Direct Install</v>
      </c>
      <c r="I84" s="492" t="str">
        <f t="shared" si="18"/>
        <v>2_00</v>
      </c>
      <c r="J84" s="492" t="str">
        <f t="shared" si="18"/>
        <v>Any Water Heating</v>
      </c>
      <c r="K84" s="492" t="str">
        <f t="shared" si="19"/>
        <v>Commercial Showerhead Replacement_Fitness Center_precondition 2_30 to 2_39 gpm_efficient 2_00 gpm_Direct Install_Any Water Heating</v>
      </c>
      <c r="L84" s="493">
        <f>INDEX(InstallRatesCostAndLifetime!$A$2:$D$6,MATCH(InputForProCost_FitnessCenter!H84,InstallRatesCostAndLifetime!$A$2:$A$6,0),MATCH(InputForProCost_FitnessCenter!I84,InstallRatesCostAndLifetime!$A$2:$D$2,0))</f>
        <v>0.9</v>
      </c>
      <c r="M84" s="493">
        <f t="shared" si="20"/>
        <v>0.31666666666666665</v>
      </c>
      <c r="N84" s="492"/>
      <c r="O84" s="492" t="str">
        <f t="shared" si="21"/>
        <v>Fitness Center2_30 to 2_39 gpm2_00</v>
      </c>
      <c r="P84" s="494">
        <f>VLOOKUP($O84,Impacts!$F$27:$Z$59,16,FALSE)</f>
        <v>4373.2879396446933</v>
      </c>
      <c r="Q84" s="494">
        <f>VLOOKUP($O84,Impacts!$F$27:$Z$59,17,FALSE)*L84</f>
        <v>148.97637640368666</v>
      </c>
      <c r="R84" s="495">
        <f>VLOOKUP($O84,Impacts!$F$27:$Z$59,19,FALSE)*L84</f>
        <v>175.52855348198514</v>
      </c>
      <c r="S84" s="496">
        <f>VLOOKUP($O84,Impacts!$F$27:$Z$59,20,FALSE)*L84</f>
        <v>28161.885898617518</v>
      </c>
      <c r="T84" s="497">
        <f>VLOOKUP($O84,Impacts!$F$27:$Z$59,21,FALSE)*L84</f>
        <v>370.68599735324375</v>
      </c>
      <c r="U84" s="492"/>
      <c r="V84" s="492" t="str">
        <f t="shared" si="22"/>
        <v>Commercial Showerhead Replacement_Fitness Center_precondition 2_30 to 2_39 gpm_efficient 2_00 gpm_Direct Install_Any Water Heating</v>
      </c>
      <c r="W84" s="492" t="s">
        <v>440</v>
      </c>
      <c r="X84" s="494">
        <f t="shared" ref="X84:X147" si="25">(P84*M84*L84)</f>
        <v>1246.3870627987376</v>
      </c>
      <c r="Y84" s="492">
        <v>10</v>
      </c>
      <c r="Z84" s="498">
        <f t="shared" ref="Z84:Z147" si="26">VLOOKUP(H84,table_MeasureCosts,2,FALSE)</f>
        <v>11.336666666666666</v>
      </c>
      <c r="AA84" s="492"/>
      <c r="AB84" s="499" t="s">
        <v>441</v>
      </c>
      <c r="AC84" s="497">
        <f t="shared" ref="AC84:AC147" si="27">T84</f>
        <v>370.68599735324375</v>
      </c>
      <c r="AD84" s="492"/>
      <c r="AE84" s="492"/>
      <c r="AF84" s="492"/>
      <c r="AG84" s="492"/>
      <c r="AH84" s="492"/>
      <c r="AI84" s="492"/>
      <c r="AJ84" s="492">
        <f t="shared" si="23"/>
        <v>119.94451154602318</v>
      </c>
      <c r="AK84" s="492" t="s">
        <v>442</v>
      </c>
    </row>
    <row r="85" spans="1:37">
      <c r="A85" s="492">
        <f t="shared" si="24"/>
        <v>67</v>
      </c>
      <c r="B85" s="492">
        <f t="shared" si="15"/>
        <v>3</v>
      </c>
      <c r="C85" s="492">
        <f t="shared" si="15"/>
        <v>2</v>
      </c>
      <c r="D85" s="492">
        <f t="shared" si="15"/>
        <v>2</v>
      </c>
      <c r="E85" s="492">
        <f t="shared" si="16"/>
        <v>1</v>
      </c>
      <c r="F85" s="499" t="s">
        <v>645</v>
      </c>
      <c r="G85" s="499" t="str">
        <f t="shared" si="17"/>
        <v>2_30 to 2_39 gpm</v>
      </c>
      <c r="H85" s="492" t="str">
        <f t="shared" si="18"/>
        <v>Direct Install</v>
      </c>
      <c r="I85" s="492" t="str">
        <f t="shared" si="18"/>
        <v>1_75</v>
      </c>
      <c r="J85" s="492" t="str">
        <f t="shared" si="18"/>
        <v>Electric Water Heating</v>
      </c>
      <c r="K85" s="492" t="str">
        <f t="shared" si="19"/>
        <v>Commercial Showerhead Replacement_Fitness Center_precondition 2_30 to 2_39 gpm_efficient 1_75 gpm_Direct Install_Electric Water Heating</v>
      </c>
      <c r="L85" s="493">
        <f>INDEX(InstallRatesCostAndLifetime!$A$2:$D$6,MATCH(InputForProCost_FitnessCenter!H85,InstallRatesCostAndLifetime!$A$2:$A$6,0),MATCH(InputForProCost_FitnessCenter!I85,InstallRatesCostAndLifetime!$A$2:$D$2,0))</f>
        <v>0.9</v>
      </c>
      <c r="M85" s="493">
        <f t="shared" si="20"/>
        <v>1</v>
      </c>
      <c r="N85" s="492"/>
      <c r="O85" s="492" t="str">
        <f t="shared" si="21"/>
        <v>Fitness Center2_30 to 2_39 gpm1_75</v>
      </c>
      <c r="P85" s="494">
        <f>VLOOKUP($O85,Impacts!$F$27:$Z$59,16,FALSE)</f>
        <v>4546.7489223324701</v>
      </c>
      <c r="Q85" s="494">
        <f>VLOOKUP($O85,Impacts!$F$27:$Z$59,17,FALSE)*L85</f>
        <v>162.51968334947634</v>
      </c>
      <c r="R85" s="495">
        <f>VLOOKUP($O85,Impacts!$F$27:$Z$59,19,FALSE)*L85</f>
        <v>182.49067346972654</v>
      </c>
      <c r="S85" s="496">
        <f>VLOOKUP($O85,Impacts!$F$27:$Z$59,20,FALSE)*L85</f>
        <v>30722.057343946381</v>
      </c>
      <c r="T85" s="497">
        <f>VLOOKUP($O85,Impacts!$F$27:$Z$59,21,FALSE)*L85</f>
        <v>404.38472438535678</v>
      </c>
      <c r="U85" s="492"/>
      <c r="V85" s="492" t="str">
        <f t="shared" si="22"/>
        <v>Commercial Showerhead Replacement_Fitness Center_precondition 2_30 to 2_39 gpm_efficient 1_75 gpm_Direct Install_Electric Water Heating</v>
      </c>
      <c r="W85" s="492" t="s">
        <v>440</v>
      </c>
      <c r="X85" s="494">
        <f t="shared" si="25"/>
        <v>4092.0740300992234</v>
      </c>
      <c r="Y85" s="492">
        <v>10</v>
      </c>
      <c r="Z85" s="498">
        <f t="shared" si="26"/>
        <v>11.336666666666666</v>
      </c>
      <c r="AA85" s="492"/>
      <c r="AB85" s="499" t="s">
        <v>441</v>
      </c>
      <c r="AC85" s="497">
        <f t="shared" si="27"/>
        <v>404.38472438535678</v>
      </c>
      <c r="AD85" s="492"/>
      <c r="AE85" s="492"/>
      <c r="AF85" s="492"/>
      <c r="AG85" s="492"/>
      <c r="AH85" s="492"/>
      <c r="AI85" s="492"/>
      <c r="AJ85" s="492">
        <f t="shared" si="23"/>
        <v>0</v>
      </c>
      <c r="AK85" s="492" t="s">
        <v>442</v>
      </c>
    </row>
    <row r="86" spans="1:37">
      <c r="A86" s="492">
        <f t="shared" si="24"/>
        <v>68</v>
      </c>
      <c r="B86" s="492">
        <f t="shared" si="15"/>
        <v>3</v>
      </c>
      <c r="C86" s="492">
        <f t="shared" si="15"/>
        <v>2</v>
      </c>
      <c r="D86" s="492">
        <f t="shared" si="15"/>
        <v>2</v>
      </c>
      <c r="E86" s="492">
        <f t="shared" si="16"/>
        <v>2</v>
      </c>
      <c r="F86" s="499" t="s">
        <v>645</v>
      </c>
      <c r="G86" s="499" t="str">
        <f t="shared" si="17"/>
        <v>2_30 to 2_39 gpm</v>
      </c>
      <c r="H86" s="492" t="str">
        <f t="shared" si="18"/>
        <v>Direct Install</v>
      </c>
      <c r="I86" s="492" t="str">
        <f t="shared" si="18"/>
        <v>1_75</v>
      </c>
      <c r="J86" s="492" t="str">
        <f t="shared" si="18"/>
        <v>Gas Water Heating</v>
      </c>
      <c r="K86" s="492" t="str">
        <f t="shared" si="19"/>
        <v>Commercial Showerhead Replacement_Fitness Center_precondition 2_30 to 2_39 gpm_efficient 1_75 gpm_Direct Install_Gas Water Heating</v>
      </c>
      <c r="L86" s="493">
        <f>INDEX(InstallRatesCostAndLifetime!$A$2:$D$6,MATCH(InputForProCost_FitnessCenter!H86,InstallRatesCostAndLifetime!$A$2:$A$6,0),MATCH(InputForProCost_FitnessCenter!I86,InstallRatesCostAndLifetime!$A$2:$D$2,0))</f>
        <v>0.9</v>
      </c>
      <c r="M86" s="493">
        <f t="shared" si="20"/>
        <v>0</v>
      </c>
      <c r="N86" s="492"/>
      <c r="O86" s="492" t="str">
        <f t="shared" si="21"/>
        <v>Fitness Center2_30 to 2_39 gpm1_75</v>
      </c>
      <c r="P86" s="494">
        <f>VLOOKUP($O86,Impacts!$F$27:$Z$59,16,FALSE)</f>
        <v>4546.7489223324701</v>
      </c>
      <c r="Q86" s="494">
        <f>VLOOKUP($O86,Impacts!$F$27:$Z$59,17,FALSE)*L86</f>
        <v>162.51968334947634</v>
      </c>
      <c r="R86" s="495">
        <f>VLOOKUP($O86,Impacts!$F$27:$Z$59,19,FALSE)*L86</f>
        <v>182.49067346972654</v>
      </c>
      <c r="S86" s="496">
        <f>VLOOKUP($O86,Impacts!$F$27:$Z$59,20,FALSE)*L86</f>
        <v>30722.057343946381</v>
      </c>
      <c r="T86" s="497">
        <f>VLOOKUP($O86,Impacts!$F$27:$Z$59,21,FALSE)*L86</f>
        <v>404.38472438535678</v>
      </c>
      <c r="U86" s="492"/>
      <c r="V86" s="492" t="str">
        <f t="shared" si="22"/>
        <v>Commercial Showerhead Replacement_Fitness Center_precondition 2_30 to 2_39 gpm_efficient 1_75 gpm_Direct Install_Gas Water Heating</v>
      </c>
      <c r="W86" s="492" t="s">
        <v>440</v>
      </c>
      <c r="X86" s="494">
        <f t="shared" si="25"/>
        <v>0</v>
      </c>
      <c r="Y86" s="492">
        <v>10</v>
      </c>
      <c r="Z86" s="498">
        <f t="shared" si="26"/>
        <v>11.336666666666666</v>
      </c>
      <c r="AA86" s="492"/>
      <c r="AB86" s="499" t="s">
        <v>441</v>
      </c>
      <c r="AC86" s="497">
        <f t="shared" si="27"/>
        <v>404.38472438535678</v>
      </c>
      <c r="AD86" s="492"/>
      <c r="AE86" s="492"/>
      <c r="AF86" s="492"/>
      <c r="AG86" s="492"/>
      <c r="AH86" s="492"/>
      <c r="AI86" s="492"/>
      <c r="AJ86" s="492">
        <f t="shared" si="23"/>
        <v>182.49067346972654</v>
      </c>
      <c r="AK86" s="492" t="s">
        <v>442</v>
      </c>
    </row>
    <row r="87" spans="1:37">
      <c r="A87" s="492">
        <f t="shared" si="24"/>
        <v>69</v>
      </c>
      <c r="B87" s="492">
        <f t="shared" si="15"/>
        <v>3</v>
      </c>
      <c r="C87" s="492">
        <f t="shared" si="15"/>
        <v>2</v>
      </c>
      <c r="D87" s="492">
        <f t="shared" si="15"/>
        <v>2</v>
      </c>
      <c r="E87" s="492">
        <f t="shared" si="16"/>
        <v>3</v>
      </c>
      <c r="F87" s="499" t="s">
        <v>645</v>
      </c>
      <c r="G87" s="499" t="str">
        <f t="shared" si="17"/>
        <v>2_30 to 2_39 gpm</v>
      </c>
      <c r="H87" s="492" t="str">
        <f t="shared" si="18"/>
        <v>Direct Install</v>
      </c>
      <c r="I87" s="492" t="str">
        <f t="shared" si="18"/>
        <v>1_75</v>
      </c>
      <c r="J87" s="492" t="str">
        <f t="shared" si="18"/>
        <v>Any Water Heating</v>
      </c>
      <c r="K87" s="492" t="str">
        <f t="shared" si="19"/>
        <v>Commercial Showerhead Replacement_Fitness Center_precondition 2_30 to 2_39 gpm_efficient 1_75 gpm_Direct Install_Any Water Heating</v>
      </c>
      <c r="L87" s="493">
        <f>INDEX(InstallRatesCostAndLifetime!$A$2:$D$6,MATCH(InputForProCost_FitnessCenter!H87,InstallRatesCostAndLifetime!$A$2:$A$6,0),MATCH(InputForProCost_FitnessCenter!I87,InstallRatesCostAndLifetime!$A$2:$D$2,0))</f>
        <v>0.9</v>
      </c>
      <c r="M87" s="493">
        <f t="shared" si="20"/>
        <v>0.31666666666666665</v>
      </c>
      <c r="N87" s="492"/>
      <c r="O87" s="492" t="str">
        <f t="shared" si="21"/>
        <v>Fitness Center2_30 to 2_39 gpm1_75</v>
      </c>
      <c r="P87" s="494">
        <f>VLOOKUP($O87,Impacts!$F$27:$Z$59,16,FALSE)</f>
        <v>4546.7489223324701</v>
      </c>
      <c r="Q87" s="494">
        <f>VLOOKUP($O87,Impacts!$F$27:$Z$59,17,FALSE)*L87</f>
        <v>162.51968334947634</v>
      </c>
      <c r="R87" s="495">
        <f>VLOOKUP($O87,Impacts!$F$27:$Z$59,19,FALSE)*L87</f>
        <v>182.49067346972654</v>
      </c>
      <c r="S87" s="496">
        <f>VLOOKUP($O87,Impacts!$F$27:$Z$59,20,FALSE)*L87</f>
        <v>30722.057343946381</v>
      </c>
      <c r="T87" s="497">
        <f>VLOOKUP($O87,Impacts!$F$27:$Z$59,21,FALSE)*L87</f>
        <v>404.38472438535678</v>
      </c>
      <c r="U87" s="492"/>
      <c r="V87" s="492" t="str">
        <f t="shared" si="22"/>
        <v>Commercial Showerhead Replacement_Fitness Center_precondition 2_30 to 2_39 gpm_efficient 1_75 gpm_Direct Install_Any Water Heating</v>
      </c>
      <c r="W87" s="492" t="s">
        <v>440</v>
      </c>
      <c r="X87" s="494">
        <f t="shared" si="25"/>
        <v>1295.823442864754</v>
      </c>
      <c r="Y87" s="492">
        <v>10</v>
      </c>
      <c r="Z87" s="498">
        <f t="shared" si="26"/>
        <v>11.336666666666666</v>
      </c>
      <c r="AA87" s="492"/>
      <c r="AB87" s="499" t="s">
        <v>441</v>
      </c>
      <c r="AC87" s="497">
        <f t="shared" si="27"/>
        <v>404.38472438535678</v>
      </c>
      <c r="AD87" s="492"/>
      <c r="AE87" s="492"/>
      <c r="AF87" s="492"/>
      <c r="AG87" s="492"/>
      <c r="AH87" s="492"/>
      <c r="AI87" s="492"/>
      <c r="AJ87" s="492">
        <f t="shared" si="23"/>
        <v>124.70196020431314</v>
      </c>
      <c r="AK87" s="492" t="s">
        <v>442</v>
      </c>
    </row>
    <row r="88" spans="1:37">
      <c r="A88" s="492">
        <f t="shared" si="24"/>
        <v>70</v>
      </c>
      <c r="B88" s="492">
        <f t="shared" si="15"/>
        <v>3</v>
      </c>
      <c r="C88" s="492">
        <f t="shared" si="15"/>
        <v>2</v>
      </c>
      <c r="D88" s="492">
        <f t="shared" si="15"/>
        <v>3</v>
      </c>
      <c r="E88" s="492">
        <f t="shared" si="16"/>
        <v>1</v>
      </c>
      <c r="F88" s="499" t="s">
        <v>645</v>
      </c>
      <c r="G88" s="499" t="str">
        <f t="shared" si="17"/>
        <v>2_30 to 2_39 gpm</v>
      </c>
      <c r="H88" s="492" t="str">
        <f t="shared" si="18"/>
        <v>Direct Install</v>
      </c>
      <c r="I88" s="492" t="str">
        <f t="shared" si="18"/>
        <v>1_50</v>
      </c>
      <c r="J88" s="492" t="str">
        <f t="shared" si="18"/>
        <v>Electric Water Heating</v>
      </c>
      <c r="K88" s="492" t="str">
        <f t="shared" si="19"/>
        <v>Commercial Showerhead Replacement_Fitness Center_precondition 2_30 to 2_39 gpm_efficient 1_50 gpm_Direct Install_Electric Water Heating</v>
      </c>
      <c r="L88" s="493">
        <f>INDEX(InstallRatesCostAndLifetime!$A$2:$D$6,MATCH(InputForProCost_FitnessCenter!H88,InstallRatesCostAndLifetime!$A$2:$A$6,0),MATCH(InputForProCost_FitnessCenter!I88,InstallRatesCostAndLifetime!$A$2:$D$2,0))</f>
        <v>0.9</v>
      </c>
      <c r="M88" s="493">
        <f t="shared" si="20"/>
        <v>1</v>
      </c>
      <c r="N88" s="492"/>
      <c r="O88" s="492" t="str">
        <f t="shared" si="21"/>
        <v>Fitness Center2_30 to 2_39 gpm1_50</v>
      </c>
      <c r="P88" s="494">
        <f>VLOOKUP($O88,Impacts!$F$27:$Z$59,16,FALSE)</f>
        <v>6346.0829964818076</v>
      </c>
      <c r="Q88" s="494">
        <f>VLOOKUP($O88,Impacts!$F$27:$Z$59,17,FALSE)*L88</f>
        <v>230.2362180784248</v>
      </c>
      <c r="R88" s="495">
        <f>VLOOKUP($O88,Impacts!$F$27:$Z$59,19,FALSE)*L88</f>
        <v>254.70967931271707</v>
      </c>
      <c r="S88" s="496">
        <f>VLOOKUP($O88,Impacts!$F$27:$Z$59,20,FALSE)*L88</f>
        <v>43522.914570590699</v>
      </c>
      <c r="T88" s="497">
        <f>VLOOKUP($O88,Impacts!$F$27:$Z$59,21,FALSE)*L88</f>
        <v>572.87835954592197</v>
      </c>
      <c r="U88" s="492"/>
      <c r="V88" s="492" t="str">
        <f t="shared" si="22"/>
        <v>Commercial Showerhead Replacement_Fitness Center_precondition 2_30 to 2_39 gpm_efficient 1_50 gpm_Direct Install_Electric Water Heating</v>
      </c>
      <c r="W88" s="492" t="s">
        <v>440</v>
      </c>
      <c r="X88" s="494">
        <f t="shared" si="25"/>
        <v>5711.4746968336267</v>
      </c>
      <c r="Y88" s="492">
        <v>10</v>
      </c>
      <c r="Z88" s="498">
        <f t="shared" si="26"/>
        <v>11.336666666666666</v>
      </c>
      <c r="AA88" s="492"/>
      <c r="AB88" s="499" t="s">
        <v>441</v>
      </c>
      <c r="AC88" s="497">
        <f t="shared" si="27"/>
        <v>572.87835954592197</v>
      </c>
      <c r="AD88" s="492"/>
      <c r="AE88" s="492"/>
      <c r="AF88" s="492"/>
      <c r="AG88" s="492"/>
      <c r="AH88" s="492"/>
      <c r="AI88" s="492"/>
      <c r="AJ88" s="492">
        <f t="shared" si="23"/>
        <v>0</v>
      </c>
      <c r="AK88" s="492" t="s">
        <v>442</v>
      </c>
    </row>
    <row r="89" spans="1:37">
      <c r="A89" s="492">
        <f t="shared" si="24"/>
        <v>71</v>
      </c>
      <c r="B89" s="492">
        <f t="shared" si="15"/>
        <v>3</v>
      </c>
      <c r="C89" s="492">
        <f t="shared" si="15"/>
        <v>2</v>
      </c>
      <c r="D89" s="492">
        <f t="shared" si="15"/>
        <v>3</v>
      </c>
      <c r="E89" s="492">
        <f t="shared" si="16"/>
        <v>2</v>
      </c>
      <c r="F89" s="499" t="s">
        <v>645</v>
      </c>
      <c r="G89" s="499" t="str">
        <f t="shared" si="17"/>
        <v>2_30 to 2_39 gpm</v>
      </c>
      <c r="H89" s="492" t="str">
        <f t="shared" si="18"/>
        <v>Direct Install</v>
      </c>
      <c r="I89" s="492" t="str">
        <f t="shared" si="18"/>
        <v>1_50</v>
      </c>
      <c r="J89" s="492" t="str">
        <f t="shared" si="18"/>
        <v>Gas Water Heating</v>
      </c>
      <c r="K89" s="492" t="str">
        <f t="shared" si="19"/>
        <v>Commercial Showerhead Replacement_Fitness Center_precondition 2_30 to 2_39 gpm_efficient 1_50 gpm_Direct Install_Gas Water Heating</v>
      </c>
      <c r="L89" s="493">
        <f>INDEX(InstallRatesCostAndLifetime!$A$2:$D$6,MATCH(InputForProCost_FitnessCenter!H89,InstallRatesCostAndLifetime!$A$2:$A$6,0),MATCH(InputForProCost_FitnessCenter!I89,InstallRatesCostAndLifetime!$A$2:$D$2,0))</f>
        <v>0.9</v>
      </c>
      <c r="M89" s="493">
        <f t="shared" si="20"/>
        <v>0</v>
      </c>
      <c r="N89" s="492"/>
      <c r="O89" s="492" t="str">
        <f t="shared" si="21"/>
        <v>Fitness Center2_30 to 2_39 gpm1_50</v>
      </c>
      <c r="P89" s="494">
        <f>VLOOKUP($O89,Impacts!$F$27:$Z$59,16,FALSE)</f>
        <v>6346.0829964818076</v>
      </c>
      <c r="Q89" s="494">
        <f>VLOOKUP($O89,Impacts!$F$27:$Z$59,17,FALSE)*L89</f>
        <v>230.2362180784248</v>
      </c>
      <c r="R89" s="495">
        <f>VLOOKUP($O89,Impacts!$F$27:$Z$59,19,FALSE)*L89</f>
        <v>254.70967931271707</v>
      </c>
      <c r="S89" s="496">
        <f>VLOOKUP($O89,Impacts!$F$27:$Z$59,20,FALSE)*L89</f>
        <v>43522.914570590699</v>
      </c>
      <c r="T89" s="497">
        <f>VLOOKUP($O89,Impacts!$F$27:$Z$59,21,FALSE)*L89</f>
        <v>572.87835954592197</v>
      </c>
      <c r="U89" s="492"/>
      <c r="V89" s="492" t="str">
        <f t="shared" si="22"/>
        <v>Commercial Showerhead Replacement_Fitness Center_precondition 2_30 to 2_39 gpm_efficient 1_50 gpm_Direct Install_Gas Water Heating</v>
      </c>
      <c r="W89" s="492" t="s">
        <v>440</v>
      </c>
      <c r="X89" s="494">
        <f t="shared" si="25"/>
        <v>0</v>
      </c>
      <c r="Y89" s="492">
        <v>10</v>
      </c>
      <c r="Z89" s="498">
        <f t="shared" si="26"/>
        <v>11.336666666666666</v>
      </c>
      <c r="AA89" s="492"/>
      <c r="AB89" s="499" t="s">
        <v>441</v>
      </c>
      <c r="AC89" s="497">
        <f t="shared" si="27"/>
        <v>572.87835954592197</v>
      </c>
      <c r="AD89" s="492"/>
      <c r="AE89" s="492"/>
      <c r="AF89" s="492"/>
      <c r="AG89" s="492"/>
      <c r="AH89" s="492"/>
      <c r="AI89" s="492"/>
      <c r="AJ89" s="492">
        <f t="shared" si="23"/>
        <v>254.70967931271707</v>
      </c>
      <c r="AK89" s="492" t="s">
        <v>442</v>
      </c>
    </row>
    <row r="90" spans="1:37">
      <c r="A90" s="492">
        <f t="shared" si="24"/>
        <v>72</v>
      </c>
      <c r="B90" s="492">
        <f t="shared" si="15"/>
        <v>3</v>
      </c>
      <c r="C90" s="492">
        <f t="shared" si="15"/>
        <v>2</v>
      </c>
      <c r="D90" s="492">
        <f t="shared" si="15"/>
        <v>3</v>
      </c>
      <c r="E90" s="492">
        <f t="shared" si="16"/>
        <v>3</v>
      </c>
      <c r="F90" s="499" t="s">
        <v>645</v>
      </c>
      <c r="G90" s="499" t="str">
        <f t="shared" si="17"/>
        <v>2_30 to 2_39 gpm</v>
      </c>
      <c r="H90" s="492" t="str">
        <f t="shared" si="18"/>
        <v>Direct Install</v>
      </c>
      <c r="I90" s="492" t="str">
        <f t="shared" si="18"/>
        <v>1_50</v>
      </c>
      <c r="J90" s="492" t="str">
        <f t="shared" si="18"/>
        <v>Any Water Heating</v>
      </c>
      <c r="K90" s="492" t="str">
        <f t="shared" si="19"/>
        <v>Commercial Showerhead Replacement_Fitness Center_precondition 2_30 to 2_39 gpm_efficient 1_50 gpm_Direct Install_Any Water Heating</v>
      </c>
      <c r="L90" s="493">
        <f>INDEX(InstallRatesCostAndLifetime!$A$2:$D$6,MATCH(InputForProCost_FitnessCenter!H90,InstallRatesCostAndLifetime!$A$2:$A$6,0),MATCH(InputForProCost_FitnessCenter!I90,InstallRatesCostAndLifetime!$A$2:$D$2,0))</f>
        <v>0.9</v>
      </c>
      <c r="M90" s="493">
        <f t="shared" si="20"/>
        <v>0.31666666666666665</v>
      </c>
      <c r="N90" s="492"/>
      <c r="O90" s="492" t="str">
        <f t="shared" si="21"/>
        <v>Fitness Center2_30 to 2_39 gpm1_50</v>
      </c>
      <c r="P90" s="494">
        <f>VLOOKUP($O90,Impacts!$F$27:$Z$59,16,FALSE)</f>
        <v>6346.0829964818076</v>
      </c>
      <c r="Q90" s="494">
        <f>VLOOKUP($O90,Impacts!$F$27:$Z$59,17,FALSE)*L90</f>
        <v>230.2362180784248</v>
      </c>
      <c r="R90" s="495">
        <f>VLOOKUP($O90,Impacts!$F$27:$Z$59,19,FALSE)*L90</f>
        <v>254.70967931271707</v>
      </c>
      <c r="S90" s="496">
        <f>VLOOKUP($O90,Impacts!$F$27:$Z$59,20,FALSE)*L90</f>
        <v>43522.914570590699</v>
      </c>
      <c r="T90" s="497">
        <f>VLOOKUP($O90,Impacts!$F$27:$Z$59,21,FALSE)*L90</f>
        <v>572.87835954592197</v>
      </c>
      <c r="U90" s="492"/>
      <c r="V90" s="492" t="str">
        <f t="shared" si="22"/>
        <v>Commercial Showerhead Replacement_Fitness Center_precondition 2_30 to 2_39 gpm_efficient 1_50 gpm_Direct Install_Any Water Heating</v>
      </c>
      <c r="W90" s="492" t="s">
        <v>440</v>
      </c>
      <c r="X90" s="494">
        <f t="shared" si="25"/>
        <v>1808.6336539973152</v>
      </c>
      <c r="Y90" s="492">
        <v>10</v>
      </c>
      <c r="Z90" s="498">
        <f t="shared" si="26"/>
        <v>11.336666666666666</v>
      </c>
      <c r="AA90" s="492"/>
      <c r="AB90" s="499" t="s">
        <v>441</v>
      </c>
      <c r="AC90" s="497">
        <f t="shared" si="27"/>
        <v>572.87835954592197</v>
      </c>
      <c r="AD90" s="492"/>
      <c r="AE90" s="492"/>
      <c r="AF90" s="492"/>
      <c r="AG90" s="492"/>
      <c r="AH90" s="492"/>
      <c r="AI90" s="492"/>
      <c r="AJ90" s="492">
        <f t="shared" si="23"/>
        <v>174.05161419702333</v>
      </c>
      <c r="AK90" s="492" t="s">
        <v>442</v>
      </c>
    </row>
    <row r="91" spans="1:37">
      <c r="A91" s="492">
        <f t="shared" si="24"/>
        <v>73</v>
      </c>
      <c r="B91" s="492">
        <f t="shared" si="15"/>
        <v>3</v>
      </c>
      <c r="C91" s="492">
        <f t="shared" si="15"/>
        <v>3</v>
      </c>
      <c r="D91" s="492">
        <f t="shared" si="15"/>
        <v>1</v>
      </c>
      <c r="E91" s="492">
        <f t="shared" si="16"/>
        <v>1</v>
      </c>
      <c r="F91" s="499" t="s">
        <v>645</v>
      </c>
      <c r="G91" s="499" t="str">
        <f t="shared" si="17"/>
        <v>2_30 to 2_39 gpm</v>
      </c>
      <c r="H91" s="492" t="str">
        <f t="shared" si="18"/>
        <v>Mail-by-Request</v>
      </c>
      <c r="I91" s="492" t="str">
        <f t="shared" si="18"/>
        <v>2_00</v>
      </c>
      <c r="J91" s="492" t="str">
        <f t="shared" si="18"/>
        <v>Electric Water Heating</v>
      </c>
      <c r="K91" s="492" t="str">
        <f t="shared" si="19"/>
        <v>Commercial Showerhead Replacement_Fitness Center_precondition 2_30 to 2_39 gpm_efficient 2_00 gpm_Mail-by-Request_Electric Water Heating</v>
      </c>
      <c r="L91" s="493">
        <f>INDEX(InstallRatesCostAndLifetime!$A$2:$D$6,MATCH(InputForProCost_FitnessCenter!H91,InstallRatesCostAndLifetime!$A$2:$A$6,0),MATCH(InputForProCost_FitnessCenter!I91,InstallRatesCostAndLifetime!$A$2:$D$2,0))</f>
        <v>0.6</v>
      </c>
      <c r="M91" s="493">
        <f t="shared" si="20"/>
        <v>1</v>
      </c>
      <c r="N91" s="492"/>
      <c r="O91" s="492" t="str">
        <f t="shared" si="21"/>
        <v>Fitness Center2_30 to 2_39 gpm2_00</v>
      </c>
      <c r="P91" s="494">
        <f>VLOOKUP($O91,Impacts!$F$27:$Z$59,16,FALSE)</f>
        <v>4373.2879396446933</v>
      </c>
      <c r="Q91" s="494">
        <f>VLOOKUP($O91,Impacts!$F$27:$Z$59,17,FALSE)*L91</f>
        <v>99.317584269124424</v>
      </c>
      <c r="R91" s="495">
        <f>VLOOKUP($O91,Impacts!$F$27:$Z$59,19,FALSE)*L91</f>
        <v>117.01903565465675</v>
      </c>
      <c r="S91" s="496">
        <f>VLOOKUP($O91,Impacts!$F$27:$Z$59,20,FALSE)*L91</f>
        <v>18774.590599078343</v>
      </c>
      <c r="T91" s="497">
        <f>VLOOKUP($O91,Impacts!$F$27:$Z$59,21,FALSE)*L91</f>
        <v>247.12399823549583</v>
      </c>
      <c r="U91" s="492"/>
      <c r="V91" s="492" t="str">
        <f t="shared" si="22"/>
        <v>Commercial Showerhead Replacement_Fitness Center_precondition 2_30 to 2_39 gpm_efficient 2_00 gpm_Mail-by-Request_Electric Water Heating</v>
      </c>
      <c r="W91" s="492" t="s">
        <v>440</v>
      </c>
      <c r="X91" s="494">
        <f t="shared" si="25"/>
        <v>2623.9727637868159</v>
      </c>
      <c r="Y91" s="492">
        <v>10</v>
      </c>
      <c r="Z91" s="498">
        <f t="shared" si="26"/>
        <v>8.1096944444444432</v>
      </c>
      <c r="AA91" s="492"/>
      <c r="AB91" s="499" t="s">
        <v>441</v>
      </c>
      <c r="AC91" s="497">
        <f t="shared" si="27"/>
        <v>247.12399823549583</v>
      </c>
      <c r="AD91" s="492"/>
      <c r="AE91" s="492"/>
      <c r="AF91" s="492"/>
      <c r="AG91" s="492"/>
      <c r="AH91" s="492"/>
      <c r="AI91" s="492"/>
      <c r="AJ91" s="492">
        <f t="shared" si="23"/>
        <v>0</v>
      </c>
      <c r="AK91" s="492" t="s">
        <v>442</v>
      </c>
    </row>
    <row r="92" spans="1:37">
      <c r="A92" s="492">
        <f t="shared" si="24"/>
        <v>74</v>
      </c>
      <c r="B92" s="492">
        <f t="shared" si="15"/>
        <v>3</v>
      </c>
      <c r="C92" s="492">
        <f t="shared" si="15"/>
        <v>3</v>
      </c>
      <c r="D92" s="492">
        <f t="shared" si="15"/>
        <v>1</v>
      </c>
      <c r="E92" s="492">
        <f t="shared" si="16"/>
        <v>2</v>
      </c>
      <c r="F92" s="499" t="s">
        <v>645</v>
      </c>
      <c r="G92" s="499" t="str">
        <f t="shared" si="17"/>
        <v>2_30 to 2_39 gpm</v>
      </c>
      <c r="H92" s="492" t="str">
        <f t="shared" si="18"/>
        <v>Mail-by-Request</v>
      </c>
      <c r="I92" s="492" t="str">
        <f t="shared" si="18"/>
        <v>2_00</v>
      </c>
      <c r="J92" s="492" t="str">
        <f t="shared" si="18"/>
        <v>Gas Water Heating</v>
      </c>
      <c r="K92" s="492" t="str">
        <f t="shared" si="19"/>
        <v>Commercial Showerhead Replacement_Fitness Center_precondition 2_30 to 2_39 gpm_efficient 2_00 gpm_Mail-by-Request_Gas Water Heating</v>
      </c>
      <c r="L92" s="493">
        <f>INDEX(InstallRatesCostAndLifetime!$A$2:$D$6,MATCH(InputForProCost_FitnessCenter!H92,InstallRatesCostAndLifetime!$A$2:$A$6,0),MATCH(InputForProCost_FitnessCenter!I92,InstallRatesCostAndLifetime!$A$2:$D$2,0))</f>
        <v>0.6</v>
      </c>
      <c r="M92" s="493">
        <f t="shared" si="20"/>
        <v>0</v>
      </c>
      <c r="N92" s="492"/>
      <c r="O92" s="492" t="str">
        <f t="shared" si="21"/>
        <v>Fitness Center2_30 to 2_39 gpm2_00</v>
      </c>
      <c r="P92" s="494">
        <f>VLOOKUP($O92,Impacts!$F$27:$Z$59,16,FALSE)</f>
        <v>4373.2879396446933</v>
      </c>
      <c r="Q92" s="494">
        <f>VLOOKUP($O92,Impacts!$F$27:$Z$59,17,FALSE)*L92</f>
        <v>99.317584269124424</v>
      </c>
      <c r="R92" s="495">
        <f>VLOOKUP($O92,Impacts!$F$27:$Z$59,19,FALSE)*L92</f>
        <v>117.01903565465675</v>
      </c>
      <c r="S92" s="496">
        <f>VLOOKUP($O92,Impacts!$F$27:$Z$59,20,FALSE)*L92</f>
        <v>18774.590599078343</v>
      </c>
      <c r="T92" s="497">
        <f>VLOOKUP($O92,Impacts!$F$27:$Z$59,21,FALSE)*L92</f>
        <v>247.12399823549583</v>
      </c>
      <c r="U92" s="492"/>
      <c r="V92" s="492" t="str">
        <f t="shared" si="22"/>
        <v>Commercial Showerhead Replacement_Fitness Center_precondition 2_30 to 2_39 gpm_efficient 2_00 gpm_Mail-by-Request_Gas Water Heating</v>
      </c>
      <c r="W92" s="492" t="s">
        <v>440</v>
      </c>
      <c r="X92" s="494">
        <f t="shared" si="25"/>
        <v>0</v>
      </c>
      <c r="Y92" s="492">
        <v>10</v>
      </c>
      <c r="Z92" s="498">
        <f t="shared" si="26"/>
        <v>8.1096944444444432</v>
      </c>
      <c r="AA92" s="492"/>
      <c r="AB92" s="499" t="s">
        <v>441</v>
      </c>
      <c r="AC92" s="497">
        <f t="shared" si="27"/>
        <v>247.12399823549583</v>
      </c>
      <c r="AD92" s="492"/>
      <c r="AE92" s="492"/>
      <c r="AF92" s="492"/>
      <c r="AG92" s="492"/>
      <c r="AH92" s="492"/>
      <c r="AI92" s="492"/>
      <c r="AJ92" s="492">
        <f t="shared" si="23"/>
        <v>117.01903565465675</v>
      </c>
      <c r="AK92" s="492" t="s">
        <v>442</v>
      </c>
    </row>
    <row r="93" spans="1:37">
      <c r="A93" s="492">
        <f t="shared" si="24"/>
        <v>75</v>
      </c>
      <c r="B93" s="492">
        <f t="shared" si="15"/>
        <v>3</v>
      </c>
      <c r="C93" s="492">
        <f t="shared" si="15"/>
        <v>3</v>
      </c>
      <c r="D93" s="492">
        <f t="shared" si="15"/>
        <v>1</v>
      </c>
      <c r="E93" s="492">
        <f t="shared" si="16"/>
        <v>3</v>
      </c>
      <c r="F93" s="499" t="s">
        <v>645</v>
      </c>
      <c r="G93" s="499" t="str">
        <f t="shared" si="17"/>
        <v>2_30 to 2_39 gpm</v>
      </c>
      <c r="H93" s="492" t="str">
        <f t="shared" si="18"/>
        <v>Mail-by-Request</v>
      </c>
      <c r="I93" s="492" t="str">
        <f t="shared" si="18"/>
        <v>2_00</v>
      </c>
      <c r="J93" s="492" t="str">
        <f t="shared" si="18"/>
        <v>Any Water Heating</v>
      </c>
      <c r="K93" s="492" t="str">
        <f t="shared" si="19"/>
        <v>Commercial Showerhead Replacement_Fitness Center_precondition 2_30 to 2_39 gpm_efficient 2_00 gpm_Mail-by-Request_Any Water Heating</v>
      </c>
      <c r="L93" s="493">
        <f>INDEX(InstallRatesCostAndLifetime!$A$2:$D$6,MATCH(InputForProCost_FitnessCenter!H93,InstallRatesCostAndLifetime!$A$2:$A$6,0),MATCH(InputForProCost_FitnessCenter!I93,InstallRatesCostAndLifetime!$A$2:$D$2,0))</f>
        <v>0.6</v>
      </c>
      <c r="M93" s="493">
        <f t="shared" si="20"/>
        <v>0.31666666666666665</v>
      </c>
      <c r="N93" s="492"/>
      <c r="O93" s="492" t="str">
        <f t="shared" si="21"/>
        <v>Fitness Center2_30 to 2_39 gpm2_00</v>
      </c>
      <c r="P93" s="494">
        <f>VLOOKUP($O93,Impacts!$F$27:$Z$59,16,FALSE)</f>
        <v>4373.2879396446933</v>
      </c>
      <c r="Q93" s="494">
        <f>VLOOKUP($O93,Impacts!$F$27:$Z$59,17,FALSE)*L93</f>
        <v>99.317584269124424</v>
      </c>
      <c r="R93" s="495">
        <f>VLOOKUP($O93,Impacts!$F$27:$Z$59,19,FALSE)*L93</f>
        <v>117.01903565465675</v>
      </c>
      <c r="S93" s="496">
        <f>VLOOKUP($O93,Impacts!$F$27:$Z$59,20,FALSE)*L93</f>
        <v>18774.590599078343</v>
      </c>
      <c r="T93" s="497">
        <f>VLOOKUP($O93,Impacts!$F$27:$Z$59,21,FALSE)*L93</f>
        <v>247.12399823549583</v>
      </c>
      <c r="U93" s="492"/>
      <c r="V93" s="492" t="str">
        <f t="shared" si="22"/>
        <v>Commercial Showerhead Replacement_Fitness Center_precondition 2_30 to 2_39 gpm_efficient 2_00 gpm_Mail-by-Request_Any Water Heating</v>
      </c>
      <c r="W93" s="492" t="s">
        <v>440</v>
      </c>
      <c r="X93" s="494">
        <f t="shared" si="25"/>
        <v>830.92470853249165</v>
      </c>
      <c r="Y93" s="492">
        <v>10</v>
      </c>
      <c r="Z93" s="498">
        <f t="shared" si="26"/>
        <v>8.1096944444444432</v>
      </c>
      <c r="AA93" s="492"/>
      <c r="AB93" s="499" t="s">
        <v>441</v>
      </c>
      <c r="AC93" s="497">
        <f t="shared" si="27"/>
        <v>247.12399823549583</v>
      </c>
      <c r="AD93" s="492"/>
      <c r="AE93" s="492"/>
      <c r="AF93" s="492"/>
      <c r="AG93" s="492"/>
      <c r="AH93" s="492"/>
      <c r="AI93" s="492"/>
      <c r="AJ93" s="492">
        <f t="shared" si="23"/>
        <v>79.963007697348786</v>
      </c>
      <c r="AK93" s="492" t="s">
        <v>442</v>
      </c>
    </row>
    <row r="94" spans="1:37">
      <c r="A94" s="492">
        <f t="shared" si="24"/>
        <v>76</v>
      </c>
      <c r="B94" s="492">
        <f t="shared" si="15"/>
        <v>3</v>
      </c>
      <c r="C94" s="492">
        <f t="shared" si="15"/>
        <v>3</v>
      </c>
      <c r="D94" s="492">
        <f t="shared" si="15"/>
        <v>2</v>
      </c>
      <c r="E94" s="492">
        <f t="shared" si="16"/>
        <v>1</v>
      </c>
      <c r="F94" s="499" t="s">
        <v>645</v>
      </c>
      <c r="G94" s="499" t="str">
        <f t="shared" si="17"/>
        <v>2_30 to 2_39 gpm</v>
      </c>
      <c r="H94" s="492" t="str">
        <f t="shared" si="18"/>
        <v>Mail-by-Request</v>
      </c>
      <c r="I94" s="492" t="str">
        <f t="shared" si="18"/>
        <v>1_75</v>
      </c>
      <c r="J94" s="492" t="str">
        <f t="shared" si="18"/>
        <v>Electric Water Heating</v>
      </c>
      <c r="K94" s="492" t="str">
        <f t="shared" si="19"/>
        <v>Commercial Showerhead Replacement_Fitness Center_precondition 2_30 to 2_39 gpm_efficient 1_75 gpm_Mail-by-Request_Electric Water Heating</v>
      </c>
      <c r="L94" s="493">
        <f>INDEX(InstallRatesCostAndLifetime!$A$2:$D$6,MATCH(InputForProCost_FitnessCenter!H94,InstallRatesCostAndLifetime!$A$2:$A$6,0),MATCH(InputForProCost_FitnessCenter!I94,InstallRatesCostAndLifetime!$A$2:$D$2,0))</f>
        <v>0.6</v>
      </c>
      <c r="M94" s="493">
        <f t="shared" si="20"/>
        <v>1</v>
      </c>
      <c r="N94" s="492"/>
      <c r="O94" s="492" t="str">
        <f t="shared" si="21"/>
        <v>Fitness Center2_30 to 2_39 gpm1_75</v>
      </c>
      <c r="P94" s="494">
        <f>VLOOKUP($O94,Impacts!$F$27:$Z$59,16,FALSE)</f>
        <v>4546.7489223324701</v>
      </c>
      <c r="Q94" s="494">
        <f>VLOOKUP($O94,Impacts!$F$27:$Z$59,17,FALSE)*L94</f>
        <v>108.34645556631754</v>
      </c>
      <c r="R94" s="495">
        <f>VLOOKUP($O94,Impacts!$F$27:$Z$59,19,FALSE)*L94</f>
        <v>121.66044897981769</v>
      </c>
      <c r="S94" s="496">
        <f>VLOOKUP($O94,Impacts!$F$27:$Z$59,20,FALSE)*L94</f>
        <v>20481.371562630917</v>
      </c>
      <c r="T94" s="497">
        <f>VLOOKUP($O94,Impacts!$F$27:$Z$59,21,FALSE)*L94</f>
        <v>269.5898162569045</v>
      </c>
      <c r="U94" s="492"/>
      <c r="V94" s="492" t="str">
        <f t="shared" si="22"/>
        <v>Commercial Showerhead Replacement_Fitness Center_precondition 2_30 to 2_39 gpm_efficient 1_75 gpm_Mail-by-Request_Electric Water Heating</v>
      </c>
      <c r="W94" s="492" t="s">
        <v>440</v>
      </c>
      <c r="X94" s="494">
        <f t="shared" si="25"/>
        <v>2728.0493533994818</v>
      </c>
      <c r="Y94" s="492">
        <v>10</v>
      </c>
      <c r="Z94" s="498">
        <f t="shared" si="26"/>
        <v>8.1096944444444432</v>
      </c>
      <c r="AA94" s="492"/>
      <c r="AB94" s="499" t="s">
        <v>441</v>
      </c>
      <c r="AC94" s="497">
        <f t="shared" si="27"/>
        <v>269.5898162569045</v>
      </c>
      <c r="AD94" s="492"/>
      <c r="AE94" s="492"/>
      <c r="AF94" s="492"/>
      <c r="AG94" s="492"/>
      <c r="AH94" s="492"/>
      <c r="AI94" s="492"/>
      <c r="AJ94" s="492">
        <f t="shared" si="23"/>
        <v>0</v>
      </c>
      <c r="AK94" s="492" t="s">
        <v>442</v>
      </c>
    </row>
    <row r="95" spans="1:37">
      <c r="A95" s="492">
        <f t="shared" si="24"/>
        <v>77</v>
      </c>
      <c r="B95" s="492">
        <f t="shared" si="15"/>
        <v>3</v>
      </c>
      <c r="C95" s="492">
        <f t="shared" si="15"/>
        <v>3</v>
      </c>
      <c r="D95" s="492">
        <f t="shared" si="15"/>
        <v>2</v>
      </c>
      <c r="E95" s="492">
        <f t="shared" si="16"/>
        <v>2</v>
      </c>
      <c r="F95" s="499" t="s">
        <v>645</v>
      </c>
      <c r="G95" s="499" t="str">
        <f t="shared" si="17"/>
        <v>2_30 to 2_39 gpm</v>
      </c>
      <c r="H95" s="492" t="str">
        <f t="shared" si="18"/>
        <v>Mail-by-Request</v>
      </c>
      <c r="I95" s="492" t="str">
        <f t="shared" si="18"/>
        <v>1_75</v>
      </c>
      <c r="J95" s="492" t="str">
        <f t="shared" si="18"/>
        <v>Gas Water Heating</v>
      </c>
      <c r="K95" s="492" t="str">
        <f t="shared" si="19"/>
        <v>Commercial Showerhead Replacement_Fitness Center_precondition 2_30 to 2_39 gpm_efficient 1_75 gpm_Mail-by-Request_Gas Water Heating</v>
      </c>
      <c r="L95" s="493">
        <f>INDEX(InstallRatesCostAndLifetime!$A$2:$D$6,MATCH(InputForProCost_FitnessCenter!H95,InstallRatesCostAndLifetime!$A$2:$A$6,0),MATCH(InputForProCost_FitnessCenter!I95,InstallRatesCostAndLifetime!$A$2:$D$2,0))</f>
        <v>0.6</v>
      </c>
      <c r="M95" s="493">
        <f t="shared" si="20"/>
        <v>0</v>
      </c>
      <c r="N95" s="492"/>
      <c r="O95" s="492" t="str">
        <f t="shared" si="21"/>
        <v>Fitness Center2_30 to 2_39 gpm1_75</v>
      </c>
      <c r="P95" s="494">
        <f>VLOOKUP($O95,Impacts!$F$27:$Z$59,16,FALSE)</f>
        <v>4546.7489223324701</v>
      </c>
      <c r="Q95" s="494">
        <f>VLOOKUP($O95,Impacts!$F$27:$Z$59,17,FALSE)*L95</f>
        <v>108.34645556631754</v>
      </c>
      <c r="R95" s="495">
        <f>VLOOKUP($O95,Impacts!$F$27:$Z$59,19,FALSE)*L95</f>
        <v>121.66044897981769</v>
      </c>
      <c r="S95" s="496">
        <f>VLOOKUP($O95,Impacts!$F$27:$Z$59,20,FALSE)*L95</f>
        <v>20481.371562630917</v>
      </c>
      <c r="T95" s="497">
        <f>VLOOKUP($O95,Impacts!$F$27:$Z$59,21,FALSE)*L95</f>
        <v>269.5898162569045</v>
      </c>
      <c r="U95" s="492"/>
      <c r="V95" s="492" t="str">
        <f t="shared" si="22"/>
        <v>Commercial Showerhead Replacement_Fitness Center_precondition 2_30 to 2_39 gpm_efficient 1_75 gpm_Mail-by-Request_Gas Water Heating</v>
      </c>
      <c r="W95" s="492" t="s">
        <v>440</v>
      </c>
      <c r="X95" s="494">
        <f t="shared" si="25"/>
        <v>0</v>
      </c>
      <c r="Y95" s="492">
        <v>10</v>
      </c>
      <c r="Z95" s="498">
        <f t="shared" si="26"/>
        <v>8.1096944444444432</v>
      </c>
      <c r="AA95" s="492"/>
      <c r="AB95" s="499" t="s">
        <v>441</v>
      </c>
      <c r="AC95" s="497">
        <f t="shared" si="27"/>
        <v>269.5898162569045</v>
      </c>
      <c r="AD95" s="492"/>
      <c r="AE95" s="492"/>
      <c r="AF95" s="492"/>
      <c r="AG95" s="492"/>
      <c r="AH95" s="492"/>
      <c r="AI95" s="492"/>
      <c r="AJ95" s="492">
        <f t="shared" si="23"/>
        <v>121.66044897981769</v>
      </c>
      <c r="AK95" s="492" t="s">
        <v>442</v>
      </c>
    </row>
    <row r="96" spans="1:37">
      <c r="A96" s="492">
        <f t="shared" si="24"/>
        <v>78</v>
      </c>
      <c r="B96" s="492">
        <f t="shared" si="15"/>
        <v>3</v>
      </c>
      <c r="C96" s="492">
        <f t="shared" si="15"/>
        <v>3</v>
      </c>
      <c r="D96" s="492">
        <f t="shared" si="15"/>
        <v>2</v>
      </c>
      <c r="E96" s="492">
        <f t="shared" si="16"/>
        <v>3</v>
      </c>
      <c r="F96" s="499" t="s">
        <v>645</v>
      </c>
      <c r="G96" s="499" t="str">
        <f t="shared" si="17"/>
        <v>2_30 to 2_39 gpm</v>
      </c>
      <c r="H96" s="492" t="str">
        <f t="shared" si="18"/>
        <v>Mail-by-Request</v>
      </c>
      <c r="I96" s="492" t="str">
        <f t="shared" si="18"/>
        <v>1_75</v>
      </c>
      <c r="J96" s="492" t="str">
        <f t="shared" si="18"/>
        <v>Any Water Heating</v>
      </c>
      <c r="K96" s="492" t="str">
        <f t="shared" si="19"/>
        <v>Commercial Showerhead Replacement_Fitness Center_precondition 2_30 to 2_39 gpm_efficient 1_75 gpm_Mail-by-Request_Any Water Heating</v>
      </c>
      <c r="L96" s="493">
        <f>INDEX(InstallRatesCostAndLifetime!$A$2:$D$6,MATCH(InputForProCost_FitnessCenter!H96,InstallRatesCostAndLifetime!$A$2:$A$6,0),MATCH(InputForProCost_FitnessCenter!I96,InstallRatesCostAndLifetime!$A$2:$D$2,0))</f>
        <v>0.6</v>
      </c>
      <c r="M96" s="493">
        <f t="shared" si="20"/>
        <v>0.31666666666666665</v>
      </c>
      <c r="N96" s="492"/>
      <c r="O96" s="492" t="str">
        <f t="shared" si="21"/>
        <v>Fitness Center2_30 to 2_39 gpm1_75</v>
      </c>
      <c r="P96" s="494">
        <f>VLOOKUP($O96,Impacts!$F$27:$Z$59,16,FALSE)</f>
        <v>4546.7489223324701</v>
      </c>
      <c r="Q96" s="494">
        <f>VLOOKUP($O96,Impacts!$F$27:$Z$59,17,FALSE)*L96</f>
        <v>108.34645556631754</v>
      </c>
      <c r="R96" s="495">
        <f>VLOOKUP($O96,Impacts!$F$27:$Z$59,19,FALSE)*L96</f>
        <v>121.66044897981769</v>
      </c>
      <c r="S96" s="496">
        <f>VLOOKUP($O96,Impacts!$F$27:$Z$59,20,FALSE)*L96</f>
        <v>20481.371562630917</v>
      </c>
      <c r="T96" s="497">
        <f>VLOOKUP($O96,Impacts!$F$27:$Z$59,21,FALSE)*L96</f>
        <v>269.5898162569045</v>
      </c>
      <c r="U96" s="492"/>
      <c r="V96" s="492" t="str">
        <f t="shared" si="22"/>
        <v>Commercial Showerhead Replacement_Fitness Center_precondition 2_30 to 2_39 gpm_efficient 1_75 gpm_Mail-by-Request_Any Water Heating</v>
      </c>
      <c r="W96" s="492" t="s">
        <v>440</v>
      </c>
      <c r="X96" s="494">
        <f t="shared" si="25"/>
        <v>863.88229524316932</v>
      </c>
      <c r="Y96" s="492">
        <v>10</v>
      </c>
      <c r="Z96" s="498">
        <f t="shared" si="26"/>
        <v>8.1096944444444432</v>
      </c>
      <c r="AA96" s="492"/>
      <c r="AB96" s="499" t="s">
        <v>441</v>
      </c>
      <c r="AC96" s="497">
        <f t="shared" si="27"/>
        <v>269.5898162569045</v>
      </c>
      <c r="AD96" s="492"/>
      <c r="AE96" s="492"/>
      <c r="AF96" s="492"/>
      <c r="AG96" s="492"/>
      <c r="AH96" s="492"/>
      <c r="AI96" s="492"/>
      <c r="AJ96" s="492">
        <f t="shared" si="23"/>
        <v>83.134640136208759</v>
      </c>
      <c r="AK96" s="492" t="s">
        <v>442</v>
      </c>
    </row>
    <row r="97" spans="1:37">
      <c r="A97" s="492">
        <f t="shared" si="24"/>
        <v>79</v>
      </c>
      <c r="B97" s="492">
        <f t="shared" si="15"/>
        <v>3</v>
      </c>
      <c r="C97" s="492">
        <f t="shared" si="15"/>
        <v>3</v>
      </c>
      <c r="D97" s="492">
        <f t="shared" si="15"/>
        <v>3</v>
      </c>
      <c r="E97" s="492">
        <f t="shared" si="16"/>
        <v>1</v>
      </c>
      <c r="F97" s="499" t="s">
        <v>645</v>
      </c>
      <c r="G97" s="499" t="str">
        <f t="shared" si="17"/>
        <v>2_30 to 2_39 gpm</v>
      </c>
      <c r="H97" s="492" t="str">
        <f t="shared" si="18"/>
        <v>Mail-by-Request</v>
      </c>
      <c r="I97" s="492" t="str">
        <f t="shared" si="18"/>
        <v>1_50</v>
      </c>
      <c r="J97" s="492" t="str">
        <f t="shared" si="18"/>
        <v>Electric Water Heating</v>
      </c>
      <c r="K97" s="492" t="str">
        <f t="shared" si="19"/>
        <v>Commercial Showerhead Replacement_Fitness Center_precondition 2_30 to 2_39 gpm_efficient 1_50 gpm_Mail-by-Request_Electric Water Heating</v>
      </c>
      <c r="L97" s="493">
        <f>INDEX(InstallRatesCostAndLifetime!$A$2:$D$6,MATCH(InputForProCost_FitnessCenter!H97,InstallRatesCostAndLifetime!$A$2:$A$6,0),MATCH(InputForProCost_FitnessCenter!I97,InstallRatesCostAndLifetime!$A$2:$D$2,0))</f>
        <v>0.6</v>
      </c>
      <c r="M97" s="493">
        <f t="shared" si="20"/>
        <v>1</v>
      </c>
      <c r="N97" s="492"/>
      <c r="O97" s="492" t="str">
        <f t="shared" si="21"/>
        <v>Fitness Center2_30 to 2_39 gpm1_50</v>
      </c>
      <c r="P97" s="494">
        <f>VLOOKUP($O97,Impacts!$F$27:$Z$59,16,FALSE)</f>
        <v>6346.0829964818076</v>
      </c>
      <c r="Q97" s="494">
        <f>VLOOKUP($O97,Impacts!$F$27:$Z$59,17,FALSE)*L97</f>
        <v>153.49081205228319</v>
      </c>
      <c r="R97" s="495">
        <f>VLOOKUP($O97,Impacts!$F$27:$Z$59,19,FALSE)*L97</f>
        <v>169.80645287514471</v>
      </c>
      <c r="S97" s="496">
        <f>VLOOKUP($O97,Impacts!$F$27:$Z$59,20,FALSE)*L97</f>
        <v>29015.2763803938</v>
      </c>
      <c r="T97" s="497">
        <f>VLOOKUP($O97,Impacts!$F$27:$Z$59,21,FALSE)*L97</f>
        <v>381.91890636394794</v>
      </c>
      <c r="U97" s="492"/>
      <c r="V97" s="492" t="str">
        <f t="shared" si="22"/>
        <v>Commercial Showerhead Replacement_Fitness Center_precondition 2_30 to 2_39 gpm_efficient 1_50 gpm_Mail-by-Request_Electric Water Heating</v>
      </c>
      <c r="W97" s="492" t="s">
        <v>440</v>
      </c>
      <c r="X97" s="494">
        <f t="shared" si="25"/>
        <v>3807.6497978890843</v>
      </c>
      <c r="Y97" s="492">
        <v>10</v>
      </c>
      <c r="Z97" s="498">
        <f t="shared" si="26"/>
        <v>8.1096944444444432</v>
      </c>
      <c r="AA97" s="492"/>
      <c r="AB97" s="499" t="s">
        <v>441</v>
      </c>
      <c r="AC97" s="497">
        <f t="shared" si="27"/>
        <v>381.91890636394794</v>
      </c>
      <c r="AD97" s="492"/>
      <c r="AE97" s="492"/>
      <c r="AF97" s="492"/>
      <c r="AG97" s="492"/>
      <c r="AH97" s="492"/>
      <c r="AI97" s="492"/>
      <c r="AJ97" s="492">
        <f t="shared" si="23"/>
        <v>0</v>
      </c>
      <c r="AK97" s="492" t="s">
        <v>442</v>
      </c>
    </row>
    <row r="98" spans="1:37">
      <c r="A98" s="492">
        <f t="shared" si="24"/>
        <v>80</v>
      </c>
      <c r="B98" s="492">
        <f t="shared" si="15"/>
        <v>3</v>
      </c>
      <c r="C98" s="492">
        <f t="shared" si="15"/>
        <v>3</v>
      </c>
      <c r="D98" s="492">
        <f t="shared" si="15"/>
        <v>3</v>
      </c>
      <c r="E98" s="492">
        <f t="shared" si="16"/>
        <v>2</v>
      </c>
      <c r="F98" s="499" t="s">
        <v>645</v>
      </c>
      <c r="G98" s="499" t="str">
        <f t="shared" si="17"/>
        <v>2_30 to 2_39 gpm</v>
      </c>
      <c r="H98" s="492" t="str">
        <f t="shared" si="18"/>
        <v>Mail-by-Request</v>
      </c>
      <c r="I98" s="492" t="str">
        <f t="shared" si="18"/>
        <v>1_50</v>
      </c>
      <c r="J98" s="492" t="str">
        <f t="shared" si="18"/>
        <v>Gas Water Heating</v>
      </c>
      <c r="K98" s="492" t="str">
        <f t="shared" si="19"/>
        <v>Commercial Showerhead Replacement_Fitness Center_precondition 2_30 to 2_39 gpm_efficient 1_50 gpm_Mail-by-Request_Gas Water Heating</v>
      </c>
      <c r="L98" s="493">
        <f>INDEX(InstallRatesCostAndLifetime!$A$2:$D$6,MATCH(InputForProCost_FitnessCenter!H98,InstallRatesCostAndLifetime!$A$2:$A$6,0),MATCH(InputForProCost_FitnessCenter!I98,InstallRatesCostAndLifetime!$A$2:$D$2,0))</f>
        <v>0.6</v>
      </c>
      <c r="M98" s="493">
        <f t="shared" si="20"/>
        <v>0</v>
      </c>
      <c r="N98" s="492"/>
      <c r="O98" s="492" t="str">
        <f t="shared" si="21"/>
        <v>Fitness Center2_30 to 2_39 gpm1_50</v>
      </c>
      <c r="P98" s="494">
        <f>VLOOKUP($O98,Impacts!$F$27:$Z$59,16,FALSE)</f>
        <v>6346.0829964818076</v>
      </c>
      <c r="Q98" s="494">
        <f>VLOOKUP($O98,Impacts!$F$27:$Z$59,17,FALSE)*L98</f>
        <v>153.49081205228319</v>
      </c>
      <c r="R98" s="495">
        <f>VLOOKUP($O98,Impacts!$F$27:$Z$59,19,FALSE)*L98</f>
        <v>169.80645287514471</v>
      </c>
      <c r="S98" s="496">
        <f>VLOOKUP($O98,Impacts!$F$27:$Z$59,20,FALSE)*L98</f>
        <v>29015.2763803938</v>
      </c>
      <c r="T98" s="497">
        <f>VLOOKUP($O98,Impacts!$F$27:$Z$59,21,FALSE)*L98</f>
        <v>381.91890636394794</v>
      </c>
      <c r="U98" s="492"/>
      <c r="V98" s="492" t="str">
        <f t="shared" si="22"/>
        <v>Commercial Showerhead Replacement_Fitness Center_precondition 2_30 to 2_39 gpm_efficient 1_50 gpm_Mail-by-Request_Gas Water Heating</v>
      </c>
      <c r="W98" s="492" t="s">
        <v>440</v>
      </c>
      <c r="X98" s="494">
        <f t="shared" si="25"/>
        <v>0</v>
      </c>
      <c r="Y98" s="492">
        <v>10</v>
      </c>
      <c r="Z98" s="498">
        <f t="shared" si="26"/>
        <v>8.1096944444444432</v>
      </c>
      <c r="AA98" s="492"/>
      <c r="AB98" s="499" t="s">
        <v>441</v>
      </c>
      <c r="AC98" s="497">
        <f t="shared" si="27"/>
        <v>381.91890636394794</v>
      </c>
      <c r="AD98" s="492"/>
      <c r="AE98" s="492"/>
      <c r="AF98" s="492"/>
      <c r="AG98" s="492"/>
      <c r="AH98" s="492"/>
      <c r="AI98" s="492"/>
      <c r="AJ98" s="492">
        <f t="shared" si="23"/>
        <v>169.80645287514471</v>
      </c>
      <c r="AK98" s="492" t="s">
        <v>442</v>
      </c>
    </row>
    <row r="99" spans="1:37">
      <c r="A99" s="492">
        <f t="shared" si="24"/>
        <v>81</v>
      </c>
      <c r="B99" s="492">
        <f t="shared" ref="B99:D118" si="28">CEILING((MOD($A99-1,B$17)+1)/C$17,1)</f>
        <v>3</v>
      </c>
      <c r="C99" s="492">
        <f t="shared" si="28"/>
        <v>3</v>
      </c>
      <c r="D99" s="492">
        <f t="shared" si="28"/>
        <v>3</v>
      </c>
      <c r="E99" s="492">
        <f t="shared" si="16"/>
        <v>3</v>
      </c>
      <c r="F99" s="499" t="s">
        <v>645</v>
      </c>
      <c r="G99" s="499" t="str">
        <f t="shared" si="17"/>
        <v>2_30 to 2_39 gpm</v>
      </c>
      <c r="H99" s="492" t="str">
        <f t="shared" si="18"/>
        <v>Mail-by-Request</v>
      </c>
      <c r="I99" s="492" t="str">
        <f t="shared" si="18"/>
        <v>1_50</v>
      </c>
      <c r="J99" s="492" t="str">
        <f t="shared" si="18"/>
        <v>Any Water Heating</v>
      </c>
      <c r="K99" s="492" t="str">
        <f t="shared" si="19"/>
        <v>Commercial Showerhead Replacement_Fitness Center_precondition 2_30 to 2_39 gpm_efficient 1_50 gpm_Mail-by-Request_Any Water Heating</v>
      </c>
      <c r="L99" s="493">
        <f>INDEX(InstallRatesCostAndLifetime!$A$2:$D$6,MATCH(InputForProCost_FitnessCenter!H99,InstallRatesCostAndLifetime!$A$2:$A$6,0),MATCH(InputForProCost_FitnessCenter!I99,InstallRatesCostAndLifetime!$A$2:$D$2,0))</f>
        <v>0.6</v>
      </c>
      <c r="M99" s="493">
        <f t="shared" si="20"/>
        <v>0.31666666666666665</v>
      </c>
      <c r="N99" s="492"/>
      <c r="O99" s="492" t="str">
        <f t="shared" si="21"/>
        <v>Fitness Center2_30 to 2_39 gpm1_50</v>
      </c>
      <c r="P99" s="494">
        <f>VLOOKUP($O99,Impacts!$F$27:$Z$59,16,FALSE)</f>
        <v>6346.0829964818076</v>
      </c>
      <c r="Q99" s="494">
        <f>VLOOKUP($O99,Impacts!$F$27:$Z$59,17,FALSE)*L99</f>
        <v>153.49081205228319</v>
      </c>
      <c r="R99" s="495">
        <f>VLOOKUP($O99,Impacts!$F$27:$Z$59,19,FALSE)*L99</f>
        <v>169.80645287514471</v>
      </c>
      <c r="S99" s="496">
        <f>VLOOKUP($O99,Impacts!$F$27:$Z$59,20,FALSE)*L99</f>
        <v>29015.2763803938</v>
      </c>
      <c r="T99" s="497">
        <f>VLOOKUP($O99,Impacts!$F$27:$Z$59,21,FALSE)*L99</f>
        <v>381.91890636394794</v>
      </c>
      <c r="U99" s="492"/>
      <c r="V99" s="492" t="str">
        <f t="shared" si="22"/>
        <v>Commercial Showerhead Replacement_Fitness Center_precondition 2_30 to 2_39 gpm_efficient 1_50 gpm_Mail-by-Request_Any Water Heating</v>
      </c>
      <c r="W99" s="492" t="s">
        <v>440</v>
      </c>
      <c r="X99" s="494">
        <f t="shared" si="25"/>
        <v>1205.7557693315432</v>
      </c>
      <c r="Y99" s="492">
        <v>10</v>
      </c>
      <c r="Z99" s="498">
        <f t="shared" si="26"/>
        <v>8.1096944444444432</v>
      </c>
      <c r="AA99" s="492"/>
      <c r="AB99" s="499" t="s">
        <v>441</v>
      </c>
      <c r="AC99" s="497">
        <f t="shared" si="27"/>
        <v>381.91890636394794</v>
      </c>
      <c r="AD99" s="492"/>
      <c r="AE99" s="492"/>
      <c r="AF99" s="492"/>
      <c r="AG99" s="492"/>
      <c r="AH99" s="492"/>
      <c r="AI99" s="492"/>
      <c r="AJ99" s="492">
        <f t="shared" si="23"/>
        <v>116.03440946468223</v>
      </c>
      <c r="AK99" s="492" t="s">
        <v>442</v>
      </c>
    </row>
    <row r="100" spans="1:37">
      <c r="A100" s="492">
        <f t="shared" si="24"/>
        <v>82</v>
      </c>
      <c r="B100" s="492">
        <f t="shared" si="28"/>
        <v>4</v>
      </c>
      <c r="C100" s="492">
        <f t="shared" si="28"/>
        <v>1</v>
      </c>
      <c r="D100" s="492">
        <f t="shared" si="28"/>
        <v>1</v>
      </c>
      <c r="E100" s="492">
        <f t="shared" si="16"/>
        <v>1</v>
      </c>
      <c r="F100" s="499" t="s">
        <v>645</v>
      </c>
      <c r="G100" s="499" t="str">
        <f t="shared" si="17"/>
        <v>2_20 to 2_29 gpm</v>
      </c>
      <c r="H100" s="492" t="str">
        <f t="shared" si="18"/>
        <v>Retail</v>
      </c>
      <c r="I100" s="492" t="str">
        <f t="shared" si="18"/>
        <v>2_00</v>
      </c>
      <c r="J100" s="492" t="str">
        <f t="shared" si="18"/>
        <v>Electric Water Heating</v>
      </c>
      <c r="K100" s="492" t="str">
        <f t="shared" si="19"/>
        <v>Commercial Showerhead Replacement_Fitness Center_precondition 2_20 to 2_29 gpm_efficient 2_00 gpm_Retail_Electric Water Heating</v>
      </c>
      <c r="L100" s="493">
        <f>INDEX(InstallRatesCostAndLifetime!$A$2:$D$6,MATCH(InputForProCost_FitnessCenter!H100,InstallRatesCostAndLifetime!$A$2:$A$6,0),MATCH(InputForProCost_FitnessCenter!I100,InstallRatesCostAndLifetime!$A$2:$D$2,0))</f>
        <v>0.8</v>
      </c>
      <c r="M100" s="493">
        <f t="shared" si="20"/>
        <v>1</v>
      </c>
      <c r="N100" s="492"/>
      <c r="O100" s="492" t="str">
        <f t="shared" si="21"/>
        <v>Fitness Center2_20 to 2_29 gpm2_00</v>
      </c>
      <c r="P100" s="494">
        <f>VLOOKUP($O100,Impacts!$F$27:$Z$59,16,FALSE)</f>
        <v>3588.3122687352279</v>
      </c>
      <c r="Q100" s="494">
        <f>VLOOKUP($O100,Impacts!$F$27:$Z$59,17,FALSE)*L100</f>
        <v>108.34645556631754</v>
      </c>
      <c r="R100" s="495">
        <f>VLOOKUP($O100,Impacts!$F$27:$Z$59,19,FALSE)*L100</f>
        <v>128.01987798354585</v>
      </c>
      <c r="S100" s="496">
        <f>VLOOKUP($O100,Impacts!$F$27:$Z$59,20,FALSE)*L100</f>
        <v>20481.371562630917</v>
      </c>
      <c r="T100" s="497">
        <f>VLOOKUP($O100,Impacts!$F$27:$Z$59,21,FALSE)*L100</f>
        <v>269.58981625690444</v>
      </c>
      <c r="U100" s="492"/>
      <c r="V100" s="492" t="str">
        <f t="shared" si="22"/>
        <v>Commercial Showerhead Replacement_Fitness Center_precondition 2_20 to 2_29 gpm_efficient 2_00 gpm_Retail_Electric Water Heating</v>
      </c>
      <c r="W100" s="492" t="s">
        <v>440</v>
      </c>
      <c r="X100" s="494">
        <f t="shared" si="25"/>
        <v>2870.6498149881827</v>
      </c>
      <c r="Y100" s="492">
        <v>10</v>
      </c>
      <c r="Z100" s="498">
        <f t="shared" si="26"/>
        <v>3.2966774171383419</v>
      </c>
      <c r="AA100" s="492"/>
      <c r="AB100" s="499" t="s">
        <v>441</v>
      </c>
      <c r="AC100" s="497">
        <f t="shared" si="27"/>
        <v>269.58981625690444</v>
      </c>
      <c r="AD100" s="492"/>
      <c r="AE100" s="492"/>
      <c r="AF100" s="492"/>
      <c r="AG100" s="492"/>
      <c r="AH100" s="492"/>
      <c r="AI100" s="492"/>
      <c r="AJ100" s="492">
        <f t="shared" si="23"/>
        <v>0</v>
      </c>
      <c r="AK100" s="492" t="s">
        <v>442</v>
      </c>
    </row>
    <row r="101" spans="1:37">
      <c r="A101" s="492">
        <f t="shared" si="24"/>
        <v>83</v>
      </c>
      <c r="B101" s="492">
        <f t="shared" si="28"/>
        <v>4</v>
      </c>
      <c r="C101" s="492">
        <f t="shared" si="28"/>
        <v>1</v>
      </c>
      <c r="D101" s="492">
        <f t="shared" si="28"/>
        <v>1</v>
      </c>
      <c r="E101" s="492">
        <f t="shared" si="16"/>
        <v>2</v>
      </c>
      <c r="F101" s="499" t="s">
        <v>645</v>
      </c>
      <c r="G101" s="499" t="str">
        <f t="shared" si="17"/>
        <v>2_20 to 2_29 gpm</v>
      </c>
      <c r="H101" s="492" t="str">
        <f t="shared" si="18"/>
        <v>Retail</v>
      </c>
      <c r="I101" s="492" t="str">
        <f t="shared" si="18"/>
        <v>2_00</v>
      </c>
      <c r="J101" s="492" t="str">
        <f t="shared" si="18"/>
        <v>Gas Water Heating</v>
      </c>
      <c r="K101" s="492" t="str">
        <f t="shared" si="19"/>
        <v>Commercial Showerhead Replacement_Fitness Center_precondition 2_20 to 2_29 gpm_efficient 2_00 gpm_Retail_Gas Water Heating</v>
      </c>
      <c r="L101" s="493">
        <f>INDEX(InstallRatesCostAndLifetime!$A$2:$D$6,MATCH(InputForProCost_FitnessCenter!H101,InstallRatesCostAndLifetime!$A$2:$A$6,0),MATCH(InputForProCost_FitnessCenter!I101,InstallRatesCostAndLifetime!$A$2:$D$2,0))</f>
        <v>0.8</v>
      </c>
      <c r="M101" s="493">
        <f t="shared" si="20"/>
        <v>0</v>
      </c>
      <c r="N101" s="492"/>
      <c r="O101" s="492" t="str">
        <f t="shared" si="21"/>
        <v>Fitness Center2_20 to 2_29 gpm2_00</v>
      </c>
      <c r="P101" s="494">
        <f>VLOOKUP($O101,Impacts!$F$27:$Z$59,16,FALSE)</f>
        <v>3588.3122687352279</v>
      </c>
      <c r="Q101" s="494">
        <f>VLOOKUP($O101,Impacts!$F$27:$Z$59,17,FALSE)*L101</f>
        <v>108.34645556631754</v>
      </c>
      <c r="R101" s="495">
        <f>VLOOKUP($O101,Impacts!$F$27:$Z$59,19,FALSE)*L101</f>
        <v>128.01987798354585</v>
      </c>
      <c r="S101" s="496">
        <f>VLOOKUP($O101,Impacts!$F$27:$Z$59,20,FALSE)*L101</f>
        <v>20481.371562630917</v>
      </c>
      <c r="T101" s="497">
        <f>VLOOKUP($O101,Impacts!$F$27:$Z$59,21,FALSE)*L101</f>
        <v>269.58981625690444</v>
      </c>
      <c r="U101" s="492"/>
      <c r="V101" s="492" t="str">
        <f t="shared" si="22"/>
        <v>Commercial Showerhead Replacement_Fitness Center_precondition 2_20 to 2_29 gpm_efficient 2_00 gpm_Retail_Gas Water Heating</v>
      </c>
      <c r="W101" s="492" t="s">
        <v>440</v>
      </c>
      <c r="X101" s="494">
        <f t="shared" si="25"/>
        <v>0</v>
      </c>
      <c r="Y101" s="492">
        <v>10</v>
      </c>
      <c r="Z101" s="498">
        <f t="shared" si="26"/>
        <v>3.2966774171383419</v>
      </c>
      <c r="AA101" s="492"/>
      <c r="AB101" s="499" t="s">
        <v>441</v>
      </c>
      <c r="AC101" s="497">
        <f t="shared" si="27"/>
        <v>269.58981625690444</v>
      </c>
      <c r="AD101" s="492"/>
      <c r="AE101" s="492"/>
      <c r="AF101" s="492"/>
      <c r="AG101" s="492"/>
      <c r="AH101" s="492"/>
      <c r="AI101" s="492"/>
      <c r="AJ101" s="492">
        <f t="shared" si="23"/>
        <v>128.01987798354585</v>
      </c>
      <c r="AK101" s="492" t="s">
        <v>442</v>
      </c>
    </row>
    <row r="102" spans="1:37">
      <c r="A102" s="492">
        <f t="shared" si="24"/>
        <v>84</v>
      </c>
      <c r="B102" s="492">
        <f t="shared" si="28"/>
        <v>4</v>
      </c>
      <c r="C102" s="492">
        <f t="shared" si="28"/>
        <v>1</v>
      </c>
      <c r="D102" s="492">
        <f t="shared" si="28"/>
        <v>1</v>
      </c>
      <c r="E102" s="492">
        <f t="shared" si="16"/>
        <v>3</v>
      </c>
      <c r="F102" s="499" t="s">
        <v>645</v>
      </c>
      <c r="G102" s="499" t="str">
        <f t="shared" si="17"/>
        <v>2_20 to 2_29 gpm</v>
      </c>
      <c r="H102" s="492" t="str">
        <f t="shared" si="18"/>
        <v>Retail</v>
      </c>
      <c r="I102" s="492" t="str">
        <f t="shared" si="18"/>
        <v>2_00</v>
      </c>
      <c r="J102" s="492" t="str">
        <f t="shared" si="18"/>
        <v>Any Water Heating</v>
      </c>
      <c r="K102" s="492" t="str">
        <f t="shared" si="19"/>
        <v>Commercial Showerhead Replacement_Fitness Center_precondition 2_20 to 2_29 gpm_efficient 2_00 gpm_Retail_Any Water Heating</v>
      </c>
      <c r="L102" s="493">
        <f>INDEX(InstallRatesCostAndLifetime!$A$2:$D$6,MATCH(InputForProCost_FitnessCenter!H102,InstallRatesCostAndLifetime!$A$2:$A$6,0),MATCH(InputForProCost_FitnessCenter!I102,InstallRatesCostAndLifetime!$A$2:$D$2,0))</f>
        <v>0.8</v>
      </c>
      <c r="M102" s="493">
        <f t="shared" si="20"/>
        <v>0.31666666666666665</v>
      </c>
      <c r="N102" s="492"/>
      <c r="O102" s="492" t="str">
        <f t="shared" si="21"/>
        <v>Fitness Center2_20 to 2_29 gpm2_00</v>
      </c>
      <c r="P102" s="494">
        <f>VLOOKUP($O102,Impacts!$F$27:$Z$59,16,FALSE)</f>
        <v>3588.3122687352279</v>
      </c>
      <c r="Q102" s="494">
        <f>VLOOKUP($O102,Impacts!$F$27:$Z$59,17,FALSE)*L102</f>
        <v>108.34645556631754</v>
      </c>
      <c r="R102" s="495">
        <f>VLOOKUP($O102,Impacts!$F$27:$Z$59,19,FALSE)*L102</f>
        <v>128.01987798354585</v>
      </c>
      <c r="S102" s="496">
        <f>VLOOKUP($O102,Impacts!$F$27:$Z$59,20,FALSE)*L102</f>
        <v>20481.371562630917</v>
      </c>
      <c r="T102" s="497">
        <f>VLOOKUP($O102,Impacts!$F$27:$Z$59,21,FALSE)*L102</f>
        <v>269.58981625690444</v>
      </c>
      <c r="U102" s="492"/>
      <c r="V102" s="492" t="str">
        <f t="shared" si="22"/>
        <v>Commercial Showerhead Replacement_Fitness Center_precondition 2_20 to 2_29 gpm_efficient 2_00 gpm_Retail_Any Water Heating</v>
      </c>
      <c r="W102" s="492" t="s">
        <v>440</v>
      </c>
      <c r="X102" s="494">
        <f t="shared" si="25"/>
        <v>909.03910807959119</v>
      </c>
      <c r="Y102" s="492">
        <v>10</v>
      </c>
      <c r="Z102" s="498">
        <f t="shared" si="26"/>
        <v>3.2966774171383419</v>
      </c>
      <c r="AA102" s="492"/>
      <c r="AB102" s="499" t="s">
        <v>441</v>
      </c>
      <c r="AC102" s="497">
        <f t="shared" si="27"/>
        <v>269.58981625690444</v>
      </c>
      <c r="AD102" s="492"/>
      <c r="AE102" s="492"/>
      <c r="AF102" s="492"/>
      <c r="AG102" s="492"/>
      <c r="AH102" s="492"/>
      <c r="AI102" s="492"/>
      <c r="AJ102" s="492">
        <f t="shared" si="23"/>
        <v>87.480249955423005</v>
      </c>
      <c r="AK102" s="492" t="s">
        <v>442</v>
      </c>
    </row>
    <row r="103" spans="1:37">
      <c r="A103" s="492">
        <f t="shared" si="24"/>
        <v>85</v>
      </c>
      <c r="B103" s="492">
        <f t="shared" si="28"/>
        <v>4</v>
      </c>
      <c r="C103" s="492">
        <f t="shared" si="28"/>
        <v>1</v>
      </c>
      <c r="D103" s="492">
        <f t="shared" si="28"/>
        <v>2</v>
      </c>
      <c r="E103" s="492">
        <f t="shared" si="16"/>
        <v>1</v>
      </c>
      <c r="F103" s="499" t="s">
        <v>645</v>
      </c>
      <c r="G103" s="499" t="str">
        <f t="shared" si="17"/>
        <v>2_20 to 2_29 gpm</v>
      </c>
      <c r="H103" s="492" t="str">
        <f t="shared" si="18"/>
        <v>Retail</v>
      </c>
      <c r="I103" s="492" t="str">
        <f t="shared" si="18"/>
        <v>1_75</v>
      </c>
      <c r="J103" s="492" t="str">
        <f t="shared" si="18"/>
        <v>Electric Water Heating</v>
      </c>
      <c r="K103" s="492" t="str">
        <f t="shared" si="19"/>
        <v>Commercial Showerhead Replacement_Fitness Center_precondition 2_20 to 2_29 gpm_efficient 1_75 gpm_Retail_Electric Water Heating</v>
      </c>
      <c r="L103" s="493">
        <f>INDEX(InstallRatesCostAndLifetime!$A$2:$D$6,MATCH(InputForProCost_FitnessCenter!H103,InstallRatesCostAndLifetime!$A$2:$A$6,0),MATCH(InputForProCost_FitnessCenter!I103,InstallRatesCostAndLifetime!$A$2:$D$2,0))</f>
        <v>0.75</v>
      </c>
      <c r="M103" s="493">
        <f t="shared" si="20"/>
        <v>1</v>
      </c>
      <c r="N103" s="492"/>
      <c r="O103" s="492" t="str">
        <f t="shared" si="21"/>
        <v>Fitness Center2_20 to 2_29 gpm1_75</v>
      </c>
      <c r="P103" s="494">
        <f>VLOOKUP($O103,Impacts!$F$27:$Z$59,16,FALSE)</f>
        <v>3761.7732514230047</v>
      </c>
      <c r="Q103" s="494">
        <f>VLOOKUP($O103,Impacts!$F$27:$Z$59,17,FALSE)*L103</f>
        <v>112.86089121491409</v>
      </c>
      <c r="R103" s="495">
        <f>VLOOKUP($O103,Impacts!$F$27:$Z$59,19,FALSE)*L103</f>
        <v>125.82040226602541</v>
      </c>
      <c r="S103" s="496">
        <f>VLOOKUP($O103,Impacts!$F$27:$Z$59,20,FALSE)*L103</f>
        <v>21334.762044407202</v>
      </c>
      <c r="T103" s="497">
        <f>VLOOKUP($O103,Impacts!$F$27:$Z$59,21,FALSE)*L103</f>
        <v>280.8227252676088</v>
      </c>
      <c r="U103" s="492"/>
      <c r="V103" s="492" t="str">
        <f t="shared" si="22"/>
        <v>Commercial Showerhead Replacement_Fitness Center_precondition 2_20 to 2_29 gpm_efficient 1_75 gpm_Retail_Electric Water Heating</v>
      </c>
      <c r="W103" s="492" t="s">
        <v>440</v>
      </c>
      <c r="X103" s="494">
        <f t="shared" si="25"/>
        <v>2821.3299385672535</v>
      </c>
      <c r="Y103" s="492">
        <v>10</v>
      </c>
      <c r="Z103" s="498">
        <f t="shared" si="26"/>
        <v>3.2966774171383419</v>
      </c>
      <c r="AA103" s="492"/>
      <c r="AB103" s="499" t="s">
        <v>441</v>
      </c>
      <c r="AC103" s="497">
        <f t="shared" si="27"/>
        <v>280.8227252676088</v>
      </c>
      <c r="AD103" s="492"/>
      <c r="AE103" s="492"/>
      <c r="AF103" s="492"/>
      <c r="AG103" s="492"/>
      <c r="AH103" s="492"/>
      <c r="AI103" s="492"/>
      <c r="AJ103" s="492">
        <f t="shared" si="23"/>
        <v>0</v>
      </c>
      <c r="AK103" s="492" t="s">
        <v>442</v>
      </c>
    </row>
    <row r="104" spans="1:37">
      <c r="A104" s="492">
        <f t="shared" si="24"/>
        <v>86</v>
      </c>
      <c r="B104" s="492">
        <f t="shared" si="28"/>
        <v>4</v>
      </c>
      <c r="C104" s="492">
        <f t="shared" si="28"/>
        <v>1</v>
      </c>
      <c r="D104" s="492">
        <f t="shared" si="28"/>
        <v>2</v>
      </c>
      <c r="E104" s="492">
        <f t="shared" si="16"/>
        <v>2</v>
      </c>
      <c r="F104" s="499" t="s">
        <v>645</v>
      </c>
      <c r="G104" s="499" t="str">
        <f t="shared" si="17"/>
        <v>2_20 to 2_29 gpm</v>
      </c>
      <c r="H104" s="492" t="str">
        <f t="shared" si="18"/>
        <v>Retail</v>
      </c>
      <c r="I104" s="492" t="str">
        <f t="shared" si="18"/>
        <v>1_75</v>
      </c>
      <c r="J104" s="492" t="str">
        <f t="shared" si="18"/>
        <v>Gas Water Heating</v>
      </c>
      <c r="K104" s="492" t="str">
        <f t="shared" si="19"/>
        <v>Commercial Showerhead Replacement_Fitness Center_precondition 2_20 to 2_29 gpm_efficient 1_75 gpm_Retail_Gas Water Heating</v>
      </c>
      <c r="L104" s="493">
        <f>INDEX(InstallRatesCostAndLifetime!$A$2:$D$6,MATCH(InputForProCost_FitnessCenter!H104,InstallRatesCostAndLifetime!$A$2:$A$6,0),MATCH(InputForProCost_FitnessCenter!I104,InstallRatesCostAndLifetime!$A$2:$D$2,0))</f>
        <v>0.75</v>
      </c>
      <c r="M104" s="493">
        <f t="shared" si="20"/>
        <v>0</v>
      </c>
      <c r="N104" s="492"/>
      <c r="O104" s="492" t="str">
        <f t="shared" si="21"/>
        <v>Fitness Center2_20 to 2_29 gpm1_75</v>
      </c>
      <c r="P104" s="494">
        <f>VLOOKUP($O104,Impacts!$F$27:$Z$59,16,FALSE)</f>
        <v>3761.7732514230047</v>
      </c>
      <c r="Q104" s="494">
        <f>VLOOKUP($O104,Impacts!$F$27:$Z$59,17,FALSE)*L104</f>
        <v>112.86089121491409</v>
      </c>
      <c r="R104" s="495">
        <f>VLOOKUP($O104,Impacts!$F$27:$Z$59,19,FALSE)*L104</f>
        <v>125.82040226602541</v>
      </c>
      <c r="S104" s="496">
        <f>VLOOKUP($O104,Impacts!$F$27:$Z$59,20,FALSE)*L104</f>
        <v>21334.762044407202</v>
      </c>
      <c r="T104" s="497">
        <f>VLOOKUP($O104,Impacts!$F$27:$Z$59,21,FALSE)*L104</f>
        <v>280.8227252676088</v>
      </c>
      <c r="U104" s="492"/>
      <c r="V104" s="492" t="str">
        <f t="shared" si="22"/>
        <v>Commercial Showerhead Replacement_Fitness Center_precondition 2_20 to 2_29 gpm_efficient 1_75 gpm_Retail_Gas Water Heating</v>
      </c>
      <c r="W104" s="492" t="s">
        <v>440</v>
      </c>
      <c r="X104" s="494">
        <f t="shared" si="25"/>
        <v>0</v>
      </c>
      <c r="Y104" s="492">
        <v>10</v>
      </c>
      <c r="Z104" s="498">
        <f t="shared" si="26"/>
        <v>3.2966774171383419</v>
      </c>
      <c r="AA104" s="492"/>
      <c r="AB104" s="499" t="s">
        <v>441</v>
      </c>
      <c r="AC104" s="497">
        <f t="shared" si="27"/>
        <v>280.8227252676088</v>
      </c>
      <c r="AD104" s="492"/>
      <c r="AE104" s="492"/>
      <c r="AF104" s="492"/>
      <c r="AG104" s="492"/>
      <c r="AH104" s="492"/>
      <c r="AI104" s="492"/>
      <c r="AJ104" s="492">
        <f t="shared" si="23"/>
        <v>125.82040226602541</v>
      </c>
      <c r="AK104" s="492" t="s">
        <v>442</v>
      </c>
    </row>
    <row r="105" spans="1:37">
      <c r="A105" s="492">
        <f t="shared" si="24"/>
        <v>87</v>
      </c>
      <c r="B105" s="492">
        <f t="shared" si="28"/>
        <v>4</v>
      </c>
      <c r="C105" s="492">
        <f t="shared" si="28"/>
        <v>1</v>
      </c>
      <c r="D105" s="492">
        <f t="shared" si="28"/>
        <v>2</v>
      </c>
      <c r="E105" s="492">
        <f t="shared" si="16"/>
        <v>3</v>
      </c>
      <c r="F105" s="499" t="s">
        <v>645</v>
      </c>
      <c r="G105" s="499" t="str">
        <f t="shared" si="17"/>
        <v>2_20 to 2_29 gpm</v>
      </c>
      <c r="H105" s="492" t="str">
        <f t="shared" si="18"/>
        <v>Retail</v>
      </c>
      <c r="I105" s="492" t="str">
        <f t="shared" si="18"/>
        <v>1_75</v>
      </c>
      <c r="J105" s="492" t="str">
        <f t="shared" si="18"/>
        <v>Any Water Heating</v>
      </c>
      <c r="K105" s="492" t="str">
        <f t="shared" si="19"/>
        <v>Commercial Showerhead Replacement_Fitness Center_precondition 2_20 to 2_29 gpm_efficient 1_75 gpm_Retail_Any Water Heating</v>
      </c>
      <c r="L105" s="493">
        <f>INDEX(InstallRatesCostAndLifetime!$A$2:$D$6,MATCH(InputForProCost_FitnessCenter!H105,InstallRatesCostAndLifetime!$A$2:$A$6,0),MATCH(InputForProCost_FitnessCenter!I105,InstallRatesCostAndLifetime!$A$2:$D$2,0))</f>
        <v>0.75</v>
      </c>
      <c r="M105" s="493">
        <f t="shared" si="20"/>
        <v>0.31666666666666665</v>
      </c>
      <c r="N105" s="492"/>
      <c r="O105" s="492" t="str">
        <f t="shared" si="21"/>
        <v>Fitness Center2_20 to 2_29 gpm1_75</v>
      </c>
      <c r="P105" s="494">
        <f>VLOOKUP($O105,Impacts!$F$27:$Z$59,16,FALSE)</f>
        <v>3761.7732514230047</v>
      </c>
      <c r="Q105" s="494">
        <f>VLOOKUP($O105,Impacts!$F$27:$Z$59,17,FALSE)*L105</f>
        <v>112.86089121491409</v>
      </c>
      <c r="R105" s="495">
        <f>VLOOKUP($O105,Impacts!$F$27:$Z$59,19,FALSE)*L105</f>
        <v>125.82040226602541</v>
      </c>
      <c r="S105" s="496">
        <f>VLOOKUP($O105,Impacts!$F$27:$Z$59,20,FALSE)*L105</f>
        <v>21334.762044407202</v>
      </c>
      <c r="T105" s="497">
        <f>VLOOKUP($O105,Impacts!$F$27:$Z$59,21,FALSE)*L105</f>
        <v>280.8227252676088</v>
      </c>
      <c r="U105" s="492"/>
      <c r="V105" s="492" t="str">
        <f t="shared" si="22"/>
        <v>Commercial Showerhead Replacement_Fitness Center_precondition 2_20 to 2_29 gpm_efficient 1_75 gpm_Retail_Any Water Heating</v>
      </c>
      <c r="W105" s="492" t="s">
        <v>440</v>
      </c>
      <c r="X105" s="494">
        <f t="shared" si="25"/>
        <v>893.42114721296343</v>
      </c>
      <c r="Y105" s="492">
        <v>10</v>
      </c>
      <c r="Z105" s="498">
        <f t="shared" si="26"/>
        <v>3.2966774171383419</v>
      </c>
      <c r="AA105" s="492"/>
      <c r="AB105" s="499" t="s">
        <v>441</v>
      </c>
      <c r="AC105" s="497">
        <f t="shared" si="27"/>
        <v>280.8227252676088</v>
      </c>
      <c r="AD105" s="492"/>
      <c r="AE105" s="492"/>
      <c r="AF105" s="492"/>
      <c r="AG105" s="492"/>
      <c r="AH105" s="492"/>
      <c r="AI105" s="492"/>
      <c r="AJ105" s="492">
        <f t="shared" si="23"/>
        <v>85.977274881784027</v>
      </c>
      <c r="AK105" s="492" t="s">
        <v>442</v>
      </c>
    </row>
    <row r="106" spans="1:37">
      <c r="A106" s="492">
        <f t="shared" si="24"/>
        <v>88</v>
      </c>
      <c r="B106" s="492">
        <f t="shared" si="28"/>
        <v>4</v>
      </c>
      <c r="C106" s="492">
        <f t="shared" si="28"/>
        <v>1</v>
      </c>
      <c r="D106" s="492">
        <f t="shared" si="28"/>
        <v>3</v>
      </c>
      <c r="E106" s="492">
        <f t="shared" si="16"/>
        <v>1</v>
      </c>
      <c r="F106" s="499" t="s">
        <v>645</v>
      </c>
      <c r="G106" s="499" t="str">
        <f t="shared" si="17"/>
        <v>2_20 to 2_29 gpm</v>
      </c>
      <c r="H106" s="492" t="str">
        <f t="shared" si="18"/>
        <v>Retail</v>
      </c>
      <c r="I106" s="492" t="str">
        <f t="shared" si="18"/>
        <v>1_50</v>
      </c>
      <c r="J106" s="492" t="str">
        <f t="shared" si="18"/>
        <v>Electric Water Heating</v>
      </c>
      <c r="K106" s="492" t="str">
        <f t="shared" si="19"/>
        <v>Commercial Showerhead Replacement_Fitness Center_precondition 2_20 to 2_29 gpm_efficient 1_50 gpm_Retail_Electric Water Heating</v>
      </c>
      <c r="L106" s="493">
        <f>INDEX(InstallRatesCostAndLifetime!$A$2:$D$6,MATCH(InputForProCost_FitnessCenter!H106,InstallRatesCostAndLifetime!$A$2:$A$6,0),MATCH(InputForProCost_FitnessCenter!I106,InstallRatesCostAndLifetime!$A$2:$D$2,0))</f>
        <v>0.7</v>
      </c>
      <c r="M106" s="493">
        <f t="shared" si="20"/>
        <v>1</v>
      </c>
      <c r="N106" s="492"/>
      <c r="O106" s="492" t="str">
        <f t="shared" si="21"/>
        <v>Fitness Center2_20 to 2_29 gpm1_50</v>
      </c>
      <c r="P106" s="494">
        <f>VLOOKUP($O106,Impacts!$F$27:$Z$59,16,FALSE)</f>
        <v>5561.1073255723422</v>
      </c>
      <c r="Q106" s="494">
        <f>VLOOKUP($O106,Impacts!$F$27:$Z$59,17,FALSE)*L106</f>
        <v>158.00524770087972</v>
      </c>
      <c r="R106" s="495">
        <f>VLOOKUP($O106,Impacts!$F$27:$Z$59,19,FALSE)*L106</f>
        <v>173.60271332617191</v>
      </c>
      <c r="S106" s="496">
        <f>VLOOKUP($O106,Impacts!$F$27:$Z$59,20,FALSE)*L106</f>
        <v>29868.666862170081</v>
      </c>
      <c r="T106" s="497">
        <f>VLOOKUP($O106,Impacts!$F$27:$Z$59,21,FALSE)*L106</f>
        <v>393.15181537465224</v>
      </c>
      <c r="U106" s="492"/>
      <c r="V106" s="492" t="str">
        <f t="shared" si="22"/>
        <v>Commercial Showerhead Replacement_Fitness Center_precondition 2_20 to 2_29 gpm_efficient 1_50 gpm_Retail_Electric Water Heating</v>
      </c>
      <c r="W106" s="492" t="s">
        <v>440</v>
      </c>
      <c r="X106" s="494">
        <f t="shared" si="25"/>
        <v>3892.7751279006393</v>
      </c>
      <c r="Y106" s="492">
        <v>10</v>
      </c>
      <c r="Z106" s="498">
        <f t="shared" si="26"/>
        <v>3.2966774171383419</v>
      </c>
      <c r="AA106" s="492"/>
      <c r="AB106" s="499" t="s">
        <v>441</v>
      </c>
      <c r="AC106" s="497">
        <f t="shared" si="27"/>
        <v>393.15181537465224</v>
      </c>
      <c r="AD106" s="492"/>
      <c r="AE106" s="492"/>
      <c r="AF106" s="492"/>
      <c r="AG106" s="492"/>
      <c r="AH106" s="492"/>
      <c r="AI106" s="492"/>
      <c r="AJ106" s="492">
        <f t="shared" si="23"/>
        <v>0</v>
      </c>
      <c r="AK106" s="492" t="s">
        <v>442</v>
      </c>
    </row>
    <row r="107" spans="1:37">
      <c r="A107" s="492">
        <f t="shared" si="24"/>
        <v>89</v>
      </c>
      <c r="B107" s="492">
        <f t="shared" si="28"/>
        <v>4</v>
      </c>
      <c r="C107" s="492">
        <f t="shared" si="28"/>
        <v>1</v>
      </c>
      <c r="D107" s="492">
        <f t="shared" si="28"/>
        <v>3</v>
      </c>
      <c r="E107" s="492">
        <f t="shared" si="16"/>
        <v>2</v>
      </c>
      <c r="F107" s="499" t="s">
        <v>645</v>
      </c>
      <c r="G107" s="499" t="str">
        <f t="shared" si="17"/>
        <v>2_20 to 2_29 gpm</v>
      </c>
      <c r="H107" s="492" t="str">
        <f t="shared" si="18"/>
        <v>Retail</v>
      </c>
      <c r="I107" s="492" t="str">
        <f t="shared" si="18"/>
        <v>1_50</v>
      </c>
      <c r="J107" s="492" t="str">
        <f t="shared" si="18"/>
        <v>Gas Water Heating</v>
      </c>
      <c r="K107" s="492" t="str">
        <f t="shared" si="19"/>
        <v>Commercial Showerhead Replacement_Fitness Center_precondition 2_20 to 2_29 gpm_efficient 1_50 gpm_Retail_Gas Water Heating</v>
      </c>
      <c r="L107" s="493">
        <f>INDEX(InstallRatesCostAndLifetime!$A$2:$D$6,MATCH(InputForProCost_FitnessCenter!H107,InstallRatesCostAndLifetime!$A$2:$A$6,0),MATCH(InputForProCost_FitnessCenter!I107,InstallRatesCostAndLifetime!$A$2:$D$2,0))</f>
        <v>0.7</v>
      </c>
      <c r="M107" s="493">
        <f t="shared" si="20"/>
        <v>0</v>
      </c>
      <c r="N107" s="492"/>
      <c r="O107" s="492" t="str">
        <f t="shared" si="21"/>
        <v>Fitness Center2_20 to 2_29 gpm1_50</v>
      </c>
      <c r="P107" s="494">
        <f>VLOOKUP($O107,Impacts!$F$27:$Z$59,16,FALSE)</f>
        <v>5561.1073255723422</v>
      </c>
      <c r="Q107" s="494">
        <f>VLOOKUP($O107,Impacts!$F$27:$Z$59,17,FALSE)*L107</f>
        <v>158.00524770087972</v>
      </c>
      <c r="R107" s="495">
        <f>VLOOKUP($O107,Impacts!$F$27:$Z$59,19,FALSE)*L107</f>
        <v>173.60271332617191</v>
      </c>
      <c r="S107" s="496">
        <f>VLOOKUP($O107,Impacts!$F$27:$Z$59,20,FALSE)*L107</f>
        <v>29868.666862170081</v>
      </c>
      <c r="T107" s="497">
        <f>VLOOKUP($O107,Impacts!$F$27:$Z$59,21,FALSE)*L107</f>
        <v>393.15181537465224</v>
      </c>
      <c r="U107" s="492"/>
      <c r="V107" s="492" t="str">
        <f t="shared" si="22"/>
        <v>Commercial Showerhead Replacement_Fitness Center_precondition 2_20 to 2_29 gpm_efficient 1_50 gpm_Retail_Gas Water Heating</v>
      </c>
      <c r="W107" s="492" t="s">
        <v>440</v>
      </c>
      <c r="X107" s="494">
        <f t="shared" si="25"/>
        <v>0</v>
      </c>
      <c r="Y107" s="492">
        <v>10</v>
      </c>
      <c r="Z107" s="498">
        <f t="shared" si="26"/>
        <v>3.2966774171383419</v>
      </c>
      <c r="AA107" s="492"/>
      <c r="AB107" s="499" t="s">
        <v>441</v>
      </c>
      <c r="AC107" s="497">
        <f t="shared" si="27"/>
        <v>393.15181537465224</v>
      </c>
      <c r="AD107" s="492"/>
      <c r="AE107" s="492"/>
      <c r="AF107" s="492"/>
      <c r="AG107" s="492"/>
      <c r="AH107" s="492"/>
      <c r="AI107" s="492"/>
      <c r="AJ107" s="492">
        <f t="shared" si="23"/>
        <v>173.60271332617191</v>
      </c>
      <c r="AK107" s="492" t="s">
        <v>442</v>
      </c>
    </row>
    <row r="108" spans="1:37">
      <c r="A108" s="492">
        <f t="shared" si="24"/>
        <v>90</v>
      </c>
      <c r="B108" s="492">
        <f t="shared" si="28"/>
        <v>4</v>
      </c>
      <c r="C108" s="492">
        <f t="shared" si="28"/>
        <v>1</v>
      </c>
      <c r="D108" s="492">
        <f t="shared" si="28"/>
        <v>3</v>
      </c>
      <c r="E108" s="492">
        <f t="shared" si="16"/>
        <v>3</v>
      </c>
      <c r="F108" s="499" t="s">
        <v>645</v>
      </c>
      <c r="G108" s="499" t="str">
        <f t="shared" si="17"/>
        <v>2_20 to 2_29 gpm</v>
      </c>
      <c r="H108" s="492" t="str">
        <f t="shared" si="18"/>
        <v>Retail</v>
      </c>
      <c r="I108" s="492" t="str">
        <f t="shared" si="18"/>
        <v>1_50</v>
      </c>
      <c r="J108" s="492" t="str">
        <f t="shared" si="18"/>
        <v>Any Water Heating</v>
      </c>
      <c r="K108" s="492" t="str">
        <f t="shared" si="19"/>
        <v>Commercial Showerhead Replacement_Fitness Center_precondition 2_20 to 2_29 gpm_efficient 1_50 gpm_Retail_Any Water Heating</v>
      </c>
      <c r="L108" s="493">
        <f>INDEX(InstallRatesCostAndLifetime!$A$2:$D$6,MATCH(InputForProCost_FitnessCenter!H108,InstallRatesCostAndLifetime!$A$2:$A$6,0),MATCH(InputForProCost_FitnessCenter!I108,InstallRatesCostAndLifetime!$A$2:$D$2,0))</f>
        <v>0.7</v>
      </c>
      <c r="M108" s="493">
        <f t="shared" si="20"/>
        <v>0.31666666666666665</v>
      </c>
      <c r="N108" s="492"/>
      <c r="O108" s="492" t="str">
        <f t="shared" si="21"/>
        <v>Fitness Center2_20 to 2_29 gpm1_50</v>
      </c>
      <c r="P108" s="494">
        <f>VLOOKUP($O108,Impacts!$F$27:$Z$59,16,FALSE)</f>
        <v>5561.1073255723422</v>
      </c>
      <c r="Q108" s="494">
        <f>VLOOKUP($O108,Impacts!$F$27:$Z$59,17,FALSE)*L108</f>
        <v>158.00524770087972</v>
      </c>
      <c r="R108" s="495">
        <f>VLOOKUP($O108,Impacts!$F$27:$Z$59,19,FALSE)*L108</f>
        <v>173.60271332617191</v>
      </c>
      <c r="S108" s="496">
        <f>VLOOKUP($O108,Impacts!$F$27:$Z$59,20,FALSE)*L108</f>
        <v>29868.666862170081</v>
      </c>
      <c r="T108" s="497">
        <f>VLOOKUP($O108,Impacts!$F$27:$Z$59,21,FALSE)*L108</f>
        <v>393.15181537465224</v>
      </c>
      <c r="U108" s="492"/>
      <c r="V108" s="492" t="str">
        <f t="shared" si="22"/>
        <v>Commercial Showerhead Replacement_Fitness Center_precondition 2_20 to 2_29 gpm_efficient 1_50 gpm_Retail_Any Water Heating</v>
      </c>
      <c r="W108" s="492" t="s">
        <v>440</v>
      </c>
      <c r="X108" s="494">
        <f t="shared" si="25"/>
        <v>1232.7121238352024</v>
      </c>
      <c r="Y108" s="492">
        <v>10</v>
      </c>
      <c r="Z108" s="498">
        <f t="shared" si="26"/>
        <v>3.2966774171383419</v>
      </c>
      <c r="AA108" s="492"/>
      <c r="AB108" s="499" t="s">
        <v>441</v>
      </c>
      <c r="AC108" s="497">
        <f t="shared" si="27"/>
        <v>393.15181537465224</v>
      </c>
      <c r="AD108" s="492"/>
      <c r="AE108" s="492"/>
      <c r="AF108" s="492"/>
      <c r="AG108" s="492"/>
      <c r="AH108" s="492"/>
      <c r="AI108" s="492"/>
      <c r="AJ108" s="492">
        <f t="shared" si="23"/>
        <v>118.62852077288414</v>
      </c>
      <c r="AK108" s="492" t="s">
        <v>442</v>
      </c>
    </row>
    <row r="109" spans="1:37">
      <c r="A109" s="492">
        <f t="shared" si="24"/>
        <v>91</v>
      </c>
      <c r="B109" s="492">
        <f t="shared" si="28"/>
        <v>4</v>
      </c>
      <c r="C109" s="492">
        <f t="shared" si="28"/>
        <v>2</v>
      </c>
      <c r="D109" s="492">
        <f t="shared" si="28"/>
        <v>1</v>
      </c>
      <c r="E109" s="492">
        <f t="shared" si="16"/>
        <v>1</v>
      </c>
      <c r="F109" s="499" t="s">
        <v>645</v>
      </c>
      <c r="G109" s="499" t="str">
        <f t="shared" si="17"/>
        <v>2_20 to 2_29 gpm</v>
      </c>
      <c r="H109" s="492" t="str">
        <f t="shared" si="18"/>
        <v>Direct Install</v>
      </c>
      <c r="I109" s="492" t="str">
        <f t="shared" si="18"/>
        <v>2_00</v>
      </c>
      <c r="J109" s="492" t="str">
        <f t="shared" si="18"/>
        <v>Electric Water Heating</v>
      </c>
      <c r="K109" s="492" t="str">
        <f t="shared" si="19"/>
        <v>Commercial Showerhead Replacement_Fitness Center_precondition 2_20 to 2_29 gpm_efficient 2_00 gpm_Direct Install_Electric Water Heating</v>
      </c>
      <c r="L109" s="493">
        <f>INDEX(InstallRatesCostAndLifetime!$A$2:$D$6,MATCH(InputForProCost_FitnessCenter!H109,InstallRatesCostAndLifetime!$A$2:$A$6,0),MATCH(InputForProCost_FitnessCenter!I109,InstallRatesCostAndLifetime!$A$2:$D$2,0))</f>
        <v>0.9</v>
      </c>
      <c r="M109" s="493">
        <f t="shared" si="20"/>
        <v>1</v>
      </c>
      <c r="N109" s="492"/>
      <c r="O109" s="492" t="str">
        <f t="shared" si="21"/>
        <v>Fitness Center2_20 to 2_29 gpm2_00</v>
      </c>
      <c r="P109" s="494">
        <f>VLOOKUP($O109,Impacts!$F$27:$Z$59,16,FALSE)</f>
        <v>3588.3122687352279</v>
      </c>
      <c r="Q109" s="494">
        <f>VLOOKUP($O109,Impacts!$F$27:$Z$59,17,FALSE)*L109</f>
        <v>121.88976251210723</v>
      </c>
      <c r="R109" s="495">
        <f>VLOOKUP($O109,Impacts!$F$27:$Z$59,19,FALSE)*L109</f>
        <v>144.0223627314891</v>
      </c>
      <c r="S109" s="496">
        <f>VLOOKUP($O109,Impacts!$F$27:$Z$59,20,FALSE)*L109</f>
        <v>23041.543007959783</v>
      </c>
      <c r="T109" s="497">
        <f>VLOOKUP($O109,Impacts!$F$27:$Z$59,21,FALSE)*L109</f>
        <v>303.28854328901753</v>
      </c>
      <c r="U109" s="492"/>
      <c r="V109" s="492" t="str">
        <f t="shared" si="22"/>
        <v>Commercial Showerhead Replacement_Fitness Center_precondition 2_20 to 2_29 gpm_efficient 2_00 gpm_Direct Install_Electric Water Heating</v>
      </c>
      <c r="W109" s="492" t="s">
        <v>440</v>
      </c>
      <c r="X109" s="494">
        <f t="shared" si="25"/>
        <v>3229.4810418617053</v>
      </c>
      <c r="Y109" s="492">
        <v>10</v>
      </c>
      <c r="Z109" s="498">
        <f t="shared" si="26"/>
        <v>11.336666666666666</v>
      </c>
      <c r="AA109" s="492"/>
      <c r="AB109" s="499" t="s">
        <v>441</v>
      </c>
      <c r="AC109" s="497">
        <f t="shared" si="27"/>
        <v>303.28854328901753</v>
      </c>
      <c r="AD109" s="492"/>
      <c r="AE109" s="492"/>
      <c r="AF109" s="492"/>
      <c r="AG109" s="492"/>
      <c r="AH109" s="492"/>
      <c r="AI109" s="492"/>
      <c r="AJ109" s="492">
        <f t="shared" si="23"/>
        <v>0</v>
      </c>
      <c r="AK109" s="492" t="s">
        <v>442</v>
      </c>
    </row>
    <row r="110" spans="1:37">
      <c r="A110" s="492">
        <f t="shared" si="24"/>
        <v>92</v>
      </c>
      <c r="B110" s="492">
        <f t="shared" si="28"/>
        <v>4</v>
      </c>
      <c r="C110" s="492">
        <f t="shared" si="28"/>
        <v>2</v>
      </c>
      <c r="D110" s="492">
        <f t="shared" si="28"/>
        <v>1</v>
      </c>
      <c r="E110" s="492">
        <f t="shared" si="16"/>
        <v>2</v>
      </c>
      <c r="F110" s="499" t="s">
        <v>645</v>
      </c>
      <c r="G110" s="499" t="str">
        <f t="shared" si="17"/>
        <v>2_20 to 2_29 gpm</v>
      </c>
      <c r="H110" s="492" t="str">
        <f t="shared" si="18"/>
        <v>Direct Install</v>
      </c>
      <c r="I110" s="492" t="str">
        <f t="shared" si="18"/>
        <v>2_00</v>
      </c>
      <c r="J110" s="492" t="str">
        <f t="shared" si="18"/>
        <v>Gas Water Heating</v>
      </c>
      <c r="K110" s="492" t="str">
        <f t="shared" si="19"/>
        <v>Commercial Showerhead Replacement_Fitness Center_precondition 2_20 to 2_29 gpm_efficient 2_00 gpm_Direct Install_Gas Water Heating</v>
      </c>
      <c r="L110" s="493">
        <f>INDEX(InstallRatesCostAndLifetime!$A$2:$D$6,MATCH(InputForProCost_FitnessCenter!H110,InstallRatesCostAndLifetime!$A$2:$A$6,0),MATCH(InputForProCost_FitnessCenter!I110,InstallRatesCostAndLifetime!$A$2:$D$2,0))</f>
        <v>0.9</v>
      </c>
      <c r="M110" s="493">
        <f t="shared" si="20"/>
        <v>0</v>
      </c>
      <c r="N110" s="492"/>
      <c r="O110" s="492" t="str">
        <f t="shared" si="21"/>
        <v>Fitness Center2_20 to 2_29 gpm2_00</v>
      </c>
      <c r="P110" s="494">
        <f>VLOOKUP($O110,Impacts!$F$27:$Z$59,16,FALSE)</f>
        <v>3588.3122687352279</v>
      </c>
      <c r="Q110" s="494">
        <f>VLOOKUP($O110,Impacts!$F$27:$Z$59,17,FALSE)*L110</f>
        <v>121.88976251210723</v>
      </c>
      <c r="R110" s="495">
        <f>VLOOKUP($O110,Impacts!$F$27:$Z$59,19,FALSE)*L110</f>
        <v>144.0223627314891</v>
      </c>
      <c r="S110" s="496">
        <f>VLOOKUP($O110,Impacts!$F$27:$Z$59,20,FALSE)*L110</f>
        <v>23041.543007959783</v>
      </c>
      <c r="T110" s="497">
        <f>VLOOKUP($O110,Impacts!$F$27:$Z$59,21,FALSE)*L110</f>
        <v>303.28854328901753</v>
      </c>
      <c r="U110" s="492"/>
      <c r="V110" s="492" t="str">
        <f t="shared" si="22"/>
        <v>Commercial Showerhead Replacement_Fitness Center_precondition 2_20 to 2_29 gpm_efficient 2_00 gpm_Direct Install_Gas Water Heating</v>
      </c>
      <c r="W110" s="492" t="s">
        <v>440</v>
      </c>
      <c r="X110" s="494">
        <f t="shared" si="25"/>
        <v>0</v>
      </c>
      <c r="Y110" s="492">
        <v>10</v>
      </c>
      <c r="Z110" s="498">
        <f t="shared" si="26"/>
        <v>11.336666666666666</v>
      </c>
      <c r="AA110" s="492"/>
      <c r="AB110" s="499" t="s">
        <v>441</v>
      </c>
      <c r="AC110" s="497">
        <f t="shared" si="27"/>
        <v>303.28854328901753</v>
      </c>
      <c r="AD110" s="492"/>
      <c r="AE110" s="492"/>
      <c r="AF110" s="492"/>
      <c r="AG110" s="492"/>
      <c r="AH110" s="492"/>
      <c r="AI110" s="492"/>
      <c r="AJ110" s="492">
        <f t="shared" si="23"/>
        <v>144.0223627314891</v>
      </c>
      <c r="AK110" s="492" t="s">
        <v>442</v>
      </c>
    </row>
    <row r="111" spans="1:37">
      <c r="A111" s="492">
        <f t="shared" si="24"/>
        <v>93</v>
      </c>
      <c r="B111" s="492">
        <f t="shared" si="28"/>
        <v>4</v>
      </c>
      <c r="C111" s="492">
        <f t="shared" si="28"/>
        <v>2</v>
      </c>
      <c r="D111" s="492">
        <f t="shared" si="28"/>
        <v>1</v>
      </c>
      <c r="E111" s="492">
        <f t="shared" si="16"/>
        <v>3</v>
      </c>
      <c r="F111" s="499" t="s">
        <v>645</v>
      </c>
      <c r="G111" s="499" t="str">
        <f t="shared" si="17"/>
        <v>2_20 to 2_29 gpm</v>
      </c>
      <c r="H111" s="492" t="str">
        <f t="shared" si="18"/>
        <v>Direct Install</v>
      </c>
      <c r="I111" s="492" t="str">
        <f t="shared" si="18"/>
        <v>2_00</v>
      </c>
      <c r="J111" s="492" t="str">
        <f t="shared" si="18"/>
        <v>Any Water Heating</v>
      </c>
      <c r="K111" s="492" t="str">
        <f t="shared" si="19"/>
        <v>Commercial Showerhead Replacement_Fitness Center_precondition 2_20 to 2_29 gpm_efficient 2_00 gpm_Direct Install_Any Water Heating</v>
      </c>
      <c r="L111" s="493">
        <f>INDEX(InstallRatesCostAndLifetime!$A$2:$D$6,MATCH(InputForProCost_FitnessCenter!H111,InstallRatesCostAndLifetime!$A$2:$A$6,0),MATCH(InputForProCost_FitnessCenter!I111,InstallRatesCostAndLifetime!$A$2:$D$2,0))</f>
        <v>0.9</v>
      </c>
      <c r="M111" s="493">
        <f t="shared" si="20"/>
        <v>0.31666666666666665</v>
      </c>
      <c r="N111" s="492"/>
      <c r="O111" s="492" t="str">
        <f t="shared" si="21"/>
        <v>Fitness Center2_20 to 2_29 gpm2_00</v>
      </c>
      <c r="P111" s="494">
        <f>VLOOKUP($O111,Impacts!$F$27:$Z$59,16,FALSE)</f>
        <v>3588.3122687352279</v>
      </c>
      <c r="Q111" s="494">
        <f>VLOOKUP($O111,Impacts!$F$27:$Z$59,17,FALSE)*L111</f>
        <v>121.88976251210723</v>
      </c>
      <c r="R111" s="495">
        <f>VLOOKUP($O111,Impacts!$F$27:$Z$59,19,FALSE)*L111</f>
        <v>144.0223627314891</v>
      </c>
      <c r="S111" s="496">
        <f>VLOOKUP($O111,Impacts!$F$27:$Z$59,20,FALSE)*L111</f>
        <v>23041.543007959783</v>
      </c>
      <c r="T111" s="497">
        <f>VLOOKUP($O111,Impacts!$F$27:$Z$59,21,FALSE)*L111</f>
        <v>303.28854328901753</v>
      </c>
      <c r="U111" s="492"/>
      <c r="V111" s="492" t="str">
        <f t="shared" si="22"/>
        <v>Commercial Showerhead Replacement_Fitness Center_precondition 2_20 to 2_29 gpm_efficient 2_00 gpm_Direct Install_Any Water Heating</v>
      </c>
      <c r="W111" s="492" t="s">
        <v>440</v>
      </c>
      <c r="X111" s="494">
        <f t="shared" si="25"/>
        <v>1022.66899658954</v>
      </c>
      <c r="Y111" s="492">
        <v>10</v>
      </c>
      <c r="Z111" s="498">
        <f t="shared" si="26"/>
        <v>11.336666666666666</v>
      </c>
      <c r="AA111" s="492"/>
      <c r="AB111" s="499" t="s">
        <v>441</v>
      </c>
      <c r="AC111" s="497">
        <f t="shared" si="27"/>
        <v>303.28854328901753</v>
      </c>
      <c r="AD111" s="492"/>
      <c r="AE111" s="492"/>
      <c r="AF111" s="492"/>
      <c r="AG111" s="492"/>
      <c r="AH111" s="492"/>
      <c r="AI111" s="492"/>
      <c r="AJ111" s="492">
        <f t="shared" si="23"/>
        <v>98.415281199850881</v>
      </c>
      <c r="AK111" s="492" t="s">
        <v>442</v>
      </c>
    </row>
    <row r="112" spans="1:37">
      <c r="A112" s="492">
        <f t="shared" si="24"/>
        <v>94</v>
      </c>
      <c r="B112" s="492">
        <f t="shared" si="28"/>
        <v>4</v>
      </c>
      <c r="C112" s="492">
        <f t="shared" si="28"/>
        <v>2</v>
      </c>
      <c r="D112" s="492">
        <f t="shared" si="28"/>
        <v>2</v>
      </c>
      <c r="E112" s="492">
        <f t="shared" si="16"/>
        <v>1</v>
      </c>
      <c r="F112" s="499" t="s">
        <v>645</v>
      </c>
      <c r="G112" s="499" t="str">
        <f t="shared" si="17"/>
        <v>2_20 to 2_29 gpm</v>
      </c>
      <c r="H112" s="492" t="str">
        <f t="shared" si="18"/>
        <v>Direct Install</v>
      </c>
      <c r="I112" s="492" t="str">
        <f t="shared" si="18"/>
        <v>1_75</v>
      </c>
      <c r="J112" s="492" t="str">
        <f t="shared" si="18"/>
        <v>Electric Water Heating</v>
      </c>
      <c r="K112" s="492" t="str">
        <f t="shared" si="19"/>
        <v>Commercial Showerhead Replacement_Fitness Center_precondition 2_20 to 2_29 gpm_efficient 1_75 gpm_Direct Install_Electric Water Heating</v>
      </c>
      <c r="L112" s="493">
        <f>INDEX(InstallRatesCostAndLifetime!$A$2:$D$6,MATCH(InputForProCost_FitnessCenter!H112,InstallRatesCostAndLifetime!$A$2:$A$6,0),MATCH(InputForProCost_FitnessCenter!I112,InstallRatesCostAndLifetime!$A$2:$D$2,0))</f>
        <v>0.9</v>
      </c>
      <c r="M112" s="493">
        <f t="shared" si="20"/>
        <v>1</v>
      </c>
      <c r="N112" s="492"/>
      <c r="O112" s="492" t="str">
        <f t="shared" si="21"/>
        <v>Fitness Center2_20 to 2_29 gpm1_75</v>
      </c>
      <c r="P112" s="494">
        <f>VLOOKUP($O112,Impacts!$F$27:$Z$59,16,FALSE)</f>
        <v>3761.7732514230047</v>
      </c>
      <c r="Q112" s="494">
        <f>VLOOKUP($O112,Impacts!$F$27:$Z$59,17,FALSE)*L112</f>
        <v>135.43306945789689</v>
      </c>
      <c r="R112" s="495">
        <f>VLOOKUP($O112,Impacts!$F$27:$Z$59,19,FALSE)*L112</f>
        <v>150.9844827192305</v>
      </c>
      <c r="S112" s="496">
        <f>VLOOKUP($O112,Impacts!$F$27:$Z$59,20,FALSE)*L112</f>
        <v>25601.714453288641</v>
      </c>
      <c r="T112" s="497">
        <f>VLOOKUP($O112,Impacts!$F$27:$Z$59,21,FALSE)*L112</f>
        <v>336.98727032113055</v>
      </c>
      <c r="U112" s="492"/>
      <c r="V112" s="492" t="str">
        <f t="shared" si="22"/>
        <v>Commercial Showerhead Replacement_Fitness Center_precondition 2_20 to 2_29 gpm_efficient 1_75 gpm_Direct Install_Electric Water Heating</v>
      </c>
      <c r="W112" s="492" t="s">
        <v>440</v>
      </c>
      <c r="X112" s="494">
        <f t="shared" si="25"/>
        <v>3385.5959262807041</v>
      </c>
      <c r="Y112" s="492">
        <v>10</v>
      </c>
      <c r="Z112" s="498">
        <f t="shared" si="26"/>
        <v>11.336666666666666</v>
      </c>
      <c r="AA112" s="492"/>
      <c r="AB112" s="499" t="s">
        <v>441</v>
      </c>
      <c r="AC112" s="497">
        <f t="shared" si="27"/>
        <v>336.98727032113055</v>
      </c>
      <c r="AD112" s="492"/>
      <c r="AE112" s="492"/>
      <c r="AF112" s="492"/>
      <c r="AG112" s="492"/>
      <c r="AH112" s="492"/>
      <c r="AI112" s="492"/>
      <c r="AJ112" s="492">
        <f t="shared" si="23"/>
        <v>0</v>
      </c>
      <c r="AK112" s="492" t="s">
        <v>442</v>
      </c>
    </row>
    <row r="113" spans="1:37">
      <c r="A113" s="492">
        <f t="shared" si="24"/>
        <v>95</v>
      </c>
      <c r="B113" s="492">
        <f t="shared" si="28"/>
        <v>4</v>
      </c>
      <c r="C113" s="492">
        <f t="shared" si="28"/>
        <v>2</v>
      </c>
      <c r="D113" s="492">
        <f t="shared" si="28"/>
        <v>2</v>
      </c>
      <c r="E113" s="492">
        <f t="shared" si="16"/>
        <v>2</v>
      </c>
      <c r="F113" s="499" t="s">
        <v>645</v>
      </c>
      <c r="G113" s="499" t="str">
        <f t="shared" si="17"/>
        <v>2_20 to 2_29 gpm</v>
      </c>
      <c r="H113" s="492" t="str">
        <f t="shared" si="18"/>
        <v>Direct Install</v>
      </c>
      <c r="I113" s="492" t="str">
        <f t="shared" si="18"/>
        <v>1_75</v>
      </c>
      <c r="J113" s="492" t="str">
        <f t="shared" si="18"/>
        <v>Gas Water Heating</v>
      </c>
      <c r="K113" s="492" t="str">
        <f t="shared" si="19"/>
        <v>Commercial Showerhead Replacement_Fitness Center_precondition 2_20 to 2_29 gpm_efficient 1_75 gpm_Direct Install_Gas Water Heating</v>
      </c>
      <c r="L113" s="493">
        <f>INDEX(InstallRatesCostAndLifetime!$A$2:$D$6,MATCH(InputForProCost_FitnessCenter!H113,InstallRatesCostAndLifetime!$A$2:$A$6,0),MATCH(InputForProCost_FitnessCenter!I113,InstallRatesCostAndLifetime!$A$2:$D$2,0))</f>
        <v>0.9</v>
      </c>
      <c r="M113" s="493">
        <f t="shared" si="20"/>
        <v>0</v>
      </c>
      <c r="N113" s="492"/>
      <c r="O113" s="492" t="str">
        <f t="shared" si="21"/>
        <v>Fitness Center2_20 to 2_29 gpm1_75</v>
      </c>
      <c r="P113" s="494">
        <f>VLOOKUP($O113,Impacts!$F$27:$Z$59,16,FALSE)</f>
        <v>3761.7732514230047</v>
      </c>
      <c r="Q113" s="494">
        <f>VLOOKUP($O113,Impacts!$F$27:$Z$59,17,FALSE)*L113</f>
        <v>135.43306945789689</v>
      </c>
      <c r="R113" s="495">
        <f>VLOOKUP($O113,Impacts!$F$27:$Z$59,19,FALSE)*L113</f>
        <v>150.9844827192305</v>
      </c>
      <c r="S113" s="496">
        <f>VLOOKUP($O113,Impacts!$F$27:$Z$59,20,FALSE)*L113</f>
        <v>25601.714453288641</v>
      </c>
      <c r="T113" s="497">
        <f>VLOOKUP($O113,Impacts!$F$27:$Z$59,21,FALSE)*L113</f>
        <v>336.98727032113055</v>
      </c>
      <c r="U113" s="492"/>
      <c r="V113" s="492" t="str">
        <f t="shared" si="22"/>
        <v>Commercial Showerhead Replacement_Fitness Center_precondition 2_20 to 2_29 gpm_efficient 1_75 gpm_Direct Install_Gas Water Heating</v>
      </c>
      <c r="W113" s="492" t="s">
        <v>440</v>
      </c>
      <c r="X113" s="494">
        <f t="shared" si="25"/>
        <v>0</v>
      </c>
      <c r="Y113" s="492">
        <v>10</v>
      </c>
      <c r="Z113" s="498">
        <f t="shared" si="26"/>
        <v>11.336666666666666</v>
      </c>
      <c r="AA113" s="492"/>
      <c r="AB113" s="499" t="s">
        <v>441</v>
      </c>
      <c r="AC113" s="497">
        <f t="shared" si="27"/>
        <v>336.98727032113055</v>
      </c>
      <c r="AD113" s="492"/>
      <c r="AE113" s="492"/>
      <c r="AF113" s="492"/>
      <c r="AG113" s="492"/>
      <c r="AH113" s="492"/>
      <c r="AI113" s="492"/>
      <c r="AJ113" s="492">
        <f t="shared" si="23"/>
        <v>150.9844827192305</v>
      </c>
      <c r="AK113" s="492" t="s">
        <v>442</v>
      </c>
    </row>
    <row r="114" spans="1:37">
      <c r="A114" s="492">
        <f t="shared" si="24"/>
        <v>96</v>
      </c>
      <c r="B114" s="492">
        <f t="shared" si="28"/>
        <v>4</v>
      </c>
      <c r="C114" s="492">
        <f t="shared" si="28"/>
        <v>2</v>
      </c>
      <c r="D114" s="492">
        <f t="shared" si="28"/>
        <v>2</v>
      </c>
      <c r="E114" s="492">
        <f t="shared" si="16"/>
        <v>3</v>
      </c>
      <c r="F114" s="499" t="s">
        <v>645</v>
      </c>
      <c r="G114" s="499" t="str">
        <f t="shared" si="17"/>
        <v>2_20 to 2_29 gpm</v>
      </c>
      <c r="H114" s="492" t="str">
        <f t="shared" si="18"/>
        <v>Direct Install</v>
      </c>
      <c r="I114" s="492" t="str">
        <f t="shared" si="18"/>
        <v>1_75</v>
      </c>
      <c r="J114" s="492" t="str">
        <f t="shared" si="18"/>
        <v>Any Water Heating</v>
      </c>
      <c r="K114" s="492" t="str">
        <f t="shared" si="19"/>
        <v>Commercial Showerhead Replacement_Fitness Center_precondition 2_20 to 2_29 gpm_efficient 1_75 gpm_Direct Install_Any Water Heating</v>
      </c>
      <c r="L114" s="493">
        <f>INDEX(InstallRatesCostAndLifetime!$A$2:$D$6,MATCH(InputForProCost_FitnessCenter!H114,InstallRatesCostAndLifetime!$A$2:$A$6,0),MATCH(InputForProCost_FitnessCenter!I114,InstallRatesCostAndLifetime!$A$2:$D$2,0))</f>
        <v>0.9</v>
      </c>
      <c r="M114" s="493">
        <f t="shared" si="20"/>
        <v>0.31666666666666665</v>
      </c>
      <c r="N114" s="492"/>
      <c r="O114" s="492" t="str">
        <f t="shared" si="21"/>
        <v>Fitness Center2_20 to 2_29 gpm1_75</v>
      </c>
      <c r="P114" s="494">
        <f>VLOOKUP($O114,Impacts!$F$27:$Z$59,16,FALSE)</f>
        <v>3761.7732514230047</v>
      </c>
      <c r="Q114" s="494">
        <f>VLOOKUP($O114,Impacts!$F$27:$Z$59,17,FALSE)*L114</f>
        <v>135.43306945789689</v>
      </c>
      <c r="R114" s="495">
        <f>VLOOKUP($O114,Impacts!$F$27:$Z$59,19,FALSE)*L114</f>
        <v>150.9844827192305</v>
      </c>
      <c r="S114" s="496">
        <f>VLOOKUP($O114,Impacts!$F$27:$Z$59,20,FALSE)*L114</f>
        <v>25601.714453288641</v>
      </c>
      <c r="T114" s="497">
        <f>VLOOKUP($O114,Impacts!$F$27:$Z$59,21,FALSE)*L114</f>
        <v>336.98727032113055</v>
      </c>
      <c r="U114" s="492"/>
      <c r="V114" s="492" t="str">
        <f t="shared" si="22"/>
        <v>Commercial Showerhead Replacement_Fitness Center_precondition 2_20 to 2_29 gpm_efficient 1_75 gpm_Direct Install_Any Water Heating</v>
      </c>
      <c r="W114" s="492" t="s">
        <v>440</v>
      </c>
      <c r="X114" s="494">
        <f t="shared" si="25"/>
        <v>1072.1053766555563</v>
      </c>
      <c r="Y114" s="492">
        <v>10</v>
      </c>
      <c r="Z114" s="498">
        <f t="shared" si="26"/>
        <v>11.336666666666666</v>
      </c>
      <c r="AA114" s="492"/>
      <c r="AB114" s="499" t="s">
        <v>441</v>
      </c>
      <c r="AC114" s="497">
        <f t="shared" si="27"/>
        <v>336.98727032113055</v>
      </c>
      <c r="AD114" s="492"/>
      <c r="AE114" s="492"/>
      <c r="AF114" s="492"/>
      <c r="AG114" s="492"/>
      <c r="AH114" s="492"/>
      <c r="AI114" s="492"/>
      <c r="AJ114" s="492">
        <f t="shared" si="23"/>
        <v>103.17272985814084</v>
      </c>
      <c r="AK114" s="492" t="s">
        <v>442</v>
      </c>
    </row>
    <row r="115" spans="1:37">
      <c r="A115" s="492">
        <f t="shared" si="24"/>
        <v>97</v>
      </c>
      <c r="B115" s="492">
        <f t="shared" si="28"/>
        <v>4</v>
      </c>
      <c r="C115" s="492">
        <f t="shared" si="28"/>
        <v>2</v>
      </c>
      <c r="D115" s="492">
        <f t="shared" si="28"/>
        <v>3</v>
      </c>
      <c r="E115" s="492">
        <f t="shared" si="16"/>
        <v>1</v>
      </c>
      <c r="F115" s="499" t="s">
        <v>645</v>
      </c>
      <c r="G115" s="499" t="str">
        <f t="shared" si="17"/>
        <v>2_20 to 2_29 gpm</v>
      </c>
      <c r="H115" s="492" t="str">
        <f t="shared" si="18"/>
        <v>Direct Install</v>
      </c>
      <c r="I115" s="492" t="str">
        <f t="shared" si="18"/>
        <v>1_50</v>
      </c>
      <c r="J115" s="492" t="str">
        <f t="shared" si="18"/>
        <v>Electric Water Heating</v>
      </c>
      <c r="K115" s="492" t="str">
        <f t="shared" si="19"/>
        <v>Commercial Showerhead Replacement_Fitness Center_precondition 2_20 to 2_29 gpm_efficient 1_50 gpm_Direct Install_Electric Water Heating</v>
      </c>
      <c r="L115" s="493">
        <f>INDEX(InstallRatesCostAndLifetime!$A$2:$D$6,MATCH(InputForProCost_FitnessCenter!H115,InstallRatesCostAndLifetime!$A$2:$A$6,0),MATCH(InputForProCost_FitnessCenter!I115,InstallRatesCostAndLifetime!$A$2:$D$2,0))</f>
        <v>0.9</v>
      </c>
      <c r="M115" s="493">
        <f t="shared" si="20"/>
        <v>1</v>
      </c>
      <c r="N115" s="492"/>
      <c r="O115" s="492" t="str">
        <f t="shared" si="21"/>
        <v>Fitness Center2_20 to 2_29 gpm1_50</v>
      </c>
      <c r="P115" s="494">
        <f>VLOOKUP($O115,Impacts!$F$27:$Z$59,16,FALSE)</f>
        <v>5561.1073255723422</v>
      </c>
      <c r="Q115" s="494">
        <f>VLOOKUP($O115,Impacts!$F$27:$Z$59,17,FALSE)*L115</f>
        <v>203.14960418684538</v>
      </c>
      <c r="R115" s="495">
        <f>VLOOKUP($O115,Impacts!$F$27:$Z$59,19,FALSE)*L115</f>
        <v>223.20348856222103</v>
      </c>
      <c r="S115" s="496">
        <f>VLOOKUP($O115,Impacts!$F$27:$Z$59,20,FALSE)*L115</f>
        <v>38402.571679932968</v>
      </c>
      <c r="T115" s="497">
        <f>VLOOKUP($O115,Impacts!$F$27:$Z$59,21,FALSE)*L115</f>
        <v>505.48090548169574</v>
      </c>
      <c r="U115" s="492"/>
      <c r="V115" s="492" t="str">
        <f t="shared" si="22"/>
        <v>Commercial Showerhead Replacement_Fitness Center_precondition 2_20 to 2_29 gpm_efficient 1_50 gpm_Direct Install_Electric Water Heating</v>
      </c>
      <c r="W115" s="492" t="s">
        <v>440</v>
      </c>
      <c r="X115" s="494">
        <f t="shared" si="25"/>
        <v>5004.9965930151084</v>
      </c>
      <c r="Y115" s="492">
        <v>10</v>
      </c>
      <c r="Z115" s="498">
        <f t="shared" si="26"/>
        <v>11.336666666666666</v>
      </c>
      <c r="AA115" s="492"/>
      <c r="AB115" s="499" t="s">
        <v>441</v>
      </c>
      <c r="AC115" s="497">
        <f t="shared" si="27"/>
        <v>505.48090548169574</v>
      </c>
      <c r="AD115" s="492"/>
      <c r="AE115" s="492"/>
      <c r="AF115" s="492"/>
      <c r="AG115" s="492"/>
      <c r="AH115" s="492"/>
      <c r="AI115" s="492"/>
      <c r="AJ115" s="492">
        <f t="shared" si="23"/>
        <v>0</v>
      </c>
      <c r="AK115" s="492" t="s">
        <v>442</v>
      </c>
    </row>
    <row r="116" spans="1:37">
      <c r="A116" s="492">
        <f t="shared" si="24"/>
        <v>98</v>
      </c>
      <c r="B116" s="492">
        <f t="shared" si="28"/>
        <v>4</v>
      </c>
      <c r="C116" s="492">
        <f t="shared" si="28"/>
        <v>2</v>
      </c>
      <c r="D116" s="492">
        <f t="shared" si="28"/>
        <v>3</v>
      </c>
      <c r="E116" s="492">
        <f t="shared" si="16"/>
        <v>2</v>
      </c>
      <c r="F116" s="499" t="s">
        <v>645</v>
      </c>
      <c r="G116" s="499" t="str">
        <f t="shared" si="17"/>
        <v>2_20 to 2_29 gpm</v>
      </c>
      <c r="H116" s="492" t="str">
        <f t="shared" si="18"/>
        <v>Direct Install</v>
      </c>
      <c r="I116" s="492" t="str">
        <f t="shared" si="18"/>
        <v>1_50</v>
      </c>
      <c r="J116" s="492" t="str">
        <f t="shared" si="18"/>
        <v>Gas Water Heating</v>
      </c>
      <c r="K116" s="492" t="str">
        <f t="shared" si="19"/>
        <v>Commercial Showerhead Replacement_Fitness Center_precondition 2_20 to 2_29 gpm_efficient 1_50 gpm_Direct Install_Gas Water Heating</v>
      </c>
      <c r="L116" s="493">
        <f>INDEX(InstallRatesCostAndLifetime!$A$2:$D$6,MATCH(InputForProCost_FitnessCenter!H116,InstallRatesCostAndLifetime!$A$2:$A$6,0),MATCH(InputForProCost_FitnessCenter!I116,InstallRatesCostAndLifetime!$A$2:$D$2,0))</f>
        <v>0.9</v>
      </c>
      <c r="M116" s="493">
        <f t="shared" si="20"/>
        <v>0</v>
      </c>
      <c r="N116" s="492"/>
      <c r="O116" s="492" t="str">
        <f t="shared" si="21"/>
        <v>Fitness Center2_20 to 2_29 gpm1_50</v>
      </c>
      <c r="P116" s="494">
        <f>VLOOKUP($O116,Impacts!$F$27:$Z$59,16,FALSE)</f>
        <v>5561.1073255723422</v>
      </c>
      <c r="Q116" s="494">
        <f>VLOOKUP($O116,Impacts!$F$27:$Z$59,17,FALSE)*L116</f>
        <v>203.14960418684538</v>
      </c>
      <c r="R116" s="495">
        <f>VLOOKUP($O116,Impacts!$F$27:$Z$59,19,FALSE)*L116</f>
        <v>223.20348856222103</v>
      </c>
      <c r="S116" s="496">
        <f>VLOOKUP($O116,Impacts!$F$27:$Z$59,20,FALSE)*L116</f>
        <v>38402.571679932968</v>
      </c>
      <c r="T116" s="497">
        <f>VLOOKUP($O116,Impacts!$F$27:$Z$59,21,FALSE)*L116</f>
        <v>505.48090548169574</v>
      </c>
      <c r="U116" s="492"/>
      <c r="V116" s="492" t="str">
        <f t="shared" si="22"/>
        <v>Commercial Showerhead Replacement_Fitness Center_precondition 2_20 to 2_29 gpm_efficient 1_50 gpm_Direct Install_Gas Water Heating</v>
      </c>
      <c r="W116" s="492" t="s">
        <v>440</v>
      </c>
      <c r="X116" s="494">
        <f t="shared" si="25"/>
        <v>0</v>
      </c>
      <c r="Y116" s="492">
        <v>10</v>
      </c>
      <c r="Z116" s="498">
        <f t="shared" si="26"/>
        <v>11.336666666666666</v>
      </c>
      <c r="AA116" s="492"/>
      <c r="AB116" s="499" t="s">
        <v>441</v>
      </c>
      <c r="AC116" s="497">
        <f t="shared" si="27"/>
        <v>505.48090548169574</v>
      </c>
      <c r="AD116" s="492"/>
      <c r="AE116" s="492"/>
      <c r="AF116" s="492"/>
      <c r="AG116" s="492"/>
      <c r="AH116" s="492"/>
      <c r="AI116" s="492"/>
      <c r="AJ116" s="492">
        <f t="shared" si="23"/>
        <v>223.20348856222103</v>
      </c>
      <c r="AK116" s="492" t="s">
        <v>442</v>
      </c>
    </row>
    <row r="117" spans="1:37">
      <c r="A117" s="492">
        <f t="shared" si="24"/>
        <v>99</v>
      </c>
      <c r="B117" s="492">
        <f t="shared" si="28"/>
        <v>4</v>
      </c>
      <c r="C117" s="492">
        <f t="shared" si="28"/>
        <v>2</v>
      </c>
      <c r="D117" s="492">
        <f t="shared" si="28"/>
        <v>3</v>
      </c>
      <c r="E117" s="492">
        <f t="shared" si="16"/>
        <v>3</v>
      </c>
      <c r="F117" s="499" t="s">
        <v>645</v>
      </c>
      <c r="G117" s="499" t="str">
        <f t="shared" si="17"/>
        <v>2_20 to 2_29 gpm</v>
      </c>
      <c r="H117" s="492" t="str">
        <f t="shared" si="18"/>
        <v>Direct Install</v>
      </c>
      <c r="I117" s="492" t="str">
        <f t="shared" si="18"/>
        <v>1_50</v>
      </c>
      <c r="J117" s="492" t="str">
        <f t="shared" si="18"/>
        <v>Any Water Heating</v>
      </c>
      <c r="K117" s="492" t="str">
        <f t="shared" si="19"/>
        <v>Commercial Showerhead Replacement_Fitness Center_precondition 2_20 to 2_29 gpm_efficient 1_50 gpm_Direct Install_Any Water Heating</v>
      </c>
      <c r="L117" s="493">
        <f>INDEX(InstallRatesCostAndLifetime!$A$2:$D$6,MATCH(InputForProCost_FitnessCenter!H117,InstallRatesCostAndLifetime!$A$2:$A$6,0),MATCH(InputForProCost_FitnessCenter!I117,InstallRatesCostAndLifetime!$A$2:$D$2,0))</f>
        <v>0.9</v>
      </c>
      <c r="M117" s="493">
        <f t="shared" si="20"/>
        <v>0.31666666666666665</v>
      </c>
      <c r="N117" s="492"/>
      <c r="O117" s="492" t="str">
        <f t="shared" si="21"/>
        <v>Fitness Center2_20 to 2_29 gpm1_50</v>
      </c>
      <c r="P117" s="494">
        <f>VLOOKUP($O117,Impacts!$F$27:$Z$59,16,FALSE)</f>
        <v>5561.1073255723422</v>
      </c>
      <c r="Q117" s="494">
        <f>VLOOKUP($O117,Impacts!$F$27:$Z$59,17,FALSE)*L117</f>
        <v>203.14960418684538</v>
      </c>
      <c r="R117" s="495">
        <f>VLOOKUP($O117,Impacts!$F$27:$Z$59,19,FALSE)*L117</f>
        <v>223.20348856222103</v>
      </c>
      <c r="S117" s="496">
        <f>VLOOKUP($O117,Impacts!$F$27:$Z$59,20,FALSE)*L117</f>
        <v>38402.571679932968</v>
      </c>
      <c r="T117" s="497">
        <f>VLOOKUP($O117,Impacts!$F$27:$Z$59,21,FALSE)*L117</f>
        <v>505.48090548169574</v>
      </c>
      <c r="U117" s="492"/>
      <c r="V117" s="492" t="str">
        <f t="shared" si="22"/>
        <v>Commercial Showerhead Replacement_Fitness Center_precondition 2_20 to 2_29 gpm_efficient 1_50 gpm_Direct Install_Any Water Heating</v>
      </c>
      <c r="W117" s="492" t="s">
        <v>440</v>
      </c>
      <c r="X117" s="494">
        <f t="shared" si="25"/>
        <v>1584.9155877881176</v>
      </c>
      <c r="Y117" s="492">
        <v>10</v>
      </c>
      <c r="Z117" s="498">
        <f t="shared" si="26"/>
        <v>11.336666666666666</v>
      </c>
      <c r="AA117" s="492"/>
      <c r="AB117" s="499" t="s">
        <v>441</v>
      </c>
      <c r="AC117" s="497">
        <f t="shared" si="27"/>
        <v>505.48090548169574</v>
      </c>
      <c r="AD117" s="492"/>
      <c r="AE117" s="492"/>
      <c r="AF117" s="492"/>
      <c r="AG117" s="492"/>
      <c r="AH117" s="492"/>
      <c r="AI117" s="492"/>
      <c r="AJ117" s="492">
        <f t="shared" si="23"/>
        <v>152.52238385085104</v>
      </c>
      <c r="AK117" s="492" t="s">
        <v>442</v>
      </c>
    </row>
    <row r="118" spans="1:37">
      <c r="A118" s="492">
        <f t="shared" si="24"/>
        <v>100</v>
      </c>
      <c r="B118" s="492">
        <f t="shared" si="28"/>
        <v>4</v>
      </c>
      <c r="C118" s="492">
        <f t="shared" si="28"/>
        <v>3</v>
      </c>
      <c r="D118" s="492">
        <f t="shared" si="28"/>
        <v>1</v>
      </c>
      <c r="E118" s="492">
        <f t="shared" si="16"/>
        <v>1</v>
      </c>
      <c r="F118" s="499" t="s">
        <v>645</v>
      </c>
      <c r="G118" s="499" t="str">
        <f t="shared" si="17"/>
        <v>2_20 to 2_29 gpm</v>
      </c>
      <c r="H118" s="492" t="str">
        <f t="shared" si="18"/>
        <v>Mail-by-Request</v>
      </c>
      <c r="I118" s="492" t="str">
        <f t="shared" si="18"/>
        <v>2_00</v>
      </c>
      <c r="J118" s="492" t="str">
        <f t="shared" si="18"/>
        <v>Electric Water Heating</v>
      </c>
      <c r="K118" s="492" t="str">
        <f t="shared" si="19"/>
        <v>Commercial Showerhead Replacement_Fitness Center_precondition 2_20 to 2_29 gpm_efficient 2_00 gpm_Mail-by-Request_Electric Water Heating</v>
      </c>
      <c r="L118" s="493">
        <f>INDEX(InstallRatesCostAndLifetime!$A$2:$D$6,MATCH(InputForProCost_FitnessCenter!H118,InstallRatesCostAndLifetime!$A$2:$A$6,0),MATCH(InputForProCost_FitnessCenter!I118,InstallRatesCostAndLifetime!$A$2:$D$2,0))</f>
        <v>0.6</v>
      </c>
      <c r="M118" s="493">
        <f t="shared" si="20"/>
        <v>1</v>
      </c>
      <c r="N118" s="492"/>
      <c r="O118" s="492" t="str">
        <f t="shared" si="21"/>
        <v>Fitness Center2_20 to 2_29 gpm2_00</v>
      </c>
      <c r="P118" s="494">
        <f>VLOOKUP($O118,Impacts!$F$27:$Z$59,16,FALSE)</f>
        <v>3588.3122687352279</v>
      </c>
      <c r="Q118" s="494">
        <f>VLOOKUP($O118,Impacts!$F$27:$Z$59,17,FALSE)*L118</f>
        <v>81.259841674738155</v>
      </c>
      <c r="R118" s="495">
        <f>VLOOKUP($O118,Impacts!$F$27:$Z$59,19,FALSE)*L118</f>
        <v>96.014908487659383</v>
      </c>
      <c r="S118" s="496">
        <f>VLOOKUP($O118,Impacts!$F$27:$Z$59,20,FALSE)*L118</f>
        <v>15361.028671973187</v>
      </c>
      <c r="T118" s="497">
        <f>VLOOKUP($O118,Impacts!$F$27:$Z$59,21,FALSE)*L118</f>
        <v>202.19236219267833</v>
      </c>
      <c r="U118" s="492"/>
      <c r="V118" s="492" t="str">
        <f t="shared" si="22"/>
        <v>Commercial Showerhead Replacement_Fitness Center_precondition 2_20 to 2_29 gpm_efficient 2_00 gpm_Mail-by-Request_Electric Water Heating</v>
      </c>
      <c r="W118" s="492" t="s">
        <v>440</v>
      </c>
      <c r="X118" s="494">
        <f t="shared" si="25"/>
        <v>2152.9873612411366</v>
      </c>
      <c r="Y118" s="492">
        <v>10</v>
      </c>
      <c r="Z118" s="498">
        <f t="shared" si="26"/>
        <v>8.1096944444444432</v>
      </c>
      <c r="AA118" s="492"/>
      <c r="AB118" s="499" t="s">
        <v>441</v>
      </c>
      <c r="AC118" s="497">
        <f t="shared" si="27"/>
        <v>202.19236219267833</v>
      </c>
      <c r="AD118" s="492"/>
      <c r="AE118" s="492"/>
      <c r="AF118" s="492"/>
      <c r="AG118" s="492"/>
      <c r="AH118" s="492"/>
      <c r="AI118" s="492"/>
      <c r="AJ118" s="492">
        <f t="shared" si="23"/>
        <v>0</v>
      </c>
      <c r="AK118" s="492" t="s">
        <v>442</v>
      </c>
    </row>
    <row r="119" spans="1:37">
      <c r="A119" s="492">
        <f t="shared" si="24"/>
        <v>101</v>
      </c>
      <c r="B119" s="492">
        <f t="shared" ref="B119:D138" si="29">CEILING((MOD($A119-1,B$17)+1)/C$17,1)</f>
        <v>4</v>
      </c>
      <c r="C119" s="492">
        <f t="shared" si="29"/>
        <v>3</v>
      </c>
      <c r="D119" s="492">
        <f t="shared" si="29"/>
        <v>1</v>
      </c>
      <c r="E119" s="492">
        <f t="shared" si="16"/>
        <v>2</v>
      </c>
      <c r="F119" s="499" t="s">
        <v>645</v>
      </c>
      <c r="G119" s="499" t="str">
        <f t="shared" si="17"/>
        <v>2_20 to 2_29 gpm</v>
      </c>
      <c r="H119" s="492" t="str">
        <f t="shared" si="18"/>
        <v>Mail-by-Request</v>
      </c>
      <c r="I119" s="492" t="str">
        <f t="shared" si="18"/>
        <v>2_00</v>
      </c>
      <c r="J119" s="492" t="str">
        <f t="shared" si="18"/>
        <v>Gas Water Heating</v>
      </c>
      <c r="K119" s="492" t="str">
        <f t="shared" si="19"/>
        <v>Commercial Showerhead Replacement_Fitness Center_precondition 2_20 to 2_29 gpm_efficient 2_00 gpm_Mail-by-Request_Gas Water Heating</v>
      </c>
      <c r="L119" s="493">
        <f>INDEX(InstallRatesCostAndLifetime!$A$2:$D$6,MATCH(InputForProCost_FitnessCenter!H119,InstallRatesCostAndLifetime!$A$2:$A$6,0),MATCH(InputForProCost_FitnessCenter!I119,InstallRatesCostAndLifetime!$A$2:$D$2,0))</f>
        <v>0.6</v>
      </c>
      <c r="M119" s="493">
        <f t="shared" si="20"/>
        <v>0</v>
      </c>
      <c r="N119" s="492"/>
      <c r="O119" s="492" t="str">
        <f t="shared" si="21"/>
        <v>Fitness Center2_20 to 2_29 gpm2_00</v>
      </c>
      <c r="P119" s="494">
        <f>VLOOKUP($O119,Impacts!$F$27:$Z$59,16,FALSE)</f>
        <v>3588.3122687352279</v>
      </c>
      <c r="Q119" s="494">
        <f>VLOOKUP($O119,Impacts!$F$27:$Z$59,17,FALSE)*L119</f>
        <v>81.259841674738155</v>
      </c>
      <c r="R119" s="495">
        <f>VLOOKUP($O119,Impacts!$F$27:$Z$59,19,FALSE)*L119</f>
        <v>96.014908487659383</v>
      </c>
      <c r="S119" s="496">
        <f>VLOOKUP($O119,Impacts!$F$27:$Z$59,20,FALSE)*L119</f>
        <v>15361.028671973187</v>
      </c>
      <c r="T119" s="497">
        <f>VLOOKUP($O119,Impacts!$F$27:$Z$59,21,FALSE)*L119</f>
        <v>202.19236219267833</v>
      </c>
      <c r="U119" s="492"/>
      <c r="V119" s="492" t="str">
        <f t="shared" si="22"/>
        <v>Commercial Showerhead Replacement_Fitness Center_precondition 2_20 to 2_29 gpm_efficient 2_00 gpm_Mail-by-Request_Gas Water Heating</v>
      </c>
      <c r="W119" s="492" t="s">
        <v>440</v>
      </c>
      <c r="X119" s="494">
        <f t="shared" si="25"/>
        <v>0</v>
      </c>
      <c r="Y119" s="492">
        <v>10</v>
      </c>
      <c r="Z119" s="498">
        <f t="shared" si="26"/>
        <v>8.1096944444444432</v>
      </c>
      <c r="AA119" s="492"/>
      <c r="AB119" s="499" t="s">
        <v>441</v>
      </c>
      <c r="AC119" s="497">
        <f t="shared" si="27"/>
        <v>202.19236219267833</v>
      </c>
      <c r="AD119" s="492"/>
      <c r="AE119" s="492"/>
      <c r="AF119" s="492"/>
      <c r="AG119" s="492"/>
      <c r="AH119" s="492"/>
      <c r="AI119" s="492"/>
      <c r="AJ119" s="492">
        <f t="shared" si="23"/>
        <v>96.014908487659383</v>
      </c>
      <c r="AK119" s="492" t="s">
        <v>442</v>
      </c>
    </row>
    <row r="120" spans="1:37">
      <c r="A120" s="492">
        <f t="shared" si="24"/>
        <v>102</v>
      </c>
      <c r="B120" s="492">
        <f t="shared" si="29"/>
        <v>4</v>
      </c>
      <c r="C120" s="492">
        <f t="shared" si="29"/>
        <v>3</v>
      </c>
      <c r="D120" s="492">
        <f t="shared" si="29"/>
        <v>1</v>
      </c>
      <c r="E120" s="492">
        <f t="shared" si="16"/>
        <v>3</v>
      </c>
      <c r="F120" s="499" t="s">
        <v>645</v>
      </c>
      <c r="G120" s="499" t="str">
        <f t="shared" si="17"/>
        <v>2_20 to 2_29 gpm</v>
      </c>
      <c r="H120" s="492" t="str">
        <f t="shared" si="18"/>
        <v>Mail-by-Request</v>
      </c>
      <c r="I120" s="492" t="str">
        <f t="shared" si="18"/>
        <v>2_00</v>
      </c>
      <c r="J120" s="492" t="str">
        <f t="shared" si="18"/>
        <v>Any Water Heating</v>
      </c>
      <c r="K120" s="492" t="str">
        <f t="shared" si="19"/>
        <v>Commercial Showerhead Replacement_Fitness Center_precondition 2_20 to 2_29 gpm_efficient 2_00 gpm_Mail-by-Request_Any Water Heating</v>
      </c>
      <c r="L120" s="493">
        <f>INDEX(InstallRatesCostAndLifetime!$A$2:$D$6,MATCH(InputForProCost_FitnessCenter!H120,InstallRatesCostAndLifetime!$A$2:$A$6,0),MATCH(InputForProCost_FitnessCenter!I120,InstallRatesCostAndLifetime!$A$2:$D$2,0))</f>
        <v>0.6</v>
      </c>
      <c r="M120" s="493">
        <f t="shared" si="20"/>
        <v>0.31666666666666665</v>
      </c>
      <c r="N120" s="492"/>
      <c r="O120" s="492" t="str">
        <f t="shared" si="21"/>
        <v>Fitness Center2_20 to 2_29 gpm2_00</v>
      </c>
      <c r="P120" s="494">
        <f>VLOOKUP($O120,Impacts!$F$27:$Z$59,16,FALSE)</f>
        <v>3588.3122687352279</v>
      </c>
      <c r="Q120" s="494">
        <f>VLOOKUP($O120,Impacts!$F$27:$Z$59,17,FALSE)*L120</f>
        <v>81.259841674738155</v>
      </c>
      <c r="R120" s="495">
        <f>VLOOKUP($O120,Impacts!$F$27:$Z$59,19,FALSE)*L120</f>
        <v>96.014908487659383</v>
      </c>
      <c r="S120" s="496">
        <f>VLOOKUP($O120,Impacts!$F$27:$Z$59,20,FALSE)*L120</f>
        <v>15361.028671973187</v>
      </c>
      <c r="T120" s="497">
        <f>VLOOKUP($O120,Impacts!$F$27:$Z$59,21,FALSE)*L120</f>
        <v>202.19236219267833</v>
      </c>
      <c r="U120" s="492"/>
      <c r="V120" s="492" t="str">
        <f t="shared" si="22"/>
        <v>Commercial Showerhead Replacement_Fitness Center_precondition 2_20 to 2_29 gpm_efficient 2_00 gpm_Mail-by-Request_Any Water Heating</v>
      </c>
      <c r="W120" s="492" t="s">
        <v>440</v>
      </c>
      <c r="X120" s="494">
        <f t="shared" si="25"/>
        <v>681.77933105969328</v>
      </c>
      <c r="Y120" s="492">
        <v>10</v>
      </c>
      <c r="Z120" s="498">
        <f t="shared" si="26"/>
        <v>8.1096944444444432</v>
      </c>
      <c r="AA120" s="492"/>
      <c r="AB120" s="499" t="s">
        <v>441</v>
      </c>
      <c r="AC120" s="497">
        <f t="shared" si="27"/>
        <v>202.19236219267833</v>
      </c>
      <c r="AD120" s="492"/>
      <c r="AE120" s="492"/>
      <c r="AF120" s="492"/>
      <c r="AG120" s="492"/>
      <c r="AH120" s="492"/>
      <c r="AI120" s="492"/>
      <c r="AJ120" s="492">
        <f t="shared" si="23"/>
        <v>65.61018746656724</v>
      </c>
      <c r="AK120" s="492" t="s">
        <v>442</v>
      </c>
    </row>
    <row r="121" spans="1:37">
      <c r="A121" s="492">
        <f t="shared" si="24"/>
        <v>103</v>
      </c>
      <c r="B121" s="492">
        <f t="shared" si="29"/>
        <v>4</v>
      </c>
      <c r="C121" s="492">
        <f t="shared" si="29"/>
        <v>3</v>
      </c>
      <c r="D121" s="492">
        <f t="shared" si="29"/>
        <v>2</v>
      </c>
      <c r="E121" s="492">
        <f t="shared" si="16"/>
        <v>1</v>
      </c>
      <c r="F121" s="499" t="s">
        <v>645</v>
      </c>
      <c r="G121" s="499" t="str">
        <f t="shared" si="17"/>
        <v>2_20 to 2_29 gpm</v>
      </c>
      <c r="H121" s="492" t="str">
        <f t="shared" si="18"/>
        <v>Mail-by-Request</v>
      </c>
      <c r="I121" s="492" t="str">
        <f t="shared" si="18"/>
        <v>1_75</v>
      </c>
      <c r="J121" s="492" t="str">
        <f t="shared" si="18"/>
        <v>Electric Water Heating</v>
      </c>
      <c r="K121" s="492" t="str">
        <f t="shared" si="19"/>
        <v>Commercial Showerhead Replacement_Fitness Center_precondition 2_20 to 2_29 gpm_efficient 1_75 gpm_Mail-by-Request_Electric Water Heating</v>
      </c>
      <c r="L121" s="493">
        <f>INDEX(InstallRatesCostAndLifetime!$A$2:$D$6,MATCH(InputForProCost_FitnessCenter!H121,InstallRatesCostAndLifetime!$A$2:$A$6,0),MATCH(InputForProCost_FitnessCenter!I121,InstallRatesCostAndLifetime!$A$2:$D$2,0))</f>
        <v>0.6</v>
      </c>
      <c r="M121" s="493">
        <f t="shared" si="20"/>
        <v>1</v>
      </c>
      <c r="N121" s="492"/>
      <c r="O121" s="492" t="str">
        <f t="shared" si="21"/>
        <v>Fitness Center2_20 to 2_29 gpm1_75</v>
      </c>
      <c r="P121" s="494">
        <f>VLOOKUP($O121,Impacts!$F$27:$Z$59,16,FALSE)</f>
        <v>3761.7732514230047</v>
      </c>
      <c r="Q121" s="494">
        <f>VLOOKUP($O121,Impacts!$F$27:$Z$59,17,FALSE)*L121</f>
        <v>90.288712971931261</v>
      </c>
      <c r="R121" s="495">
        <f>VLOOKUP($O121,Impacts!$F$27:$Z$59,19,FALSE)*L121</f>
        <v>100.65632181282032</v>
      </c>
      <c r="S121" s="496">
        <f>VLOOKUP($O121,Impacts!$F$27:$Z$59,20,FALSE)*L121</f>
        <v>17067.809635525762</v>
      </c>
      <c r="T121" s="497">
        <f>VLOOKUP($O121,Impacts!$F$27:$Z$59,21,FALSE)*L121</f>
        <v>224.65818021408703</v>
      </c>
      <c r="U121" s="492"/>
      <c r="V121" s="492" t="str">
        <f t="shared" si="22"/>
        <v>Commercial Showerhead Replacement_Fitness Center_precondition 2_20 to 2_29 gpm_efficient 1_75 gpm_Mail-by-Request_Electric Water Heating</v>
      </c>
      <c r="W121" s="492" t="s">
        <v>440</v>
      </c>
      <c r="X121" s="494">
        <f t="shared" si="25"/>
        <v>2257.0639508538029</v>
      </c>
      <c r="Y121" s="492">
        <v>10</v>
      </c>
      <c r="Z121" s="498">
        <f t="shared" si="26"/>
        <v>8.1096944444444432</v>
      </c>
      <c r="AA121" s="492"/>
      <c r="AB121" s="499" t="s">
        <v>441</v>
      </c>
      <c r="AC121" s="497">
        <f t="shared" si="27"/>
        <v>224.65818021408703</v>
      </c>
      <c r="AD121" s="492"/>
      <c r="AE121" s="492"/>
      <c r="AF121" s="492"/>
      <c r="AG121" s="492"/>
      <c r="AH121" s="492"/>
      <c r="AI121" s="492"/>
      <c r="AJ121" s="492">
        <f t="shared" si="23"/>
        <v>0</v>
      </c>
      <c r="AK121" s="492" t="s">
        <v>442</v>
      </c>
    </row>
    <row r="122" spans="1:37">
      <c r="A122" s="492">
        <f t="shared" si="24"/>
        <v>104</v>
      </c>
      <c r="B122" s="492">
        <f t="shared" si="29"/>
        <v>4</v>
      </c>
      <c r="C122" s="492">
        <f t="shared" si="29"/>
        <v>3</v>
      </c>
      <c r="D122" s="492">
        <f t="shared" si="29"/>
        <v>2</v>
      </c>
      <c r="E122" s="492">
        <f t="shared" si="16"/>
        <v>2</v>
      </c>
      <c r="F122" s="499" t="s">
        <v>645</v>
      </c>
      <c r="G122" s="499" t="str">
        <f t="shared" si="17"/>
        <v>2_20 to 2_29 gpm</v>
      </c>
      <c r="H122" s="492" t="str">
        <f t="shared" si="18"/>
        <v>Mail-by-Request</v>
      </c>
      <c r="I122" s="492" t="str">
        <f t="shared" si="18"/>
        <v>1_75</v>
      </c>
      <c r="J122" s="492" t="str">
        <f t="shared" si="18"/>
        <v>Gas Water Heating</v>
      </c>
      <c r="K122" s="492" t="str">
        <f t="shared" si="19"/>
        <v>Commercial Showerhead Replacement_Fitness Center_precondition 2_20 to 2_29 gpm_efficient 1_75 gpm_Mail-by-Request_Gas Water Heating</v>
      </c>
      <c r="L122" s="493">
        <f>INDEX(InstallRatesCostAndLifetime!$A$2:$D$6,MATCH(InputForProCost_FitnessCenter!H122,InstallRatesCostAndLifetime!$A$2:$A$6,0),MATCH(InputForProCost_FitnessCenter!I122,InstallRatesCostAndLifetime!$A$2:$D$2,0))</f>
        <v>0.6</v>
      </c>
      <c r="M122" s="493">
        <f t="shared" si="20"/>
        <v>0</v>
      </c>
      <c r="N122" s="492"/>
      <c r="O122" s="492" t="str">
        <f t="shared" si="21"/>
        <v>Fitness Center2_20 to 2_29 gpm1_75</v>
      </c>
      <c r="P122" s="494">
        <f>VLOOKUP($O122,Impacts!$F$27:$Z$59,16,FALSE)</f>
        <v>3761.7732514230047</v>
      </c>
      <c r="Q122" s="494">
        <f>VLOOKUP($O122,Impacts!$F$27:$Z$59,17,FALSE)*L122</f>
        <v>90.288712971931261</v>
      </c>
      <c r="R122" s="495">
        <f>VLOOKUP($O122,Impacts!$F$27:$Z$59,19,FALSE)*L122</f>
        <v>100.65632181282032</v>
      </c>
      <c r="S122" s="496">
        <f>VLOOKUP($O122,Impacts!$F$27:$Z$59,20,FALSE)*L122</f>
        <v>17067.809635525762</v>
      </c>
      <c r="T122" s="497">
        <f>VLOOKUP($O122,Impacts!$F$27:$Z$59,21,FALSE)*L122</f>
        <v>224.65818021408703</v>
      </c>
      <c r="U122" s="492"/>
      <c r="V122" s="492" t="str">
        <f t="shared" si="22"/>
        <v>Commercial Showerhead Replacement_Fitness Center_precondition 2_20 to 2_29 gpm_efficient 1_75 gpm_Mail-by-Request_Gas Water Heating</v>
      </c>
      <c r="W122" s="492" t="s">
        <v>440</v>
      </c>
      <c r="X122" s="494">
        <f t="shared" si="25"/>
        <v>0</v>
      </c>
      <c r="Y122" s="492">
        <v>10</v>
      </c>
      <c r="Z122" s="498">
        <f t="shared" si="26"/>
        <v>8.1096944444444432</v>
      </c>
      <c r="AA122" s="492"/>
      <c r="AB122" s="499" t="s">
        <v>441</v>
      </c>
      <c r="AC122" s="497">
        <f t="shared" si="27"/>
        <v>224.65818021408703</v>
      </c>
      <c r="AD122" s="492"/>
      <c r="AE122" s="492"/>
      <c r="AF122" s="492"/>
      <c r="AG122" s="492"/>
      <c r="AH122" s="492"/>
      <c r="AI122" s="492"/>
      <c r="AJ122" s="492">
        <f t="shared" si="23"/>
        <v>100.65632181282032</v>
      </c>
      <c r="AK122" s="492" t="s">
        <v>442</v>
      </c>
    </row>
    <row r="123" spans="1:37">
      <c r="A123" s="492">
        <f t="shared" si="24"/>
        <v>105</v>
      </c>
      <c r="B123" s="492">
        <f t="shared" si="29"/>
        <v>4</v>
      </c>
      <c r="C123" s="492">
        <f t="shared" si="29"/>
        <v>3</v>
      </c>
      <c r="D123" s="492">
        <f t="shared" si="29"/>
        <v>2</v>
      </c>
      <c r="E123" s="492">
        <f t="shared" si="16"/>
        <v>3</v>
      </c>
      <c r="F123" s="499" t="s">
        <v>645</v>
      </c>
      <c r="G123" s="499" t="str">
        <f t="shared" si="17"/>
        <v>2_20 to 2_29 gpm</v>
      </c>
      <c r="H123" s="492" t="str">
        <f t="shared" si="18"/>
        <v>Mail-by-Request</v>
      </c>
      <c r="I123" s="492" t="str">
        <f t="shared" si="18"/>
        <v>1_75</v>
      </c>
      <c r="J123" s="492" t="str">
        <f t="shared" si="18"/>
        <v>Any Water Heating</v>
      </c>
      <c r="K123" s="492" t="str">
        <f t="shared" si="19"/>
        <v>Commercial Showerhead Replacement_Fitness Center_precondition 2_20 to 2_29 gpm_efficient 1_75 gpm_Mail-by-Request_Any Water Heating</v>
      </c>
      <c r="L123" s="493">
        <f>INDEX(InstallRatesCostAndLifetime!$A$2:$D$6,MATCH(InputForProCost_FitnessCenter!H123,InstallRatesCostAndLifetime!$A$2:$A$6,0),MATCH(InputForProCost_FitnessCenter!I123,InstallRatesCostAndLifetime!$A$2:$D$2,0))</f>
        <v>0.6</v>
      </c>
      <c r="M123" s="493">
        <f t="shared" si="20"/>
        <v>0.31666666666666665</v>
      </c>
      <c r="N123" s="492"/>
      <c r="O123" s="492" t="str">
        <f t="shared" si="21"/>
        <v>Fitness Center2_20 to 2_29 gpm1_75</v>
      </c>
      <c r="P123" s="494">
        <f>VLOOKUP($O123,Impacts!$F$27:$Z$59,16,FALSE)</f>
        <v>3761.7732514230047</v>
      </c>
      <c r="Q123" s="494">
        <f>VLOOKUP($O123,Impacts!$F$27:$Z$59,17,FALSE)*L123</f>
        <v>90.288712971931261</v>
      </c>
      <c r="R123" s="495">
        <f>VLOOKUP($O123,Impacts!$F$27:$Z$59,19,FALSE)*L123</f>
        <v>100.65632181282032</v>
      </c>
      <c r="S123" s="496">
        <f>VLOOKUP($O123,Impacts!$F$27:$Z$59,20,FALSE)*L123</f>
        <v>17067.809635525762</v>
      </c>
      <c r="T123" s="497">
        <f>VLOOKUP($O123,Impacts!$F$27:$Z$59,21,FALSE)*L123</f>
        <v>224.65818021408703</v>
      </c>
      <c r="U123" s="492"/>
      <c r="V123" s="492" t="str">
        <f t="shared" si="22"/>
        <v>Commercial Showerhead Replacement_Fitness Center_precondition 2_20 to 2_29 gpm_efficient 1_75 gpm_Mail-by-Request_Any Water Heating</v>
      </c>
      <c r="W123" s="492" t="s">
        <v>440</v>
      </c>
      <c r="X123" s="494">
        <f t="shared" si="25"/>
        <v>714.73691777037072</v>
      </c>
      <c r="Y123" s="492">
        <v>10</v>
      </c>
      <c r="Z123" s="498">
        <f t="shared" si="26"/>
        <v>8.1096944444444432</v>
      </c>
      <c r="AA123" s="492"/>
      <c r="AB123" s="499" t="s">
        <v>441</v>
      </c>
      <c r="AC123" s="497">
        <f t="shared" si="27"/>
        <v>224.65818021408703</v>
      </c>
      <c r="AD123" s="492"/>
      <c r="AE123" s="492"/>
      <c r="AF123" s="492"/>
      <c r="AG123" s="492"/>
      <c r="AH123" s="492"/>
      <c r="AI123" s="492"/>
      <c r="AJ123" s="492">
        <f t="shared" si="23"/>
        <v>68.781819905427227</v>
      </c>
      <c r="AK123" s="492" t="s">
        <v>442</v>
      </c>
    </row>
    <row r="124" spans="1:37">
      <c r="A124" s="492">
        <f t="shared" si="24"/>
        <v>106</v>
      </c>
      <c r="B124" s="492">
        <f t="shared" si="29"/>
        <v>4</v>
      </c>
      <c r="C124" s="492">
        <f t="shared" si="29"/>
        <v>3</v>
      </c>
      <c r="D124" s="492">
        <f t="shared" si="29"/>
        <v>3</v>
      </c>
      <c r="E124" s="492">
        <f t="shared" si="16"/>
        <v>1</v>
      </c>
      <c r="F124" s="499" t="s">
        <v>645</v>
      </c>
      <c r="G124" s="499" t="str">
        <f t="shared" si="17"/>
        <v>2_20 to 2_29 gpm</v>
      </c>
      <c r="H124" s="492" t="str">
        <f t="shared" si="18"/>
        <v>Mail-by-Request</v>
      </c>
      <c r="I124" s="492" t="str">
        <f t="shared" si="18"/>
        <v>1_50</v>
      </c>
      <c r="J124" s="492" t="str">
        <f t="shared" si="18"/>
        <v>Electric Water Heating</v>
      </c>
      <c r="K124" s="492" t="str">
        <f t="shared" si="19"/>
        <v>Commercial Showerhead Replacement_Fitness Center_precondition 2_20 to 2_29 gpm_efficient 1_50 gpm_Mail-by-Request_Electric Water Heating</v>
      </c>
      <c r="L124" s="493">
        <f>INDEX(InstallRatesCostAndLifetime!$A$2:$D$6,MATCH(InputForProCost_FitnessCenter!H124,InstallRatesCostAndLifetime!$A$2:$A$6,0),MATCH(InputForProCost_FitnessCenter!I124,InstallRatesCostAndLifetime!$A$2:$D$2,0))</f>
        <v>0.6</v>
      </c>
      <c r="M124" s="493">
        <f t="shared" si="20"/>
        <v>1</v>
      </c>
      <c r="N124" s="492"/>
      <c r="O124" s="492" t="str">
        <f t="shared" si="21"/>
        <v>Fitness Center2_20 to 2_29 gpm1_50</v>
      </c>
      <c r="P124" s="494">
        <f>VLOOKUP($O124,Impacts!$F$27:$Z$59,16,FALSE)</f>
        <v>5561.1073255723422</v>
      </c>
      <c r="Q124" s="494">
        <f>VLOOKUP($O124,Impacts!$F$27:$Z$59,17,FALSE)*L124</f>
        <v>135.43306945789689</v>
      </c>
      <c r="R124" s="495">
        <f>VLOOKUP($O124,Impacts!$F$27:$Z$59,19,FALSE)*L124</f>
        <v>148.80232570814735</v>
      </c>
      <c r="S124" s="496">
        <f>VLOOKUP($O124,Impacts!$F$27:$Z$59,20,FALSE)*L124</f>
        <v>25601.714453288641</v>
      </c>
      <c r="T124" s="497">
        <f>VLOOKUP($O124,Impacts!$F$27:$Z$59,21,FALSE)*L124</f>
        <v>336.9872703211305</v>
      </c>
      <c r="U124" s="492"/>
      <c r="V124" s="492" t="str">
        <f t="shared" si="22"/>
        <v>Commercial Showerhead Replacement_Fitness Center_precondition 2_20 to 2_29 gpm_efficient 1_50 gpm_Mail-by-Request_Electric Water Heating</v>
      </c>
      <c r="W124" s="492" t="s">
        <v>440</v>
      </c>
      <c r="X124" s="494">
        <f t="shared" si="25"/>
        <v>3336.6643953434054</v>
      </c>
      <c r="Y124" s="492">
        <v>10</v>
      </c>
      <c r="Z124" s="498">
        <f t="shared" si="26"/>
        <v>8.1096944444444432</v>
      </c>
      <c r="AA124" s="492"/>
      <c r="AB124" s="499" t="s">
        <v>441</v>
      </c>
      <c r="AC124" s="497">
        <f t="shared" si="27"/>
        <v>336.9872703211305</v>
      </c>
      <c r="AD124" s="492"/>
      <c r="AE124" s="492"/>
      <c r="AF124" s="492"/>
      <c r="AG124" s="492"/>
      <c r="AH124" s="492"/>
      <c r="AI124" s="492"/>
      <c r="AJ124" s="492">
        <f t="shared" si="23"/>
        <v>0</v>
      </c>
      <c r="AK124" s="492" t="s">
        <v>442</v>
      </c>
    </row>
    <row r="125" spans="1:37">
      <c r="A125" s="492">
        <f t="shared" si="24"/>
        <v>107</v>
      </c>
      <c r="B125" s="492">
        <f t="shared" si="29"/>
        <v>4</v>
      </c>
      <c r="C125" s="492">
        <f t="shared" si="29"/>
        <v>3</v>
      </c>
      <c r="D125" s="492">
        <f t="shared" si="29"/>
        <v>3</v>
      </c>
      <c r="E125" s="492">
        <f t="shared" si="16"/>
        <v>2</v>
      </c>
      <c r="F125" s="499" t="s">
        <v>645</v>
      </c>
      <c r="G125" s="499" t="str">
        <f t="shared" si="17"/>
        <v>2_20 to 2_29 gpm</v>
      </c>
      <c r="H125" s="492" t="str">
        <f t="shared" si="18"/>
        <v>Mail-by-Request</v>
      </c>
      <c r="I125" s="492" t="str">
        <f t="shared" si="18"/>
        <v>1_50</v>
      </c>
      <c r="J125" s="492" t="str">
        <f t="shared" si="18"/>
        <v>Gas Water Heating</v>
      </c>
      <c r="K125" s="492" t="str">
        <f t="shared" si="19"/>
        <v>Commercial Showerhead Replacement_Fitness Center_precondition 2_20 to 2_29 gpm_efficient 1_50 gpm_Mail-by-Request_Gas Water Heating</v>
      </c>
      <c r="L125" s="493">
        <f>INDEX(InstallRatesCostAndLifetime!$A$2:$D$6,MATCH(InputForProCost_FitnessCenter!H125,InstallRatesCostAndLifetime!$A$2:$A$6,0),MATCH(InputForProCost_FitnessCenter!I125,InstallRatesCostAndLifetime!$A$2:$D$2,0))</f>
        <v>0.6</v>
      </c>
      <c r="M125" s="493">
        <f t="shared" si="20"/>
        <v>0</v>
      </c>
      <c r="N125" s="492"/>
      <c r="O125" s="492" t="str">
        <f t="shared" si="21"/>
        <v>Fitness Center2_20 to 2_29 gpm1_50</v>
      </c>
      <c r="P125" s="494">
        <f>VLOOKUP($O125,Impacts!$F$27:$Z$59,16,FALSE)</f>
        <v>5561.1073255723422</v>
      </c>
      <c r="Q125" s="494">
        <f>VLOOKUP($O125,Impacts!$F$27:$Z$59,17,FALSE)*L125</f>
        <v>135.43306945789689</v>
      </c>
      <c r="R125" s="495">
        <f>VLOOKUP($O125,Impacts!$F$27:$Z$59,19,FALSE)*L125</f>
        <v>148.80232570814735</v>
      </c>
      <c r="S125" s="496">
        <f>VLOOKUP($O125,Impacts!$F$27:$Z$59,20,FALSE)*L125</f>
        <v>25601.714453288641</v>
      </c>
      <c r="T125" s="497">
        <f>VLOOKUP($O125,Impacts!$F$27:$Z$59,21,FALSE)*L125</f>
        <v>336.9872703211305</v>
      </c>
      <c r="U125" s="492"/>
      <c r="V125" s="492" t="str">
        <f t="shared" si="22"/>
        <v>Commercial Showerhead Replacement_Fitness Center_precondition 2_20 to 2_29 gpm_efficient 1_50 gpm_Mail-by-Request_Gas Water Heating</v>
      </c>
      <c r="W125" s="492" t="s">
        <v>440</v>
      </c>
      <c r="X125" s="494">
        <f t="shared" si="25"/>
        <v>0</v>
      </c>
      <c r="Y125" s="492">
        <v>10</v>
      </c>
      <c r="Z125" s="498">
        <f t="shared" si="26"/>
        <v>8.1096944444444432</v>
      </c>
      <c r="AA125" s="492"/>
      <c r="AB125" s="499" t="s">
        <v>441</v>
      </c>
      <c r="AC125" s="497">
        <f t="shared" si="27"/>
        <v>336.9872703211305</v>
      </c>
      <c r="AD125" s="492"/>
      <c r="AE125" s="492"/>
      <c r="AF125" s="492"/>
      <c r="AG125" s="492"/>
      <c r="AH125" s="492"/>
      <c r="AI125" s="492"/>
      <c r="AJ125" s="492">
        <f t="shared" si="23"/>
        <v>148.80232570814735</v>
      </c>
      <c r="AK125" s="492" t="s">
        <v>442</v>
      </c>
    </row>
    <row r="126" spans="1:37">
      <c r="A126" s="492">
        <f t="shared" si="24"/>
        <v>108</v>
      </c>
      <c r="B126" s="492">
        <f t="shared" si="29"/>
        <v>4</v>
      </c>
      <c r="C126" s="492">
        <f t="shared" si="29"/>
        <v>3</v>
      </c>
      <c r="D126" s="492">
        <f t="shared" si="29"/>
        <v>3</v>
      </c>
      <c r="E126" s="492">
        <f t="shared" si="16"/>
        <v>3</v>
      </c>
      <c r="F126" s="499" t="s">
        <v>645</v>
      </c>
      <c r="G126" s="499" t="str">
        <f t="shared" si="17"/>
        <v>2_20 to 2_29 gpm</v>
      </c>
      <c r="H126" s="492" t="str">
        <f t="shared" si="18"/>
        <v>Mail-by-Request</v>
      </c>
      <c r="I126" s="492" t="str">
        <f t="shared" si="18"/>
        <v>1_50</v>
      </c>
      <c r="J126" s="492" t="str">
        <f t="shared" si="18"/>
        <v>Any Water Heating</v>
      </c>
      <c r="K126" s="492" t="str">
        <f t="shared" si="19"/>
        <v>Commercial Showerhead Replacement_Fitness Center_precondition 2_20 to 2_29 gpm_efficient 1_50 gpm_Mail-by-Request_Any Water Heating</v>
      </c>
      <c r="L126" s="493">
        <f>INDEX(InstallRatesCostAndLifetime!$A$2:$D$6,MATCH(InputForProCost_FitnessCenter!H126,InstallRatesCostAndLifetime!$A$2:$A$6,0),MATCH(InputForProCost_FitnessCenter!I126,InstallRatesCostAndLifetime!$A$2:$D$2,0))</f>
        <v>0.6</v>
      </c>
      <c r="M126" s="493">
        <f t="shared" si="20"/>
        <v>0.31666666666666665</v>
      </c>
      <c r="N126" s="492"/>
      <c r="O126" s="492" t="str">
        <f t="shared" si="21"/>
        <v>Fitness Center2_20 to 2_29 gpm1_50</v>
      </c>
      <c r="P126" s="494">
        <f>VLOOKUP($O126,Impacts!$F$27:$Z$59,16,FALSE)</f>
        <v>5561.1073255723422</v>
      </c>
      <c r="Q126" s="494">
        <f>VLOOKUP($O126,Impacts!$F$27:$Z$59,17,FALSE)*L126</f>
        <v>135.43306945789689</v>
      </c>
      <c r="R126" s="495">
        <f>VLOOKUP($O126,Impacts!$F$27:$Z$59,19,FALSE)*L126</f>
        <v>148.80232570814735</v>
      </c>
      <c r="S126" s="496">
        <f>VLOOKUP($O126,Impacts!$F$27:$Z$59,20,FALSE)*L126</f>
        <v>25601.714453288641</v>
      </c>
      <c r="T126" s="497">
        <f>VLOOKUP($O126,Impacts!$F$27:$Z$59,21,FALSE)*L126</f>
        <v>336.9872703211305</v>
      </c>
      <c r="U126" s="492"/>
      <c r="V126" s="492" t="str">
        <f t="shared" si="22"/>
        <v>Commercial Showerhead Replacement_Fitness Center_precondition 2_20 to 2_29 gpm_efficient 1_50 gpm_Mail-by-Request_Any Water Heating</v>
      </c>
      <c r="W126" s="492" t="s">
        <v>440</v>
      </c>
      <c r="X126" s="494">
        <f t="shared" si="25"/>
        <v>1056.6103918587448</v>
      </c>
      <c r="Y126" s="492">
        <v>10</v>
      </c>
      <c r="Z126" s="498">
        <f t="shared" si="26"/>
        <v>8.1096944444444432</v>
      </c>
      <c r="AA126" s="492"/>
      <c r="AB126" s="499" t="s">
        <v>441</v>
      </c>
      <c r="AC126" s="497">
        <f t="shared" si="27"/>
        <v>336.9872703211305</v>
      </c>
      <c r="AD126" s="492"/>
      <c r="AE126" s="492"/>
      <c r="AF126" s="492"/>
      <c r="AG126" s="492"/>
      <c r="AH126" s="492"/>
      <c r="AI126" s="492"/>
      <c r="AJ126" s="492">
        <f t="shared" si="23"/>
        <v>101.6815892339007</v>
      </c>
      <c r="AK126" s="492" t="s">
        <v>442</v>
      </c>
    </row>
    <row r="127" spans="1:37">
      <c r="A127" s="492">
        <f t="shared" si="24"/>
        <v>109</v>
      </c>
      <c r="B127" s="492">
        <f t="shared" si="29"/>
        <v>5</v>
      </c>
      <c r="C127" s="492">
        <f t="shared" si="29"/>
        <v>1</v>
      </c>
      <c r="D127" s="492">
        <f t="shared" si="29"/>
        <v>1</v>
      </c>
      <c r="E127" s="492">
        <f t="shared" si="16"/>
        <v>1</v>
      </c>
      <c r="F127" s="499" t="s">
        <v>645</v>
      </c>
      <c r="G127" s="499" t="str">
        <f t="shared" si="17"/>
        <v>2_10 to 2_19 gpm</v>
      </c>
      <c r="H127" s="492" t="str">
        <f t="shared" si="18"/>
        <v>Retail</v>
      </c>
      <c r="I127" s="492" t="str">
        <f t="shared" si="18"/>
        <v>2_00</v>
      </c>
      <c r="J127" s="492" t="str">
        <f t="shared" si="18"/>
        <v>Electric Water Heating</v>
      </c>
      <c r="K127" s="492" t="str">
        <f t="shared" si="19"/>
        <v>Commercial Showerhead Replacement_Fitness Center_precondition 2_10 to 2_19 gpm_efficient 2_00 gpm_Retail_Electric Water Heating</v>
      </c>
      <c r="L127" s="493">
        <f>INDEX(InstallRatesCostAndLifetime!$A$2:$D$6,MATCH(InputForProCost_FitnessCenter!H127,InstallRatesCostAndLifetime!$A$2:$A$6,0),MATCH(InputForProCost_FitnessCenter!I127,InstallRatesCostAndLifetime!$A$2:$D$2,0))</f>
        <v>0.8</v>
      </c>
      <c r="M127" s="493">
        <f t="shared" si="20"/>
        <v>1</v>
      </c>
      <c r="N127" s="492"/>
      <c r="O127" s="492" t="str">
        <f t="shared" si="21"/>
        <v>Fitness Center2_10 to 2_19 gpm2_00</v>
      </c>
      <c r="P127" s="494">
        <f>VLOOKUP($O127,Impacts!$F$27:$Z$59,16,FALSE)</f>
        <v>2803.3365978257589</v>
      </c>
      <c r="Q127" s="494">
        <f>VLOOKUP($O127,Impacts!$F$27:$Z$59,17,FALSE)*L127</f>
        <v>84.269465440469162</v>
      </c>
      <c r="R127" s="495">
        <f>VLOOKUP($O127,Impacts!$F$27:$Z$59,19,FALSE)*L127</f>
        <v>100.01437509421604</v>
      </c>
      <c r="S127" s="496">
        <f>VLOOKUP($O127,Impacts!$F$27:$Z$59,20,FALSE)*L127</f>
        <v>15929.95565982404</v>
      </c>
      <c r="T127" s="497">
        <f>VLOOKUP($O127,Impacts!$F$27:$Z$59,21,FALSE)*L127</f>
        <v>209.68096819981449</v>
      </c>
      <c r="U127" s="492"/>
      <c r="V127" s="492" t="str">
        <f t="shared" si="22"/>
        <v>Commercial Showerhead Replacement_Fitness Center_precondition 2_10 to 2_19 gpm_efficient 2_00 gpm_Retail_Electric Water Heating</v>
      </c>
      <c r="W127" s="492" t="s">
        <v>440</v>
      </c>
      <c r="X127" s="494">
        <f t="shared" si="25"/>
        <v>2242.6692782606074</v>
      </c>
      <c r="Y127" s="492">
        <v>10</v>
      </c>
      <c r="Z127" s="498">
        <f t="shared" si="26"/>
        <v>3.2966774171383419</v>
      </c>
      <c r="AA127" s="492"/>
      <c r="AB127" s="499" t="s">
        <v>441</v>
      </c>
      <c r="AC127" s="497">
        <f t="shared" si="27"/>
        <v>209.68096819981449</v>
      </c>
      <c r="AD127" s="492"/>
      <c r="AE127" s="492"/>
      <c r="AF127" s="492"/>
      <c r="AG127" s="492"/>
      <c r="AH127" s="492"/>
      <c r="AI127" s="492"/>
      <c r="AJ127" s="492">
        <f t="shared" si="23"/>
        <v>0</v>
      </c>
      <c r="AK127" s="492" t="s">
        <v>442</v>
      </c>
    </row>
    <row r="128" spans="1:37">
      <c r="A128" s="492">
        <f t="shared" si="24"/>
        <v>110</v>
      </c>
      <c r="B128" s="492">
        <f t="shared" si="29"/>
        <v>5</v>
      </c>
      <c r="C128" s="492">
        <f t="shared" si="29"/>
        <v>1</v>
      </c>
      <c r="D128" s="492">
        <f t="shared" si="29"/>
        <v>1</v>
      </c>
      <c r="E128" s="492">
        <f t="shared" si="16"/>
        <v>2</v>
      </c>
      <c r="F128" s="499" t="s">
        <v>645</v>
      </c>
      <c r="G128" s="499" t="str">
        <f t="shared" si="17"/>
        <v>2_10 to 2_19 gpm</v>
      </c>
      <c r="H128" s="492" t="str">
        <f t="shared" si="18"/>
        <v>Retail</v>
      </c>
      <c r="I128" s="492" t="str">
        <f t="shared" si="18"/>
        <v>2_00</v>
      </c>
      <c r="J128" s="492" t="str">
        <f t="shared" si="18"/>
        <v>Gas Water Heating</v>
      </c>
      <c r="K128" s="492" t="str">
        <f t="shared" si="19"/>
        <v>Commercial Showerhead Replacement_Fitness Center_precondition 2_10 to 2_19 gpm_efficient 2_00 gpm_Retail_Gas Water Heating</v>
      </c>
      <c r="L128" s="493">
        <f>INDEX(InstallRatesCostAndLifetime!$A$2:$D$6,MATCH(InputForProCost_FitnessCenter!H128,InstallRatesCostAndLifetime!$A$2:$A$6,0),MATCH(InputForProCost_FitnessCenter!I128,InstallRatesCostAndLifetime!$A$2:$D$2,0))</f>
        <v>0.8</v>
      </c>
      <c r="M128" s="493">
        <f t="shared" si="20"/>
        <v>0</v>
      </c>
      <c r="N128" s="492"/>
      <c r="O128" s="492" t="str">
        <f t="shared" si="21"/>
        <v>Fitness Center2_10 to 2_19 gpm2_00</v>
      </c>
      <c r="P128" s="494">
        <f>VLOOKUP($O128,Impacts!$F$27:$Z$59,16,FALSE)</f>
        <v>2803.3365978257589</v>
      </c>
      <c r="Q128" s="494">
        <f>VLOOKUP($O128,Impacts!$F$27:$Z$59,17,FALSE)*L128</f>
        <v>84.269465440469162</v>
      </c>
      <c r="R128" s="495">
        <f>VLOOKUP($O128,Impacts!$F$27:$Z$59,19,FALSE)*L128</f>
        <v>100.01437509421604</v>
      </c>
      <c r="S128" s="496">
        <f>VLOOKUP($O128,Impacts!$F$27:$Z$59,20,FALSE)*L128</f>
        <v>15929.95565982404</v>
      </c>
      <c r="T128" s="497">
        <f>VLOOKUP($O128,Impacts!$F$27:$Z$59,21,FALSE)*L128</f>
        <v>209.68096819981449</v>
      </c>
      <c r="U128" s="492"/>
      <c r="V128" s="492" t="str">
        <f t="shared" si="22"/>
        <v>Commercial Showerhead Replacement_Fitness Center_precondition 2_10 to 2_19 gpm_efficient 2_00 gpm_Retail_Gas Water Heating</v>
      </c>
      <c r="W128" s="492" t="s">
        <v>440</v>
      </c>
      <c r="X128" s="494">
        <f t="shared" si="25"/>
        <v>0</v>
      </c>
      <c r="Y128" s="492">
        <v>10</v>
      </c>
      <c r="Z128" s="498">
        <f t="shared" si="26"/>
        <v>3.2966774171383419</v>
      </c>
      <c r="AA128" s="492"/>
      <c r="AB128" s="499" t="s">
        <v>441</v>
      </c>
      <c r="AC128" s="497">
        <f t="shared" si="27"/>
        <v>209.68096819981449</v>
      </c>
      <c r="AD128" s="492"/>
      <c r="AE128" s="492"/>
      <c r="AF128" s="492"/>
      <c r="AG128" s="492"/>
      <c r="AH128" s="492"/>
      <c r="AI128" s="492"/>
      <c r="AJ128" s="492">
        <f t="shared" si="23"/>
        <v>100.01437509421604</v>
      </c>
      <c r="AK128" s="492" t="s">
        <v>442</v>
      </c>
    </row>
    <row r="129" spans="1:37">
      <c r="A129" s="492">
        <f t="shared" si="24"/>
        <v>111</v>
      </c>
      <c r="B129" s="492">
        <f t="shared" si="29"/>
        <v>5</v>
      </c>
      <c r="C129" s="492">
        <f t="shared" si="29"/>
        <v>1</v>
      </c>
      <c r="D129" s="492">
        <f t="shared" si="29"/>
        <v>1</v>
      </c>
      <c r="E129" s="492">
        <f t="shared" si="16"/>
        <v>3</v>
      </c>
      <c r="F129" s="499" t="s">
        <v>645</v>
      </c>
      <c r="G129" s="499" t="str">
        <f t="shared" si="17"/>
        <v>2_10 to 2_19 gpm</v>
      </c>
      <c r="H129" s="492" t="str">
        <f t="shared" si="18"/>
        <v>Retail</v>
      </c>
      <c r="I129" s="492" t="str">
        <f t="shared" si="18"/>
        <v>2_00</v>
      </c>
      <c r="J129" s="492" t="str">
        <f t="shared" si="18"/>
        <v>Any Water Heating</v>
      </c>
      <c r="K129" s="492" t="str">
        <f t="shared" si="19"/>
        <v>Commercial Showerhead Replacement_Fitness Center_precondition 2_10 to 2_19 gpm_efficient 2_00 gpm_Retail_Any Water Heating</v>
      </c>
      <c r="L129" s="493">
        <f>INDEX(InstallRatesCostAndLifetime!$A$2:$D$6,MATCH(InputForProCost_FitnessCenter!H129,InstallRatesCostAndLifetime!$A$2:$A$6,0),MATCH(InputForProCost_FitnessCenter!I129,InstallRatesCostAndLifetime!$A$2:$D$2,0))</f>
        <v>0.8</v>
      </c>
      <c r="M129" s="493">
        <f t="shared" si="20"/>
        <v>0.31666666666666665</v>
      </c>
      <c r="N129" s="492"/>
      <c r="O129" s="492" t="str">
        <f t="shared" si="21"/>
        <v>Fitness Center2_10 to 2_19 gpm2_00</v>
      </c>
      <c r="P129" s="494">
        <f>VLOOKUP($O129,Impacts!$F$27:$Z$59,16,FALSE)</f>
        <v>2803.3365978257589</v>
      </c>
      <c r="Q129" s="494">
        <f>VLOOKUP($O129,Impacts!$F$27:$Z$59,17,FALSE)*L129</f>
        <v>84.269465440469162</v>
      </c>
      <c r="R129" s="495">
        <f>VLOOKUP($O129,Impacts!$F$27:$Z$59,19,FALSE)*L129</f>
        <v>100.01437509421604</v>
      </c>
      <c r="S129" s="496">
        <f>VLOOKUP($O129,Impacts!$F$27:$Z$59,20,FALSE)*L129</f>
        <v>15929.95565982404</v>
      </c>
      <c r="T129" s="497">
        <f>VLOOKUP($O129,Impacts!$F$27:$Z$59,21,FALSE)*L129</f>
        <v>209.68096819981449</v>
      </c>
      <c r="U129" s="492"/>
      <c r="V129" s="492" t="str">
        <f t="shared" si="22"/>
        <v>Commercial Showerhead Replacement_Fitness Center_precondition 2_10 to 2_19 gpm_efficient 2_00 gpm_Retail_Any Water Heating</v>
      </c>
      <c r="W129" s="492" t="s">
        <v>440</v>
      </c>
      <c r="X129" s="494">
        <f t="shared" si="25"/>
        <v>710.17860478252555</v>
      </c>
      <c r="Y129" s="492">
        <v>10</v>
      </c>
      <c r="Z129" s="498">
        <f t="shared" si="26"/>
        <v>3.2966774171383419</v>
      </c>
      <c r="AA129" s="492"/>
      <c r="AB129" s="499" t="s">
        <v>441</v>
      </c>
      <c r="AC129" s="497">
        <f t="shared" si="27"/>
        <v>209.68096819981449</v>
      </c>
      <c r="AD129" s="492"/>
      <c r="AE129" s="492"/>
      <c r="AF129" s="492"/>
      <c r="AG129" s="492"/>
      <c r="AH129" s="492"/>
      <c r="AI129" s="492"/>
      <c r="AJ129" s="492">
        <f t="shared" si="23"/>
        <v>68.343156314380963</v>
      </c>
      <c r="AK129" s="492" t="s">
        <v>442</v>
      </c>
    </row>
    <row r="130" spans="1:37">
      <c r="A130" s="492">
        <f t="shared" si="24"/>
        <v>112</v>
      </c>
      <c r="B130" s="492">
        <f t="shared" si="29"/>
        <v>5</v>
      </c>
      <c r="C130" s="492">
        <f t="shared" si="29"/>
        <v>1</v>
      </c>
      <c r="D130" s="492">
        <f t="shared" si="29"/>
        <v>2</v>
      </c>
      <c r="E130" s="492">
        <f t="shared" si="16"/>
        <v>1</v>
      </c>
      <c r="F130" s="499" t="s">
        <v>645</v>
      </c>
      <c r="G130" s="499" t="str">
        <f t="shared" si="17"/>
        <v>2_10 to 2_19 gpm</v>
      </c>
      <c r="H130" s="492" t="str">
        <f t="shared" si="18"/>
        <v>Retail</v>
      </c>
      <c r="I130" s="492" t="str">
        <f t="shared" si="18"/>
        <v>1_75</v>
      </c>
      <c r="J130" s="492" t="str">
        <f t="shared" si="18"/>
        <v>Electric Water Heating</v>
      </c>
      <c r="K130" s="492" t="str">
        <f t="shared" si="19"/>
        <v>Commercial Showerhead Replacement_Fitness Center_precondition 2_10 to 2_19 gpm_efficient 1_75 gpm_Retail_Electric Water Heating</v>
      </c>
      <c r="L130" s="493">
        <f>INDEX(InstallRatesCostAndLifetime!$A$2:$D$6,MATCH(InputForProCost_FitnessCenter!H130,InstallRatesCostAndLifetime!$A$2:$A$6,0),MATCH(InputForProCost_FitnessCenter!I130,InstallRatesCostAndLifetime!$A$2:$D$2,0))</f>
        <v>0.75</v>
      </c>
      <c r="M130" s="493">
        <f t="shared" si="20"/>
        <v>1</v>
      </c>
      <c r="N130" s="492"/>
      <c r="O130" s="492" t="str">
        <f t="shared" si="21"/>
        <v>Fitness Center2_10 to 2_19 gpm1_75</v>
      </c>
      <c r="P130" s="494">
        <f>VLOOKUP($O130,Impacts!$F$27:$Z$59,16,FALSE)</f>
        <v>2976.7975805135356</v>
      </c>
      <c r="Q130" s="494">
        <f>VLOOKUP($O130,Impacts!$F$27:$Z$59,17,FALSE)*L130</f>
        <v>90.288712971931247</v>
      </c>
      <c r="R130" s="495">
        <f>VLOOKUP($O130,Impacts!$F$27:$Z$59,19,FALSE)*L130</f>
        <v>99.565243307278706</v>
      </c>
      <c r="S130" s="496">
        <f>VLOOKUP($O130,Impacts!$F$27:$Z$59,20,FALSE)*L130</f>
        <v>17067.809635525755</v>
      </c>
      <c r="T130" s="497">
        <f>VLOOKUP($O130,Impacts!$F$27:$Z$59,21,FALSE)*L130</f>
        <v>224.65818021408694</v>
      </c>
      <c r="U130" s="492"/>
      <c r="V130" s="492" t="str">
        <f t="shared" si="22"/>
        <v>Commercial Showerhead Replacement_Fitness Center_precondition 2_10 to 2_19 gpm_efficient 1_75 gpm_Retail_Electric Water Heating</v>
      </c>
      <c r="W130" s="492" t="s">
        <v>440</v>
      </c>
      <c r="X130" s="494">
        <f t="shared" si="25"/>
        <v>2232.5981853851517</v>
      </c>
      <c r="Y130" s="492">
        <v>10</v>
      </c>
      <c r="Z130" s="498">
        <f t="shared" si="26"/>
        <v>3.2966774171383419</v>
      </c>
      <c r="AA130" s="492"/>
      <c r="AB130" s="499" t="s">
        <v>441</v>
      </c>
      <c r="AC130" s="497">
        <f t="shared" si="27"/>
        <v>224.65818021408694</v>
      </c>
      <c r="AD130" s="492"/>
      <c r="AE130" s="492"/>
      <c r="AF130" s="492"/>
      <c r="AG130" s="492"/>
      <c r="AH130" s="492"/>
      <c r="AI130" s="492"/>
      <c r="AJ130" s="492">
        <f t="shared" si="23"/>
        <v>0</v>
      </c>
      <c r="AK130" s="492" t="s">
        <v>442</v>
      </c>
    </row>
    <row r="131" spans="1:37">
      <c r="A131" s="492">
        <f t="shared" si="24"/>
        <v>113</v>
      </c>
      <c r="B131" s="492">
        <f t="shared" si="29"/>
        <v>5</v>
      </c>
      <c r="C131" s="492">
        <f t="shared" si="29"/>
        <v>1</v>
      </c>
      <c r="D131" s="492">
        <f t="shared" si="29"/>
        <v>2</v>
      </c>
      <c r="E131" s="492">
        <f t="shared" si="16"/>
        <v>2</v>
      </c>
      <c r="F131" s="499" t="s">
        <v>645</v>
      </c>
      <c r="G131" s="499" t="str">
        <f t="shared" si="17"/>
        <v>2_10 to 2_19 gpm</v>
      </c>
      <c r="H131" s="492" t="str">
        <f t="shared" si="18"/>
        <v>Retail</v>
      </c>
      <c r="I131" s="492" t="str">
        <f t="shared" si="18"/>
        <v>1_75</v>
      </c>
      <c r="J131" s="492" t="str">
        <f t="shared" si="18"/>
        <v>Gas Water Heating</v>
      </c>
      <c r="K131" s="492" t="str">
        <f t="shared" si="19"/>
        <v>Commercial Showerhead Replacement_Fitness Center_precondition 2_10 to 2_19 gpm_efficient 1_75 gpm_Retail_Gas Water Heating</v>
      </c>
      <c r="L131" s="493">
        <f>INDEX(InstallRatesCostAndLifetime!$A$2:$D$6,MATCH(InputForProCost_FitnessCenter!H131,InstallRatesCostAndLifetime!$A$2:$A$6,0),MATCH(InputForProCost_FitnessCenter!I131,InstallRatesCostAndLifetime!$A$2:$D$2,0))</f>
        <v>0.75</v>
      </c>
      <c r="M131" s="493">
        <f t="shared" si="20"/>
        <v>0</v>
      </c>
      <c r="N131" s="492"/>
      <c r="O131" s="492" t="str">
        <f t="shared" si="21"/>
        <v>Fitness Center2_10 to 2_19 gpm1_75</v>
      </c>
      <c r="P131" s="494">
        <f>VLOOKUP($O131,Impacts!$F$27:$Z$59,16,FALSE)</f>
        <v>2976.7975805135356</v>
      </c>
      <c r="Q131" s="494">
        <f>VLOOKUP($O131,Impacts!$F$27:$Z$59,17,FALSE)*L131</f>
        <v>90.288712971931247</v>
      </c>
      <c r="R131" s="495">
        <f>VLOOKUP($O131,Impacts!$F$27:$Z$59,19,FALSE)*L131</f>
        <v>99.565243307278706</v>
      </c>
      <c r="S131" s="496">
        <f>VLOOKUP($O131,Impacts!$F$27:$Z$59,20,FALSE)*L131</f>
        <v>17067.809635525755</v>
      </c>
      <c r="T131" s="497">
        <f>VLOOKUP($O131,Impacts!$F$27:$Z$59,21,FALSE)*L131</f>
        <v>224.65818021408694</v>
      </c>
      <c r="U131" s="492"/>
      <c r="V131" s="492" t="str">
        <f t="shared" si="22"/>
        <v>Commercial Showerhead Replacement_Fitness Center_precondition 2_10 to 2_19 gpm_efficient 1_75 gpm_Retail_Gas Water Heating</v>
      </c>
      <c r="W131" s="492" t="s">
        <v>440</v>
      </c>
      <c r="X131" s="494">
        <f t="shared" si="25"/>
        <v>0</v>
      </c>
      <c r="Y131" s="492">
        <v>10</v>
      </c>
      <c r="Z131" s="498">
        <f t="shared" si="26"/>
        <v>3.2966774171383419</v>
      </c>
      <c r="AA131" s="492"/>
      <c r="AB131" s="499" t="s">
        <v>441</v>
      </c>
      <c r="AC131" s="497">
        <f t="shared" si="27"/>
        <v>224.65818021408694</v>
      </c>
      <c r="AD131" s="492"/>
      <c r="AE131" s="492"/>
      <c r="AF131" s="492"/>
      <c r="AG131" s="492"/>
      <c r="AH131" s="492"/>
      <c r="AI131" s="492"/>
      <c r="AJ131" s="492">
        <f t="shared" si="23"/>
        <v>99.565243307278706</v>
      </c>
      <c r="AK131" s="492" t="s">
        <v>442</v>
      </c>
    </row>
    <row r="132" spans="1:37">
      <c r="A132" s="492">
        <f t="shared" si="24"/>
        <v>114</v>
      </c>
      <c r="B132" s="492">
        <f t="shared" si="29"/>
        <v>5</v>
      </c>
      <c r="C132" s="492">
        <f t="shared" si="29"/>
        <v>1</v>
      </c>
      <c r="D132" s="492">
        <f t="shared" si="29"/>
        <v>2</v>
      </c>
      <c r="E132" s="492">
        <f t="shared" si="16"/>
        <v>3</v>
      </c>
      <c r="F132" s="499" t="s">
        <v>645</v>
      </c>
      <c r="G132" s="499" t="str">
        <f t="shared" si="17"/>
        <v>2_10 to 2_19 gpm</v>
      </c>
      <c r="H132" s="492" t="str">
        <f t="shared" si="18"/>
        <v>Retail</v>
      </c>
      <c r="I132" s="492" t="str">
        <f t="shared" si="18"/>
        <v>1_75</v>
      </c>
      <c r="J132" s="492" t="str">
        <f t="shared" si="18"/>
        <v>Any Water Heating</v>
      </c>
      <c r="K132" s="492" t="str">
        <f t="shared" si="19"/>
        <v>Commercial Showerhead Replacement_Fitness Center_precondition 2_10 to 2_19 gpm_efficient 1_75 gpm_Retail_Any Water Heating</v>
      </c>
      <c r="L132" s="493">
        <f>INDEX(InstallRatesCostAndLifetime!$A$2:$D$6,MATCH(InputForProCost_FitnessCenter!H132,InstallRatesCostAndLifetime!$A$2:$A$6,0),MATCH(InputForProCost_FitnessCenter!I132,InstallRatesCostAndLifetime!$A$2:$D$2,0))</f>
        <v>0.75</v>
      </c>
      <c r="M132" s="493">
        <f t="shared" si="20"/>
        <v>0.31666666666666665</v>
      </c>
      <c r="N132" s="492"/>
      <c r="O132" s="492" t="str">
        <f t="shared" si="21"/>
        <v>Fitness Center2_10 to 2_19 gpm1_75</v>
      </c>
      <c r="P132" s="494">
        <f>VLOOKUP($O132,Impacts!$F$27:$Z$59,16,FALSE)</f>
        <v>2976.7975805135356</v>
      </c>
      <c r="Q132" s="494">
        <f>VLOOKUP($O132,Impacts!$F$27:$Z$59,17,FALSE)*L132</f>
        <v>90.288712971931247</v>
      </c>
      <c r="R132" s="495">
        <f>VLOOKUP($O132,Impacts!$F$27:$Z$59,19,FALSE)*L132</f>
        <v>99.565243307278706</v>
      </c>
      <c r="S132" s="496">
        <f>VLOOKUP($O132,Impacts!$F$27:$Z$59,20,FALSE)*L132</f>
        <v>17067.809635525755</v>
      </c>
      <c r="T132" s="497">
        <f>VLOOKUP($O132,Impacts!$F$27:$Z$59,21,FALSE)*L132</f>
        <v>224.65818021408694</v>
      </c>
      <c r="U132" s="492"/>
      <c r="V132" s="492" t="str">
        <f t="shared" si="22"/>
        <v>Commercial Showerhead Replacement_Fitness Center_precondition 2_10 to 2_19 gpm_efficient 1_75 gpm_Retail_Any Water Heating</v>
      </c>
      <c r="W132" s="492" t="s">
        <v>440</v>
      </c>
      <c r="X132" s="494">
        <f t="shared" si="25"/>
        <v>706.98942537196467</v>
      </c>
      <c r="Y132" s="492">
        <v>10</v>
      </c>
      <c r="Z132" s="498">
        <f t="shared" si="26"/>
        <v>3.2966774171383419</v>
      </c>
      <c r="AA132" s="492"/>
      <c r="AB132" s="499" t="s">
        <v>441</v>
      </c>
      <c r="AC132" s="497">
        <f t="shared" si="27"/>
        <v>224.65818021408694</v>
      </c>
      <c r="AD132" s="492"/>
      <c r="AE132" s="492"/>
      <c r="AF132" s="492"/>
      <c r="AG132" s="492"/>
      <c r="AH132" s="492"/>
      <c r="AI132" s="492"/>
      <c r="AJ132" s="492">
        <f t="shared" si="23"/>
        <v>68.036249593307119</v>
      </c>
      <c r="AK132" s="492" t="s">
        <v>442</v>
      </c>
    </row>
    <row r="133" spans="1:37">
      <c r="A133" s="492">
        <f t="shared" si="24"/>
        <v>115</v>
      </c>
      <c r="B133" s="492">
        <f t="shared" si="29"/>
        <v>5</v>
      </c>
      <c r="C133" s="492">
        <f t="shared" si="29"/>
        <v>1</v>
      </c>
      <c r="D133" s="492">
        <f t="shared" si="29"/>
        <v>3</v>
      </c>
      <c r="E133" s="492">
        <f t="shared" si="16"/>
        <v>1</v>
      </c>
      <c r="F133" s="499" t="s">
        <v>645</v>
      </c>
      <c r="G133" s="499" t="str">
        <f t="shared" si="17"/>
        <v>2_10 to 2_19 gpm</v>
      </c>
      <c r="H133" s="492" t="str">
        <f t="shared" si="18"/>
        <v>Retail</v>
      </c>
      <c r="I133" s="492" t="str">
        <f t="shared" si="18"/>
        <v>1_50</v>
      </c>
      <c r="J133" s="492" t="str">
        <f t="shared" si="18"/>
        <v>Electric Water Heating</v>
      </c>
      <c r="K133" s="492" t="str">
        <f t="shared" si="19"/>
        <v>Commercial Showerhead Replacement_Fitness Center_precondition 2_10 to 2_19 gpm_efficient 1_50 gpm_Retail_Electric Water Heating</v>
      </c>
      <c r="L133" s="493">
        <f>INDEX(InstallRatesCostAndLifetime!$A$2:$D$6,MATCH(InputForProCost_FitnessCenter!H133,InstallRatesCostAndLifetime!$A$2:$A$6,0),MATCH(InputForProCost_FitnessCenter!I133,InstallRatesCostAndLifetime!$A$2:$D$2,0))</f>
        <v>0.7</v>
      </c>
      <c r="M133" s="493">
        <f t="shared" si="20"/>
        <v>1</v>
      </c>
      <c r="N133" s="492"/>
      <c r="O133" s="492" t="str">
        <f t="shared" si="21"/>
        <v>Fitness Center2_10 to 2_19 gpm1_50</v>
      </c>
      <c r="P133" s="494">
        <f>VLOOKUP($O133,Impacts!$F$27:$Z$59,16,FALSE)</f>
        <v>4776.1316546628732</v>
      </c>
      <c r="Q133" s="494">
        <f>VLOOKUP($O133,Impacts!$F$27:$Z$59,17,FALSE)*L133</f>
        <v>136.9378813407624</v>
      </c>
      <c r="R133" s="495">
        <f>VLOOKUP($O133,Impacts!$F$27:$Z$59,19,FALSE)*L133</f>
        <v>149.09789829800832</v>
      </c>
      <c r="S133" s="496">
        <f>VLOOKUP($O133,Impacts!$F$27:$Z$59,20,FALSE)*L133</f>
        <v>25886.177947214062</v>
      </c>
      <c r="T133" s="497">
        <f>VLOOKUP($O133,Impacts!$F$27:$Z$59,21,FALSE)*L133</f>
        <v>340.73157332469856</v>
      </c>
      <c r="U133" s="492"/>
      <c r="V133" s="492" t="str">
        <f t="shared" si="22"/>
        <v>Commercial Showerhead Replacement_Fitness Center_precondition 2_10 to 2_19 gpm_efficient 1_50 gpm_Retail_Electric Water Heating</v>
      </c>
      <c r="W133" s="492" t="s">
        <v>440</v>
      </c>
      <c r="X133" s="494">
        <f t="shared" si="25"/>
        <v>3343.2921582640111</v>
      </c>
      <c r="Y133" s="492">
        <v>10</v>
      </c>
      <c r="Z133" s="498">
        <f t="shared" si="26"/>
        <v>3.2966774171383419</v>
      </c>
      <c r="AA133" s="492"/>
      <c r="AB133" s="499" t="s">
        <v>441</v>
      </c>
      <c r="AC133" s="497">
        <f t="shared" si="27"/>
        <v>340.73157332469856</v>
      </c>
      <c r="AD133" s="492"/>
      <c r="AE133" s="492"/>
      <c r="AF133" s="492"/>
      <c r="AG133" s="492"/>
      <c r="AH133" s="492"/>
      <c r="AI133" s="492"/>
      <c r="AJ133" s="492">
        <f t="shared" si="23"/>
        <v>0</v>
      </c>
      <c r="AK133" s="492" t="s">
        <v>442</v>
      </c>
    </row>
    <row r="134" spans="1:37">
      <c r="A134" s="492">
        <f t="shared" si="24"/>
        <v>116</v>
      </c>
      <c r="B134" s="492">
        <f t="shared" si="29"/>
        <v>5</v>
      </c>
      <c r="C134" s="492">
        <f t="shared" si="29"/>
        <v>1</v>
      </c>
      <c r="D134" s="492">
        <f t="shared" si="29"/>
        <v>3</v>
      </c>
      <c r="E134" s="492">
        <f t="shared" si="16"/>
        <v>2</v>
      </c>
      <c r="F134" s="499" t="s">
        <v>645</v>
      </c>
      <c r="G134" s="499" t="str">
        <f t="shared" si="17"/>
        <v>2_10 to 2_19 gpm</v>
      </c>
      <c r="H134" s="492" t="str">
        <f t="shared" si="18"/>
        <v>Retail</v>
      </c>
      <c r="I134" s="492" t="str">
        <f t="shared" si="18"/>
        <v>1_50</v>
      </c>
      <c r="J134" s="492" t="str">
        <f t="shared" si="18"/>
        <v>Gas Water Heating</v>
      </c>
      <c r="K134" s="492" t="str">
        <f t="shared" si="19"/>
        <v>Commercial Showerhead Replacement_Fitness Center_precondition 2_10 to 2_19 gpm_efficient 1_50 gpm_Retail_Gas Water Heating</v>
      </c>
      <c r="L134" s="493">
        <f>INDEX(InstallRatesCostAndLifetime!$A$2:$D$6,MATCH(InputForProCost_FitnessCenter!H134,InstallRatesCostAndLifetime!$A$2:$A$6,0),MATCH(InputForProCost_FitnessCenter!I134,InstallRatesCostAndLifetime!$A$2:$D$2,0))</f>
        <v>0.7</v>
      </c>
      <c r="M134" s="493">
        <f t="shared" si="20"/>
        <v>0</v>
      </c>
      <c r="N134" s="492"/>
      <c r="O134" s="492" t="str">
        <f t="shared" si="21"/>
        <v>Fitness Center2_10 to 2_19 gpm1_50</v>
      </c>
      <c r="P134" s="494">
        <f>VLOOKUP($O134,Impacts!$F$27:$Z$59,16,FALSE)</f>
        <v>4776.1316546628732</v>
      </c>
      <c r="Q134" s="494">
        <f>VLOOKUP($O134,Impacts!$F$27:$Z$59,17,FALSE)*L134</f>
        <v>136.9378813407624</v>
      </c>
      <c r="R134" s="495">
        <f>VLOOKUP($O134,Impacts!$F$27:$Z$59,19,FALSE)*L134</f>
        <v>149.09789829800832</v>
      </c>
      <c r="S134" s="496">
        <f>VLOOKUP($O134,Impacts!$F$27:$Z$59,20,FALSE)*L134</f>
        <v>25886.177947214062</v>
      </c>
      <c r="T134" s="497">
        <f>VLOOKUP($O134,Impacts!$F$27:$Z$59,21,FALSE)*L134</f>
        <v>340.73157332469856</v>
      </c>
      <c r="U134" s="492"/>
      <c r="V134" s="492" t="str">
        <f t="shared" si="22"/>
        <v>Commercial Showerhead Replacement_Fitness Center_precondition 2_10 to 2_19 gpm_efficient 1_50 gpm_Retail_Gas Water Heating</v>
      </c>
      <c r="W134" s="492" t="s">
        <v>440</v>
      </c>
      <c r="X134" s="494">
        <f t="shared" si="25"/>
        <v>0</v>
      </c>
      <c r="Y134" s="492">
        <v>10</v>
      </c>
      <c r="Z134" s="498">
        <f t="shared" si="26"/>
        <v>3.2966774171383419</v>
      </c>
      <c r="AA134" s="492"/>
      <c r="AB134" s="499" t="s">
        <v>441</v>
      </c>
      <c r="AC134" s="497">
        <f t="shared" si="27"/>
        <v>340.73157332469856</v>
      </c>
      <c r="AD134" s="492"/>
      <c r="AE134" s="492"/>
      <c r="AF134" s="492"/>
      <c r="AG134" s="492"/>
      <c r="AH134" s="492"/>
      <c r="AI134" s="492"/>
      <c r="AJ134" s="492">
        <f t="shared" si="23"/>
        <v>149.09789829800832</v>
      </c>
      <c r="AK134" s="492" t="s">
        <v>442</v>
      </c>
    </row>
    <row r="135" spans="1:37">
      <c r="A135" s="492">
        <f t="shared" si="24"/>
        <v>117</v>
      </c>
      <c r="B135" s="492">
        <f t="shared" si="29"/>
        <v>5</v>
      </c>
      <c r="C135" s="492">
        <f t="shared" si="29"/>
        <v>1</v>
      </c>
      <c r="D135" s="492">
        <f t="shared" si="29"/>
        <v>3</v>
      </c>
      <c r="E135" s="492">
        <f t="shared" si="16"/>
        <v>3</v>
      </c>
      <c r="F135" s="499" t="s">
        <v>645</v>
      </c>
      <c r="G135" s="499" t="str">
        <f t="shared" si="17"/>
        <v>2_10 to 2_19 gpm</v>
      </c>
      <c r="H135" s="492" t="str">
        <f t="shared" si="18"/>
        <v>Retail</v>
      </c>
      <c r="I135" s="492" t="str">
        <f t="shared" si="18"/>
        <v>1_50</v>
      </c>
      <c r="J135" s="492" t="str">
        <f t="shared" si="18"/>
        <v>Any Water Heating</v>
      </c>
      <c r="K135" s="492" t="str">
        <f t="shared" si="19"/>
        <v>Commercial Showerhead Replacement_Fitness Center_precondition 2_10 to 2_19 gpm_efficient 1_50 gpm_Retail_Any Water Heating</v>
      </c>
      <c r="L135" s="493">
        <f>INDEX(InstallRatesCostAndLifetime!$A$2:$D$6,MATCH(InputForProCost_FitnessCenter!H135,InstallRatesCostAndLifetime!$A$2:$A$6,0),MATCH(InputForProCost_FitnessCenter!I135,InstallRatesCostAndLifetime!$A$2:$D$2,0))</f>
        <v>0.7</v>
      </c>
      <c r="M135" s="493">
        <f t="shared" si="20"/>
        <v>0.31666666666666665</v>
      </c>
      <c r="N135" s="492"/>
      <c r="O135" s="492" t="str">
        <f t="shared" si="21"/>
        <v>Fitness Center2_10 to 2_19 gpm1_50</v>
      </c>
      <c r="P135" s="494">
        <f>VLOOKUP($O135,Impacts!$F$27:$Z$59,16,FALSE)</f>
        <v>4776.1316546628732</v>
      </c>
      <c r="Q135" s="494">
        <f>VLOOKUP($O135,Impacts!$F$27:$Z$59,17,FALSE)*L135</f>
        <v>136.9378813407624</v>
      </c>
      <c r="R135" s="495">
        <f>VLOOKUP($O135,Impacts!$F$27:$Z$59,19,FALSE)*L135</f>
        <v>149.09789829800832</v>
      </c>
      <c r="S135" s="496">
        <f>VLOOKUP($O135,Impacts!$F$27:$Z$59,20,FALSE)*L135</f>
        <v>25886.177947214062</v>
      </c>
      <c r="T135" s="497">
        <f>VLOOKUP($O135,Impacts!$F$27:$Z$59,21,FALSE)*L135</f>
        <v>340.73157332469856</v>
      </c>
      <c r="U135" s="492"/>
      <c r="V135" s="492" t="str">
        <f t="shared" si="22"/>
        <v>Commercial Showerhead Replacement_Fitness Center_precondition 2_10 to 2_19 gpm_efficient 1_50 gpm_Retail_Any Water Heating</v>
      </c>
      <c r="W135" s="492" t="s">
        <v>440</v>
      </c>
      <c r="X135" s="494">
        <f t="shared" si="25"/>
        <v>1058.7091834502701</v>
      </c>
      <c r="Y135" s="492">
        <v>10</v>
      </c>
      <c r="Z135" s="498">
        <f t="shared" si="26"/>
        <v>3.2966774171383419</v>
      </c>
      <c r="AA135" s="492"/>
      <c r="AB135" s="499" t="s">
        <v>441</v>
      </c>
      <c r="AC135" s="497">
        <f t="shared" si="27"/>
        <v>340.73157332469856</v>
      </c>
      <c r="AD135" s="492"/>
      <c r="AE135" s="492"/>
      <c r="AF135" s="492"/>
      <c r="AG135" s="492"/>
      <c r="AH135" s="492"/>
      <c r="AI135" s="492"/>
      <c r="AJ135" s="492">
        <f t="shared" si="23"/>
        <v>101.88356383697236</v>
      </c>
      <c r="AK135" s="492" t="s">
        <v>442</v>
      </c>
    </row>
    <row r="136" spans="1:37">
      <c r="A136" s="492">
        <f t="shared" si="24"/>
        <v>118</v>
      </c>
      <c r="B136" s="492">
        <f t="shared" si="29"/>
        <v>5</v>
      </c>
      <c r="C136" s="492">
        <f t="shared" si="29"/>
        <v>2</v>
      </c>
      <c r="D136" s="492">
        <f t="shared" si="29"/>
        <v>1</v>
      </c>
      <c r="E136" s="492">
        <f t="shared" si="16"/>
        <v>1</v>
      </c>
      <c r="F136" s="499" t="s">
        <v>645</v>
      </c>
      <c r="G136" s="499" t="str">
        <f t="shared" si="17"/>
        <v>2_10 to 2_19 gpm</v>
      </c>
      <c r="H136" s="492" t="str">
        <f t="shared" si="18"/>
        <v>Direct Install</v>
      </c>
      <c r="I136" s="492" t="str">
        <f t="shared" si="18"/>
        <v>2_00</v>
      </c>
      <c r="J136" s="492" t="str">
        <f t="shared" si="18"/>
        <v>Electric Water Heating</v>
      </c>
      <c r="K136" s="492" t="str">
        <f t="shared" si="19"/>
        <v>Commercial Showerhead Replacement_Fitness Center_precondition 2_10 to 2_19 gpm_efficient 2_00 gpm_Direct Install_Electric Water Heating</v>
      </c>
      <c r="L136" s="493">
        <f>INDEX(InstallRatesCostAndLifetime!$A$2:$D$6,MATCH(InputForProCost_FitnessCenter!H136,InstallRatesCostAndLifetime!$A$2:$A$6,0),MATCH(InputForProCost_FitnessCenter!I136,InstallRatesCostAndLifetime!$A$2:$D$2,0))</f>
        <v>0.9</v>
      </c>
      <c r="M136" s="493">
        <f t="shared" si="20"/>
        <v>1</v>
      </c>
      <c r="N136" s="492"/>
      <c r="O136" s="492" t="str">
        <f t="shared" si="21"/>
        <v>Fitness Center2_10 to 2_19 gpm2_00</v>
      </c>
      <c r="P136" s="494">
        <f>VLOOKUP($O136,Impacts!$F$27:$Z$59,16,FALSE)</f>
        <v>2803.3365978257589</v>
      </c>
      <c r="Q136" s="494">
        <f>VLOOKUP($O136,Impacts!$F$27:$Z$59,17,FALSE)*L136</f>
        <v>94.803148620527807</v>
      </c>
      <c r="R136" s="495">
        <f>VLOOKUP($O136,Impacts!$F$27:$Z$59,19,FALSE)*L136</f>
        <v>112.51617198099304</v>
      </c>
      <c r="S136" s="496">
        <f>VLOOKUP($O136,Impacts!$F$27:$Z$59,20,FALSE)*L136</f>
        <v>17921.200117302044</v>
      </c>
      <c r="T136" s="497">
        <f>VLOOKUP($O136,Impacts!$F$27:$Z$59,21,FALSE)*L136</f>
        <v>235.89108922479127</v>
      </c>
      <c r="U136" s="492"/>
      <c r="V136" s="492" t="str">
        <f t="shared" si="22"/>
        <v>Commercial Showerhead Replacement_Fitness Center_precondition 2_10 to 2_19 gpm_efficient 2_00 gpm_Direct Install_Electric Water Heating</v>
      </c>
      <c r="W136" s="492" t="s">
        <v>440</v>
      </c>
      <c r="X136" s="494">
        <f t="shared" si="25"/>
        <v>2523.0029380431829</v>
      </c>
      <c r="Y136" s="492">
        <v>10</v>
      </c>
      <c r="Z136" s="498">
        <f t="shared" si="26"/>
        <v>11.336666666666666</v>
      </c>
      <c r="AA136" s="492"/>
      <c r="AB136" s="499" t="s">
        <v>441</v>
      </c>
      <c r="AC136" s="497">
        <f t="shared" si="27"/>
        <v>235.89108922479127</v>
      </c>
      <c r="AD136" s="492"/>
      <c r="AE136" s="492"/>
      <c r="AF136" s="492"/>
      <c r="AG136" s="492"/>
      <c r="AH136" s="492"/>
      <c r="AI136" s="492"/>
      <c r="AJ136" s="492">
        <f t="shared" si="23"/>
        <v>0</v>
      </c>
      <c r="AK136" s="492" t="s">
        <v>442</v>
      </c>
    </row>
    <row r="137" spans="1:37">
      <c r="A137" s="492">
        <f t="shared" si="24"/>
        <v>119</v>
      </c>
      <c r="B137" s="492">
        <f t="shared" si="29"/>
        <v>5</v>
      </c>
      <c r="C137" s="492">
        <f t="shared" si="29"/>
        <v>2</v>
      </c>
      <c r="D137" s="492">
        <f t="shared" si="29"/>
        <v>1</v>
      </c>
      <c r="E137" s="492">
        <f t="shared" si="16"/>
        <v>2</v>
      </c>
      <c r="F137" s="499" t="s">
        <v>645</v>
      </c>
      <c r="G137" s="499" t="str">
        <f t="shared" si="17"/>
        <v>2_10 to 2_19 gpm</v>
      </c>
      <c r="H137" s="492" t="str">
        <f t="shared" si="18"/>
        <v>Direct Install</v>
      </c>
      <c r="I137" s="492" t="str">
        <f t="shared" si="18"/>
        <v>2_00</v>
      </c>
      <c r="J137" s="492" t="str">
        <f t="shared" si="18"/>
        <v>Gas Water Heating</v>
      </c>
      <c r="K137" s="492" t="str">
        <f t="shared" si="19"/>
        <v>Commercial Showerhead Replacement_Fitness Center_precondition 2_10 to 2_19 gpm_efficient 2_00 gpm_Direct Install_Gas Water Heating</v>
      </c>
      <c r="L137" s="493">
        <f>INDEX(InstallRatesCostAndLifetime!$A$2:$D$6,MATCH(InputForProCost_FitnessCenter!H137,InstallRatesCostAndLifetime!$A$2:$A$6,0),MATCH(InputForProCost_FitnessCenter!I137,InstallRatesCostAndLifetime!$A$2:$D$2,0))</f>
        <v>0.9</v>
      </c>
      <c r="M137" s="493">
        <f t="shared" si="20"/>
        <v>0</v>
      </c>
      <c r="N137" s="492"/>
      <c r="O137" s="492" t="str">
        <f t="shared" si="21"/>
        <v>Fitness Center2_10 to 2_19 gpm2_00</v>
      </c>
      <c r="P137" s="494">
        <f>VLOOKUP($O137,Impacts!$F$27:$Z$59,16,FALSE)</f>
        <v>2803.3365978257589</v>
      </c>
      <c r="Q137" s="494">
        <f>VLOOKUP($O137,Impacts!$F$27:$Z$59,17,FALSE)*L137</f>
        <v>94.803148620527807</v>
      </c>
      <c r="R137" s="495">
        <f>VLOOKUP($O137,Impacts!$F$27:$Z$59,19,FALSE)*L137</f>
        <v>112.51617198099304</v>
      </c>
      <c r="S137" s="496">
        <f>VLOOKUP($O137,Impacts!$F$27:$Z$59,20,FALSE)*L137</f>
        <v>17921.200117302044</v>
      </c>
      <c r="T137" s="497">
        <f>VLOOKUP($O137,Impacts!$F$27:$Z$59,21,FALSE)*L137</f>
        <v>235.89108922479127</v>
      </c>
      <c r="U137" s="492"/>
      <c r="V137" s="492" t="str">
        <f t="shared" si="22"/>
        <v>Commercial Showerhead Replacement_Fitness Center_precondition 2_10 to 2_19 gpm_efficient 2_00 gpm_Direct Install_Gas Water Heating</v>
      </c>
      <c r="W137" s="492" t="s">
        <v>440</v>
      </c>
      <c r="X137" s="494">
        <f t="shared" si="25"/>
        <v>0</v>
      </c>
      <c r="Y137" s="492">
        <v>10</v>
      </c>
      <c r="Z137" s="498">
        <f t="shared" si="26"/>
        <v>11.336666666666666</v>
      </c>
      <c r="AA137" s="492"/>
      <c r="AB137" s="499" t="s">
        <v>441</v>
      </c>
      <c r="AC137" s="497">
        <f t="shared" si="27"/>
        <v>235.89108922479127</v>
      </c>
      <c r="AD137" s="492"/>
      <c r="AE137" s="492"/>
      <c r="AF137" s="492"/>
      <c r="AG137" s="492"/>
      <c r="AH137" s="492"/>
      <c r="AI137" s="492"/>
      <c r="AJ137" s="492">
        <f t="shared" si="23"/>
        <v>112.51617198099304</v>
      </c>
      <c r="AK137" s="492" t="s">
        <v>442</v>
      </c>
    </row>
    <row r="138" spans="1:37">
      <c r="A138" s="492">
        <f t="shared" si="24"/>
        <v>120</v>
      </c>
      <c r="B138" s="492">
        <f t="shared" si="29"/>
        <v>5</v>
      </c>
      <c r="C138" s="492">
        <f t="shared" si="29"/>
        <v>2</v>
      </c>
      <c r="D138" s="492">
        <f t="shared" si="29"/>
        <v>1</v>
      </c>
      <c r="E138" s="492">
        <f t="shared" si="16"/>
        <v>3</v>
      </c>
      <c r="F138" s="499" t="s">
        <v>645</v>
      </c>
      <c r="G138" s="499" t="str">
        <f t="shared" si="17"/>
        <v>2_10 to 2_19 gpm</v>
      </c>
      <c r="H138" s="492" t="str">
        <f t="shared" si="18"/>
        <v>Direct Install</v>
      </c>
      <c r="I138" s="492" t="str">
        <f t="shared" si="18"/>
        <v>2_00</v>
      </c>
      <c r="J138" s="492" t="str">
        <f t="shared" si="18"/>
        <v>Any Water Heating</v>
      </c>
      <c r="K138" s="492" t="str">
        <f t="shared" si="19"/>
        <v>Commercial Showerhead Replacement_Fitness Center_precondition 2_10 to 2_19 gpm_efficient 2_00 gpm_Direct Install_Any Water Heating</v>
      </c>
      <c r="L138" s="493">
        <f>INDEX(InstallRatesCostAndLifetime!$A$2:$D$6,MATCH(InputForProCost_FitnessCenter!H138,InstallRatesCostAndLifetime!$A$2:$A$6,0),MATCH(InputForProCost_FitnessCenter!I138,InstallRatesCostAndLifetime!$A$2:$D$2,0))</f>
        <v>0.9</v>
      </c>
      <c r="M138" s="493">
        <f t="shared" si="20"/>
        <v>0.31666666666666665</v>
      </c>
      <c r="N138" s="492"/>
      <c r="O138" s="492" t="str">
        <f t="shared" si="21"/>
        <v>Fitness Center2_10 to 2_19 gpm2_00</v>
      </c>
      <c r="P138" s="494">
        <f>VLOOKUP($O138,Impacts!$F$27:$Z$59,16,FALSE)</f>
        <v>2803.3365978257589</v>
      </c>
      <c r="Q138" s="494">
        <f>VLOOKUP($O138,Impacts!$F$27:$Z$59,17,FALSE)*L138</f>
        <v>94.803148620527807</v>
      </c>
      <c r="R138" s="495">
        <f>VLOOKUP($O138,Impacts!$F$27:$Z$59,19,FALSE)*L138</f>
        <v>112.51617198099304</v>
      </c>
      <c r="S138" s="496">
        <f>VLOOKUP($O138,Impacts!$F$27:$Z$59,20,FALSE)*L138</f>
        <v>17921.200117302044</v>
      </c>
      <c r="T138" s="497">
        <f>VLOOKUP($O138,Impacts!$F$27:$Z$59,21,FALSE)*L138</f>
        <v>235.89108922479127</v>
      </c>
      <c r="U138" s="492"/>
      <c r="V138" s="492" t="str">
        <f t="shared" si="22"/>
        <v>Commercial Showerhead Replacement_Fitness Center_precondition 2_10 to 2_19 gpm_efficient 2_00 gpm_Direct Install_Any Water Heating</v>
      </c>
      <c r="W138" s="492" t="s">
        <v>440</v>
      </c>
      <c r="X138" s="494">
        <f t="shared" si="25"/>
        <v>798.95093038034122</v>
      </c>
      <c r="Y138" s="492">
        <v>10</v>
      </c>
      <c r="Z138" s="498">
        <f t="shared" si="26"/>
        <v>11.336666666666666</v>
      </c>
      <c r="AA138" s="492"/>
      <c r="AB138" s="499" t="s">
        <v>441</v>
      </c>
      <c r="AC138" s="497">
        <f t="shared" si="27"/>
        <v>235.89108922479127</v>
      </c>
      <c r="AD138" s="492"/>
      <c r="AE138" s="492"/>
      <c r="AF138" s="492"/>
      <c r="AG138" s="492"/>
      <c r="AH138" s="492"/>
      <c r="AI138" s="492"/>
      <c r="AJ138" s="492">
        <f t="shared" si="23"/>
        <v>76.886050853678583</v>
      </c>
      <c r="AK138" s="492" t="s">
        <v>442</v>
      </c>
    </row>
    <row r="139" spans="1:37">
      <c r="A139" s="492">
        <f t="shared" si="24"/>
        <v>121</v>
      </c>
      <c r="B139" s="492">
        <f t="shared" ref="B139:D158" si="30">CEILING((MOD($A139-1,B$17)+1)/C$17,1)</f>
        <v>5</v>
      </c>
      <c r="C139" s="492">
        <f t="shared" si="30"/>
        <v>2</v>
      </c>
      <c r="D139" s="492">
        <f t="shared" si="30"/>
        <v>2</v>
      </c>
      <c r="E139" s="492">
        <f t="shared" si="16"/>
        <v>1</v>
      </c>
      <c r="F139" s="499" t="s">
        <v>645</v>
      </c>
      <c r="G139" s="499" t="str">
        <f t="shared" si="17"/>
        <v>2_10 to 2_19 gpm</v>
      </c>
      <c r="H139" s="492" t="str">
        <f t="shared" si="18"/>
        <v>Direct Install</v>
      </c>
      <c r="I139" s="492" t="str">
        <f t="shared" si="18"/>
        <v>1_75</v>
      </c>
      <c r="J139" s="492" t="str">
        <f t="shared" si="18"/>
        <v>Electric Water Heating</v>
      </c>
      <c r="K139" s="492" t="str">
        <f t="shared" si="19"/>
        <v>Commercial Showerhead Replacement_Fitness Center_precondition 2_10 to 2_19 gpm_efficient 1_75 gpm_Direct Install_Electric Water Heating</v>
      </c>
      <c r="L139" s="493">
        <f>INDEX(InstallRatesCostAndLifetime!$A$2:$D$6,MATCH(InputForProCost_FitnessCenter!H139,InstallRatesCostAndLifetime!$A$2:$A$6,0),MATCH(InputForProCost_FitnessCenter!I139,InstallRatesCostAndLifetime!$A$2:$D$2,0))</f>
        <v>0.9</v>
      </c>
      <c r="M139" s="493">
        <f t="shared" si="20"/>
        <v>1</v>
      </c>
      <c r="N139" s="492"/>
      <c r="O139" s="492" t="str">
        <f t="shared" si="21"/>
        <v>Fitness Center2_10 to 2_19 gpm1_75</v>
      </c>
      <c r="P139" s="494">
        <f>VLOOKUP($O139,Impacts!$F$27:$Z$59,16,FALSE)</f>
        <v>2976.7975805135356</v>
      </c>
      <c r="Q139" s="494">
        <f>VLOOKUP($O139,Impacts!$F$27:$Z$59,17,FALSE)*L139</f>
        <v>108.34645556631749</v>
      </c>
      <c r="R139" s="495">
        <f>VLOOKUP($O139,Impacts!$F$27:$Z$59,19,FALSE)*L139</f>
        <v>119.47829196873445</v>
      </c>
      <c r="S139" s="496">
        <f>VLOOKUP($O139,Impacts!$F$27:$Z$59,20,FALSE)*L139</f>
        <v>20481.371562630906</v>
      </c>
      <c r="T139" s="497">
        <f>VLOOKUP($O139,Impacts!$F$27:$Z$59,21,FALSE)*L139</f>
        <v>269.58981625690433</v>
      </c>
      <c r="U139" s="492"/>
      <c r="V139" s="492" t="str">
        <f t="shared" si="22"/>
        <v>Commercial Showerhead Replacement_Fitness Center_precondition 2_10 to 2_19 gpm_efficient 1_75 gpm_Direct Install_Electric Water Heating</v>
      </c>
      <c r="W139" s="492" t="s">
        <v>440</v>
      </c>
      <c r="X139" s="494">
        <f t="shared" si="25"/>
        <v>2679.1178224621822</v>
      </c>
      <c r="Y139" s="492">
        <v>10</v>
      </c>
      <c r="Z139" s="498">
        <f t="shared" si="26"/>
        <v>11.336666666666666</v>
      </c>
      <c r="AA139" s="492"/>
      <c r="AB139" s="499" t="s">
        <v>441</v>
      </c>
      <c r="AC139" s="497">
        <f t="shared" si="27"/>
        <v>269.58981625690433</v>
      </c>
      <c r="AD139" s="492"/>
      <c r="AE139" s="492"/>
      <c r="AF139" s="492"/>
      <c r="AG139" s="492"/>
      <c r="AH139" s="492"/>
      <c r="AI139" s="492"/>
      <c r="AJ139" s="492">
        <f t="shared" si="23"/>
        <v>0</v>
      </c>
      <c r="AK139" s="492" t="s">
        <v>442</v>
      </c>
    </row>
    <row r="140" spans="1:37">
      <c r="A140" s="492">
        <f t="shared" si="24"/>
        <v>122</v>
      </c>
      <c r="B140" s="492">
        <f t="shared" si="30"/>
        <v>5</v>
      </c>
      <c r="C140" s="492">
        <f t="shared" si="30"/>
        <v>2</v>
      </c>
      <c r="D140" s="492">
        <f t="shared" si="30"/>
        <v>2</v>
      </c>
      <c r="E140" s="492">
        <f t="shared" si="16"/>
        <v>2</v>
      </c>
      <c r="F140" s="499" t="s">
        <v>645</v>
      </c>
      <c r="G140" s="499" t="str">
        <f t="shared" si="17"/>
        <v>2_10 to 2_19 gpm</v>
      </c>
      <c r="H140" s="492" t="str">
        <f t="shared" si="18"/>
        <v>Direct Install</v>
      </c>
      <c r="I140" s="492" t="str">
        <f t="shared" si="18"/>
        <v>1_75</v>
      </c>
      <c r="J140" s="492" t="str">
        <f t="shared" si="18"/>
        <v>Gas Water Heating</v>
      </c>
      <c r="K140" s="492" t="str">
        <f t="shared" si="19"/>
        <v>Commercial Showerhead Replacement_Fitness Center_precondition 2_10 to 2_19 gpm_efficient 1_75 gpm_Direct Install_Gas Water Heating</v>
      </c>
      <c r="L140" s="493">
        <f>INDEX(InstallRatesCostAndLifetime!$A$2:$D$6,MATCH(InputForProCost_FitnessCenter!H140,InstallRatesCostAndLifetime!$A$2:$A$6,0),MATCH(InputForProCost_FitnessCenter!I140,InstallRatesCostAndLifetime!$A$2:$D$2,0))</f>
        <v>0.9</v>
      </c>
      <c r="M140" s="493">
        <f t="shared" si="20"/>
        <v>0</v>
      </c>
      <c r="N140" s="492"/>
      <c r="O140" s="492" t="str">
        <f t="shared" si="21"/>
        <v>Fitness Center2_10 to 2_19 gpm1_75</v>
      </c>
      <c r="P140" s="494">
        <f>VLOOKUP($O140,Impacts!$F$27:$Z$59,16,FALSE)</f>
        <v>2976.7975805135356</v>
      </c>
      <c r="Q140" s="494">
        <f>VLOOKUP($O140,Impacts!$F$27:$Z$59,17,FALSE)*L140</f>
        <v>108.34645556631749</v>
      </c>
      <c r="R140" s="495">
        <f>VLOOKUP($O140,Impacts!$F$27:$Z$59,19,FALSE)*L140</f>
        <v>119.47829196873445</v>
      </c>
      <c r="S140" s="496">
        <f>VLOOKUP($O140,Impacts!$F$27:$Z$59,20,FALSE)*L140</f>
        <v>20481.371562630906</v>
      </c>
      <c r="T140" s="497">
        <f>VLOOKUP($O140,Impacts!$F$27:$Z$59,21,FALSE)*L140</f>
        <v>269.58981625690433</v>
      </c>
      <c r="U140" s="492"/>
      <c r="V140" s="492" t="str">
        <f t="shared" si="22"/>
        <v>Commercial Showerhead Replacement_Fitness Center_precondition 2_10 to 2_19 gpm_efficient 1_75 gpm_Direct Install_Gas Water Heating</v>
      </c>
      <c r="W140" s="492" t="s">
        <v>440</v>
      </c>
      <c r="X140" s="494">
        <f t="shared" si="25"/>
        <v>0</v>
      </c>
      <c r="Y140" s="492">
        <v>10</v>
      </c>
      <c r="Z140" s="498">
        <f t="shared" si="26"/>
        <v>11.336666666666666</v>
      </c>
      <c r="AA140" s="492"/>
      <c r="AB140" s="499" t="s">
        <v>441</v>
      </c>
      <c r="AC140" s="497">
        <f t="shared" si="27"/>
        <v>269.58981625690433</v>
      </c>
      <c r="AD140" s="492"/>
      <c r="AE140" s="492"/>
      <c r="AF140" s="492"/>
      <c r="AG140" s="492"/>
      <c r="AH140" s="492"/>
      <c r="AI140" s="492"/>
      <c r="AJ140" s="492">
        <f t="shared" si="23"/>
        <v>119.47829196873445</v>
      </c>
      <c r="AK140" s="492" t="s">
        <v>442</v>
      </c>
    </row>
    <row r="141" spans="1:37">
      <c r="A141" s="492">
        <f t="shared" si="24"/>
        <v>123</v>
      </c>
      <c r="B141" s="492">
        <f t="shared" si="30"/>
        <v>5</v>
      </c>
      <c r="C141" s="492">
        <f t="shared" si="30"/>
        <v>2</v>
      </c>
      <c r="D141" s="492">
        <f t="shared" si="30"/>
        <v>2</v>
      </c>
      <c r="E141" s="492">
        <f t="shared" si="16"/>
        <v>3</v>
      </c>
      <c r="F141" s="499" t="s">
        <v>645</v>
      </c>
      <c r="G141" s="499" t="str">
        <f t="shared" si="17"/>
        <v>2_10 to 2_19 gpm</v>
      </c>
      <c r="H141" s="492" t="str">
        <f t="shared" si="18"/>
        <v>Direct Install</v>
      </c>
      <c r="I141" s="492" t="str">
        <f t="shared" si="18"/>
        <v>1_75</v>
      </c>
      <c r="J141" s="492" t="str">
        <f t="shared" si="18"/>
        <v>Any Water Heating</v>
      </c>
      <c r="K141" s="492" t="str">
        <f t="shared" si="19"/>
        <v>Commercial Showerhead Replacement_Fitness Center_precondition 2_10 to 2_19 gpm_efficient 1_75 gpm_Direct Install_Any Water Heating</v>
      </c>
      <c r="L141" s="493">
        <f>INDEX(InstallRatesCostAndLifetime!$A$2:$D$6,MATCH(InputForProCost_FitnessCenter!H141,InstallRatesCostAndLifetime!$A$2:$A$6,0),MATCH(InputForProCost_FitnessCenter!I141,InstallRatesCostAndLifetime!$A$2:$D$2,0))</f>
        <v>0.9</v>
      </c>
      <c r="M141" s="493">
        <f t="shared" si="20"/>
        <v>0.31666666666666665</v>
      </c>
      <c r="N141" s="492"/>
      <c r="O141" s="492" t="str">
        <f t="shared" si="21"/>
        <v>Fitness Center2_10 to 2_19 gpm1_75</v>
      </c>
      <c r="P141" s="494">
        <f>VLOOKUP($O141,Impacts!$F$27:$Z$59,16,FALSE)</f>
        <v>2976.7975805135356</v>
      </c>
      <c r="Q141" s="494">
        <f>VLOOKUP($O141,Impacts!$F$27:$Z$59,17,FALSE)*L141</f>
        <v>108.34645556631749</v>
      </c>
      <c r="R141" s="495">
        <f>VLOOKUP($O141,Impacts!$F$27:$Z$59,19,FALSE)*L141</f>
        <v>119.47829196873445</v>
      </c>
      <c r="S141" s="496">
        <f>VLOOKUP($O141,Impacts!$F$27:$Z$59,20,FALSE)*L141</f>
        <v>20481.371562630906</v>
      </c>
      <c r="T141" s="497">
        <f>VLOOKUP($O141,Impacts!$F$27:$Z$59,21,FALSE)*L141</f>
        <v>269.58981625690433</v>
      </c>
      <c r="U141" s="492"/>
      <c r="V141" s="492" t="str">
        <f t="shared" si="22"/>
        <v>Commercial Showerhead Replacement_Fitness Center_precondition 2_10 to 2_19 gpm_efficient 1_75 gpm_Direct Install_Any Water Heating</v>
      </c>
      <c r="W141" s="492" t="s">
        <v>440</v>
      </c>
      <c r="X141" s="494">
        <f t="shared" si="25"/>
        <v>848.38731044635767</v>
      </c>
      <c r="Y141" s="492">
        <v>10</v>
      </c>
      <c r="Z141" s="498">
        <f t="shared" si="26"/>
        <v>11.336666666666666</v>
      </c>
      <c r="AA141" s="492"/>
      <c r="AB141" s="499" t="s">
        <v>441</v>
      </c>
      <c r="AC141" s="497">
        <f t="shared" si="27"/>
        <v>269.58981625690433</v>
      </c>
      <c r="AD141" s="492"/>
      <c r="AE141" s="492"/>
      <c r="AF141" s="492"/>
      <c r="AG141" s="492"/>
      <c r="AH141" s="492"/>
      <c r="AI141" s="492"/>
      <c r="AJ141" s="492">
        <f t="shared" si="23"/>
        <v>81.643499511968542</v>
      </c>
      <c r="AK141" s="492" t="s">
        <v>442</v>
      </c>
    </row>
    <row r="142" spans="1:37">
      <c r="A142" s="492">
        <f t="shared" si="24"/>
        <v>124</v>
      </c>
      <c r="B142" s="492">
        <f t="shared" si="30"/>
        <v>5</v>
      </c>
      <c r="C142" s="492">
        <f t="shared" si="30"/>
        <v>2</v>
      </c>
      <c r="D142" s="492">
        <f t="shared" si="30"/>
        <v>3</v>
      </c>
      <c r="E142" s="492">
        <f t="shared" si="16"/>
        <v>1</v>
      </c>
      <c r="F142" s="499" t="s">
        <v>645</v>
      </c>
      <c r="G142" s="499" t="str">
        <f t="shared" si="17"/>
        <v>2_10 to 2_19 gpm</v>
      </c>
      <c r="H142" s="492" t="str">
        <f t="shared" si="18"/>
        <v>Direct Install</v>
      </c>
      <c r="I142" s="492" t="str">
        <f t="shared" si="18"/>
        <v>1_50</v>
      </c>
      <c r="J142" s="492" t="str">
        <f t="shared" si="18"/>
        <v>Electric Water Heating</v>
      </c>
      <c r="K142" s="492" t="str">
        <f t="shared" si="19"/>
        <v>Commercial Showerhead Replacement_Fitness Center_precondition 2_10 to 2_19 gpm_efficient 1_50 gpm_Direct Install_Electric Water Heating</v>
      </c>
      <c r="L142" s="493">
        <f>INDEX(InstallRatesCostAndLifetime!$A$2:$D$6,MATCH(InputForProCost_FitnessCenter!H142,InstallRatesCostAndLifetime!$A$2:$A$6,0),MATCH(InputForProCost_FitnessCenter!I142,InstallRatesCostAndLifetime!$A$2:$D$2,0))</f>
        <v>0.9</v>
      </c>
      <c r="M142" s="493">
        <f t="shared" si="20"/>
        <v>1</v>
      </c>
      <c r="N142" s="492"/>
      <c r="O142" s="492" t="str">
        <f t="shared" si="21"/>
        <v>Fitness Center2_10 to 2_19 gpm1_50</v>
      </c>
      <c r="P142" s="494">
        <f>VLOOKUP($O142,Impacts!$F$27:$Z$59,16,FALSE)</f>
        <v>4776.1316546628732</v>
      </c>
      <c r="Q142" s="494">
        <f>VLOOKUP($O142,Impacts!$F$27:$Z$59,17,FALSE)*L142</f>
        <v>176.06299029526593</v>
      </c>
      <c r="R142" s="495">
        <f>VLOOKUP($O142,Impacts!$F$27:$Z$59,19,FALSE)*L142</f>
        <v>191.69729781172498</v>
      </c>
      <c r="S142" s="496">
        <f>VLOOKUP($O142,Impacts!$F$27:$Z$59,20,FALSE)*L142</f>
        <v>33282.228789275228</v>
      </c>
      <c r="T142" s="497">
        <f>VLOOKUP($O142,Impacts!$F$27:$Z$59,21,FALSE)*L142</f>
        <v>438.08345141746963</v>
      </c>
      <c r="U142" s="492"/>
      <c r="V142" s="492" t="str">
        <f t="shared" si="22"/>
        <v>Commercial Showerhead Replacement_Fitness Center_precondition 2_10 to 2_19 gpm_efficient 1_50 gpm_Direct Install_Electric Water Heating</v>
      </c>
      <c r="W142" s="492" t="s">
        <v>440</v>
      </c>
      <c r="X142" s="494">
        <f t="shared" si="25"/>
        <v>4298.5184891965864</v>
      </c>
      <c r="Y142" s="492">
        <v>10</v>
      </c>
      <c r="Z142" s="498">
        <f t="shared" si="26"/>
        <v>11.336666666666666</v>
      </c>
      <c r="AA142" s="492"/>
      <c r="AB142" s="499" t="s">
        <v>441</v>
      </c>
      <c r="AC142" s="497">
        <f t="shared" si="27"/>
        <v>438.08345141746963</v>
      </c>
      <c r="AD142" s="492"/>
      <c r="AE142" s="492"/>
      <c r="AF142" s="492"/>
      <c r="AG142" s="492"/>
      <c r="AH142" s="492"/>
      <c r="AI142" s="492"/>
      <c r="AJ142" s="492">
        <f t="shared" si="23"/>
        <v>0</v>
      </c>
      <c r="AK142" s="492" t="s">
        <v>442</v>
      </c>
    </row>
    <row r="143" spans="1:37">
      <c r="A143" s="492">
        <f t="shared" si="24"/>
        <v>125</v>
      </c>
      <c r="B143" s="492">
        <f t="shared" si="30"/>
        <v>5</v>
      </c>
      <c r="C143" s="492">
        <f t="shared" si="30"/>
        <v>2</v>
      </c>
      <c r="D143" s="492">
        <f t="shared" si="30"/>
        <v>3</v>
      </c>
      <c r="E143" s="492">
        <f t="shared" si="16"/>
        <v>2</v>
      </c>
      <c r="F143" s="499" t="s">
        <v>645</v>
      </c>
      <c r="G143" s="499" t="str">
        <f t="shared" si="17"/>
        <v>2_10 to 2_19 gpm</v>
      </c>
      <c r="H143" s="492" t="str">
        <f t="shared" si="18"/>
        <v>Direct Install</v>
      </c>
      <c r="I143" s="492" t="str">
        <f t="shared" si="18"/>
        <v>1_50</v>
      </c>
      <c r="J143" s="492" t="str">
        <f t="shared" si="18"/>
        <v>Gas Water Heating</v>
      </c>
      <c r="K143" s="492" t="str">
        <f t="shared" si="19"/>
        <v>Commercial Showerhead Replacement_Fitness Center_precondition 2_10 to 2_19 gpm_efficient 1_50 gpm_Direct Install_Gas Water Heating</v>
      </c>
      <c r="L143" s="493">
        <f>INDEX(InstallRatesCostAndLifetime!$A$2:$D$6,MATCH(InputForProCost_FitnessCenter!H143,InstallRatesCostAndLifetime!$A$2:$A$6,0),MATCH(InputForProCost_FitnessCenter!I143,InstallRatesCostAndLifetime!$A$2:$D$2,0))</f>
        <v>0.9</v>
      </c>
      <c r="M143" s="493">
        <f t="shared" si="20"/>
        <v>0</v>
      </c>
      <c r="N143" s="492"/>
      <c r="O143" s="492" t="str">
        <f t="shared" si="21"/>
        <v>Fitness Center2_10 to 2_19 gpm1_50</v>
      </c>
      <c r="P143" s="494">
        <f>VLOOKUP($O143,Impacts!$F$27:$Z$59,16,FALSE)</f>
        <v>4776.1316546628732</v>
      </c>
      <c r="Q143" s="494">
        <f>VLOOKUP($O143,Impacts!$F$27:$Z$59,17,FALSE)*L143</f>
        <v>176.06299029526593</v>
      </c>
      <c r="R143" s="495">
        <f>VLOOKUP($O143,Impacts!$F$27:$Z$59,19,FALSE)*L143</f>
        <v>191.69729781172498</v>
      </c>
      <c r="S143" s="496">
        <f>VLOOKUP($O143,Impacts!$F$27:$Z$59,20,FALSE)*L143</f>
        <v>33282.228789275228</v>
      </c>
      <c r="T143" s="497">
        <f>VLOOKUP($O143,Impacts!$F$27:$Z$59,21,FALSE)*L143</f>
        <v>438.08345141746963</v>
      </c>
      <c r="U143" s="492"/>
      <c r="V143" s="492" t="str">
        <f t="shared" si="22"/>
        <v>Commercial Showerhead Replacement_Fitness Center_precondition 2_10 to 2_19 gpm_efficient 1_50 gpm_Direct Install_Gas Water Heating</v>
      </c>
      <c r="W143" s="492" t="s">
        <v>440</v>
      </c>
      <c r="X143" s="494">
        <f t="shared" si="25"/>
        <v>0</v>
      </c>
      <c r="Y143" s="492">
        <v>10</v>
      </c>
      <c r="Z143" s="498">
        <f t="shared" si="26"/>
        <v>11.336666666666666</v>
      </c>
      <c r="AA143" s="492"/>
      <c r="AB143" s="499" t="s">
        <v>441</v>
      </c>
      <c r="AC143" s="497">
        <f t="shared" si="27"/>
        <v>438.08345141746963</v>
      </c>
      <c r="AD143" s="492"/>
      <c r="AE143" s="492"/>
      <c r="AF143" s="492"/>
      <c r="AG143" s="492"/>
      <c r="AH143" s="492"/>
      <c r="AI143" s="492"/>
      <c r="AJ143" s="492">
        <f t="shared" si="23"/>
        <v>191.69729781172498</v>
      </c>
      <c r="AK143" s="492" t="s">
        <v>442</v>
      </c>
    </row>
    <row r="144" spans="1:37">
      <c r="A144" s="492">
        <f t="shared" si="24"/>
        <v>126</v>
      </c>
      <c r="B144" s="492">
        <f t="shared" si="30"/>
        <v>5</v>
      </c>
      <c r="C144" s="492">
        <f t="shared" si="30"/>
        <v>2</v>
      </c>
      <c r="D144" s="492">
        <f t="shared" si="30"/>
        <v>3</v>
      </c>
      <c r="E144" s="492">
        <f t="shared" si="16"/>
        <v>3</v>
      </c>
      <c r="F144" s="499" t="s">
        <v>645</v>
      </c>
      <c r="G144" s="499" t="str">
        <f t="shared" si="17"/>
        <v>2_10 to 2_19 gpm</v>
      </c>
      <c r="H144" s="492" t="str">
        <f t="shared" si="18"/>
        <v>Direct Install</v>
      </c>
      <c r="I144" s="492" t="str">
        <f t="shared" si="18"/>
        <v>1_50</v>
      </c>
      <c r="J144" s="492" t="str">
        <f t="shared" si="18"/>
        <v>Any Water Heating</v>
      </c>
      <c r="K144" s="492" t="str">
        <f t="shared" si="19"/>
        <v>Commercial Showerhead Replacement_Fitness Center_precondition 2_10 to 2_19 gpm_efficient 1_50 gpm_Direct Install_Any Water Heating</v>
      </c>
      <c r="L144" s="493">
        <f>INDEX(InstallRatesCostAndLifetime!$A$2:$D$6,MATCH(InputForProCost_FitnessCenter!H144,InstallRatesCostAndLifetime!$A$2:$A$6,0),MATCH(InputForProCost_FitnessCenter!I144,InstallRatesCostAndLifetime!$A$2:$D$2,0))</f>
        <v>0.9</v>
      </c>
      <c r="M144" s="493">
        <f t="shared" si="20"/>
        <v>0.31666666666666665</v>
      </c>
      <c r="N144" s="492"/>
      <c r="O144" s="492" t="str">
        <f t="shared" si="21"/>
        <v>Fitness Center2_10 to 2_19 gpm1_50</v>
      </c>
      <c r="P144" s="494">
        <f>VLOOKUP($O144,Impacts!$F$27:$Z$59,16,FALSE)</f>
        <v>4776.1316546628732</v>
      </c>
      <c r="Q144" s="494">
        <f>VLOOKUP($O144,Impacts!$F$27:$Z$59,17,FALSE)*L144</f>
        <v>176.06299029526593</v>
      </c>
      <c r="R144" s="495">
        <f>VLOOKUP($O144,Impacts!$F$27:$Z$59,19,FALSE)*L144</f>
        <v>191.69729781172498</v>
      </c>
      <c r="S144" s="496">
        <f>VLOOKUP($O144,Impacts!$F$27:$Z$59,20,FALSE)*L144</f>
        <v>33282.228789275228</v>
      </c>
      <c r="T144" s="497">
        <f>VLOOKUP($O144,Impacts!$F$27:$Z$59,21,FALSE)*L144</f>
        <v>438.08345141746963</v>
      </c>
      <c r="U144" s="492"/>
      <c r="V144" s="492" t="str">
        <f t="shared" si="22"/>
        <v>Commercial Showerhead Replacement_Fitness Center_precondition 2_10 to 2_19 gpm_efficient 1_50 gpm_Direct Install_Any Water Heating</v>
      </c>
      <c r="W144" s="492" t="s">
        <v>440</v>
      </c>
      <c r="X144" s="494">
        <f t="shared" si="25"/>
        <v>1361.1975215789189</v>
      </c>
      <c r="Y144" s="492">
        <v>10</v>
      </c>
      <c r="Z144" s="498">
        <f t="shared" si="26"/>
        <v>11.336666666666666</v>
      </c>
      <c r="AA144" s="492"/>
      <c r="AB144" s="499" t="s">
        <v>441</v>
      </c>
      <c r="AC144" s="497">
        <f t="shared" si="27"/>
        <v>438.08345141746963</v>
      </c>
      <c r="AD144" s="492"/>
      <c r="AE144" s="492"/>
      <c r="AF144" s="492"/>
      <c r="AG144" s="492"/>
      <c r="AH144" s="492"/>
      <c r="AI144" s="492"/>
      <c r="AJ144" s="492">
        <f t="shared" si="23"/>
        <v>130.99315350467873</v>
      </c>
      <c r="AK144" s="492" t="s">
        <v>442</v>
      </c>
    </row>
    <row r="145" spans="1:37">
      <c r="A145" s="492">
        <f t="shared" si="24"/>
        <v>127</v>
      </c>
      <c r="B145" s="492">
        <f t="shared" si="30"/>
        <v>5</v>
      </c>
      <c r="C145" s="492">
        <f t="shared" si="30"/>
        <v>3</v>
      </c>
      <c r="D145" s="492">
        <f t="shared" si="30"/>
        <v>1</v>
      </c>
      <c r="E145" s="492">
        <f t="shared" si="16"/>
        <v>1</v>
      </c>
      <c r="F145" s="499" t="s">
        <v>645</v>
      </c>
      <c r="G145" s="499" t="str">
        <f t="shared" si="17"/>
        <v>2_10 to 2_19 gpm</v>
      </c>
      <c r="H145" s="492" t="str">
        <f t="shared" si="18"/>
        <v>Mail-by-Request</v>
      </c>
      <c r="I145" s="492" t="str">
        <f t="shared" si="18"/>
        <v>2_00</v>
      </c>
      <c r="J145" s="492" t="str">
        <f t="shared" si="18"/>
        <v>Electric Water Heating</v>
      </c>
      <c r="K145" s="492" t="str">
        <f t="shared" si="19"/>
        <v>Commercial Showerhead Replacement_Fitness Center_precondition 2_10 to 2_19 gpm_efficient 2_00 gpm_Mail-by-Request_Electric Water Heating</v>
      </c>
      <c r="L145" s="493">
        <f>INDEX(InstallRatesCostAndLifetime!$A$2:$D$6,MATCH(InputForProCost_FitnessCenter!H145,InstallRatesCostAndLifetime!$A$2:$A$6,0),MATCH(InputForProCost_FitnessCenter!I145,InstallRatesCostAndLifetime!$A$2:$D$2,0))</f>
        <v>0.6</v>
      </c>
      <c r="M145" s="493">
        <f t="shared" si="20"/>
        <v>1</v>
      </c>
      <c r="N145" s="492"/>
      <c r="O145" s="492" t="str">
        <f t="shared" si="21"/>
        <v>Fitness Center2_10 to 2_19 gpm2_00</v>
      </c>
      <c r="P145" s="494">
        <f>VLOOKUP($O145,Impacts!$F$27:$Z$59,16,FALSE)</f>
        <v>2803.3365978257589</v>
      </c>
      <c r="Q145" s="494">
        <f>VLOOKUP($O145,Impacts!$F$27:$Z$59,17,FALSE)*L145</f>
        <v>63.202099080351871</v>
      </c>
      <c r="R145" s="495">
        <f>VLOOKUP($O145,Impacts!$F$27:$Z$59,19,FALSE)*L145</f>
        <v>75.010781320662019</v>
      </c>
      <c r="S145" s="496">
        <f>VLOOKUP($O145,Impacts!$F$27:$Z$59,20,FALSE)*L145</f>
        <v>11947.466744868028</v>
      </c>
      <c r="T145" s="497">
        <f>VLOOKUP($O145,Impacts!$F$27:$Z$59,21,FALSE)*L145</f>
        <v>157.26072614986086</v>
      </c>
      <c r="U145" s="492"/>
      <c r="V145" s="492" t="str">
        <f t="shared" si="22"/>
        <v>Commercial Showerhead Replacement_Fitness Center_precondition 2_10 to 2_19 gpm_efficient 2_00 gpm_Mail-by-Request_Electric Water Heating</v>
      </c>
      <c r="W145" s="492" t="s">
        <v>440</v>
      </c>
      <c r="X145" s="494">
        <f t="shared" si="25"/>
        <v>1682.0019586954552</v>
      </c>
      <c r="Y145" s="492">
        <v>10</v>
      </c>
      <c r="Z145" s="498">
        <f t="shared" si="26"/>
        <v>8.1096944444444432</v>
      </c>
      <c r="AA145" s="492"/>
      <c r="AB145" s="499" t="s">
        <v>441</v>
      </c>
      <c r="AC145" s="497">
        <f t="shared" si="27"/>
        <v>157.26072614986086</v>
      </c>
      <c r="AD145" s="492"/>
      <c r="AE145" s="492"/>
      <c r="AF145" s="492"/>
      <c r="AG145" s="492"/>
      <c r="AH145" s="492"/>
      <c r="AI145" s="492"/>
      <c r="AJ145" s="492">
        <f t="shared" si="23"/>
        <v>0</v>
      </c>
      <c r="AK145" s="492" t="s">
        <v>442</v>
      </c>
    </row>
    <row r="146" spans="1:37">
      <c r="A146" s="492">
        <f t="shared" si="24"/>
        <v>128</v>
      </c>
      <c r="B146" s="492">
        <f t="shared" si="30"/>
        <v>5</v>
      </c>
      <c r="C146" s="492">
        <f t="shared" si="30"/>
        <v>3</v>
      </c>
      <c r="D146" s="492">
        <f t="shared" si="30"/>
        <v>1</v>
      </c>
      <c r="E146" s="492">
        <f t="shared" si="16"/>
        <v>2</v>
      </c>
      <c r="F146" s="499" t="s">
        <v>645</v>
      </c>
      <c r="G146" s="499" t="str">
        <f t="shared" si="17"/>
        <v>2_10 to 2_19 gpm</v>
      </c>
      <c r="H146" s="492" t="str">
        <f t="shared" si="18"/>
        <v>Mail-by-Request</v>
      </c>
      <c r="I146" s="492" t="str">
        <f t="shared" si="18"/>
        <v>2_00</v>
      </c>
      <c r="J146" s="492" t="str">
        <f t="shared" si="18"/>
        <v>Gas Water Heating</v>
      </c>
      <c r="K146" s="492" t="str">
        <f t="shared" si="19"/>
        <v>Commercial Showerhead Replacement_Fitness Center_precondition 2_10 to 2_19 gpm_efficient 2_00 gpm_Mail-by-Request_Gas Water Heating</v>
      </c>
      <c r="L146" s="493">
        <f>INDEX(InstallRatesCostAndLifetime!$A$2:$D$6,MATCH(InputForProCost_FitnessCenter!H146,InstallRatesCostAndLifetime!$A$2:$A$6,0),MATCH(InputForProCost_FitnessCenter!I146,InstallRatesCostAndLifetime!$A$2:$D$2,0))</f>
        <v>0.6</v>
      </c>
      <c r="M146" s="493">
        <f t="shared" si="20"/>
        <v>0</v>
      </c>
      <c r="N146" s="492"/>
      <c r="O146" s="492" t="str">
        <f t="shared" si="21"/>
        <v>Fitness Center2_10 to 2_19 gpm2_00</v>
      </c>
      <c r="P146" s="494">
        <f>VLOOKUP($O146,Impacts!$F$27:$Z$59,16,FALSE)</f>
        <v>2803.3365978257589</v>
      </c>
      <c r="Q146" s="494">
        <f>VLOOKUP($O146,Impacts!$F$27:$Z$59,17,FALSE)*L146</f>
        <v>63.202099080351871</v>
      </c>
      <c r="R146" s="495">
        <f>VLOOKUP($O146,Impacts!$F$27:$Z$59,19,FALSE)*L146</f>
        <v>75.010781320662019</v>
      </c>
      <c r="S146" s="496">
        <f>VLOOKUP($O146,Impacts!$F$27:$Z$59,20,FALSE)*L146</f>
        <v>11947.466744868028</v>
      </c>
      <c r="T146" s="497">
        <f>VLOOKUP($O146,Impacts!$F$27:$Z$59,21,FALSE)*L146</f>
        <v>157.26072614986086</v>
      </c>
      <c r="U146" s="492"/>
      <c r="V146" s="492" t="str">
        <f t="shared" si="22"/>
        <v>Commercial Showerhead Replacement_Fitness Center_precondition 2_10 to 2_19 gpm_efficient 2_00 gpm_Mail-by-Request_Gas Water Heating</v>
      </c>
      <c r="W146" s="492" t="s">
        <v>440</v>
      </c>
      <c r="X146" s="494">
        <f t="shared" si="25"/>
        <v>0</v>
      </c>
      <c r="Y146" s="492">
        <v>10</v>
      </c>
      <c r="Z146" s="498">
        <f t="shared" si="26"/>
        <v>8.1096944444444432</v>
      </c>
      <c r="AA146" s="492"/>
      <c r="AB146" s="499" t="s">
        <v>441</v>
      </c>
      <c r="AC146" s="497">
        <f t="shared" si="27"/>
        <v>157.26072614986086</v>
      </c>
      <c r="AD146" s="492"/>
      <c r="AE146" s="492"/>
      <c r="AF146" s="492"/>
      <c r="AG146" s="492"/>
      <c r="AH146" s="492"/>
      <c r="AI146" s="492"/>
      <c r="AJ146" s="492">
        <f t="shared" si="23"/>
        <v>75.010781320662019</v>
      </c>
      <c r="AK146" s="492" t="s">
        <v>442</v>
      </c>
    </row>
    <row r="147" spans="1:37">
      <c r="A147" s="492">
        <f t="shared" si="24"/>
        <v>129</v>
      </c>
      <c r="B147" s="492">
        <f t="shared" si="30"/>
        <v>5</v>
      </c>
      <c r="C147" s="492">
        <f t="shared" si="30"/>
        <v>3</v>
      </c>
      <c r="D147" s="492">
        <f t="shared" si="30"/>
        <v>1</v>
      </c>
      <c r="E147" s="492">
        <f t="shared" ref="E147:E210" si="31">MOD($A147-1,E$17)+1</f>
        <v>3</v>
      </c>
      <c r="F147" s="499" t="s">
        <v>645</v>
      </c>
      <c r="G147" s="499" t="str">
        <f t="shared" ref="G147:G210" si="32">INDEX($G$3:$G$13,B147)</f>
        <v>2_10 to 2_19 gpm</v>
      </c>
      <c r="H147" s="492" t="str">
        <f t="shared" ref="H147:J210" si="33">INDEX(H$3:H$5,C147)</f>
        <v>Mail-by-Request</v>
      </c>
      <c r="I147" s="492" t="str">
        <f t="shared" si="33"/>
        <v>2_00</v>
      </c>
      <c r="J147" s="492" t="str">
        <f t="shared" si="33"/>
        <v>Any Water Heating</v>
      </c>
      <c r="K147" s="492" t="str">
        <f t="shared" ref="K147:K210" si="34">CONCATENATE("Commercial Showerhead Replacement_",F147,"_precondition ",G147,"_efficient ",I147," gpm_", H147,"_",J147)</f>
        <v>Commercial Showerhead Replacement_Fitness Center_precondition 2_10 to 2_19 gpm_efficient 2_00 gpm_Mail-by-Request_Any Water Heating</v>
      </c>
      <c r="L147" s="493">
        <f>INDEX(InstallRatesCostAndLifetime!$A$2:$D$6,MATCH(InputForProCost_FitnessCenter!H147,InstallRatesCostAndLifetime!$A$2:$A$6,0),MATCH(InputForProCost_FitnessCenter!I147,InstallRatesCostAndLifetime!$A$2:$D$2,0))</f>
        <v>0.6</v>
      </c>
      <c r="M147" s="493">
        <f t="shared" ref="M147:M210" si="35">IF(J147="Electric Water Heating",1,IF(J147 = "Gas Water Heating",0,VLOOKUP(F147,table_ElectricSaturation,2,FALSE)))</f>
        <v>0.31666666666666665</v>
      </c>
      <c r="N147" s="492"/>
      <c r="O147" s="492" t="str">
        <f t="shared" ref="O147:O210" si="36">F147&amp;G147&amp;I147</f>
        <v>Fitness Center2_10 to 2_19 gpm2_00</v>
      </c>
      <c r="P147" s="494">
        <f>VLOOKUP($O147,Impacts!$F$27:$Z$59,16,FALSE)</f>
        <v>2803.3365978257589</v>
      </c>
      <c r="Q147" s="494">
        <f>VLOOKUP($O147,Impacts!$F$27:$Z$59,17,FALSE)*L147</f>
        <v>63.202099080351871</v>
      </c>
      <c r="R147" s="495">
        <f>VLOOKUP($O147,Impacts!$F$27:$Z$59,19,FALSE)*L147</f>
        <v>75.010781320662019</v>
      </c>
      <c r="S147" s="496">
        <f>VLOOKUP($O147,Impacts!$F$27:$Z$59,20,FALSE)*L147</f>
        <v>11947.466744868028</v>
      </c>
      <c r="T147" s="497">
        <f>VLOOKUP($O147,Impacts!$F$27:$Z$59,21,FALSE)*L147</f>
        <v>157.26072614986086</v>
      </c>
      <c r="U147" s="492"/>
      <c r="V147" s="492" t="str">
        <f t="shared" ref="V147:V210" si="37">K147</f>
        <v>Commercial Showerhead Replacement_Fitness Center_precondition 2_10 to 2_19 gpm_efficient 2_00 gpm_Mail-by-Request_Any Water Heating</v>
      </c>
      <c r="W147" s="492" t="s">
        <v>440</v>
      </c>
      <c r="X147" s="494">
        <f t="shared" si="25"/>
        <v>532.63395358689411</v>
      </c>
      <c r="Y147" s="492">
        <v>10</v>
      </c>
      <c r="Z147" s="498">
        <f t="shared" si="26"/>
        <v>8.1096944444444432</v>
      </c>
      <c r="AA147" s="492"/>
      <c r="AB147" s="499" t="s">
        <v>441</v>
      </c>
      <c r="AC147" s="497">
        <f t="shared" si="27"/>
        <v>157.26072614986086</v>
      </c>
      <c r="AD147" s="492"/>
      <c r="AE147" s="492"/>
      <c r="AF147" s="492"/>
      <c r="AG147" s="492"/>
      <c r="AH147" s="492"/>
      <c r="AI147" s="492"/>
      <c r="AJ147" s="492">
        <f t="shared" ref="AJ147:AJ210" si="38">IF(S147&gt;0,R147*(1-M147),0)</f>
        <v>51.257367235785715</v>
      </c>
      <c r="AK147" s="492" t="s">
        <v>442</v>
      </c>
    </row>
    <row r="148" spans="1:37">
      <c r="A148" s="492">
        <f t="shared" ref="A148:A211" si="39">A147+1</f>
        <v>130</v>
      </c>
      <c r="B148" s="492">
        <f t="shared" si="30"/>
        <v>5</v>
      </c>
      <c r="C148" s="492">
        <f t="shared" si="30"/>
        <v>3</v>
      </c>
      <c r="D148" s="492">
        <f t="shared" si="30"/>
        <v>2</v>
      </c>
      <c r="E148" s="492">
        <f t="shared" si="31"/>
        <v>1</v>
      </c>
      <c r="F148" s="499" t="s">
        <v>645</v>
      </c>
      <c r="G148" s="499" t="str">
        <f t="shared" si="32"/>
        <v>2_10 to 2_19 gpm</v>
      </c>
      <c r="H148" s="492" t="str">
        <f t="shared" si="33"/>
        <v>Mail-by-Request</v>
      </c>
      <c r="I148" s="492" t="str">
        <f t="shared" si="33"/>
        <v>1_75</v>
      </c>
      <c r="J148" s="492" t="str">
        <f t="shared" si="33"/>
        <v>Electric Water Heating</v>
      </c>
      <c r="K148" s="492" t="str">
        <f t="shared" si="34"/>
        <v>Commercial Showerhead Replacement_Fitness Center_precondition 2_10 to 2_19 gpm_efficient 1_75 gpm_Mail-by-Request_Electric Water Heating</v>
      </c>
      <c r="L148" s="493">
        <f>INDEX(InstallRatesCostAndLifetime!$A$2:$D$6,MATCH(InputForProCost_FitnessCenter!H148,InstallRatesCostAndLifetime!$A$2:$A$6,0),MATCH(InputForProCost_FitnessCenter!I148,InstallRatesCostAndLifetime!$A$2:$D$2,0))</f>
        <v>0.6</v>
      </c>
      <c r="M148" s="493">
        <f t="shared" si="35"/>
        <v>1</v>
      </c>
      <c r="N148" s="492"/>
      <c r="O148" s="492" t="str">
        <f t="shared" si="36"/>
        <v>Fitness Center2_10 to 2_19 gpm1_75</v>
      </c>
      <c r="P148" s="494">
        <f>VLOOKUP($O148,Impacts!$F$27:$Z$59,16,FALSE)</f>
        <v>2976.7975805135356</v>
      </c>
      <c r="Q148" s="494">
        <f>VLOOKUP($O148,Impacts!$F$27:$Z$59,17,FALSE)*L148</f>
        <v>72.230970377544992</v>
      </c>
      <c r="R148" s="495">
        <f>VLOOKUP($O148,Impacts!$F$27:$Z$59,19,FALSE)*L148</f>
        <v>79.652194645822959</v>
      </c>
      <c r="S148" s="496">
        <f>VLOOKUP($O148,Impacts!$F$27:$Z$59,20,FALSE)*L148</f>
        <v>13654.247708420604</v>
      </c>
      <c r="T148" s="497">
        <f>VLOOKUP($O148,Impacts!$F$27:$Z$59,21,FALSE)*L148</f>
        <v>179.72654417126952</v>
      </c>
      <c r="U148" s="492"/>
      <c r="V148" s="492" t="str">
        <f t="shared" si="37"/>
        <v>Commercial Showerhead Replacement_Fitness Center_precondition 2_10 to 2_19 gpm_efficient 1_75 gpm_Mail-by-Request_Electric Water Heating</v>
      </c>
      <c r="W148" s="492" t="s">
        <v>440</v>
      </c>
      <c r="X148" s="494">
        <f t="shared" ref="X148:X211" si="40">(P148*M148*L148)</f>
        <v>1786.0785483081213</v>
      </c>
      <c r="Y148" s="492">
        <v>10</v>
      </c>
      <c r="Z148" s="498">
        <f t="shared" ref="Z148:Z211" si="41">VLOOKUP(H148,table_MeasureCosts,2,FALSE)</f>
        <v>8.1096944444444432</v>
      </c>
      <c r="AA148" s="492"/>
      <c r="AB148" s="499" t="s">
        <v>441</v>
      </c>
      <c r="AC148" s="497">
        <f t="shared" ref="AC148:AC211" si="42">T148</f>
        <v>179.72654417126952</v>
      </c>
      <c r="AD148" s="492"/>
      <c r="AE148" s="492"/>
      <c r="AF148" s="492"/>
      <c r="AG148" s="492"/>
      <c r="AH148" s="492"/>
      <c r="AI148" s="492"/>
      <c r="AJ148" s="492">
        <f t="shared" si="38"/>
        <v>0</v>
      </c>
      <c r="AK148" s="492" t="s">
        <v>442</v>
      </c>
    </row>
    <row r="149" spans="1:37">
      <c r="A149" s="492">
        <f t="shared" si="39"/>
        <v>131</v>
      </c>
      <c r="B149" s="492">
        <f t="shared" si="30"/>
        <v>5</v>
      </c>
      <c r="C149" s="492">
        <f t="shared" si="30"/>
        <v>3</v>
      </c>
      <c r="D149" s="492">
        <f t="shared" si="30"/>
        <v>2</v>
      </c>
      <c r="E149" s="492">
        <f t="shared" si="31"/>
        <v>2</v>
      </c>
      <c r="F149" s="499" t="s">
        <v>645</v>
      </c>
      <c r="G149" s="499" t="str">
        <f t="shared" si="32"/>
        <v>2_10 to 2_19 gpm</v>
      </c>
      <c r="H149" s="492" t="str">
        <f t="shared" si="33"/>
        <v>Mail-by-Request</v>
      </c>
      <c r="I149" s="492" t="str">
        <f t="shared" si="33"/>
        <v>1_75</v>
      </c>
      <c r="J149" s="492" t="str">
        <f t="shared" si="33"/>
        <v>Gas Water Heating</v>
      </c>
      <c r="K149" s="492" t="str">
        <f t="shared" si="34"/>
        <v>Commercial Showerhead Replacement_Fitness Center_precondition 2_10 to 2_19 gpm_efficient 1_75 gpm_Mail-by-Request_Gas Water Heating</v>
      </c>
      <c r="L149" s="493">
        <f>INDEX(InstallRatesCostAndLifetime!$A$2:$D$6,MATCH(InputForProCost_FitnessCenter!H149,InstallRatesCostAndLifetime!$A$2:$A$6,0),MATCH(InputForProCost_FitnessCenter!I149,InstallRatesCostAndLifetime!$A$2:$D$2,0))</f>
        <v>0.6</v>
      </c>
      <c r="M149" s="493">
        <f t="shared" si="35"/>
        <v>0</v>
      </c>
      <c r="N149" s="492"/>
      <c r="O149" s="492" t="str">
        <f t="shared" si="36"/>
        <v>Fitness Center2_10 to 2_19 gpm1_75</v>
      </c>
      <c r="P149" s="494">
        <f>VLOOKUP($O149,Impacts!$F$27:$Z$59,16,FALSE)</f>
        <v>2976.7975805135356</v>
      </c>
      <c r="Q149" s="494">
        <f>VLOOKUP($O149,Impacts!$F$27:$Z$59,17,FALSE)*L149</f>
        <v>72.230970377544992</v>
      </c>
      <c r="R149" s="495">
        <f>VLOOKUP($O149,Impacts!$F$27:$Z$59,19,FALSE)*L149</f>
        <v>79.652194645822959</v>
      </c>
      <c r="S149" s="496">
        <f>VLOOKUP($O149,Impacts!$F$27:$Z$59,20,FALSE)*L149</f>
        <v>13654.247708420604</v>
      </c>
      <c r="T149" s="497">
        <f>VLOOKUP($O149,Impacts!$F$27:$Z$59,21,FALSE)*L149</f>
        <v>179.72654417126952</v>
      </c>
      <c r="U149" s="492"/>
      <c r="V149" s="492" t="str">
        <f t="shared" si="37"/>
        <v>Commercial Showerhead Replacement_Fitness Center_precondition 2_10 to 2_19 gpm_efficient 1_75 gpm_Mail-by-Request_Gas Water Heating</v>
      </c>
      <c r="W149" s="492" t="s">
        <v>440</v>
      </c>
      <c r="X149" s="494">
        <f t="shared" si="40"/>
        <v>0</v>
      </c>
      <c r="Y149" s="492">
        <v>10</v>
      </c>
      <c r="Z149" s="498">
        <f t="shared" si="41"/>
        <v>8.1096944444444432</v>
      </c>
      <c r="AA149" s="492"/>
      <c r="AB149" s="499" t="s">
        <v>441</v>
      </c>
      <c r="AC149" s="497">
        <f t="shared" si="42"/>
        <v>179.72654417126952</v>
      </c>
      <c r="AD149" s="492"/>
      <c r="AE149" s="492"/>
      <c r="AF149" s="492"/>
      <c r="AG149" s="492"/>
      <c r="AH149" s="492"/>
      <c r="AI149" s="492"/>
      <c r="AJ149" s="492">
        <f t="shared" si="38"/>
        <v>79.652194645822959</v>
      </c>
      <c r="AK149" s="492" t="s">
        <v>442</v>
      </c>
    </row>
    <row r="150" spans="1:37">
      <c r="A150" s="492">
        <f t="shared" si="39"/>
        <v>132</v>
      </c>
      <c r="B150" s="492">
        <f t="shared" si="30"/>
        <v>5</v>
      </c>
      <c r="C150" s="492">
        <f t="shared" si="30"/>
        <v>3</v>
      </c>
      <c r="D150" s="492">
        <f t="shared" si="30"/>
        <v>2</v>
      </c>
      <c r="E150" s="492">
        <f t="shared" si="31"/>
        <v>3</v>
      </c>
      <c r="F150" s="499" t="s">
        <v>645</v>
      </c>
      <c r="G150" s="499" t="str">
        <f t="shared" si="32"/>
        <v>2_10 to 2_19 gpm</v>
      </c>
      <c r="H150" s="492" t="str">
        <f t="shared" si="33"/>
        <v>Mail-by-Request</v>
      </c>
      <c r="I150" s="492" t="str">
        <f t="shared" si="33"/>
        <v>1_75</v>
      </c>
      <c r="J150" s="492" t="str">
        <f t="shared" si="33"/>
        <v>Any Water Heating</v>
      </c>
      <c r="K150" s="492" t="str">
        <f t="shared" si="34"/>
        <v>Commercial Showerhead Replacement_Fitness Center_precondition 2_10 to 2_19 gpm_efficient 1_75 gpm_Mail-by-Request_Any Water Heating</v>
      </c>
      <c r="L150" s="493">
        <f>INDEX(InstallRatesCostAndLifetime!$A$2:$D$6,MATCH(InputForProCost_FitnessCenter!H150,InstallRatesCostAndLifetime!$A$2:$A$6,0),MATCH(InputForProCost_FitnessCenter!I150,InstallRatesCostAndLifetime!$A$2:$D$2,0))</f>
        <v>0.6</v>
      </c>
      <c r="M150" s="493">
        <f t="shared" si="35"/>
        <v>0.31666666666666665</v>
      </c>
      <c r="N150" s="492"/>
      <c r="O150" s="492" t="str">
        <f t="shared" si="36"/>
        <v>Fitness Center2_10 to 2_19 gpm1_75</v>
      </c>
      <c r="P150" s="494">
        <f>VLOOKUP($O150,Impacts!$F$27:$Z$59,16,FALSE)</f>
        <v>2976.7975805135356</v>
      </c>
      <c r="Q150" s="494">
        <f>VLOOKUP($O150,Impacts!$F$27:$Z$59,17,FALSE)*L150</f>
        <v>72.230970377544992</v>
      </c>
      <c r="R150" s="495">
        <f>VLOOKUP($O150,Impacts!$F$27:$Z$59,19,FALSE)*L150</f>
        <v>79.652194645822959</v>
      </c>
      <c r="S150" s="496">
        <f>VLOOKUP($O150,Impacts!$F$27:$Z$59,20,FALSE)*L150</f>
        <v>13654.247708420604</v>
      </c>
      <c r="T150" s="497">
        <f>VLOOKUP($O150,Impacts!$F$27:$Z$59,21,FALSE)*L150</f>
        <v>179.72654417126952</v>
      </c>
      <c r="U150" s="492"/>
      <c r="V150" s="492" t="str">
        <f t="shared" si="37"/>
        <v>Commercial Showerhead Replacement_Fitness Center_precondition 2_10 to 2_19 gpm_efficient 1_75 gpm_Mail-by-Request_Any Water Heating</v>
      </c>
      <c r="W150" s="492" t="s">
        <v>440</v>
      </c>
      <c r="X150" s="494">
        <f t="shared" si="40"/>
        <v>565.59154029757167</v>
      </c>
      <c r="Y150" s="492">
        <v>10</v>
      </c>
      <c r="Z150" s="498">
        <f t="shared" si="41"/>
        <v>8.1096944444444432</v>
      </c>
      <c r="AA150" s="492"/>
      <c r="AB150" s="499" t="s">
        <v>441</v>
      </c>
      <c r="AC150" s="497">
        <f t="shared" si="42"/>
        <v>179.72654417126952</v>
      </c>
      <c r="AD150" s="492"/>
      <c r="AE150" s="492"/>
      <c r="AF150" s="492"/>
      <c r="AG150" s="492"/>
      <c r="AH150" s="492"/>
      <c r="AI150" s="492"/>
      <c r="AJ150" s="492">
        <f t="shared" si="38"/>
        <v>54.428999674645688</v>
      </c>
      <c r="AK150" s="492" t="s">
        <v>442</v>
      </c>
    </row>
    <row r="151" spans="1:37">
      <c r="A151" s="492">
        <f t="shared" si="39"/>
        <v>133</v>
      </c>
      <c r="B151" s="492">
        <f t="shared" si="30"/>
        <v>5</v>
      </c>
      <c r="C151" s="492">
        <f t="shared" si="30"/>
        <v>3</v>
      </c>
      <c r="D151" s="492">
        <f t="shared" si="30"/>
        <v>3</v>
      </c>
      <c r="E151" s="492">
        <f t="shared" si="31"/>
        <v>1</v>
      </c>
      <c r="F151" s="499" t="s">
        <v>645</v>
      </c>
      <c r="G151" s="499" t="str">
        <f t="shared" si="32"/>
        <v>2_10 to 2_19 gpm</v>
      </c>
      <c r="H151" s="492" t="str">
        <f t="shared" si="33"/>
        <v>Mail-by-Request</v>
      </c>
      <c r="I151" s="492" t="str">
        <f t="shared" si="33"/>
        <v>1_50</v>
      </c>
      <c r="J151" s="492" t="str">
        <f t="shared" si="33"/>
        <v>Electric Water Heating</v>
      </c>
      <c r="K151" s="492" t="str">
        <f t="shared" si="34"/>
        <v>Commercial Showerhead Replacement_Fitness Center_precondition 2_10 to 2_19 gpm_efficient 1_50 gpm_Mail-by-Request_Electric Water Heating</v>
      </c>
      <c r="L151" s="493">
        <f>INDEX(InstallRatesCostAndLifetime!$A$2:$D$6,MATCH(InputForProCost_FitnessCenter!H151,InstallRatesCostAndLifetime!$A$2:$A$6,0),MATCH(InputForProCost_FitnessCenter!I151,InstallRatesCostAndLifetime!$A$2:$D$2,0))</f>
        <v>0.6</v>
      </c>
      <c r="M151" s="493">
        <f t="shared" si="35"/>
        <v>1</v>
      </c>
      <c r="N151" s="492"/>
      <c r="O151" s="492" t="str">
        <f t="shared" si="36"/>
        <v>Fitness Center2_10 to 2_19 gpm1_50</v>
      </c>
      <c r="P151" s="494">
        <f>VLOOKUP($O151,Impacts!$F$27:$Z$59,16,FALSE)</f>
        <v>4776.1316546628732</v>
      </c>
      <c r="Q151" s="494">
        <f>VLOOKUP($O151,Impacts!$F$27:$Z$59,17,FALSE)*L151</f>
        <v>117.37532686351062</v>
      </c>
      <c r="R151" s="495">
        <f>VLOOKUP($O151,Impacts!$F$27:$Z$59,19,FALSE)*L151</f>
        <v>127.79819854114999</v>
      </c>
      <c r="S151" s="496">
        <f>VLOOKUP($O151,Impacts!$F$27:$Z$59,20,FALSE)*L151</f>
        <v>22188.152526183483</v>
      </c>
      <c r="T151" s="497">
        <f>VLOOKUP($O151,Impacts!$F$27:$Z$59,21,FALSE)*L151</f>
        <v>292.05563427831305</v>
      </c>
      <c r="U151" s="492"/>
      <c r="V151" s="492" t="str">
        <f t="shared" si="37"/>
        <v>Commercial Showerhead Replacement_Fitness Center_precondition 2_10 to 2_19 gpm_efficient 1_50 gpm_Mail-by-Request_Electric Water Heating</v>
      </c>
      <c r="W151" s="492" t="s">
        <v>440</v>
      </c>
      <c r="X151" s="494">
        <f t="shared" si="40"/>
        <v>2865.6789927977238</v>
      </c>
      <c r="Y151" s="492">
        <v>10</v>
      </c>
      <c r="Z151" s="498">
        <f t="shared" si="41"/>
        <v>8.1096944444444432</v>
      </c>
      <c r="AA151" s="492"/>
      <c r="AB151" s="499" t="s">
        <v>441</v>
      </c>
      <c r="AC151" s="497">
        <f t="shared" si="42"/>
        <v>292.05563427831305</v>
      </c>
      <c r="AD151" s="492"/>
      <c r="AE151" s="492"/>
      <c r="AF151" s="492"/>
      <c r="AG151" s="492"/>
      <c r="AH151" s="492"/>
      <c r="AI151" s="492"/>
      <c r="AJ151" s="492">
        <f t="shared" si="38"/>
        <v>0</v>
      </c>
      <c r="AK151" s="492" t="s">
        <v>442</v>
      </c>
    </row>
    <row r="152" spans="1:37">
      <c r="A152" s="492">
        <f t="shared" si="39"/>
        <v>134</v>
      </c>
      <c r="B152" s="492">
        <f t="shared" si="30"/>
        <v>5</v>
      </c>
      <c r="C152" s="492">
        <f t="shared" si="30"/>
        <v>3</v>
      </c>
      <c r="D152" s="492">
        <f t="shared" si="30"/>
        <v>3</v>
      </c>
      <c r="E152" s="492">
        <f t="shared" si="31"/>
        <v>2</v>
      </c>
      <c r="F152" s="499" t="s">
        <v>645</v>
      </c>
      <c r="G152" s="499" t="str">
        <f t="shared" si="32"/>
        <v>2_10 to 2_19 gpm</v>
      </c>
      <c r="H152" s="492" t="str">
        <f t="shared" si="33"/>
        <v>Mail-by-Request</v>
      </c>
      <c r="I152" s="492" t="str">
        <f t="shared" si="33"/>
        <v>1_50</v>
      </c>
      <c r="J152" s="492" t="str">
        <f t="shared" si="33"/>
        <v>Gas Water Heating</v>
      </c>
      <c r="K152" s="492" t="str">
        <f t="shared" si="34"/>
        <v>Commercial Showerhead Replacement_Fitness Center_precondition 2_10 to 2_19 gpm_efficient 1_50 gpm_Mail-by-Request_Gas Water Heating</v>
      </c>
      <c r="L152" s="493">
        <f>INDEX(InstallRatesCostAndLifetime!$A$2:$D$6,MATCH(InputForProCost_FitnessCenter!H152,InstallRatesCostAndLifetime!$A$2:$A$6,0),MATCH(InputForProCost_FitnessCenter!I152,InstallRatesCostAndLifetime!$A$2:$D$2,0))</f>
        <v>0.6</v>
      </c>
      <c r="M152" s="493">
        <f t="shared" si="35"/>
        <v>0</v>
      </c>
      <c r="N152" s="492"/>
      <c r="O152" s="492" t="str">
        <f t="shared" si="36"/>
        <v>Fitness Center2_10 to 2_19 gpm1_50</v>
      </c>
      <c r="P152" s="494">
        <f>VLOOKUP($O152,Impacts!$F$27:$Z$59,16,FALSE)</f>
        <v>4776.1316546628732</v>
      </c>
      <c r="Q152" s="494">
        <f>VLOOKUP($O152,Impacts!$F$27:$Z$59,17,FALSE)*L152</f>
        <v>117.37532686351062</v>
      </c>
      <c r="R152" s="495">
        <f>VLOOKUP($O152,Impacts!$F$27:$Z$59,19,FALSE)*L152</f>
        <v>127.79819854114999</v>
      </c>
      <c r="S152" s="496">
        <f>VLOOKUP($O152,Impacts!$F$27:$Z$59,20,FALSE)*L152</f>
        <v>22188.152526183483</v>
      </c>
      <c r="T152" s="497">
        <f>VLOOKUP($O152,Impacts!$F$27:$Z$59,21,FALSE)*L152</f>
        <v>292.05563427831305</v>
      </c>
      <c r="U152" s="492"/>
      <c r="V152" s="492" t="str">
        <f t="shared" si="37"/>
        <v>Commercial Showerhead Replacement_Fitness Center_precondition 2_10 to 2_19 gpm_efficient 1_50 gpm_Mail-by-Request_Gas Water Heating</v>
      </c>
      <c r="W152" s="492" t="s">
        <v>440</v>
      </c>
      <c r="X152" s="494">
        <f t="shared" si="40"/>
        <v>0</v>
      </c>
      <c r="Y152" s="492">
        <v>10</v>
      </c>
      <c r="Z152" s="498">
        <f t="shared" si="41"/>
        <v>8.1096944444444432</v>
      </c>
      <c r="AA152" s="492"/>
      <c r="AB152" s="499" t="s">
        <v>441</v>
      </c>
      <c r="AC152" s="497">
        <f t="shared" si="42"/>
        <v>292.05563427831305</v>
      </c>
      <c r="AD152" s="492"/>
      <c r="AE152" s="492"/>
      <c r="AF152" s="492"/>
      <c r="AG152" s="492"/>
      <c r="AH152" s="492"/>
      <c r="AI152" s="492"/>
      <c r="AJ152" s="492">
        <f t="shared" si="38"/>
        <v>127.79819854114999</v>
      </c>
      <c r="AK152" s="492" t="s">
        <v>442</v>
      </c>
    </row>
    <row r="153" spans="1:37">
      <c r="A153" s="492">
        <f t="shared" si="39"/>
        <v>135</v>
      </c>
      <c r="B153" s="492">
        <f t="shared" si="30"/>
        <v>5</v>
      </c>
      <c r="C153" s="492">
        <f t="shared" si="30"/>
        <v>3</v>
      </c>
      <c r="D153" s="492">
        <f t="shared" si="30"/>
        <v>3</v>
      </c>
      <c r="E153" s="492">
        <f t="shared" si="31"/>
        <v>3</v>
      </c>
      <c r="F153" s="499" t="s">
        <v>645</v>
      </c>
      <c r="G153" s="499" t="str">
        <f t="shared" si="32"/>
        <v>2_10 to 2_19 gpm</v>
      </c>
      <c r="H153" s="492" t="str">
        <f t="shared" si="33"/>
        <v>Mail-by-Request</v>
      </c>
      <c r="I153" s="492" t="str">
        <f t="shared" si="33"/>
        <v>1_50</v>
      </c>
      <c r="J153" s="492" t="str">
        <f t="shared" si="33"/>
        <v>Any Water Heating</v>
      </c>
      <c r="K153" s="492" t="str">
        <f t="shared" si="34"/>
        <v>Commercial Showerhead Replacement_Fitness Center_precondition 2_10 to 2_19 gpm_efficient 1_50 gpm_Mail-by-Request_Any Water Heating</v>
      </c>
      <c r="L153" s="493">
        <f>INDEX(InstallRatesCostAndLifetime!$A$2:$D$6,MATCH(InputForProCost_FitnessCenter!H153,InstallRatesCostAndLifetime!$A$2:$A$6,0),MATCH(InputForProCost_FitnessCenter!I153,InstallRatesCostAndLifetime!$A$2:$D$2,0))</f>
        <v>0.6</v>
      </c>
      <c r="M153" s="493">
        <f t="shared" si="35"/>
        <v>0.31666666666666665</v>
      </c>
      <c r="N153" s="492"/>
      <c r="O153" s="492" t="str">
        <f t="shared" si="36"/>
        <v>Fitness Center2_10 to 2_19 gpm1_50</v>
      </c>
      <c r="P153" s="494">
        <f>VLOOKUP($O153,Impacts!$F$27:$Z$59,16,FALSE)</f>
        <v>4776.1316546628732</v>
      </c>
      <c r="Q153" s="494">
        <f>VLOOKUP($O153,Impacts!$F$27:$Z$59,17,FALSE)*L153</f>
        <v>117.37532686351062</v>
      </c>
      <c r="R153" s="495">
        <f>VLOOKUP($O153,Impacts!$F$27:$Z$59,19,FALSE)*L153</f>
        <v>127.79819854114999</v>
      </c>
      <c r="S153" s="496">
        <f>VLOOKUP($O153,Impacts!$F$27:$Z$59,20,FALSE)*L153</f>
        <v>22188.152526183483</v>
      </c>
      <c r="T153" s="497">
        <f>VLOOKUP($O153,Impacts!$F$27:$Z$59,21,FALSE)*L153</f>
        <v>292.05563427831305</v>
      </c>
      <c r="U153" s="492"/>
      <c r="V153" s="492" t="str">
        <f t="shared" si="37"/>
        <v>Commercial Showerhead Replacement_Fitness Center_precondition 2_10 to 2_19 gpm_efficient 1_50 gpm_Mail-by-Request_Any Water Heating</v>
      </c>
      <c r="W153" s="492" t="s">
        <v>440</v>
      </c>
      <c r="X153" s="494">
        <f t="shared" si="40"/>
        <v>907.46501438594589</v>
      </c>
      <c r="Y153" s="492">
        <v>10</v>
      </c>
      <c r="Z153" s="498">
        <f t="shared" si="41"/>
        <v>8.1096944444444432</v>
      </c>
      <c r="AA153" s="492"/>
      <c r="AB153" s="499" t="s">
        <v>441</v>
      </c>
      <c r="AC153" s="497">
        <f t="shared" si="42"/>
        <v>292.05563427831305</v>
      </c>
      <c r="AD153" s="492"/>
      <c r="AE153" s="492"/>
      <c r="AF153" s="492"/>
      <c r="AG153" s="492"/>
      <c r="AH153" s="492"/>
      <c r="AI153" s="492"/>
      <c r="AJ153" s="492">
        <f t="shared" si="38"/>
        <v>87.328769003119163</v>
      </c>
      <c r="AK153" s="492" t="s">
        <v>442</v>
      </c>
    </row>
    <row r="154" spans="1:37">
      <c r="A154" s="492">
        <f t="shared" si="39"/>
        <v>136</v>
      </c>
      <c r="B154" s="492">
        <f t="shared" si="30"/>
        <v>6</v>
      </c>
      <c r="C154" s="492">
        <f t="shared" si="30"/>
        <v>1</v>
      </c>
      <c r="D154" s="492">
        <f t="shared" si="30"/>
        <v>1</v>
      </c>
      <c r="E154" s="492">
        <f t="shared" si="31"/>
        <v>1</v>
      </c>
      <c r="F154" s="499" t="s">
        <v>645</v>
      </c>
      <c r="G154" s="499" t="str">
        <f t="shared" si="32"/>
        <v>2_00 to 2_09 gpm</v>
      </c>
      <c r="H154" s="492" t="str">
        <f t="shared" si="33"/>
        <v>Retail</v>
      </c>
      <c r="I154" s="492" t="str">
        <f t="shared" si="33"/>
        <v>2_00</v>
      </c>
      <c r="J154" s="492" t="str">
        <f t="shared" si="33"/>
        <v>Electric Water Heating</v>
      </c>
      <c r="K154" s="492" t="str">
        <f t="shared" si="34"/>
        <v>Commercial Showerhead Replacement_Fitness Center_precondition 2_00 to 2_09 gpm_efficient 2_00 gpm_Retail_Electric Water Heating</v>
      </c>
      <c r="L154" s="493">
        <f>INDEX(InstallRatesCostAndLifetime!$A$2:$D$6,MATCH(InputForProCost_FitnessCenter!H154,InstallRatesCostAndLifetime!$A$2:$A$6,0),MATCH(InputForProCost_FitnessCenter!I154,InstallRatesCostAndLifetime!$A$2:$D$2,0))</f>
        <v>0.8</v>
      </c>
      <c r="M154" s="493">
        <f t="shared" si="35"/>
        <v>1</v>
      </c>
      <c r="N154" s="492"/>
      <c r="O154" s="492" t="str">
        <f t="shared" si="36"/>
        <v>Fitness Center2_00 to 2_09 gpm2_00</v>
      </c>
      <c r="P154" s="494">
        <f>VLOOKUP($O154,Impacts!$F$27:$Z$59,16,FALSE)</f>
        <v>2018.3609269162935</v>
      </c>
      <c r="Q154" s="494">
        <f>VLOOKUP($O154,Impacts!$F$27:$Z$59,17,FALSE)*L154</f>
        <v>60.19247531462085</v>
      </c>
      <c r="R154" s="495">
        <f>VLOOKUP($O154,Impacts!$F$27:$Z$59,19,FALSE)*L154</f>
        <v>72.008872204886217</v>
      </c>
      <c r="S154" s="496">
        <f>VLOOKUP($O154,Impacts!$F$27:$Z$59,20,FALSE)*L154</f>
        <v>11378.539757017175</v>
      </c>
      <c r="T154" s="497">
        <f>VLOOKUP($O154,Impacts!$F$27:$Z$59,21,FALSE)*L154</f>
        <v>149.77212014272467</v>
      </c>
      <c r="U154" s="492"/>
      <c r="V154" s="492" t="str">
        <f t="shared" si="37"/>
        <v>Commercial Showerhead Replacement_Fitness Center_precondition 2_00 to 2_09 gpm_efficient 2_00 gpm_Retail_Electric Water Heating</v>
      </c>
      <c r="W154" s="492" t="s">
        <v>440</v>
      </c>
      <c r="X154" s="494">
        <f t="shared" si="40"/>
        <v>1614.6887415330348</v>
      </c>
      <c r="Y154" s="492">
        <v>10</v>
      </c>
      <c r="Z154" s="498">
        <f t="shared" si="41"/>
        <v>3.2966774171383419</v>
      </c>
      <c r="AA154" s="492"/>
      <c r="AB154" s="499" t="s">
        <v>441</v>
      </c>
      <c r="AC154" s="497">
        <f t="shared" si="42"/>
        <v>149.77212014272467</v>
      </c>
      <c r="AD154" s="492"/>
      <c r="AE154" s="492"/>
      <c r="AF154" s="492"/>
      <c r="AG154" s="492"/>
      <c r="AH154" s="492"/>
      <c r="AI154" s="492"/>
      <c r="AJ154" s="492">
        <f t="shared" si="38"/>
        <v>0</v>
      </c>
      <c r="AK154" s="492" t="s">
        <v>442</v>
      </c>
    </row>
    <row r="155" spans="1:37">
      <c r="A155" s="492">
        <f t="shared" si="39"/>
        <v>137</v>
      </c>
      <c r="B155" s="492">
        <f t="shared" si="30"/>
        <v>6</v>
      </c>
      <c r="C155" s="492">
        <f t="shared" si="30"/>
        <v>1</v>
      </c>
      <c r="D155" s="492">
        <f t="shared" si="30"/>
        <v>1</v>
      </c>
      <c r="E155" s="492">
        <f t="shared" si="31"/>
        <v>2</v>
      </c>
      <c r="F155" s="499" t="s">
        <v>645</v>
      </c>
      <c r="G155" s="499" t="str">
        <f t="shared" si="32"/>
        <v>2_00 to 2_09 gpm</v>
      </c>
      <c r="H155" s="492" t="str">
        <f t="shared" si="33"/>
        <v>Retail</v>
      </c>
      <c r="I155" s="492" t="str">
        <f t="shared" si="33"/>
        <v>2_00</v>
      </c>
      <c r="J155" s="492" t="str">
        <f t="shared" si="33"/>
        <v>Gas Water Heating</v>
      </c>
      <c r="K155" s="492" t="str">
        <f t="shared" si="34"/>
        <v>Commercial Showerhead Replacement_Fitness Center_precondition 2_00 to 2_09 gpm_efficient 2_00 gpm_Retail_Gas Water Heating</v>
      </c>
      <c r="L155" s="493">
        <f>INDEX(InstallRatesCostAndLifetime!$A$2:$D$6,MATCH(InputForProCost_FitnessCenter!H155,InstallRatesCostAndLifetime!$A$2:$A$6,0),MATCH(InputForProCost_FitnessCenter!I155,InstallRatesCostAndLifetime!$A$2:$D$2,0))</f>
        <v>0.8</v>
      </c>
      <c r="M155" s="493">
        <f t="shared" si="35"/>
        <v>0</v>
      </c>
      <c r="N155" s="492"/>
      <c r="O155" s="492" t="str">
        <f t="shared" si="36"/>
        <v>Fitness Center2_00 to 2_09 gpm2_00</v>
      </c>
      <c r="P155" s="494">
        <f>VLOOKUP($O155,Impacts!$F$27:$Z$59,16,FALSE)</f>
        <v>2018.3609269162935</v>
      </c>
      <c r="Q155" s="494">
        <f>VLOOKUP($O155,Impacts!$F$27:$Z$59,17,FALSE)*L155</f>
        <v>60.19247531462085</v>
      </c>
      <c r="R155" s="495">
        <f>VLOOKUP($O155,Impacts!$F$27:$Z$59,19,FALSE)*L155</f>
        <v>72.008872204886217</v>
      </c>
      <c r="S155" s="496">
        <f>VLOOKUP($O155,Impacts!$F$27:$Z$59,20,FALSE)*L155</f>
        <v>11378.539757017175</v>
      </c>
      <c r="T155" s="497">
        <f>VLOOKUP($O155,Impacts!$F$27:$Z$59,21,FALSE)*L155</f>
        <v>149.77212014272467</v>
      </c>
      <c r="U155" s="492"/>
      <c r="V155" s="492" t="str">
        <f t="shared" si="37"/>
        <v>Commercial Showerhead Replacement_Fitness Center_precondition 2_00 to 2_09 gpm_efficient 2_00 gpm_Retail_Gas Water Heating</v>
      </c>
      <c r="W155" s="492" t="s">
        <v>440</v>
      </c>
      <c r="X155" s="494">
        <f t="shared" si="40"/>
        <v>0</v>
      </c>
      <c r="Y155" s="492">
        <v>10</v>
      </c>
      <c r="Z155" s="498">
        <f t="shared" si="41"/>
        <v>3.2966774171383419</v>
      </c>
      <c r="AA155" s="492"/>
      <c r="AB155" s="499" t="s">
        <v>441</v>
      </c>
      <c r="AC155" s="497">
        <f t="shared" si="42"/>
        <v>149.77212014272467</v>
      </c>
      <c r="AD155" s="492"/>
      <c r="AE155" s="492"/>
      <c r="AF155" s="492"/>
      <c r="AG155" s="492"/>
      <c r="AH155" s="492"/>
      <c r="AI155" s="492"/>
      <c r="AJ155" s="492">
        <f t="shared" si="38"/>
        <v>72.008872204886217</v>
      </c>
      <c r="AK155" s="492" t="s">
        <v>442</v>
      </c>
    </row>
    <row r="156" spans="1:37">
      <c r="A156" s="492">
        <f t="shared" si="39"/>
        <v>138</v>
      </c>
      <c r="B156" s="492">
        <f t="shared" si="30"/>
        <v>6</v>
      </c>
      <c r="C156" s="492">
        <f t="shared" si="30"/>
        <v>1</v>
      </c>
      <c r="D156" s="492">
        <f t="shared" si="30"/>
        <v>1</v>
      </c>
      <c r="E156" s="492">
        <f t="shared" si="31"/>
        <v>3</v>
      </c>
      <c r="F156" s="499" t="s">
        <v>645</v>
      </c>
      <c r="G156" s="499" t="str">
        <f t="shared" si="32"/>
        <v>2_00 to 2_09 gpm</v>
      </c>
      <c r="H156" s="492" t="str">
        <f t="shared" si="33"/>
        <v>Retail</v>
      </c>
      <c r="I156" s="492" t="str">
        <f t="shared" si="33"/>
        <v>2_00</v>
      </c>
      <c r="J156" s="492" t="str">
        <f t="shared" si="33"/>
        <v>Any Water Heating</v>
      </c>
      <c r="K156" s="492" t="str">
        <f t="shared" si="34"/>
        <v>Commercial Showerhead Replacement_Fitness Center_precondition 2_00 to 2_09 gpm_efficient 2_00 gpm_Retail_Any Water Heating</v>
      </c>
      <c r="L156" s="493">
        <f>INDEX(InstallRatesCostAndLifetime!$A$2:$D$6,MATCH(InputForProCost_FitnessCenter!H156,InstallRatesCostAndLifetime!$A$2:$A$6,0),MATCH(InputForProCost_FitnessCenter!I156,InstallRatesCostAndLifetime!$A$2:$D$2,0))</f>
        <v>0.8</v>
      </c>
      <c r="M156" s="493">
        <f t="shared" si="35"/>
        <v>0.31666666666666665</v>
      </c>
      <c r="N156" s="492"/>
      <c r="O156" s="492" t="str">
        <f t="shared" si="36"/>
        <v>Fitness Center2_00 to 2_09 gpm2_00</v>
      </c>
      <c r="P156" s="494">
        <f>VLOOKUP($O156,Impacts!$F$27:$Z$59,16,FALSE)</f>
        <v>2018.3609269162935</v>
      </c>
      <c r="Q156" s="494">
        <f>VLOOKUP($O156,Impacts!$F$27:$Z$59,17,FALSE)*L156</f>
        <v>60.19247531462085</v>
      </c>
      <c r="R156" s="495">
        <f>VLOOKUP($O156,Impacts!$F$27:$Z$59,19,FALSE)*L156</f>
        <v>72.008872204886217</v>
      </c>
      <c r="S156" s="496">
        <f>VLOOKUP($O156,Impacts!$F$27:$Z$59,20,FALSE)*L156</f>
        <v>11378.539757017175</v>
      </c>
      <c r="T156" s="497">
        <f>VLOOKUP($O156,Impacts!$F$27:$Z$59,21,FALSE)*L156</f>
        <v>149.77212014272467</v>
      </c>
      <c r="U156" s="492"/>
      <c r="V156" s="492" t="str">
        <f t="shared" si="37"/>
        <v>Commercial Showerhead Replacement_Fitness Center_precondition 2_00 to 2_09 gpm_efficient 2_00 gpm_Retail_Any Water Heating</v>
      </c>
      <c r="W156" s="492" t="s">
        <v>440</v>
      </c>
      <c r="X156" s="494">
        <f t="shared" si="40"/>
        <v>511.31810148546106</v>
      </c>
      <c r="Y156" s="492">
        <v>10</v>
      </c>
      <c r="Z156" s="498">
        <f t="shared" si="41"/>
        <v>3.2966774171383419</v>
      </c>
      <c r="AA156" s="492"/>
      <c r="AB156" s="499" t="s">
        <v>441</v>
      </c>
      <c r="AC156" s="497">
        <f t="shared" si="42"/>
        <v>149.77212014272467</v>
      </c>
      <c r="AD156" s="492"/>
      <c r="AE156" s="492"/>
      <c r="AF156" s="492"/>
      <c r="AG156" s="492"/>
      <c r="AH156" s="492"/>
      <c r="AI156" s="492"/>
      <c r="AJ156" s="492">
        <f t="shared" si="38"/>
        <v>49.206062673338913</v>
      </c>
      <c r="AK156" s="492" t="s">
        <v>442</v>
      </c>
    </row>
    <row r="157" spans="1:37">
      <c r="A157" s="492">
        <f t="shared" si="39"/>
        <v>139</v>
      </c>
      <c r="B157" s="492">
        <f t="shared" si="30"/>
        <v>6</v>
      </c>
      <c r="C157" s="492">
        <f t="shared" si="30"/>
        <v>1</v>
      </c>
      <c r="D157" s="492">
        <f t="shared" si="30"/>
        <v>2</v>
      </c>
      <c r="E157" s="492">
        <f t="shared" si="31"/>
        <v>1</v>
      </c>
      <c r="F157" s="499" t="s">
        <v>645</v>
      </c>
      <c r="G157" s="499" t="str">
        <f t="shared" si="32"/>
        <v>2_00 to 2_09 gpm</v>
      </c>
      <c r="H157" s="492" t="str">
        <f t="shared" si="33"/>
        <v>Retail</v>
      </c>
      <c r="I157" s="492" t="str">
        <f t="shared" si="33"/>
        <v>1_75</v>
      </c>
      <c r="J157" s="492" t="str">
        <f t="shared" si="33"/>
        <v>Electric Water Heating</v>
      </c>
      <c r="K157" s="492" t="str">
        <f t="shared" si="34"/>
        <v>Commercial Showerhead Replacement_Fitness Center_precondition 2_00 to 2_09 gpm_efficient 1_75 gpm_Retail_Electric Water Heating</v>
      </c>
      <c r="L157" s="493">
        <f>INDEX(InstallRatesCostAndLifetime!$A$2:$D$6,MATCH(InputForProCost_FitnessCenter!H157,InstallRatesCostAndLifetime!$A$2:$A$6,0),MATCH(InputForProCost_FitnessCenter!I157,InstallRatesCostAndLifetime!$A$2:$D$2,0))</f>
        <v>0.75</v>
      </c>
      <c r="M157" s="493">
        <f t="shared" si="35"/>
        <v>1</v>
      </c>
      <c r="N157" s="492"/>
      <c r="O157" s="492" t="str">
        <f t="shared" si="36"/>
        <v>Fitness Center2_00 to 2_09 gpm1_75</v>
      </c>
      <c r="P157" s="494">
        <f>VLOOKUP($O157,Impacts!$F$27:$Z$59,16,FALSE)</f>
        <v>2191.8219096040702</v>
      </c>
      <c r="Q157" s="494">
        <f>VLOOKUP($O157,Impacts!$F$27:$Z$59,17,FALSE)*L157</f>
        <v>67.716534728948446</v>
      </c>
      <c r="R157" s="495">
        <f>VLOOKUP($O157,Impacts!$F$27:$Z$59,19,FALSE)*L157</f>
        <v>73.310084348532001</v>
      </c>
      <c r="S157" s="496">
        <f>VLOOKUP($O157,Impacts!$F$27:$Z$59,20,FALSE)*L157</f>
        <v>12800.857226644319</v>
      </c>
      <c r="T157" s="497">
        <f>VLOOKUP($O157,Impacts!$F$27:$Z$59,21,FALSE)*L157</f>
        <v>168.49363516056525</v>
      </c>
      <c r="U157" s="492"/>
      <c r="V157" s="492" t="str">
        <f t="shared" si="37"/>
        <v>Commercial Showerhead Replacement_Fitness Center_precondition 2_00 to 2_09 gpm_efficient 1_75 gpm_Retail_Electric Water Heating</v>
      </c>
      <c r="W157" s="492" t="s">
        <v>440</v>
      </c>
      <c r="X157" s="494">
        <f t="shared" si="40"/>
        <v>1643.8664322030527</v>
      </c>
      <c r="Y157" s="492">
        <v>10</v>
      </c>
      <c r="Z157" s="498">
        <f t="shared" si="41"/>
        <v>3.2966774171383419</v>
      </c>
      <c r="AA157" s="492"/>
      <c r="AB157" s="499" t="s">
        <v>441</v>
      </c>
      <c r="AC157" s="497">
        <f t="shared" si="42"/>
        <v>168.49363516056525</v>
      </c>
      <c r="AD157" s="492"/>
      <c r="AE157" s="492"/>
      <c r="AF157" s="492"/>
      <c r="AG157" s="492"/>
      <c r="AH157" s="492"/>
      <c r="AI157" s="492"/>
      <c r="AJ157" s="492">
        <f t="shared" si="38"/>
        <v>0</v>
      </c>
      <c r="AK157" s="492" t="s">
        <v>442</v>
      </c>
    </row>
    <row r="158" spans="1:37">
      <c r="A158" s="492">
        <f t="shared" si="39"/>
        <v>140</v>
      </c>
      <c r="B158" s="492">
        <f t="shared" si="30"/>
        <v>6</v>
      </c>
      <c r="C158" s="492">
        <f t="shared" si="30"/>
        <v>1</v>
      </c>
      <c r="D158" s="492">
        <f t="shared" si="30"/>
        <v>2</v>
      </c>
      <c r="E158" s="492">
        <f t="shared" si="31"/>
        <v>2</v>
      </c>
      <c r="F158" s="499" t="s">
        <v>645</v>
      </c>
      <c r="G158" s="499" t="str">
        <f t="shared" si="32"/>
        <v>2_00 to 2_09 gpm</v>
      </c>
      <c r="H158" s="492" t="str">
        <f t="shared" si="33"/>
        <v>Retail</v>
      </c>
      <c r="I158" s="492" t="str">
        <f t="shared" si="33"/>
        <v>1_75</v>
      </c>
      <c r="J158" s="492" t="str">
        <f t="shared" si="33"/>
        <v>Gas Water Heating</v>
      </c>
      <c r="K158" s="492" t="str">
        <f t="shared" si="34"/>
        <v>Commercial Showerhead Replacement_Fitness Center_precondition 2_00 to 2_09 gpm_efficient 1_75 gpm_Retail_Gas Water Heating</v>
      </c>
      <c r="L158" s="493">
        <f>INDEX(InstallRatesCostAndLifetime!$A$2:$D$6,MATCH(InputForProCost_FitnessCenter!H158,InstallRatesCostAndLifetime!$A$2:$A$6,0),MATCH(InputForProCost_FitnessCenter!I158,InstallRatesCostAndLifetime!$A$2:$D$2,0))</f>
        <v>0.75</v>
      </c>
      <c r="M158" s="493">
        <f t="shared" si="35"/>
        <v>0</v>
      </c>
      <c r="N158" s="492"/>
      <c r="O158" s="492" t="str">
        <f t="shared" si="36"/>
        <v>Fitness Center2_00 to 2_09 gpm1_75</v>
      </c>
      <c r="P158" s="494">
        <f>VLOOKUP($O158,Impacts!$F$27:$Z$59,16,FALSE)</f>
        <v>2191.8219096040702</v>
      </c>
      <c r="Q158" s="494">
        <f>VLOOKUP($O158,Impacts!$F$27:$Z$59,17,FALSE)*L158</f>
        <v>67.716534728948446</v>
      </c>
      <c r="R158" s="495">
        <f>VLOOKUP($O158,Impacts!$F$27:$Z$59,19,FALSE)*L158</f>
        <v>73.310084348532001</v>
      </c>
      <c r="S158" s="496">
        <f>VLOOKUP($O158,Impacts!$F$27:$Z$59,20,FALSE)*L158</f>
        <v>12800.857226644319</v>
      </c>
      <c r="T158" s="497">
        <f>VLOOKUP($O158,Impacts!$F$27:$Z$59,21,FALSE)*L158</f>
        <v>168.49363516056525</v>
      </c>
      <c r="U158" s="492"/>
      <c r="V158" s="492" t="str">
        <f t="shared" si="37"/>
        <v>Commercial Showerhead Replacement_Fitness Center_precondition 2_00 to 2_09 gpm_efficient 1_75 gpm_Retail_Gas Water Heating</v>
      </c>
      <c r="W158" s="492" t="s">
        <v>440</v>
      </c>
      <c r="X158" s="494">
        <f t="shared" si="40"/>
        <v>0</v>
      </c>
      <c r="Y158" s="492">
        <v>10</v>
      </c>
      <c r="Z158" s="498">
        <f t="shared" si="41"/>
        <v>3.2966774171383419</v>
      </c>
      <c r="AA158" s="492"/>
      <c r="AB158" s="499" t="s">
        <v>441</v>
      </c>
      <c r="AC158" s="497">
        <f t="shared" si="42"/>
        <v>168.49363516056525</v>
      </c>
      <c r="AD158" s="492"/>
      <c r="AE158" s="492"/>
      <c r="AF158" s="492"/>
      <c r="AG158" s="492"/>
      <c r="AH158" s="492"/>
      <c r="AI158" s="492"/>
      <c r="AJ158" s="492">
        <f t="shared" si="38"/>
        <v>73.310084348532001</v>
      </c>
      <c r="AK158" s="492" t="s">
        <v>442</v>
      </c>
    </row>
    <row r="159" spans="1:37">
      <c r="A159" s="492">
        <f t="shared" si="39"/>
        <v>141</v>
      </c>
      <c r="B159" s="492">
        <f t="shared" ref="B159:D178" si="43">CEILING((MOD($A159-1,B$17)+1)/C$17,1)</f>
        <v>6</v>
      </c>
      <c r="C159" s="492">
        <f t="shared" si="43"/>
        <v>1</v>
      </c>
      <c r="D159" s="492">
        <f t="shared" si="43"/>
        <v>2</v>
      </c>
      <c r="E159" s="492">
        <f t="shared" si="31"/>
        <v>3</v>
      </c>
      <c r="F159" s="499" t="s">
        <v>645</v>
      </c>
      <c r="G159" s="499" t="str">
        <f t="shared" si="32"/>
        <v>2_00 to 2_09 gpm</v>
      </c>
      <c r="H159" s="492" t="str">
        <f t="shared" si="33"/>
        <v>Retail</v>
      </c>
      <c r="I159" s="492" t="str">
        <f t="shared" si="33"/>
        <v>1_75</v>
      </c>
      <c r="J159" s="492" t="str">
        <f t="shared" si="33"/>
        <v>Any Water Heating</v>
      </c>
      <c r="K159" s="492" t="str">
        <f t="shared" si="34"/>
        <v>Commercial Showerhead Replacement_Fitness Center_precondition 2_00 to 2_09 gpm_efficient 1_75 gpm_Retail_Any Water Heating</v>
      </c>
      <c r="L159" s="493">
        <f>INDEX(InstallRatesCostAndLifetime!$A$2:$D$6,MATCH(InputForProCost_FitnessCenter!H159,InstallRatesCostAndLifetime!$A$2:$A$6,0),MATCH(InputForProCost_FitnessCenter!I159,InstallRatesCostAndLifetime!$A$2:$D$2,0))</f>
        <v>0.75</v>
      </c>
      <c r="M159" s="493">
        <f t="shared" si="35"/>
        <v>0.31666666666666665</v>
      </c>
      <c r="N159" s="492"/>
      <c r="O159" s="492" t="str">
        <f t="shared" si="36"/>
        <v>Fitness Center2_00 to 2_09 gpm1_75</v>
      </c>
      <c r="P159" s="494">
        <f>VLOOKUP($O159,Impacts!$F$27:$Z$59,16,FALSE)</f>
        <v>2191.8219096040702</v>
      </c>
      <c r="Q159" s="494">
        <f>VLOOKUP($O159,Impacts!$F$27:$Z$59,17,FALSE)*L159</f>
        <v>67.716534728948446</v>
      </c>
      <c r="R159" s="495">
        <f>VLOOKUP($O159,Impacts!$F$27:$Z$59,19,FALSE)*L159</f>
        <v>73.310084348532001</v>
      </c>
      <c r="S159" s="496">
        <f>VLOOKUP($O159,Impacts!$F$27:$Z$59,20,FALSE)*L159</f>
        <v>12800.857226644319</v>
      </c>
      <c r="T159" s="497">
        <f>VLOOKUP($O159,Impacts!$F$27:$Z$59,21,FALSE)*L159</f>
        <v>168.49363516056525</v>
      </c>
      <c r="U159" s="492"/>
      <c r="V159" s="492" t="str">
        <f t="shared" si="37"/>
        <v>Commercial Showerhead Replacement_Fitness Center_precondition 2_00 to 2_09 gpm_efficient 1_75 gpm_Retail_Any Water Heating</v>
      </c>
      <c r="W159" s="492" t="s">
        <v>440</v>
      </c>
      <c r="X159" s="494">
        <f t="shared" si="40"/>
        <v>520.55770353096659</v>
      </c>
      <c r="Y159" s="492">
        <v>10</v>
      </c>
      <c r="Z159" s="498">
        <f t="shared" si="41"/>
        <v>3.2966774171383419</v>
      </c>
      <c r="AA159" s="492"/>
      <c r="AB159" s="499" t="s">
        <v>441</v>
      </c>
      <c r="AC159" s="497">
        <f t="shared" si="42"/>
        <v>168.49363516056525</v>
      </c>
      <c r="AD159" s="492"/>
      <c r="AE159" s="492"/>
      <c r="AF159" s="492"/>
      <c r="AG159" s="492"/>
      <c r="AH159" s="492"/>
      <c r="AI159" s="492"/>
      <c r="AJ159" s="492">
        <f t="shared" si="38"/>
        <v>50.095224304830204</v>
      </c>
      <c r="AK159" s="492" t="s">
        <v>442</v>
      </c>
    </row>
    <row r="160" spans="1:37">
      <c r="A160" s="492">
        <f t="shared" si="39"/>
        <v>142</v>
      </c>
      <c r="B160" s="492">
        <f t="shared" si="43"/>
        <v>6</v>
      </c>
      <c r="C160" s="492">
        <f t="shared" si="43"/>
        <v>1</v>
      </c>
      <c r="D160" s="492">
        <f t="shared" si="43"/>
        <v>3</v>
      </c>
      <c r="E160" s="492">
        <f t="shared" si="31"/>
        <v>1</v>
      </c>
      <c r="F160" s="499" t="s">
        <v>645</v>
      </c>
      <c r="G160" s="499" t="str">
        <f t="shared" si="32"/>
        <v>2_00 to 2_09 gpm</v>
      </c>
      <c r="H160" s="492" t="str">
        <f t="shared" si="33"/>
        <v>Retail</v>
      </c>
      <c r="I160" s="492" t="str">
        <f t="shared" si="33"/>
        <v>1_50</v>
      </c>
      <c r="J160" s="492" t="str">
        <f t="shared" si="33"/>
        <v>Electric Water Heating</v>
      </c>
      <c r="K160" s="492" t="str">
        <f t="shared" si="34"/>
        <v>Commercial Showerhead Replacement_Fitness Center_precondition 2_00 to 2_09 gpm_efficient 1_50 gpm_Retail_Electric Water Heating</v>
      </c>
      <c r="L160" s="493">
        <f>INDEX(InstallRatesCostAndLifetime!$A$2:$D$6,MATCH(InputForProCost_FitnessCenter!H160,InstallRatesCostAndLifetime!$A$2:$A$6,0),MATCH(InputForProCost_FitnessCenter!I160,InstallRatesCostAndLifetime!$A$2:$D$2,0))</f>
        <v>0.7</v>
      </c>
      <c r="M160" s="493">
        <f t="shared" si="35"/>
        <v>1</v>
      </c>
      <c r="N160" s="492"/>
      <c r="O160" s="492" t="str">
        <f t="shared" si="36"/>
        <v>Fitness Center2_00 to 2_09 gpm1_50</v>
      </c>
      <c r="P160" s="494">
        <f>VLOOKUP($O160,Impacts!$F$27:$Z$59,16,FALSE)</f>
        <v>3991.1559837534078</v>
      </c>
      <c r="Q160" s="494">
        <f>VLOOKUP($O160,Impacts!$F$27:$Z$59,17,FALSE)*L160</f>
        <v>115.87051498064513</v>
      </c>
      <c r="R160" s="495">
        <f>VLOOKUP($O160,Impacts!$F$27:$Z$59,19,FALSE)*L160</f>
        <v>124.59308326984471</v>
      </c>
      <c r="S160" s="496">
        <f>VLOOKUP($O160,Impacts!$F$27:$Z$59,20,FALSE)*L160</f>
        <v>21903.689032258058</v>
      </c>
      <c r="T160" s="497">
        <f>VLOOKUP($O160,Impacts!$F$27:$Z$59,21,FALSE)*L160</f>
        <v>288.31133127474499</v>
      </c>
      <c r="U160" s="492"/>
      <c r="V160" s="492" t="str">
        <f t="shared" si="37"/>
        <v>Commercial Showerhead Replacement_Fitness Center_precondition 2_00 to 2_09 gpm_efficient 1_50 gpm_Retail_Electric Water Heating</v>
      </c>
      <c r="W160" s="492" t="s">
        <v>440</v>
      </c>
      <c r="X160" s="494">
        <f t="shared" si="40"/>
        <v>2793.8091886273851</v>
      </c>
      <c r="Y160" s="492">
        <v>10</v>
      </c>
      <c r="Z160" s="498">
        <f t="shared" si="41"/>
        <v>3.2966774171383419</v>
      </c>
      <c r="AA160" s="492"/>
      <c r="AB160" s="499" t="s">
        <v>441</v>
      </c>
      <c r="AC160" s="497">
        <f t="shared" si="42"/>
        <v>288.31133127474499</v>
      </c>
      <c r="AD160" s="492"/>
      <c r="AE160" s="492"/>
      <c r="AF160" s="492"/>
      <c r="AG160" s="492"/>
      <c r="AH160" s="492"/>
      <c r="AI160" s="492"/>
      <c r="AJ160" s="492">
        <f t="shared" si="38"/>
        <v>0</v>
      </c>
      <c r="AK160" s="492" t="s">
        <v>442</v>
      </c>
    </row>
    <row r="161" spans="1:37">
      <c r="A161" s="492">
        <f t="shared" si="39"/>
        <v>143</v>
      </c>
      <c r="B161" s="492">
        <f t="shared" si="43"/>
        <v>6</v>
      </c>
      <c r="C161" s="492">
        <f t="shared" si="43"/>
        <v>1</v>
      </c>
      <c r="D161" s="492">
        <f t="shared" si="43"/>
        <v>3</v>
      </c>
      <c r="E161" s="492">
        <f t="shared" si="31"/>
        <v>2</v>
      </c>
      <c r="F161" s="499" t="s">
        <v>645</v>
      </c>
      <c r="G161" s="499" t="str">
        <f t="shared" si="32"/>
        <v>2_00 to 2_09 gpm</v>
      </c>
      <c r="H161" s="492" t="str">
        <f t="shared" si="33"/>
        <v>Retail</v>
      </c>
      <c r="I161" s="492" t="str">
        <f t="shared" si="33"/>
        <v>1_50</v>
      </c>
      <c r="J161" s="492" t="str">
        <f t="shared" si="33"/>
        <v>Gas Water Heating</v>
      </c>
      <c r="K161" s="492" t="str">
        <f t="shared" si="34"/>
        <v>Commercial Showerhead Replacement_Fitness Center_precondition 2_00 to 2_09 gpm_efficient 1_50 gpm_Retail_Gas Water Heating</v>
      </c>
      <c r="L161" s="493">
        <f>INDEX(InstallRatesCostAndLifetime!$A$2:$D$6,MATCH(InputForProCost_FitnessCenter!H161,InstallRatesCostAndLifetime!$A$2:$A$6,0),MATCH(InputForProCost_FitnessCenter!I161,InstallRatesCostAndLifetime!$A$2:$D$2,0))</f>
        <v>0.7</v>
      </c>
      <c r="M161" s="493">
        <f t="shared" si="35"/>
        <v>0</v>
      </c>
      <c r="N161" s="492"/>
      <c r="O161" s="492" t="str">
        <f t="shared" si="36"/>
        <v>Fitness Center2_00 to 2_09 gpm1_50</v>
      </c>
      <c r="P161" s="494">
        <f>VLOOKUP($O161,Impacts!$F$27:$Z$59,16,FALSE)</f>
        <v>3991.1559837534078</v>
      </c>
      <c r="Q161" s="494">
        <f>VLOOKUP($O161,Impacts!$F$27:$Z$59,17,FALSE)*L161</f>
        <v>115.87051498064513</v>
      </c>
      <c r="R161" s="495">
        <f>VLOOKUP($O161,Impacts!$F$27:$Z$59,19,FALSE)*L161</f>
        <v>124.59308326984471</v>
      </c>
      <c r="S161" s="496">
        <f>VLOOKUP($O161,Impacts!$F$27:$Z$59,20,FALSE)*L161</f>
        <v>21903.689032258058</v>
      </c>
      <c r="T161" s="497">
        <f>VLOOKUP($O161,Impacts!$F$27:$Z$59,21,FALSE)*L161</f>
        <v>288.31133127474499</v>
      </c>
      <c r="U161" s="492"/>
      <c r="V161" s="492" t="str">
        <f t="shared" si="37"/>
        <v>Commercial Showerhead Replacement_Fitness Center_precondition 2_00 to 2_09 gpm_efficient 1_50 gpm_Retail_Gas Water Heating</v>
      </c>
      <c r="W161" s="492" t="s">
        <v>440</v>
      </c>
      <c r="X161" s="494">
        <f t="shared" si="40"/>
        <v>0</v>
      </c>
      <c r="Y161" s="492">
        <v>10</v>
      </c>
      <c r="Z161" s="498">
        <f t="shared" si="41"/>
        <v>3.2966774171383419</v>
      </c>
      <c r="AA161" s="492"/>
      <c r="AB161" s="499" t="s">
        <v>441</v>
      </c>
      <c r="AC161" s="497">
        <f t="shared" si="42"/>
        <v>288.31133127474499</v>
      </c>
      <c r="AD161" s="492"/>
      <c r="AE161" s="492"/>
      <c r="AF161" s="492"/>
      <c r="AG161" s="492"/>
      <c r="AH161" s="492"/>
      <c r="AI161" s="492"/>
      <c r="AJ161" s="492">
        <f t="shared" si="38"/>
        <v>124.59308326984471</v>
      </c>
      <c r="AK161" s="492" t="s">
        <v>442</v>
      </c>
    </row>
    <row r="162" spans="1:37">
      <c r="A162" s="492">
        <f t="shared" si="39"/>
        <v>144</v>
      </c>
      <c r="B162" s="492">
        <f t="shared" si="43"/>
        <v>6</v>
      </c>
      <c r="C162" s="492">
        <f t="shared" si="43"/>
        <v>1</v>
      </c>
      <c r="D162" s="492">
        <f t="shared" si="43"/>
        <v>3</v>
      </c>
      <c r="E162" s="492">
        <f t="shared" si="31"/>
        <v>3</v>
      </c>
      <c r="F162" s="499" t="s">
        <v>645</v>
      </c>
      <c r="G162" s="499" t="str">
        <f t="shared" si="32"/>
        <v>2_00 to 2_09 gpm</v>
      </c>
      <c r="H162" s="492" t="str">
        <f t="shared" si="33"/>
        <v>Retail</v>
      </c>
      <c r="I162" s="492" t="str">
        <f t="shared" si="33"/>
        <v>1_50</v>
      </c>
      <c r="J162" s="492" t="str">
        <f t="shared" si="33"/>
        <v>Any Water Heating</v>
      </c>
      <c r="K162" s="492" t="str">
        <f t="shared" si="34"/>
        <v>Commercial Showerhead Replacement_Fitness Center_precondition 2_00 to 2_09 gpm_efficient 1_50 gpm_Retail_Any Water Heating</v>
      </c>
      <c r="L162" s="493">
        <f>INDEX(InstallRatesCostAndLifetime!$A$2:$D$6,MATCH(InputForProCost_FitnessCenter!H162,InstallRatesCostAndLifetime!$A$2:$A$6,0),MATCH(InputForProCost_FitnessCenter!I162,InstallRatesCostAndLifetime!$A$2:$D$2,0))</f>
        <v>0.7</v>
      </c>
      <c r="M162" s="493">
        <f t="shared" si="35"/>
        <v>0.31666666666666665</v>
      </c>
      <c r="N162" s="492"/>
      <c r="O162" s="492" t="str">
        <f t="shared" si="36"/>
        <v>Fitness Center2_00 to 2_09 gpm1_50</v>
      </c>
      <c r="P162" s="494">
        <f>VLOOKUP($O162,Impacts!$F$27:$Z$59,16,FALSE)</f>
        <v>3991.1559837534078</v>
      </c>
      <c r="Q162" s="494">
        <f>VLOOKUP($O162,Impacts!$F$27:$Z$59,17,FALSE)*L162</f>
        <v>115.87051498064513</v>
      </c>
      <c r="R162" s="495">
        <f>VLOOKUP($O162,Impacts!$F$27:$Z$59,19,FALSE)*L162</f>
        <v>124.59308326984471</v>
      </c>
      <c r="S162" s="496">
        <f>VLOOKUP($O162,Impacts!$F$27:$Z$59,20,FALSE)*L162</f>
        <v>21903.689032258058</v>
      </c>
      <c r="T162" s="497">
        <f>VLOOKUP($O162,Impacts!$F$27:$Z$59,21,FALSE)*L162</f>
        <v>288.31133127474499</v>
      </c>
      <c r="U162" s="492"/>
      <c r="V162" s="492" t="str">
        <f t="shared" si="37"/>
        <v>Commercial Showerhead Replacement_Fitness Center_precondition 2_00 to 2_09 gpm_efficient 1_50 gpm_Retail_Any Water Heating</v>
      </c>
      <c r="W162" s="492" t="s">
        <v>440</v>
      </c>
      <c r="X162" s="494">
        <f t="shared" si="40"/>
        <v>884.70624306533864</v>
      </c>
      <c r="Y162" s="492">
        <v>10</v>
      </c>
      <c r="Z162" s="498">
        <f t="shared" si="41"/>
        <v>3.2966774171383419</v>
      </c>
      <c r="AA162" s="492"/>
      <c r="AB162" s="499" t="s">
        <v>441</v>
      </c>
      <c r="AC162" s="497">
        <f t="shared" si="42"/>
        <v>288.31133127474499</v>
      </c>
      <c r="AD162" s="492"/>
      <c r="AE162" s="492"/>
      <c r="AF162" s="492"/>
      <c r="AG162" s="492"/>
      <c r="AH162" s="492"/>
      <c r="AI162" s="492"/>
      <c r="AJ162" s="492">
        <f t="shared" si="38"/>
        <v>85.138606901060555</v>
      </c>
      <c r="AK162" s="492" t="s">
        <v>442</v>
      </c>
    </row>
    <row r="163" spans="1:37">
      <c r="A163" s="492">
        <f t="shared" si="39"/>
        <v>145</v>
      </c>
      <c r="B163" s="492">
        <f t="shared" si="43"/>
        <v>6</v>
      </c>
      <c r="C163" s="492">
        <f t="shared" si="43"/>
        <v>2</v>
      </c>
      <c r="D163" s="492">
        <f t="shared" si="43"/>
        <v>1</v>
      </c>
      <c r="E163" s="492">
        <f t="shared" si="31"/>
        <v>1</v>
      </c>
      <c r="F163" s="499" t="s">
        <v>645</v>
      </c>
      <c r="G163" s="499" t="str">
        <f t="shared" si="32"/>
        <v>2_00 to 2_09 gpm</v>
      </c>
      <c r="H163" s="492" t="str">
        <f t="shared" si="33"/>
        <v>Direct Install</v>
      </c>
      <c r="I163" s="492" t="str">
        <f t="shared" si="33"/>
        <v>2_00</v>
      </c>
      <c r="J163" s="492" t="str">
        <f t="shared" si="33"/>
        <v>Electric Water Heating</v>
      </c>
      <c r="K163" s="492" t="str">
        <f t="shared" si="34"/>
        <v>Commercial Showerhead Replacement_Fitness Center_precondition 2_00 to 2_09 gpm_efficient 2_00 gpm_Direct Install_Electric Water Heating</v>
      </c>
      <c r="L163" s="493">
        <f>INDEX(InstallRatesCostAndLifetime!$A$2:$D$6,MATCH(InputForProCost_FitnessCenter!H163,InstallRatesCostAndLifetime!$A$2:$A$6,0),MATCH(InputForProCost_FitnessCenter!I163,InstallRatesCostAndLifetime!$A$2:$D$2,0))</f>
        <v>0.9</v>
      </c>
      <c r="M163" s="493">
        <f t="shared" si="35"/>
        <v>1</v>
      </c>
      <c r="N163" s="492"/>
      <c r="O163" s="492" t="str">
        <f t="shared" si="36"/>
        <v>Fitness Center2_00 to 2_09 gpm2_00</v>
      </c>
      <c r="P163" s="494">
        <f>VLOOKUP($O163,Impacts!$F$27:$Z$59,16,FALSE)</f>
        <v>2018.3609269162935</v>
      </c>
      <c r="Q163" s="494">
        <f>VLOOKUP($O163,Impacts!$F$27:$Z$59,17,FALSE)*L163</f>
        <v>67.716534728948446</v>
      </c>
      <c r="R163" s="495">
        <f>VLOOKUP($O163,Impacts!$F$27:$Z$59,19,FALSE)*L163</f>
        <v>81.00998123049699</v>
      </c>
      <c r="S163" s="496">
        <f>VLOOKUP($O163,Impacts!$F$27:$Z$59,20,FALSE)*L163</f>
        <v>12800.857226644321</v>
      </c>
      <c r="T163" s="497">
        <f>VLOOKUP($O163,Impacts!$F$27:$Z$59,21,FALSE)*L163</f>
        <v>168.49363516056528</v>
      </c>
      <c r="U163" s="492"/>
      <c r="V163" s="492" t="str">
        <f t="shared" si="37"/>
        <v>Commercial Showerhead Replacement_Fitness Center_precondition 2_00 to 2_09 gpm_efficient 2_00 gpm_Direct Install_Electric Water Heating</v>
      </c>
      <c r="W163" s="492" t="s">
        <v>440</v>
      </c>
      <c r="X163" s="494">
        <f t="shared" si="40"/>
        <v>1816.5248342246641</v>
      </c>
      <c r="Y163" s="492">
        <v>10</v>
      </c>
      <c r="Z163" s="498">
        <f t="shared" si="41"/>
        <v>11.336666666666666</v>
      </c>
      <c r="AA163" s="492"/>
      <c r="AB163" s="499" t="s">
        <v>441</v>
      </c>
      <c r="AC163" s="497">
        <f t="shared" si="42"/>
        <v>168.49363516056528</v>
      </c>
      <c r="AD163" s="492"/>
      <c r="AE163" s="492"/>
      <c r="AF163" s="492"/>
      <c r="AG163" s="492"/>
      <c r="AH163" s="492"/>
      <c r="AI163" s="492"/>
      <c r="AJ163" s="492">
        <f t="shared" si="38"/>
        <v>0</v>
      </c>
      <c r="AK163" s="492" t="s">
        <v>442</v>
      </c>
    </row>
    <row r="164" spans="1:37">
      <c r="A164" s="492">
        <f t="shared" si="39"/>
        <v>146</v>
      </c>
      <c r="B164" s="492">
        <f t="shared" si="43"/>
        <v>6</v>
      </c>
      <c r="C164" s="492">
        <f t="shared" si="43"/>
        <v>2</v>
      </c>
      <c r="D164" s="492">
        <f t="shared" si="43"/>
        <v>1</v>
      </c>
      <c r="E164" s="492">
        <f t="shared" si="31"/>
        <v>2</v>
      </c>
      <c r="F164" s="499" t="s">
        <v>645</v>
      </c>
      <c r="G164" s="499" t="str">
        <f t="shared" si="32"/>
        <v>2_00 to 2_09 gpm</v>
      </c>
      <c r="H164" s="492" t="str">
        <f t="shared" si="33"/>
        <v>Direct Install</v>
      </c>
      <c r="I164" s="492" t="str">
        <f t="shared" si="33"/>
        <v>2_00</v>
      </c>
      <c r="J164" s="492" t="str">
        <f t="shared" si="33"/>
        <v>Gas Water Heating</v>
      </c>
      <c r="K164" s="492" t="str">
        <f t="shared" si="34"/>
        <v>Commercial Showerhead Replacement_Fitness Center_precondition 2_00 to 2_09 gpm_efficient 2_00 gpm_Direct Install_Gas Water Heating</v>
      </c>
      <c r="L164" s="493">
        <f>INDEX(InstallRatesCostAndLifetime!$A$2:$D$6,MATCH(InputForProCost_FitnessCenter!H164,InstallRatesCostAndLifetime!$A$2:$A$6,0),MATCH(InputForProCost_FitnessCenter!I164,InstallRatesCostAndLifetime!$A$2:$D$2,0))</f>
        <v>0.9</v>
      </c>
      <c r="M164" s="493">
        <f t="shared" si="35"/>
        <v>0</v>
      </c>
      <c r="N164" s="492"/>
      <c r="O164" s="492" t="str">
        <f t="shared" si="36"/>
        <v>Fitness Center2_00 to 2_09 gpm2_00</v>
      </c>
      <c r="P164" s="494">
        <f>VLOOKUP($O164,Impacts!$F$27:$Z$59,16,FALSE)</f>
        <v>2018.3609269162935</v>
      </c>
      <c r="Q164" s="494">
        <f>VLOOKUP($O164,Impacts!$F$27:$Z$59,17,FALSE)*L164</f>
        <v>67.716534728948446</v>
      </c>
      <c r="R164" s="495">
        <f>VLOOKUP($O164,Impacts!$F$27:$Z$59,19,FALSE)*L164</f>
        <v>81.00998123049699</v>
      </c>
      <c r="S164" s="496">
        <f>VLOOKUP($O164,Impacts!$F$27:$Z$59,20,FALSE)*L164</f>
        <v>12800.857226644321</v>
      </c>
      <c r="T164" s="497">
        <f>VLOOKUP($O164,Impacts!$F$27:$Z$59,21,FALSE)*L164</f>
        <v>168.49363516056528</v>
      </c>
      <c r="U164" s="492"/>
      <c r="V164" s="492" t="str">
        <f t="shared" si="37"/>
        <v>Commercial Showerhead Replacement_Fitness Center_precondition 2_00 to 2_09 gpm_efficient 2_00 gpm_Direct Install_Gas Water Heating</v>
      </c>
      <c r="W164" s="492" t="s">
        <v>440</v>
      </c>
      <c r="X164" s="494">
        <f t="shared" si="40"/>
        <v>0</v>
      </c>
      <c r="Y164" s="492">
        <v>10</v>
      </c>
      <c r="Z164" s="498">
        <f t="shared" si="41"/>
        <v>11.336666666666666</v>
      </c>
      <c r="AA164" s="492"/>
      <c r="AB164" s="499" t="s">
        <v>441</v>
      </c>
      <c r="AC164" s="497">
        <f t="shared" si="42"/>
        <v>168.49363516056528</v>
      </c>
      <c r="AD164" s="492"/>
      <c r="AE164" s="492"/>
      <c r="AF164" s="492"/>
      <c r="AG164" s="492"/>
      <c r="AH164" s="492"/>
      <c r="AI164" s="492"/>
      <c r="AJ164" s="492">
        <f t="shared" si="38"/>
        <v>81.00998123049699</v>
      </c>
      <c r="AK164" s="492" t="s">
        <v>442</v>
      </c>
    </row>
    <row r="165" spans="1:37">
      <c r="A165" s="492">
        <f t="shared" si="39"/>
        <v>147</v>
      </c>
      <c r="B165" s="492">
        <f t="shared" si="43"/>
        <v>6</v>
      </c>
      <c r="C165" s="492">
        <f t="shared" si="43"/>
        <v>2</v>
      </c>
      <c r="D165" s="492">
        <f t="shared" si="43"/>
        <v>1</v>
      </c>
      <c r="E165" s="492">
        <f t="shared" si="31"/>
        <v>3</v>
      </c>
      <c r="F165" s="499" t="s">
        <v>645</v>
      </c>
      <c r="G165" s="499" t="str">
        <f t="shared" si="32"/>
        <v>2_00 to 2_09 gpm</v>
      </c>
      <c r="H165" s="492" t="str">
        <f t="shared" si="33"/>
        <v>Direct Install</v>
      </c>
      <c r="I165" s="492" t="str">
        <f t="shared" si="33"/>
        <v>2_00</v>
      </c>
      <c r="J165" s="492" t="str">
        <f t="shared" si="33"/>
        <v>Any Water Heating</v>
      </c>
      <c r="K165" s="492" t="str">
        <f t="shared" si="34"/>
        <v>Commercial Showerhead Replacement_Fitness Center_precondition 2_00 to 2_09 gpm_efficient 2_00 gpm_Direct Install_Any Water Heating</v>
      </c>
      <c r="L165" s="493">
        <f>INDEX(InstallRatesCostAndLifetime!$A$2:$D$6,MATCH(InputForProCost_FitnessCenter!H165,InstallRatesCostAndLifetime!$A$2:$A$6,0),MATCH(InputForProCost_FitnessCenter!I165,InstallRatesCostAndLifetime!$A$2:$D$2,0))</f>
        <v>0.9</v>
      </c>
      <c r="M165" s="493">
        <f t="shared" si="35"/>
        <v>0.31666666666666665</v>
      </c>
      <c r="N165" s="492"/>
      <c r="O165" s="492" t="str">
        <f t="shared" si="36"/>
        <v>Fitness Center2_00 to 2_09 gpm2_00</v>
      </c>
      <c r="P165" s="494">
        <f>VLOOKUP($O165,Impacts!$F$27:$Z$59,16,FALSE)</f>
        <v>2018.3609269162935</v>
      </c>
      <c r="Q165" s="494">
        <f>VLOOKUP($O165,Impacts!$F$27:$Z$59,17,FALSE)*L165</f>
        <v>67.716534728948446</v>
      </c>
      <c r="R165" s="495">
        <f>VLOOKUP($O165,Impacts!$F$27:$Z$59,19,FALSE)*L165</f>
        <v>81.00998123049699</v>
      </c>
      <c r="S165" s="496">
        <f>VLOOKUP($O165,Impacts!$F$27:$Z$59,20,FALSE)*L165</f>
        <v>12800.857226644321</v>
      </c>
      <c r="T165" s="497">
        <f>VLOOKUP($O165,Impacts!$F$27:$Z$59,21,FALSE)*L165</f>
        <v>168.49363516056528</v>
      </c>
      <c r="U165" s="492"/>
      <c r="V165" s="492" t="str">
        <f t="shared" si="37"/>
        <v>Commercial Showerhead Replacement_Fitness Center_precondition 2_00 to 2_09 gpm_efficient 2_00 gpm_Direct Install_Any Water Heating</v>
      </c>
      <c r="W165" s="492" t="s">
        <v>440</v>
      </c>
      <c r="X165" s="494">
        <f t="shared" si="40"/>
        <v>575.23286417114366</v>
      </c>
      <c r="Y165" s="492">
        <v>10</v>
      </c>
      <c r="Z165" s="498">
        <f t="shared" si="41"/>
        <v>11.336666666666666</v>
      </c>
      <c r="AA165" s="492"/>
      <c r="AB165" s="499" t="s">
        <v>441</v>
      </c>
      <c r="AC165" s="497">
        <f t="shared" si="42"/>
        <v>168.49363516056528</v>
      </c>
      <c r="AD165" s="492"/>
      <c r="AE165" s="492"/>
      <c r="AF165" s="492"/>
      <c r="AG165" s="492"/>
      <c r="AH165" s="492"/>
      <c r="AI165" s="492"/>
      <c r="AJ165" s="492">
        <f t="shared" si="38"/>
        <v>55.356820507506278</v>
      </c>
      <c r="AK165" s="492" t="s">
        <v>442</v>
      </c>
    </row>
    <row r="166" spans="1:37">
      <c r="A166" s="492">
        <f t="shared" si="39"/>
        <v>148</v>
      </c>
      <c r="B166" s="492">
        <f t="shared" si="43"/>
        <v>6</v>
      </c>
      <c r="C166" s="492">
        <f t="shared" si="43"/>
        <v>2</v>
      </c>
      <c r="D166" s="492">
        <f t="shared" si="43"/>
        <v>2</v>
      </c>
      <c r="E166" s="492">
        <f t="shared" si="31"/>
        <v>1</v>
      </c>
      <c r="F166" s="499" t="s">
        <v>645</v>
      </c>
      <c r="G166" s="499" t="str">
        <f t="shared" si="32"/>
        <v>2_00 to 2_09 gpm</v>
      </c>
      <c r="H166" s="492" t="str">
        <f t="shared" si="33"/>
        <v>Direct Install</v>
      </c>
      <c r="I166" s="492" t="str">
        <f t="shared" si="33"/>
        <v>1_75</v>
      </c>
      <c r="J166" s="492" t="str">
        <f t="shared" si="33"/>
        <v>Electric Water Heating</v>
      </c>
      <c r="K166" s="492" t="str">
        <f t="shared" si="34"/>
        <v>Commercial Showerhead Replacement_Fitness Center_precondition 2_00 to 2_09 gpm_efficient 1_75 gpm_Direct Install_Electric Water Heating</v>
      </c>
      <c r="L166" s="493">
        <f>INDEX(InstallRatesCostAndLifetime!$A$2:$D$6,MATCH(InputForProCost_FitnessCenter!H166,InstallRatesCostAndLifetime!$A$2:$A$6,0),MATCH(InputForProCost_FitnessCenter!I166,InstallRatesCostAndLifetime!$A$2:$D$2,0))</f>
        <v>0.9</v>
      </c>
      <c r="M166" s="493">
        <f t="shared" si="35"/>
        <v>1</v>
      </c>
      <c r="N166" s="492"/>
      <c r="O166" s="492" t="str">
        <f t="shared" si="36"/>
        <v>Fitness Center2_00 to 2_09 gpm1_75</v>
      </c>
      <c r="P166" s="494">
        <f>VLOOKUP($O166,Impacts!$F$27:$Z$59,16,FALSE)</f>
        <v>2191.8219096040702</v>
      </c>
      <c r="Q166" s="494">
        <f>VLOOKUP($O166,Impacts!$F$27:$Z$59,17,FALSE)*L166</f>
        <v>81.259841674738141</v>
      </c>
      <c r="R166" s="495">
        <f>VLOOKUP($O166,Impacts!$F$27:$Z$59,19,FALSE)*L166</f>
        <v>87.972101218238407</v>
      </c>
      <c r="S166" s="496">
        <f>VLOOKUP($O166,Impacts!$F$27:$Z$59,20,FALSE)*L166</f>
        <v>15361.028671973183</v>
      </c>
      <c r="T166" s="497">
        <f>VLOOKUP($O166,Impacts!$F$27:$Z$59,21,FALSE)*L166</f>
        <v>202.1923621926783</v>
      </c>
      <c r="U166" s="492"/>
      <c r="V166" s="492" t="str">
        <f t="shared" si="37"/>
        <v>Commercial Showerhead Replacement_Fitness Center_precondition 2_00 to 2_09 gpm_efficient 1_75 gpm_Direct Install_Electric Water Heating</v>
      </c>
      <c r="W166" s="492" t="s">
        <v>440</v>
      </c>
      <c r="X166" s="494">
        <f t="shared" si="40"/>
        <v>1972.6397186436632</v>
      </c>
      <c r="Y166" s="492">
        <v>10</v>
      </c>
      <c r="Z166" s="498">
        <f t="shared" si="41"/>
        <v>11.336666666666666</v>
      </c>
      <c r="AA166" s="492"/>
      <c r="AB166" s="499" t="s">
        <v>441</v>
      </c>
      <c r="AC166" s="497">
        <f t="shared" si="42"/>
        <v>202.1923621926783</v>
      </c>
      <c r="AD166" s="492"/>
      <c r="AE166" s="492"/>
      <c r="AF166" s="492"/>
      <c r="AG166" s="492"/>
      <c r="AH166" s="492"/>
      <c r="AI166" s="492"/>
      <c r="AJ166" s="492">
        <f t="shared" si="38"/>
        <v>0</v>
      </c>
      <c r="AK166" s="492" t="s">
        <v>442</v>
      </c>
    </row>
    <row r="167" spans="1:37">
      <c r="A167" s="492">
        <f t="shared" si="39"/>
        <v>149</v>
      </c>
      <c r="B167" s="492">
        <f t="shared" si="43"/>
        <v>6</v>
      </c>
      <c r="C167" s="492">
        <f t="shared" si="43"/>
        <v>2</v>
      </c>
      <c r="D167" s="492">
        <f t="shared" si="43"/>
        <v>2</v>
      </c>
      <c r="E167" s="492">
        <f t="shared" si="31"/>
        <v>2</v>
      </c>
      <c r="F167" s="499" t="s">
        <v>645</v>
      </c>
      <c r="G167" s="499" t="str">
        <f t="shared" si="32"/>
        <v>2_00 to 2_09 gpm</v>
      </c>
      <c r="H167" s="492" t="str">
        <f t="shared" si="33"/>
        <v>Direct Install</v>
      </c>
      <c r="I167" s="492" t="str">
        <f t="shared" si="33"/>
        <v>1_75</v>
      </c>
      <c r="J167" s="492" t="str">
        <f t="shared" si="33"/>
        <v>Gas Water Heating</v>
      </c>
      <c r="K167" s="492" t="str">
        <f t="shared" si="34"/>
        <v>Commercial Showerhead Replacement_Fitness Center_precondition 2_00 to 2_09 gpm_efficient 1_75 gpm_Direct Install_Gas Water Heating</v>
      </c>
      <c r="L167" s="493">
        <f>INDEX(InstallRatesCostAndLifetime!$A$2:$D$6,MATCH(InputForProCost_FitnessCenter!H167,InstallRatesCostAndLifetime!$A$2:$A$6,0),MATCH(InputForProCost_FitnessCenter!I167,InstallRatesCostAndLifetime!$A$2:$D$2,0))</f>
        <v>0.9</v>
      </c>
      <c r="M167" s="493">
        <f t="shared" si="35"/>
        <v>0</v>
      </c>
      <c r="N167" s="492"/>
      <c r="O167" s="492" t="str">
        <f t="shared" si="36"/>
        <v>Fitness Center2_00 to 2_09 gpm1_75</v>
      </c>
      <c r="P167" s="494">
        <f>VLOOKUP($O167,Impacts!$F$27:$Z$59,16,FALSE)</f>
        <v>2191.8219096040702</v>
      </c>
      <c r="Q167" s="494">
        <f>VLOOKUP($O167,Impacts!$F$27:$Z$59,17,FALSE)*L167</f>
        <v>81.259841674738141</v>
      </c>
      <c r="R167" s="495">
        <f>VLOOKUP($O167,Impacts!$F$27:$Z$59,19,FALSE)*L167</f>
        <v>87.972101218238407</v>
      </c>
      <c r="S167" s="496">
        <f>VLOOKUP($O167,Impacts!$F$27:$Z$59,20,FALSE)*L167</f>
        <v>15361.028671973183</v>
      </c>
      <c r="T167" s="497">
        <f>VLOOKUP($O167,Impacts!$F$27:$Z$59,21,FALSE)*L167</f>
        <v>202.1923621926783</v>
      </c>
      <c r="U167" s="492"/>
      <c r="V167" s="492" t="str">
        <f t="shared" si="37"/>
        <v>Commercial Showerhead Replacement_Fitness Center_precondition 2_00 to 2_09 gpm_efficient 1_75 gpm_Direct Install_Gas Water Heating</v>
      </c>
      <c r="W167" s="492" t="s">
        <v>440</v>
      </c>
      <c r="X167" s="494">
        <f t="shared" si="40"/>
        <v>0</v>
      </c>
      <c r="Y167" s="492">
        <v>10</v>
      </c>
      <c r="Z167" s="498">
        <f t="shared" si="41"/>
        <v>11.336666666666666</v>
      </c>
      <c r="AA167" s="492"/>
      <c r="AB167" s="499" t="s">
        <v>441</v>
      </c>
      <c r="AC167" s="497">
        <f t="shared" si="42"/>
        <v>202.1923621926783</v>
      </c>
      <c r="AD167" s="492"/>
      <c r="AE167" s="492"/>
      <c r="AF167" s="492"/>
      <c r="AG167" s="492"/>
      <c r="AH167" s="492"/>
      <c r="AI167" s="492"/>
      <c r="AJ167" s="492">
        <f t="shared" si="38"/>
        <v>87.972101218238407</v>
      </c>
      <c r="AK167" s="492" t="s">
        <v>442</v>
      </c>
    </row>
    <row r="168" spans="1:37">
      <c r="A168" s="492">
        <f t="shared" si="39"/>
        <v>150</v>
      </c>
      <c r="B168" s="492">
        <f t="shared" si="43"/>
        <v>6</v>
      </c>
      <c r="C168" s="492">
        <f t="shared" si="43"/>
        <v>2</v>
      </c>
      <c r="D168" s="492">
        <f t="shared" si="43"/>
        <v>2</v>
      </c>
      <c r="E168" s="492">
        <f t="shared" si="31"/>
        <v>3</v>
      </c>
      <c r="F168" s="499" t="s">
        <v>645</v>
      </c>
      <c r="G168" s="499" t="str">
        <f t="shared" si="32"/>
        <v>2_00 to 2_09 gpm</v>
      </c>
      <c r="H168" s="492" t="str">
        <f t="shared" si="33"/>
        <v>Direct Install</v>
      </c>
      <c r="I168" s="492" t="str">
        <f t="shared" si="33"/>
        <v>1_75</v>
      </c>
      <c r="J168" s="492" t="str">
        <f t="shared" si="33"/>
        <v>Any Water Heating</v>
      </c>
      <c r="K168" s="492" t="str">
        <f t="shared" si="34"/>
        <v>Commercial Showerhead Replacement_Fitness Center_precondition 2_00 to 2_09 gpm_efficient 1_75 gpm_Direct Install_Any Water Heating</v>
      </c>
      <c r="L168" s="493">
        <f>INDEX(InstallRatesCostAndLifetime!$A$2:$D$6,MATCH(InputForProCost_FitnessCenter!H168,InstallRatesCostAndLifetime!$A$2:$A$6,0),MATCH(InputForProCost_FitnessCenter!I168,InstallRatesCostAndLifetime!$A$2:$D$2,0))</f>
        <v>0.9</v>
      </c>
      <c r="M168" s="493">
        <f t="shared" si="35"/>
        <v>0.31666666666666665</v>
      </c>
      <c r="N168" s="492"/>
      <c r="O168" s="492" t="str">
        <f t="shared" si="36"/>
        <v>Fitness Center2_00 to 2_09 gpm1_75</v>
      </c>
      <c r="P168" s="494">
        <f>VLOOKUP($O168,Impacts!$F$27:$Z$59,16,FALSE)</f>
        <v>2191.8219096040702</v>
      </c>
      <c r="Q168" s="494">
        <f>VLOOKUP($O168,Impacts!$F$27:$Z$59,17,FALSE)*L168</f>
        <v>81.259841674738141</v>
      </c>
      <c r="R168" s="495">
        <f>VLOOKUP($O168,Impacts!$F$27:$Z$59,19,FALSE)*L168</f>
        <v>87.972101218238407</v>
      </c>
      <c r="S168" s="496">
        <f>VLOOKUP($O168,Impacts!$F$27:$Z$59,20,FALSE)*L168</f>
        <v>15361.028671973183</v>
      </c>
      <c r="T168" s="497">
        <f>VLOOKUP($O168,Impacts!$F$27:$Z$59,21,FALSE)*L168</f>
        <v>202.1923621926783</v>
      </c>
      <c r="U168" s="492"/>
      <c r="V168" s="492" t="str">
        <f t="shared" si="37"/>
        <v>Commercial Showerhead Replacement_Fitness Center_precondition 2_00 to 2_09 gpm_efficient 1_75 gpm_Direct Install_Any Water Heating</v>
      </c>
      <c r="W168" s="492" t="s">
        <v>440</v>
      </c>
      <c r="X168" s="494">
        <f t="shared" si="40"/>
        <v>624.66924423716</v>
      </c>
      <c r="Y168" s="492">
        <v>10</v>
      </c>
      <c r="Z168" s="498">
        <f t="shared" si="41"/>
        <v>11.336666666666666</v>
      </c>
      <c r="AA168" s="492"/>
      <c r="AB168" s="499" t="s">
        <v>441</v>
      </c>
      <c r="AC168" s="497">
        <f t="shared" si="42"/>
        <v>202.1923621926783</v>
      </c>
      <c r="AD168" s="492"/>
      <c r="AE168" s="492"/>
      <c r="AF168" s="492"/>
      <c r="AG168" s="492"/>
      <c r="AH168" s="492"/>
      <c r="AI168" s="492"/>
      <c r="AJ168" s="492">
        <f t="shared" si="38"/>
        <v>60.114269165796244</v>
      </c>
      <c r="AK168" s="492" t="s">
        <v>442</v>
      </c>
    </row>
    <row r="169" spans="1:37">
      <c r="A169" s="492">
        <f t="shared" si="39"/>
        <v>151</v>
      </c>
      <c r="B169" s="492">
        <f t="shared" si="43"/>
        <v>6</v>
      </c>
      <c r="C169" s="492">
        <f t="shared" si="43"/>
        <v>2</v>
      </c>
      <c r="D169" s="492">
        <f t="shared" si="43"/>
        <v>3</v>
      </c>
      <c r="E169" s="492">
        <f t="shared" si="31"/>
        <v>1</v>
      </c>
      <c r="F169" s="499" t="s">
        <v>645</v>
      </c>
      <c r="G169" s="499" t="str">
        <f t="shared" si="32"/>
        <v>2_00 to 2_09 gpm</v>
      </c>
      <c r="H169" s="492" t="str">
        <f t="shared" si="33"/>
        <v>Direct Install</v>
      </c>
      <c r="I169" s="492" t="str">
        <f t="shared" si="33"/>
        <v>1_50</v>
      </c>
      <c r="J169" s="492" t="str">
        <f t="shared" si="33"/>
        <v>Electric Water Heating</v>
      </c>
      <c r="K169" s="492" t="str">
        <f t="shared" si="34"/>
        <v>Commercial Showerhead Replacement_Fitness Center_precondition 2_00 to 2_09 gpm_efficient 1_50 gpm_Direct Install_Electric Water Heating</v>
      </c>
      <c r="L169" s="493">
        <f>INDEX(InstallRatesCostAndLifetime!$A$2:$D$6,MATCH(InputForProCost_FitnessCenter!H169,InstallRatesCostAndLifetime!$A$2:$A$6,0),MATCH(InputForProCost_FitnessCenter!I169,InstallRatesCostAndLifetime!$A$2:$D$2,0))</f>
        <v>0.9</v>
      </c>
      <c r="M169" s="493">
        <f t="shared" si="35"/>
        <v>1</v>
      </c>
      <c r="N169" s="492"/>
      <c r="O169" s="492" t="str">
        <f t="shared" si="36"/>
        <v>Fitness Center2_00 to 2_09 gpm1_50</v>
      </c>
      <c r="P169" s="494">
        <f>VLOOKUP($O169,Impacts!$F$27:$Z$59,16,FALSE)</f>
        <v>3991.1559837534078</v>
      </c>
      <c r="Q169" s="494">
        <f>VLOOKUP($O169,Impacts!$F$27:$Z$59,17,FALSE)*L169</f>
        <v>148.9763764036866</v>
      </c>
      <c r="R169" s="495">
        <f>VLOOKUP($O169,Impacts!$F$27:$Z$59,19,FALSE)*L169</f>
        <v>160.19110706122893</v>
      </c>
      <c r="S169" s="496">
        <f>VLOOKUP($O169,Impacts!$F$27:$Z$59,20,FALSE)*L169</f>
        <v>28161.885898617504</v>
      </c>
      <c r="T169" s="497">
        <f>VLOOKUP($O169,Impacts!$F$27:$Z$59,21,FALSE)*L169</f>
        <v>370.68599735324358</v>
      </c>
      <c r="U169" s="492"/>
      <c r="V169" s="492" t="str">
        <f t="shared" si="37"/>
        <v>Commercial Showerhead Replacement_Fitness Center_precondition 2_00 to 2_09 gpm_efficient 1_50 gpm_Direct Install_Electric Water Heating</v>
      </c>
      <c r="W169" s="492" t="s">
        <v>440</v>
      </c>
      <c r="X169" s="494">
        <f t="shared" si="40"/>
        <v>3592.0403853780672</v>
      </c>
      <c r="Y169" s="492">
        <v>10</v>
      </c>
      <c r="Z169" s="498">
        <f t="shared" si="41"/>
        <v>11.336666666666666</v>
      </c>
      <c r="AA169" s="492"/>
      <c r="AB169" s="499" t="s">
        <v>441</v>
      </c>
      <c r="AC169" s="497">
        <f t="shared" si="42"/>
        <v>370.68599735324358</v>
      </c>
      <c r="AD169" s="492"/>
      <c r="AE169" s="492"/>
      <c r="AF169" s="492"/>
      <c r="AG169" s="492"/>
      <c r="AH169" s="492"/>
      <c r="AI169" s="492"/>
      <c r="AJ169" s="492">
        <f t="shared" si="38"/>
        <v>0</v>
      </c>
      <c r="AK169" s="492" t="s">
        <v>442</v>
      </c>
    </row>
    <row r="170" spans="1:37">
      <c r="A170" s="492">
        <f t="shared" si="39"/>
        <v>152</v>
      </c>
      <c r="B170" s="492">
        <f t="shared" si="43"/>
        <v>6</v>
      </c>
      <c r="C170" s="492">
        <f t="shared" si="43"/>
        <v>2</v>
      </c>
      <c r="D170" s="492">
        <f t="shared" si="43"/>
        <v>3</v>
      </c>
      <c r="E170" s="492">
        <f t="shared" si="31"/>
        <v>2</v>
      </c>
      <c r="F170" s="499" t="s">
        <v>645</v>
      </c>
      <c r="G170" s="499" t="str">
        <f t="shared" si="32"/>
        <v>2_00 to 2_09 gpm</v>
      </c>
      <c r="H170" s="492" t="str">
        <f t="shared" si="33"/>
        <v>Direct Install</v>
      </c>
      <c r="I170" s="492" t="str">
        <f t="shared" si="33"/>
        <v>1_50</v>
      </c>
      <c r="J170" s="492" t="str">
        <f t="shared" si="33"/>
        <v>Gas Water Heating</v>
      </c>
      <c r="K170" s="492" t="str">
        <f t="shared" si="34"/>
        <v>Commercial Showerhead Replacement_Fitness Center_precondition 2_00 to 2_09 gpm_efficient 1_50 gpm_Direct Install_Gas Water Heating</v>
      </c>
      <c r="L170" s="493">
        <f>INDEX(InstallRatesCostAndLifetime!$A$2:$D$6,MATCH(InputForProCost_FitnessCenter!H170,InstallRatesCostAndLifetime!$A$2:$A$6,0),MATCH(InputForProCost_FitnessCenter!I170,InstallRatesCostAndLifetime!$A$2:$D$2,0))</f>
        <v>0.9</v>
      </c>
      <c r="M170" s="493">
        <f t="shared" si="35"/>
        <v>0</v>
      </c>
      <c r="N170" s="492"/>
      <c r="O170" s="492" t="str">
        <f t="shared" si="36"/>
        <v>Fitness Center2_00 to 2_09 gpm1_50</v>
      </c>
      <c r="P170" s="494">
        <f>VLOOKUP($O170,Impacts!$F$27:$Z$59,16,FALSE)</f>
        <v>3991.1559837534078</v>
      </c>
      <c r="Q170" s="494">
        <f>VLOOKUP($O170,Impacts!$F$27:$Z$59,17,FALSE)*L170</f>
        <v>148.9763764036866</v>
      </c>
      <c r="R170" s="495">
        <f>VLOOKUP($O170,Impacts!$F$27:$Z$59,19,FALSE)*L170</f>
        <v>160.19110706122893</v>
      </c>
      <c r="S170" s="496">
        <f>VLOOKUP($O170,Impacts!$F$27:$Z$59,20,FALSE)*L170</f>
        <v>28161.885898617504</v>
      </c>
      <c r="T170" s="497">
        <f>VLOOKUP($O170,Impacts!$F$27:$Z$59,21,FALSE)*L170</f>
        <v>370.68599735324358</v>
      </c>
      <c r="U170" s="492"/>
      <c r="V170" s="492" t="str">
        <f t="shared" si="37"/>
        <v>Commercial Showerhead Replacement_Fitness Center_precondition 2_00 to 2_09 gpm_efficient 1_50 gpm_Direct Install_Gas Water Heating</v>
      </c>
      <c r="W170" s="492" t="s">
        <v>440</v>
      </c>
      <c r="X170" s="494">
        <f t="shared" si="40"/>
        <v>0</v>
      </c>
      <c r="Y170" s="492">
        <v>10</v>
      </c>
      <c r="Z170" s="498">
        <f t="shared" si="41"/>
        <v>11.336666666666666</v>
      </c>
      <c r="AA170" s="492"/>
      <c r="AB170" s="499" t="s">
        <v>441</v>
      </c>
      <c r="AC170" s="497">
        <f t="shared" si="42"/>
        <v>370.68599735324358</v>
      </c>
      <c r="AD170" s="492"/>
      <c r="AE170" s="492"/>
      <c r="AF170" s="492"/>
      <c r="AG170" s="492"/>
      <c r="AH170" s="492"/>
      <c r="AI170" s="492"/>
      <c r="AJ170" s="492">
        <f t="shared" si="38"/>
        <v>160.19110706122893</v>
      </c>
      <c r="AK170" s="492" t="s">
        <v>442</v>
      </c>
    </row>
    <row r="171" spans="1:37">
      <c r="A171" s="492">
        <f t="shared" si="39"/>
        <v>153</v>
      </c>
      <c r="B171" s="492">
        <f t="shared" si="43"/>
        <v>6</v>
      </c>
      <c r="C171" s="492">
        <f t="shared" si="43"/>
        <v>2</v>
      </c>
      <c r="D171" s="492">
        <f t="shared" si="43"/>
        <v>3</v>
      </c>
      <c r="E171" s="492">
        <f t="shared" si="31"/>
        <v>3</v>
      </c>
      <c r="F171" s="499" t="s">
        <v>645</v>
      </c>
      <c r="G171" s="499" t="str">
        <f t="shared" si="32"/>
        <v>2_00 to 2_09 gpm</v>
      </c>
      <c r="H171" s="492" t="str">
        <f t="shared" si="33"/>
        <v>Direct Install</v>
      </c>
      <c r="I171" s="492" t="str">
        <f t="shared" si="33"/>
        <v>1_50</v>
      </c>
      <c r="J171" s="492" t="str">
        <f t="shared" si="33"/>
        <v>Any Water Heating</v>
      </c>
      <c r="K171" s="492" t="str">
        <f t="shared" si="34"/>
        <v>Commercial Showerhead Replacement_Fitness Center_precondition 2_00 to 2_09 gpm_efficient 1_50 gpm_Direct Install_Any Water Heating</v>
      </c>
      <c r="L171" s="493">
        <f>INDEX(InstallRatesCostAndLifetime!$A$2:$D$6,MATCH(InputForProCost_FitnessCenter!H171,InstallRatesCostAndLifetime!$A$2:$A$6,0),MATCH(InputForProCost_FitnessCenter!I171,InstallRatesCostAndLifetime!$A$2:$D$2,0))</f>
        <v>0.9</v>
      </c>
      <c r="M171" s="493">
        <f t="shared" si="35"/>
        <v>0.31666666666666665</v>
      </c>
      <c r="N171" s="492"/>
      <c r="O171" s="492" t="str">
        <f t="shared" si="36"/>
        <v>Fitness Center2_00 to 2_09 gpm1_50</v>
      </c>
      <c r="P171" s="494">
        <f>VLOOKUP($O171,Impacts!$F$27:$Z$59,16,FALSE)</f>
        <v>3991.1559837534078</v>
      </c>
      <c r="Q171" s="494">
        <f>VLOOKUP($O171,Impacts!$F$27:$Z$59,17,FALSE)*L171</f>
        <v>148.9763764036866</v>
      </c>
      <c r="R171" s="495">
        <f>VLOOKUP($O171,Impacts!$F$27:$Z$59,19,FALSE)*L171</f>
        <v>160.19110706122893</v>
      </c>
      <c r="S171" s="496">
        <f>VLOOKUP($O171,Impacts!$F$27:$Z$59,20,FALSE)*L171</f>
        <v>28161.885898617504</v>
      </c>
      <c r="T171" s="497">
        <f>VLOOKUP($O171,Impacts!$F$27:$Z$59,21,FALSE)*L171</f>
        <v>370.68599735324358</v>
      </c>
      <c r="U171" s="492"/>
      <c r="V171" s="492" t="str">
        <f t="shared" si="37"/>
        <v>Commercial Showerhead Replacement_Fitness Center_precondition 2_00 to 2_09 gpm_efficient 1_50 gpm_Direct Install_Any Water Heating</v>
      </c>
      <c r="W171" s="492" t="s">
        <v>440</v>
      </c>
      <c r="X171" s="494">
        <f t="shared" si="40"/>
        <v>1137.4794553697211</v>
      </c>
      <c r="Y171" s="492">
        <v>10</v>
      </c>
      <c r="Z171" s="498">
        <f t="shared" si="41"/>
        <v>11.336666666666666</v>
      </c>
      <c r="AA171" s="492"/>
      <c r="AB171" s="499" t="s">
        <v>441</v>
      </c>
      <c r="AC171" s="497">
        <f t="shared" si="42"/>
        <v>370.68599735324358</v>
      </c>
      <c r="AD171" s="492"/>
      <c r="AE171" s="492"/>
      <c r="AF171" s="492"/>
      <c r="AG171" s="492"/>
      <c r="AH171" s="492"/>
      <c r="AI171" s="492"/>
      <c r="AJ171" s="492">
        <f t="shared" si="38"/>
        <v>109.46392315850645</v>
      </c>
      <c r="AK171" s="492" t="s">
        <v>442</v>
      </c>
    </row>
    <row r="172" spans="1:37">
      <c r="A172" s="492">
        <f t="shared" si="39"/>
        <v>154</v>
      </c>
      <c r="B172" s="492">
        <f t="shared" si="43"/>
        <v>6</v>
      </c>
      <c r="C172" s="492">
        <f t="shared" si="43"/>
        <v>3</v>
      </c>
      <c r="D172" s="492">
        <f t="shared" si="43"/>
        <v>1</v>
      </c>
      <c r="E172" s="492">
        <f t="shared" si="31"/>
        <v>1</v>
      </c>
      <c r="F172" s="499" t="s">
        <v>645</v>
      </c>
      <c r="G172" s="499" t="str">
        <f t="shared" si="32"/>
        <v>2_00 to 2_09 gpm</v>
      </c>
      <c r="H172" s="492" t="str">
        <f t="shared" si="33"/>
        <v>Mail-by-Request</v>
      </c>
      <c r="I172" s="492" t="str">
        <f t="shared" si="33"/>
        <v>2_00</v>
      </c>
      <c r="J172" s="492" t="str">
        <f t="shared" si="33"/>
        <v>Electric Water Heating</v>
      </c>
      <c r="K172" s="492" t="str">
        <f t="shared" si="34"/>
        <v>Commercial Showerhead Replacement_Fitness Center_precondition 2_00 to 2_09 gpm_efficient 2_00 gpm_Mail-by-Request_Electric Water Heating</v>
      </c>
      <c r="L172" s="493">
        <f>INDEX(InstallRatesCostAndLifetime!$A$2:$D$6,MATCH(InputForProCost_FitnessCenter!H172,InstallRatesCostAndLifetime!$A$2:$A$6,0),MATCH(InputForProCost_FitnessCenter!I172,InstallRatesCostAndLifetime!$A$2:$D$2,0))</f>
        <v>0.6</v>
      </c>
      <c r="M172" s="493">
        <f t="shared" si="35"/>
        <v>1</v>
      </c>
      <c r="N172" s="492"/>
      <c r="O172" s="492" t="str">
        <f t="shared" si="36"/>
        <v>Fitness Center2_00 to 2_09 gpm2_00</v>
      </c>
      <c r="P172" s="494">
        <f>VLOOKUP($O172,Impacts!$F$27:$Z$59,16,FALSE)</f>
        <v>2018.3609269162935</v>
      </c>
      <c r="Q172" s="494">
        <f>VLOOKUP($O172,Impacts!$F$27:$Z$59,17,FALSE)*L172</f>
        <v>45.144356485965631</v>
      </c>
      <c r="R172" s="495">
        <f>VLOOKUP($O172,Impacts!$F$27:$Z$59,19,FALSE)*L172</f>
        <v>54.006654153664655</v>
      </c>
      <c r="S172" s="496">
        <f>VLOOKUP($O172,Impacts!$F$27:$Z$59,20,FALSE)*L172</f>
        <v>8533.9048177628811</v>
      </c>
      <c r="T172" s="497">
        <f>VLOOKUP($O172,Impacts!$F$27:$Z$59,21,FALSE)*L172</f>
        <v>112.32909010704351</v>
      </c>
      <c r="U172" s="492"/>
      <c r="V172" s="492" t="str">
        <f t="shared" si="37"/>
        <v>Commercial Showerhead Replacement_Fitness Center_precondition 2_00 to 2_09 gpm_efficient 2_00 gpm_Mail-by-Request_Electric Water Heating</v>
      </c>
      <c r="W172" s="492" t="s">
        <v>440</v>
      </c>
      <c r="X172" s="494">
        <f t="shared" si="40"/>
        <v>1211.0165561497761</v>
      </c>
      <c r="Y172" s="492">
        <v>10</v>
      </c>
      <c r="Z172" s="498">
        <f t="shared" si="41"/>
        <v>8.1096944444444432</v>
      </c>
      <c r="AA172" s="492"/>
      <c r="AB172" s="499" t="s">
        <v>441</v>
      </c>
      <c r="AC172" s="497">
        <f t="shared" si="42"/>
        <v>112.32909010704351</v>
      </c>
      <c r="AD172" s="492"/>
      <c r="AE172" s="492"/>
      <c r="AF172" s="492"/>
      <c r="AG172" s="492"/>
      <c r="AH172" s="492"/>
      <c r="AI172" s="492"/>
      <c r="AJ172" s="492">
        <f t="shared" si="38"/>
        <v>0</v>
      </c>
      <c r="AK172" s="492" t="s">
        <v>442</v>
      </c>
    </row>
    <row r="173" spans="1:37">
      <c r="A173" s="492">
        <f t="shared" si="39"/>
        <v>155</v>
      </c>
      <c r="B173" s="492">
        <f t="shared" si="43"/>
        <v>6</v>
      </c>
      <c r="C173" s="492">
        <f t="shared" si="43"/>
        <v>3</v>
      </c>
      <c r="D173" s="492">
        <f t="shared" si="43"/>
        <v>1</v>
      </c>
      <c r="E173" s="492">
        <f t="shared" si="31"/>
        <v>2</v>
      </c>
      <c r="F173" s="499" t="s">
        <v>645</v>
      </c>
      <c r="G173" s="499" t="str">
        <f t="shared" si="32"/>
        <v>2_00 to 2_09 gpm</v>
      </c>
      <c r="H173" s="492" t="str">
        <f t="shared" si="33"/>
        <v>Mail-by-Request</v>
      </c>
      <c r="I173" s="492" t="str">
        <f t="shared" si="33"/>
        <v>2_00</v>
      </c>
      <c r="J173" s="492" t="str">
        <f t="shared" si="33"/>
        <v>Gas Water Heating</v>
      </c>
      <c r="K173" s="492" t="str">
        <f t="shared" si="34"/>
        <v>Commercial Showerhead Replacement_Fitness Center_precondition 2_00 to 2_09 gpm_efficient 2_00 gpm_Mail-by-Request_Gas Water Heating</v>
      </c>
      <c r="L173" s="493">
        <f>INDEX(InstallRatesCostAndLifetime!$A$2:$D$6,MATCH(InputForProCost_FitnessCenter!H173,InstallRatesCostAndLifetime!$A$2:$A$6,0),MATCH(InputForProCost_FitnessCenter!I173,InstallRatesCostAndLifetime!$A$2:$D$2,0))</f>
        <v>0.6</v>
      </c>
      <c r="M173" s="493">
        <f t="shared" si="35"/>
        <v>0</v>
      </c>
      <c r="N173" s="492"/>
      <c r="O173" s="492" t="str">
        <f t="shared" si="36"/>
        <v>Fitness Center2_00 to 2_09 gpm2_00</v>
      </c>
      <c r="P173" s="494">
        <f>VLOOKUP($O173,Impacts!$F$27:$Z$59,16,FALSE)</f>
        <v>2018.3609269162935</v>
      </c>
      <c r="Q173" s="494">
        <f>VLOOKUP($O173,Impacts!$F$27:$Z$59,17,FALSE)*L173</f>
        <v>45.144356485965631</v>
      </c>
      <c r="R173" s="495">
        <f>VLOOKUP($O173,Impacts!$F$27:$Z$59,19,FALSE)*L173</f>
        <v>54.006654153664655</v>
      </c>
      <c r="S173" s="496">
        <f>VLOOKUP($O173,Impacts!$F$27:$Z$59,20,FALSE)*L173</f>
        <v>8533.9048177628811</v>
      </c>
      <c r="T173" s="497">
        <f>VLOOKUP($O173,Impacts!$F$27:$Z$59,21,FALSE)*L173</f>
        <v>112.32909010704351</v>
      </c>
      <c r="U173" s="492"/>
      <c r="V173" s="492" t="str">
        <f t="shared" si="37"/>
        <v>Commercial Showerhead Replacement_Fitness Center_precondition 2_00 to 2_09 gpm_efficient 2_00 gpm_Mail-by-Request_Gas Water Heating</v>
      </c>
      <c r="W173" s="492" t="s">
        <v>440</v>
      </c>
      <c r="X173" s="494">
        <f t="shared" si="40"/>
        <v>0</v>
      </c>
      <c r="Y173" s="492">
        <v>10</v>
      </c>
      <c r="Z173" s="498">
        <f t="shared" si="41"/>
        <v>8.1096944444444432</v>
      </c>
      <c r="AA173" s="492"/>
      <c r="AB173" s="499" t="s">
        <v>441</v>
      </c>
      <c r="AC173" s="497">
        <f t="shared" si="42"/>
        <v>112.32909010704351</v>
      </c>
      <c r="AD173" s="492"/>
      <c r="AE173" s="492"/>
      <c r="AF173" s="492"/>
      <c r="AG173" s="492"/>
      <c r="AH173" s="492"/>
      <c r="AI173" s="492"/>
      <c r="AJ173" s="492">
        <f t="shared" si="38"/>
        <v>54.006654153664655</v>
      </c>
      <c r="AK173" s="492" t="s">
        <v>442</v>
      </c>
    </row>
    <row r="174" spans="1:37">
      <c r="A174" s="492">
        <f t="shared" si="39"/>
        <v>156</v>
      </c>
      <c r="B174" s="492">
        <f t="shared" si="43"/>
        <v>6</v>
      </c>
      <c r="C174" s="492">
        <f t="shared" si="43"/>
        <v>3</v>
      </c>
      <c r="D174" s="492">
        <f t="shared" si="43"/>
        <v>1</v>
      </c>
      <c r="E174" s="492">
        <f t="shared" si="31"/>
        <v>3</v>
      </c>
      <c r="F174" s="499" t="s">
        <v>645</v>
      </c>
      <c r="G174" s="499" t="str">
        <f t="shared" si="32"/>
        <v>2_00 to 2_09 gpm</v>
      </c>
      <c r="H174" s="492" t="str">
        <f t="shared" si="33"/>
        <v>Mail-by-Request</v>
      </c>
      <c r="I174" s="492" t="str">
        <f t="shared" si="33"/>
        <v>2_00</v>
      </c>
      <c r="J174" s="492" t="str">
        <f t="shared" si="33"/>
        <v>Any Water Heating</v>
      </c>
      <c r="K174" s="492" t="str">
        <f t="shared" si="34"/>
        <v>Commercial Showerhead Replacement_Fitness Center_precondition 2_00 to 2_09 gpm_efficient 2_00 gpm_Mail-by-Request_Any Water Heating</v>
      </c>
      <c r="L174" s="493">
        <f>INDEX(InstallRatesCostAndLifetime!$A$2:$D$6,MATCH(InputForProCost_FitnessCenter!H174,InstallRatesCostAndLifetime!$A$2:$A$6,0),MATCH(InputForProCost_FitnessCenter!I174,InstallRatesCostAndLifetime!$A$2:$D$2,0))</f>
        <v>0.6</v>
      </c>
      <c r="M174" s="493">
        <f t="shared" si="35"/>
        <v>0.31666666666666665</v>
      </c>
      <c r="N174" s="492"/>
      <c r="O174" s="492" t="str">
        <f t="shared" si="36"/>
        <v>Fitness Center2_00 to 2_09 gpm2_00</v>
      </c>
      <c r="P174" s="494">
        <f>VLOOKUP($O174,Impacts!$F$27:$Z$59,16,FALSE)</f>
        <v>2018.3609269162935</v>
      </c>
      <c r="Q174" s="494">
        <f>VLOOKUP($O174,Impacts!$F$27:$Z$59,17,FALSE)*L174</f>
        <v>45.144356485965631</v>
      </c>
      <c r="R174" s="495">
        <f>VLOOKUP($O174,Impacts!$F$27:$Z$59,19,FALSE)*L174</f>
        <v>54.006654153664655</v>
      </c>
      <c r="S174" s="496">
        <f>VLOOKUP($O174,Impacts!$F$27:$Z$59,20,FALSE)*L174</f>
        <v>8533.9048177628811</v>
      </c>
      <c r="T174" s="497">
        <f>VLOOKUP($O174,Impacts!$F$27:$Z$59,21,FALSE)*L174</f>
        <v>112.32909010704351</v>
      </c>
      <c r="U174" s="492"/>
      <c r="V174" s="492" t="str">
        <f t="shared" si="37"/>
        <v>Commercial Showerhead Replacement_Fitness Center_precondition 2_00 to 2_09 gpm_efficient 2_00 gpm_Mail-by-Request_Any Water Heating</v>
      </c>
      <c r="W174" s="492" t="s">
        <v>440</v>
      </c>
      <c r="X174" s="494">
        <f t="shared" si="40"/>
        <v>383.48857611409574</v>
      </c>
      <c r="Y174" s="492">
        <v>10</v>
      </c>
      <c r="Z174" s="498">
        <f t="shared" si="41"/>
        <v>8.1096944444444432</v>
      </c>
      <c r="AA174" s="492"/>
      <c r="AB174" s="499" t="s">
        <v>441</v>
      </c>
      <c r="AC174" s="497">
        <f t="shared" si="42"/>
        <v>112.32909010704351</v>
      </c>
      <c r="AD174" s="492"/>
      <c r="AE174" s="492"/>
      <c r="AF174" s="492"/>
      <c r="AG174" s="492"/>
      <c r="AH174" s="492"/>
      <c r="AI174" s="492"/>
      <c r="AJ174" s="492">
        <f t="shared" si="38"/>
        <v>36.904547005004183</v>
      </c>
      <c r="AK174" s="492" t="s">
        <v>442</v>
      </c>
    </row>
    <row r="175" spans="1:37">
      <c r="A175" s="492">
        <f t="shared" si="39"/>
        <v>157</v>
      </c>
      <c r="B175" s="492">
        <f t="shared" si="43"/>
        <v>6</v>
      </c>
      <c r="C175" s="492">
        <f t="shared" si="43"/>
        <v>3</v>
      </c>
      <c r="D175" s="492">
        <f t="shared" si="43"/>
        <v>2</v>
      </c>
      <c r="E175" s="492">
        <f t="shared" si="31"/>
        <v>1</v>
      </c>
      <c r="F175" s="499" t="s">
        <v>645</v>
      </c>
      <c r="G175" s="499" t="str">
        <f t="shared" si="32"/>
        <v>2_00 to 2_09 gpm</v>
      </c>
      <c r="H175" s="492" t="str">
        <f t="shared" si="33"/>
        <v>Mail-by-Request</v>
      </c>
      <c r="I175" s="492" t="str">
        <f t="shared" si="33"/>
        <v>1_75</v>
      </c>
      <c r="J175" s="492" t="str">
        <f t="shared" si="33"/>
        <v>Electric Water Heating</v>
      </c>
      <c r="K175" s="492" t="str">
        <f t="shared" si="34"/>
        <v>Commercial Showerhead Replacement_Fitness Center_precondition 2_00 to 2_09 gpm_efficient 1_75 gpm_Mail-by-Request_Electric Water Heating</v>
      </c>
      <c r="L175" s="493">
        <f>INDEX(InstallRatesCostAndLifetime!$A$2:$D$6,MATCH(InputForProCost_FitnessCenter!H175,InstallRatesCostAndLifetime!$A$2:$A$6,0),MATCH(InputForProCost_FitnessCenter!I175,InstallRatesCostAndLifetime!$A$2:$D$2,0))</f>
        <v>0.6</v>
      </c>
      <c r="M175" s="493">
        <f t="shared" si="35"/>
        <v>1</v>
      </c>
      <c r="N175" s="492"/>
      <c r="O175" s="492" t="str">
        <f t="shared" si="36"/>
        <v>Fitness Center2_00 to 2_09 gpm1_75</v>
      </c>
      <c r="P175" s="494">
        <f>VLOOKUP($O175,Impacts!$F$27:$Z$59,16,FALSE)</f>
        <v>2191.8219096040702</v>
      </c>
      <c r="Q175" s="494">
        <f>VLOOKUP($O175,Impacts!$F$27:$Z$59,17,FALSE)*L175</f>
        <v>54.173227783158758</v>
      </c>
      <c r="R175" s="495">
        <f>VLOOKUP($O175,Impacts!$F$27:$Z$59,19,FALSE)*L175</f>
        <v>58.648067478825595</v>
      </c>
      <c r="S175" s="496">
        <f>VLOOKUP($O175,Impacts!$F$27:$Z$59,20,FALSE)*L175</f>
        <v>10240.685781315455</v>
      </c>
      <c r="T175" s="497">
        <f>VLOOKUP($O175,Impacts!$F$27:$Z$59,21,FALSE)*L175</f>
        <v>134.79490812845219</v>
      </c>
      <c r="U175" s="492"/>
      <c r="V175" s="492" t="str">
        <f t="shared" si="37"/>
        <v>Commercial Showerhead Replacement_Fitness Center_precondition 2_00 to 2_09 gpm_efficient 1_75 gpm_Mail-by-Request_Electric Water Heating</v>
      </c>
      <c r="W175" s="492" t="s">
        <v>440</v>
      </c>
      <c r="X175" s="494">
        <f t="shared" si="40"/>
        <v>1315.0931457624422</v>
      </c>
      <c r="Y175" s="492">
        <v>10</v>
      </c>
      <c r="Z175" s="498">
        <f t="shared" si="41"/>
        <v>8.1096944444444432</v>
      </c>
      <c r="AA175" s="492"/>
      <c r="AB175" s="499" t="s">
        <v>441</v>
      </c>
      <c r="AC175" s="497">
        <f t="shared" si="42"/>
        <v>134.79490812845219</v>
      </c>
      <c r="AD175" s="492"/>
      <c r="AE175" s="492"/>
      <c r="AF175" s="492"/>
      <c r="AG175" s="492"/>
      <c r="AH175" s="492"/>
      <c r="AI175" s="492"/>
      <c r="AJ175" s="492">
        <f t="shared" si="38"/>
        <v>0</v>
      </c>
      <c r="AK175" s="492" t="s">
        <v>442</v>
      </c>
    </row>
    <row r="176" spans="1:37">
      <c r="A176" s="492">
        <f t="shared" si="39"/>
        <v>158</v>
      </c>
      <c r="B176" s="492">
        <f t="shared" si="43"/>
        <v>6</v>
      </c>
      <c r="C176" s="492">
        <f t="shared" si="43"/>
        <v>3</v>
      </c>
      <c r="D176" s="492">
        <f t="shared" si="43"/>
        <v>2</v>
      </c>
      <c r="E176" s="492">
        <f t="shared" si="31"/>
        <v>2</v>
      </c>
      <c r="F176" s="499" t="s">
        <v>645</v>
      </c>
      <c r="G176" s="499" t="str">
        <f t="shared" si="32"/>
        <v>2_00 to 2_09 gpm</v>
      </c>
      <c r="H176" s="492" t="str">
        <f t="shared" si="33"/>
        <v>Mail-by-Request</v>
      </c>
      <c r="I176" s="492" t="str">
        <f t="shared" si="33"/>
        <v>1_75</v>
      </c>
      <c r="J176" s="492" t="str">
        <f t="shared" si="33"/>
        <v>Gas Water Heating</v>
      </c>
      <c r="K176" s="492" t="str">
        <f t="shared" si="34"/>
        <v>Commercial Showerhead Replacement_Fitness Center_precondition 2_00 to 2_09 gpm_efficient 1_75 gpm_Mail-by-Request_Gas Water Heating</v>
      </c>
      <c r="L176" s="493">
        <f>INDEX(InstallRatesCostAndLifetime!$A$2:$D$6,MATCH(InputForProCost_FitnessCenter!H176,InstallRatesCostAndLifetime!$A$2:$A$6,0),MATCH(InputForProCost_FitnessCenter!I176,InstallRatesCostAndLifetime!$A$2:$D$2,0))</f>
        <v>0.6</v>
      </c>
      <c r="M176" s="493">
        <f t="shared" si="35"/>
        <v>0</v>
      </c>
      <c r="N176" s="492"/>
      <c r="O176" s="492" t="str">
        <f t="shared" si="36"/>
        <v>Fitness Center2_00 to 2_09 gpm1_75</v>
      </c>
      <c r="P176" s="494">
        <f>VLOOKUP($O176,Impacts!$F$27:$Z$59,16,FALSE)</f>
        <v>2191.8219096040702</v>
      </c>
      <c r="Q176" s="494">
        <f>VLOOKUP($O176,Impacts!$F$27:$Z$59,17,FALSE)*L176</f>
        <v>54.173227783158758</v>
      </c>
      <c r="R176" s="495">
        <f>VLOOKUP($O176,Impacts!$F$27:$Z$59,19,FALSE)*L176</f>
        <v>58.648067478825595</v>
      </c>
      <c r="S176" s="496">
        <f>VLOOKUP($O176,Impacts!$F$27:$Z$59,20,FALSE)*L176</f>
        <v>10240.685781315455</v>
      </c>
      <c r="T176" s="497">
        <f>VLOOKUP($O176,Impacts!$F$27:$Z$59,21,FALSE)*L176</f>
        <v>134.79490812845219</v>
      </c>
      <c r="U176" s="492"/>
      <c r="V176" s="492" t="str">
        <f t="shared" si="37"/>
        <v>Commercial Showerhead Replacement_Fitness Center_precondition 2_00 to 2_09 gpm_efficient 1_75 gpm_Mail-by-Request_Gas Water Heating</v>
      </c>
      <c r="W176" s="492" t="s">
        <v>440</v>
      </c>
      <c r="X176" s="494">
        <f t="shared" si="40"/>
        <v>0</v>
      </c>
      <c r="Y176" s="492">
        <v>10</v>
      </c>
      <c r="Z176" s="498">
        <f t="shared" si="41"/>
        <v>8.1096944444444432</v>
      </c>
      <c r="AA176" s="492"/>
      <c r="AB176" s="499" t="s">
        <v>441</v>
      </c>
      <c r="AC176" s="497">
        <f t="shared" si="42"/>
        <v>134.79490812845219</v>
      </c>
      <c r="AD176" s="492"/>
      <c r="AE176" s="492"/>
      <c r="AF176" s="492"/>
      <c r="AG176" s="492"/>
      <c r="AH176" s="492"/>
      <c r="AI176" s="492"/>
      <c r="AJ176" s="492">
        <f t="shared" si="38"/>
        <v>58.648067478825595</v>
      </c>
      <c r="AK176" s="492" t="s">
        <v>442</v>
      </c>
    </row>
    <row r="177" spans="1:37">
      <c r="A177" s="492">
        <f t="shared" si="39"/>
        <v>159</v>
      </c>
      <c r="B177" s="492">
        <f t="shared" si="43"/>
        <v>6</v>
      </c>
      <c r="C177" s="492">
        <f t="shared" si="43"/>
        <v>3</v>
      </c>
      <c r="D177" s="492">
        <f t="shared" si="43"/>
        <v>2</v>
      </c>
      <c r="E177" s="492">
        <f t="shared" si="31"/>
        <v>3</v>
      </c>
      <c r="F177" s="499" t="s">
        <v>645</v>
      </c>
      <c r="G177" s="499" t="str">
        <f t="shared" si="32"/>
        <v>2_00 to 2_09 gpm</v>
      </c>
      <c r="H177" s="492" t="str">
        <f t="shared" si="33"/>
        <v>Mail-by-Request</v>
      </c>
      <c r="I177" s="492" t="str">
        <f t="shared" si="33"/>
        <v>1_75</v>
      </c>
      <c r="J177" s="492" t="str">
        <f t="shared" si="33"/>
        <v>Any Water Heating</v>
      </c>
      <c r="K177" s="492" t="str">
        <f t="shared" si="34"/>
        <v>Commercial Showerhead Replacement_Fitness Center_precondition 2_00 to 2_09 gpm_efficient 1_75 gpm_Mail-by-Request_Any Water Heating</v>
      </c>
      <c r="L177" s="493">
        <f>INDEX(InstallRatesCostAndLifetime!$A$2:$D$6,MATCH(InputForProCost_FitnessCenter!H177,InstallRatesCostAndLifetime!$A$2:$A$6,0),MATCH(InputForProCost_FitnessCenter!I177,InstallRatesCostAndLifetime!$A$2:$D$2,0))</f>
        <v>0.6</v>
      </c>
      <c r="M177" s="493">
        <f t="shared" si="35"/>
        <v>0.31666666666666665</v>
      </c>
      <c r="N177" s="492"/>
      <c r="O177" s="492" t="str">
        <f t="shared" si="36"/>
        <v>Fitness Center2_00 to 2_09 gpm1_75</v>
      </c>
      <c r="P177" s="494">
        <f>VLOOKUP($O177,Impacts!$F$27:$Z$59,16,FALSE)</f>
        <v>2191.8219096040702</v>
      </c>
      <c r="Q177" s="494">
        <f>VLOOKUP($O177,Impacts!$F$27:$Z$59,17,FALSE)*L177</f>
        <v>54.173227783158758</v>
      </c>
      <c r="R177" s="495">
        <f>VLOOKUP($O177,Impacts!$F$27:$Z$59,19,FALSE)*L177</f>
        <v>58.648067478825595</v>
      </c>
      <c r="S177" s="496">
        <f>VLOOKUP($O177,Impacts!$F$27:$Z$59,20,FALSE)*L177</f>
        <v>10240.685781315455</v>
      </c>
      <c r="T177" s="497">
        <f>VLOOKUP($O177,Impacts!$F$27:$Z$59,21,FALSE)*L177</f>
        <v>134.79490812845219</v>
      </c>
      <c r="U177" s="492"/>
      <c r="V177" s="492" t="str">
        <f t="shared" si="37"/>
        <v>Commercial Showerhead Replacement_Fitness Center_precondition 2_00 to 2_09 gpm_efficient 1_75 gpm_Mail-by-Request_Any Water Heating</v>
      </c>
      <c r="W177" s="492" t="s">
        <v>440</v>
      </c>
      <c r="X177" s="494">
        <f t="shared" si="40"/>
        <v>416.4461628247733</v>
      </c>
      <c r="Y177" s="492">
        <v>10</v>
      </c>
      <c r="Z177" s="498">
        <f t="shared" si="41"/>
        <v>8.1096944444444432</v>
      </c>
      <c r="AA177" s="492"/>
      <c r="AB177" s="499" t="s">
        <v>441</v>
      </c>
      <c r="AC177" s="497">
        <f t="shared" si="42"/>
        <v>134.79490812845219</v>
      </c>
      <c r="AD177" s="492"/>
      <c r="AE177" s="492"/>
      <c r="AF177" s="492"/>
      <c r="AG177" s="492"/>
      <c r="AH177" s="492"/>
      <c r="AI177" s="492"/>
      <c r="AJ177" s="492">
        <f t="shared" si="38"/>
        <v>40.076179443864156</v>
      </c>
      <c r="AK177" s="492" t="s">
        <v>442</v>
      </c>
    </row>
    <row r="178" spans="1:37">
      <c r="A178" s="492">
        <f t="shared" si="39"/>
        <v>160</v>
      </c>
      <c r="B178" s="492">
        <f t="shared" si="43"/>
        <v>6</v>
      </c>
      <c r="C178" s="492">
        <f t="shared" si="43"/>
        <v>3</v>
      </c>
      <c r="D178" s="492">
        <f t="shared" si="43"/>
        <v>3</v>
      </c>
      <c r="E178" s="492">
        <f t="shared" si="31"/>
        <v>1</v>
      </c>
      <c r="F178" s="499" t="s">
        <v>645</v>
      </c>
      <c r="G178" s="499" t="str">
        <f t="shared" si="32"/>
        <v>2_00 to 2_09 gpm</v>
      </c>
      <c r="H178" s="492" t="str">
        <f t="shared" si="33"/>
        <v>Mail-by-Request</v>
      </c>
      <c r="I178" s="492" t="str">
        <f t="shared" si="33"/>
        <v>1_50</v>
      </c>
      <c r="J178" s="492" t="str">
        <f t="shared" si="33"/>
        <v>Electric Water Heating</v>
      </c>
      <c r="K178" s="492" t="str">
        <f t="shared" si="34"/>
        <v>Commercial Showerhead Replacement_Fitness Center_precondition 2_00 to 2_09 gpm_efficient 1_50 gpm_Mail-by-Request_Electric Water Heating</v>
      </c>
      <c r="L178" s="493">
        <f>INDEX(InstallRatesCostAndLifetime!$A$2:$D$6,MATCH(InputForProCost_FitnessCenter!H178,InstallRatesCostAndLifetime!$A$2:$A$6,0),MATCH(InputForProCost_FitnessCenter!I178,InstallRatesCostAndLifetime!$A$2:$D$2,0))</f>
        <v>0.6</v>
      </c>
      <c r="M178" s="493">
        <f t="shared" si="35"/>
        <v>1</v>
      </c>
      <c r="N178" s="492"/>
      <c r="O178" s="492" t="str">
        <f t="shared" si="36"/>
        <v>Fitness Center2_00 to 2_09 gpm1_50</v>
      </c>
      <c r="P178" s="494">
        <f>VLOOKUP($O178,Impacts!$F$27:$Z$59,16,FALSE)</f>
        <v>3991.1559837534078</v>
      </c>
      <c r="Q178" s="494">
        <f>VLOOKUP($O178,Impacts!$F$27:$Z$59,17,FALSE)*L178</f>
        <v>99.317584269124396</v>
      </c>
      <c r="R178" s="495">
        <f>VLOOKUP($O178,Impacts!$F$27:$Z$59,19,FALSE)*L178</f>
        <v>106.79407137415262</v>
      </c>
      <c r="S178" s="496">
        <f>VLOOKUP($O178,Impacts!$F$27:$Z$59,20,FALSE)*L178</f>
        <v>18774.590599078336</v>
      </c>
      <c r="T178" s="497">
        <f>VLOOKUP($O178,Impacts!$F$27:$Z$59,21,FALSE)*L178</f>
        <v>247.12399823549569</v>
      </c>
      <c r="U178" s="492"/>
      <c r="V178" s="492" t="str">
        <f t="shared" si="37"/>
        <v>Commercial Showerhead Replacement_Fitness Center_precondition 2_00 to 2_09 gpm_efficient 1_50 gpm_Mail-by-Request_Electric Water Heating</v>
      </c>
      <c r="W178" s="492" t="s">
        <v>440</v>
      </c>
      <c r="X178" s="494">
        <f t="shared" si="40"/>
        <v>2394.6935902520445</v>
      </c>
      <c r="Y178" s="492">
        <v>10</v>
      </c>
      <c r="Z178" s="498">
        <f t="shared" si="41"/>
        <v>8.1096944444444432</v>
      </c>
      <c r="AA178" s="492"/>
      <c r="AB178" s="499" t="s">
        <v>441</v>
      </c>
      <c r="AC178" s="497">
        <f t="shared" si="42"/>
        <v>247.12399823549569</v>
      </c>
      <c r="AD178" s="492"/>
      <c r="AE178" s="492"/>
      <c r="AF178" s="492"/>
      <c r="AG178" s="492"/>
      <c r="AH178" s="492"/>
      <c r="AI178" s="492"/>
      <c r="AJ178" s="492">
        <f t="shared" si="38"/>
        <v>0</v>
      </c>
      <c r="AK178" s="492" t="s">
        <v>442</v>
      </c>
    </row>
    <row r="179" spans="1:37">
      <c r="A179" s="492">
        <f t="shared" si="39"/>
        <v>161</v>
      </c>
      <c r="B179" s="492">
        <f t="shared" ref="B179:D198" si="44">CEILING((MOD($A179-1,B$17)+1)/C$17,1)</f>
        <v>6</v>
      </c>
      <c r="C179" s="492">
        <f t="shared" si="44"/>
        <v>3</v>
      </c>
      <c r="D179" s="492">
        <f t="shared" si="44"/>
        <v>3</v>
      </c>
      <c r="E179" s="492">
        <f t="shared" si="31"/>
        <v>2</v>
      </c>
      <c r="F179" s="499" t="s">
        <v>645</v>
      </c>
      <c r="G179" s="499" t="str">
        <f t="shared" si="32"/>
        <v>2_00 to 2_09 gpm</v>
      </c>
      <c r="H179" s="492" t="str">
        <f t="shared" si="33"/>
        <v>Mail-by-Request</v>
      </c>
      <c r="I179" s="492" t="str">
        <f t="shared" si="33"/>
        <v>1_50</v>
      </c>
      <c r="J179" s="492" t="str">
        <f t="shared" si="33"/>
        <v>Gas Water Heating</v>
      </c>
      <c r="K179" s="492" t="str">
        <f t="shared" si="34"/>
        <v>Commercial Showerhead Replacement_Fitness Center_precondition 2_00 to 2_09 gpm_efficient 1_50 gpm_Mail-by-Request_Gas Water Heating</v>
      </c>
      <c r="L179" s="493">
        <f>INDEX(InstallRatesCostAndLifetime!$A$2:$D$6,MATCH(InputForProCost_FitnessCenter!H179,InstallRatesCostAndLifetime!$A$2:$A$6,0),MATCH(InputForProCost_FitnessCenter!I179,InstallRatesCostAndLifetime!$A$2:$D$2,0))</f>
        <v>0.6</v>
      </c>
      <c r="M179" s="493">
        <f t="shared" si="35"/>
        <v>0</v>
      </c>
      <c r="N179" s="492"/>
      <c r="O179" s="492" t="str">
        <f t="shared" si="36"/>
        <v>Fitness Center2_00 to 2_09 gpm1_50</v>
      </c>
      <c r="P179" s="494">
        <f>VLOOKUP($O179,Impacts!$F$27:$Z$59,16,FALSE)</f>
        <v>3991.1559837534078</v>
      </c>
      <c r="Q179" s="494">
        <f>VLOOKUP($O179,Impacts!$F$27:$Z$59,17,FALSE)*L179</f>
        <v>99.317584269124396</v>
      </c>
      <c r="R179" s="495">
        <f>VLOOKUP($O179,Impacts!$F$27:$Z$59,19,FALSE)*L179</f>
        <v>106.79407137415262</v>
      </c>
      <c r="S179" s="496">
        <f>VLOOKUP($O179,Impacts!$F$27:$Z$59,20,FALSE)*L179</f>
        <v>18774.590599078336</v>
      </c>
      <c r="T179" s="497">
        <f>VLOOKUP($O179,Impacts!$F$27:$Z$59,21,FALSE)*L179</f>
        <v>247.12399823549569</v>
      </c>
      <c r="U179" s="492"/>
      <c r="V179" s="492" t="str">
        <f t="shared" si="37"/>
        <v>Commercial Showerhead Replacement_Fitness Center_precondition 2_00 to 2_09 gpm_efficient 1_50 gpm_Mail-by-Request_Gas Water Heating</v>
      </c>
      <c r="W179" s="492" t="s">
        <v>440</v>
      </c>
      <c r="X179" s="494">
        <f t="shared" si="40"/>
        <v>0</v>
      </c>
      <c r="Y179" s="492">
        <v>10</v>
      </c>
      <c r="Z179" s="498">
        <f t="shared" si="41"/>
        <v>8.1096944444444432</v>
      </c>
      <c r="AA179" s="492"/>
      <c r="AB179" s="499" t="s">
        <v>441</v>
      </c>
      <c r="AC179" s="497">
        <f t="shared" si="42"/>
        <v>247.12399823549569</v>
      </c>
      <c r="AD179" s="492"/>
      <c r="AE179" s="492"/>
      <c r="AF179" s="492"/>
      <c r="AG179" s="492"/>
      <c r="AH179" s="492"/>
      <c r="AI179" s="492"/>
      <c r="AJ179" s="492">
        <f t="shared" si="38"/>
        <v>106.79407137415262</v>
      </c>
      <c r="AK179" s="492" t="s">
        <v>442</v>
      </c>
    </row>
    <row r="180" spans="1:37">
      <c r="A180" s="492">
        <f t="shared" si="39"/>
        <v>162</v>
      </c>
      <c r="B180" s="492">
        <f t="shared" si="44"/>
        <v>6</v>
      </c>
      <c r="C180" s="492">
        <f t="shared" si="44"/>
        <v>3</v>
      </c>
      <c r="D180" s="492">
        <f t="shared" si="44"/>
        <v>3</v>
      </c>
      <c r="E180" s="492">
        <f t="shared" si="31"/>
        <v>3</v>
      </c>
      <c r="F180" s="499" t="s">
        <v>645</v>
      </c>
      <c r="G180" s="499" t="str">
        <f t="shared" si="32"/>
        <v>2_00 to 2_09 gpm</v>
      </c>
      <c r="H180" s="492" t="str">
        <f t="shared" si="33"/>
        <v>Mail-by-Request</v>
      </c>
      <c r="I180" s="492" t="str">
        <f t="shared" si="33"/>
        <v>1_50</v>
      </c>
      <c r="J180" s="492" t="str">
        <f t="shared" si="33"/>
        <v>Any Water Heating</v>
      </c>
      <c r="K180" s="492" t="str">
        <f t="shared" si="34"/>
        <v>Commercial Showerhead Replacement_Fitness Center_precondition 2_00 to 2_09 gpm_efficient 1_50 gpm_Mail-by-Request_Any Water Heating</v>
      </c>
      <c r="L180" s="493">
        <f>INDEX(InstallRatesCostAndLifetime!$A$2:$D$6,MATCH(InputForProCost_FitnessCenter!H180,InstallRatesCostAndLifetime!$A$2:$A$6,0),MATCH(InputForProCost_FitnessCenter!I180,InstallRatesCostAndLifetime!$A$2:$D$2,0))</f>
        <v>0.6</v>
      </c>
      <c r="M180" s="493">
        <f t="shared" si="35"/>
        <v>0.31666666666666665</v>
      </c>
      <c r="N180" s="492"/>
      <c r="O180" s="492" t="str">
        <f t="shared" si="36"/>
        <v>Fitness Center2_00 to 2_09 gpm1_50</v>
      </c>
      <c r="P180" s="494">
        <f>VLOOKUP($O180,Impacts!$F$27:$Z$59,16,FALSE)</f>
        <v>3991.1559837534078</v>
      </c>
      <c r="Q180" s="494">
        <f>VLOOKUP($O180,Impacts!$F$27:$Z$59,17,FALSE)*L180</f>
        <v>99.317584269124396</v>
      </c>
      <c r="R180" s="495">
        <f>VLOOKUP($O180,Impacts!$F$27:$Z$59,19,FALSE)*L180</f>
        <v>106.79407137415262</v>
      </c>
      <c r="S180" s="496">
        <f>VLOOKUP($O180,Impacts!$F$27:$Z$59,20,FALSE)*L180</f>
        <v>18774.590599078336</v>
      </c>
      <c r="T180" s="497">
        <f>VLOOKUP($O180,Impacts!$F$27:$Z$59,21,FALSE)*L180</f>
        <v>247.12399823549569</v>
      </c>
      <c r="U180" s="492"/>
      <c r="V180" s="492" t="str">
        <f t="shared" si="37"/>
        <v>Commercial Showerhead Replacement_Fitness Center_precondition 2_00 to 2_09 gpm_efficient 1_50 gpm_Mail-by-Request_Any Water Heating</v>
      </c>
      <c r="W180" s="492" t="s">
        <v>440</v>
      </c>
      <c r="X180" s="494">
        <f t="shared" si="40"/>
        <v>758.31963691314741</v>
      </c>
      <c r="Y180" s="492">
        <v>10</v>
      </c>
      <c r="Z180" s="498">
        <f t="shared" si="41"/>
        <v>8.1096944444444432</v>
      </c>
      <c r="AA180" s="492"/>
      <c r="AB180" s="499" t="s">
        <v>441</v>
      </c>
      <c r="AC180" s="497">
        <f t="shared" si="42"/>
        <v>247.12399823549569</v>
      </c>
      <c r="AD180" s="492"/>
      <c r="AE180" s="492"/>
      <c r="AF180" s="492"/>
      <c r="AG180" s="492"/>
      <c r="AH180" s="492"/>
      <c r="AI180" s="492"/>
      <c r="AJ180" s="492">
        <f t="shared" si="38"/>
        <v>72.975948772337631</v>
      </c>
      <c r="AK180" s="492" t="s">
        <v>442</v>
      </c>
    </row>
    <row r="181" spans="1:37">
      <c r="A181" s="492">
        <f t="shared" si="39"/>
        <v>163</v>
      </c>
      <c r="B181" s="492">
        <f t="shared" si="44"/>
        <v>7</v>
      </c>
      <c r="C181" s="492">
        <f t="shared" si="44"/>
        <v>1</v>
      </c>
      <c r="D181" s="492">
        <f t="shared" si="44"/>
        <v>1</v>
      </c>
      <c r="E181" s="492">
        <f t="shared" si="31"/>
        <v>1</v>
      </c>
      <c r="F181" s="499" t="s">
        <v>645</v>
      </c>
      <c r="G181" s="499" t="str">
        <f t="shared" si="32"/>
        <v>1_90 to 1_99 gpm</v>
      </c>
      <c r="H181" s="492" t="str">
        <f t="shared" si="33"/>
        <v>Retail</v>
      </c>
      <c r="I181" s="492" t="str">
        <f t="shared" si="33"/>
        <v>2_00</v>
      </c>
      <c r="J181" s="492" t="str">
        <f t="shared" si="33"/>
        <v>Electric Water Heating</v>
      </c>
      <c r="K181" s="492" t="str">
        <f t="shared" si="34"/>
        <v>Commercial Showerhead Replacement_Fitness Center_precondition 1_90 to 1_99 gpm_efficient 2_00 gpm_Retail_Electric Water Heating</v>
      </c>
      <c r="L181" s="493">
        <f>INDEX(InstallRatesCostAndLifetime!$A$2:$D$6,MATCH(InputForProCost_FitnessCenter!H181,InstallRatesCostAndLifetime!$A$2:$A$6,0),MATCH(InputForProCost_FitnessCenter!I181,InstallRatesCostAndLifetime!$A$2:$D$2,0))</f>
        <v>0.8</v>
      </c>
      <c r="M181" s="493">
        <f t="shared" si="35"/>
        <v>1</v>
      </c>
      <c r="N181" s="492"/>
      <c r="O181" s="492" t="str">
        <f t="shared" si="36"/>
        <v>Fitness Center1_90 to 1_99 gpm2_00</v>
      </c>
      <c r="P181" s="494">
        <f>VLOOKUP($O181,Impacts!$F$27:$Z$59,16,FALSE)</f>
        <v>1233.3852560068244</v>
      </c>
      <c r="Q181" s="494">
        <f>VLOOKUP($O181,Impacts!$F$27:$Z$59,17,FALSE)*L181</f>
        <v>36.115485188772475</v>
      </c>
      <c r="R181" s="495">
        <f>VLOOKUP($O181,Impacts!$F$27:$Z$59,19,FALSE)*L181</f>
        <v>44.003369315556398</v>
      </c>
      <c r="S181" s="496">
        <f>VLOOKUP($O181,Impacts!$F$27:$Z$59,20,FALSE)*L181</f>
        <v>6827.1238542102983</v>
      </c>
      <c r="T181" s="497">
        <f>VLOOKUP($O181,Impacts!$F$27:$Z$59,21,FALSE)*L181</f>
        <v>89.863272085634719</v>
      </c>
      <c r="U181" s="492"/>
      <c r="V181" s="492" t="str">
        <f t="shared" si="37"/>
        <v>Commercial Showerhead Replacement_Fitness Center_precondition 1_90 to 1_99 gpm_efficient 2_00 gpm_Retail_Electric Water Heating</v>
      </c>
      <c r="W181" s="492" t="s">
        <v>440</v>
      </c>
      <c r="X181" s="494">
        <f t="shared" si="40"/>
        <v>986.70820480545956</v>
      </c>
      <c r="Y181" s="492">
        <v>10</v>
      </c>
      <c r="Z181" s="498">
        <f t="shared" si="41"/>
        <v>3.2966774171383419</v>
      </c>
      <c r="AA181" s="492"/>
      <c r="AB181" s="499" t="s">
        <v>441</v>
      </c>
      <c r="AC181" s="497">
        <f t="shared" si="42"/>
        <v>89.863272085634719</v>
      </c>
      <c r="AD181" s="492"/>
      <c r="AE181" s="492"/>
      <c r="AF181" s="492"/>
      <c r="AG181" s="492"/>
      <c r="AH181" s="492"/>
      <c r="AI181" s="492"/>
      <c r="AJ181" s="492">
        <f t="shared" si="38"/>
        <v>0</v>
      </c>
      <c r="AK181" s="492" t="s">
        <v>442</v>
      </c>
    </row>
    <row r="182" spans="1:37">
      <c r="A182" s="492">
        <f t="shared" si="39"/>
        <v>164</v>
      </c>
      <c r="B182" s="492">
        <f t="shared" si="44"/>
        <v>7</v>
      </c>
      <c r="C182" s="492">
        <f t="shared" si="44"/>
        <v>1</v>
      </c>
      <c r="D182" s="492">
        <f t="shared" si="44"/>
        <v>1</v>
      </c>
      <c r="E182" s="492">
        <f t="shared" si="31"/>
        <v>2</v>
      </c>
      <c r="F182" s="499" t="s">
        <v>645</v>
      </c>
      <c r="G182" s="499" t="str">
        <f t="shared" si="32"/>
        <v>1_90 to 1_99 gpm</v>
      </c>
      <c r="H182" s="492" t="str">
        <f t="shared" si="33"/>
        <v>Retail</v>
      </c>
      <c r="I182" s="492" t="str">
        <f t="shared" si="33"/>
        <v>2_00</v>
      </c>
      <c r="J182" s="492" t="str">
        <f t="shared" si="33"/>
        <v>Gas Water Heating</v>
      </c>
      <c r="K182" s="492" t="str">
        <f t="shared" si="34"/>
        <v>Commercial Showerhead Replacement_Fitness Center_precondition 1_90 to 1_99 gpm_efficient 2_00 gpm_Retail_Gas Water Heating</v>
      </c>
      <c r="L182" s="493">
        <f>INDEX(InstallRatesCostAndLifetime!$A$2:$D$6,MATCH(InputForProCost_FitnessCenter!H182,InstallRatesCostAndLifetime!$A$2:$A$6,0),MATCH(InputForProCost_FitnessCenter!I182,InstallRatesCostAndLifetime!$A$2:$D$2,0))</f>
        <v>0.8</v>
      </c>
      <c r="M182" s="493">
        <f t="shared" si="35"/>
        <v>0</v>
      </c>
      <c r="N182" s="492"/>
      <c r="O182" s="492" t="str">
        <f t="shared" si="36"/>
        <v>Fitness Center1_90 to 1_99 gpm2_00</v>
      </c>
      <c r="P182" s="494">
        <f>VLOOKUP($O182,Impacts!$F$27:$Z$59,16,FALSE)</f>
        <v>1233.3852560068244</v>
      </c>
      <c r="Q182" s="494">
        <f>VLOOKUP($O182,Impacts!$F$27:$Z$59,17,FALSE)*L182</f>
        <v>36.115485188772475</v>
      </c>
      <c r="R182" s="495">
        <f>VLOOKUP($O182,Impacts!$F$27:$Z$59,19,FALSE)*L182</f>
        <v>44.003369315556398</v>
      </c>
      <c r="S182" s="496">
        <f>VLOOKUP($O182,Impacts!$F$27:$Z$59,20,FALSE)*L182</f>
        <v>6827.1238542102983</v>
      </c>
      <c r="T182" s="497">
        <f>VLOOKUP($O182,Impacts!$F$27:$Z$59,21,FALSE)*L182</f>
        <v>89.863272085634719</v>
      </c>
      <c r="U182" s="492"/>
      <c r="V182" s="492" t="str">
        <f t="shared" si="37"/>
        <v>Commercial Showerhead Replacement_Fitness Center_precondition 1_90 to 1_99 gpm_efficient 2_00 gpm_Retail_Gas Water Heating</v>
      </c>
      <c r="W182" s="492" t="s">
        <v>440</v>
      </c>
      <c r="X182" s="494">
        <f t="shared" si="40"/>
        <v>0</v>
      </c>
      <c r="Y182" s="492">
        <v>10</v>
      </c>
      <c r="Z182" s="498">
        <f t="shared" si="41"/>
        <v>3.2966774171383419</v>
      </c>
      <c r="AA182" s="492"/>
      <c r="AB182" s="499" t="s">
        <v>441</v>
      </c>
      <c r="AC182" s="497">
        <f t="shared" si="42"/>
        <v>89.863272085634719</v>
      </c>
      <c r="AD182" s="492"/>
      <c r="AE182" s="492"/>
      <c r="AF182" s="492"/>
      <c r="AG182" s="492"/>
      <c r="AH182" s="492"/>
      <c r="AI182" s="492"/>
      <c r="AJ182" s="492">
        <f t="shared" si="38"/>
        <v>44.003369315556398</v>
      </c>
      <c r="AK182" s="492" t="s">
        <v>442</v>
      </c>
    </row>
    <row r="183" spans="1:37">
      <c r="A183" s="492">
        <f t="shared" si="39"/>
        <v>165</v>
      </c>
      <c r="B183" s="492">
        <f t="shared" si="44"/>
        <v>7</v>
      </c>
      <c r="C183" s="492">
        <f t="shared" si="44"/>
        <v>1</v>
      </c>
      <c r="D183" s="492">
        <f t="shared" si="44"/>
        <v>1</v>
      </c>
      <c r="E183" s="492">
        <f t="shared" si="31"/>
        <v>3</v>
      </c>
      <c r="F183" s="499" t="s">
        <v>645</v>
      </c>
      <c r="G183" s="499" t="str">
        <f t="shared" si="32"/>
        <v>1_90 to 1_99 gpm</v>
      </c>
      <c r="H183" s="492" t="str">
        <f t="shared" si="33"/>
        <v>Retail</v>
      </c>
      <c r="I183" s="492" t="str">
        <f t="shared" si="33"/>
        <v>2_00</v>
      </c>
      <c r="J183" s="492" t="str">
        <f t="shared" si="33"/>
        <v>Any Water Heating</v>
      </c>
      <c r="K183" s="492" t="str">
        <f t="shared" si="34"/>
        <v>Commercial Showerhead Replacement_Fitness Center_precondition 1_90 to 1_99 gpm_efficient 2_00 gpm_Retail_Any Water Heating</v>
      </c>
      <c r="L183" s="493">
        <f>INDEX(InstallRatesCostAndLifetime!$A$2:$D$6,MATCH(InputForProCost_FitnessCenter!H183,InstallRatesCostAndLifetime!$A$2:$A$6,0),MATCH(InputForProCost_FitnessCenter!I183,InstallRatesCostAndLifetime!$A$2:$D$2,0))</f>
        <v>0.8</v>
      </c>
      <c r="M183" s="493">
        <f t="shared" si="35"/>
        <v>0.31666666666666665</v>
      </c>
      <c r="N183" s="492"/>
      <c r="O183" s="492" t="str">
        <f t="shared" si="36"/>
        <v>Fitness Center1_90 to 1_99 gpm2_00</v>
      </c>
      <c r="P183" s="494">
        <f>VLOOKUP($O183,Impacts!$F$27:$Z$59,16,FALSE)</f>
        <v>1233.3852560068244</v>
      </c>
      <c r="Q183" s="494">
        <f>VLOOKUP($O183,Impacts!$F$27:$Z$59,17,FALSE)*L183</f>
        <v>36.115485188772475</v>
      </c>
      <c r="R183" s="495">
        <f>VLOOKUP($O183,Impacts!$F$27:$Z$59,19,FALSE)*L183</f>
        <v>44.003369315556398</v>
      </c>
      <c r="S183" s="496">
        <f>VLOOKUP($O183,Impacts!$F$27:$Z$59,20,FALSE)*L183</f>
        <v>6827.1238542102983</v>
      </c>
      <c r="T183" s="497">
        <f>VLOOKUP($O183,Impacts!$F$27:$Z$59,21,FALSE)*L183</f>
        <v>89.863272085634719</v>
      </c>
      <c r="U183" s="492"/>
      <c r="V183" s="492" t="str">
        <f t="shared" si="37"/>
        <v>Commercial Showerhead Replacement_Fitness Center_precondition 1_90 to 1_99 gpm_efficient 2_00 gpm_Retail_Any Water Heating</v>
      </c>
      <c r="W183" s="492" t="s">
        <v>440</v>
      </c>
      <c r="X183" s="494">
        <f t="shared" si="40"/>
        <v>312.45759818839554</v>
      </c>
      <c r="Y183" s="492">
        <v>10</v>
      </c>
      <c r="Z183" s="498">
        <f t="shared" si="41"/>
        <v>3.2966774171383419</v>
      </c>
      <c r="AA183" s="492"/>
      <c r="AB183" s="499" t="s">
        <v>441</v>
      </c>
      <c r="AC183" s="497">
        <f t="shared" si="42"/>
        <v>89.863272085634719</v>
      </c>
      <c r="AD183" s="492"/>
      <c r="AE183" s="492"/>
      <c r="AF183" s="492"/>
      <c r="AG183" s="492"/>
      <c r="AH183" s="492"/>
      <c r="AI183" s="492"/>
      <c r="AJ183" s="492">
        <f t="shared" si="38"/>
        <v>30.068969032296874</v>
      </c>
      <c r="AK183" s="492" t="s">
        <v>442</v>
      </c>
    </row>
    <row r="184" spans="1:37">
      <c r="A184" s="492">
        <f t="shared" si="39"/>
        <v>166</v>
      </c>
      <c r="B184" s="492">
        <f t="shared" si="44"/>
        <v>7</v>
      </c>
      <c r="C184" s="492">
        <f t="shared" si="44"/>
        <v>1</v>
      </c>
      <c r="D184" s="492">
        <f t="shared" si="44"/>
        <v>2</v>
      </c>
      <c r="E184" s="492">
        <f t="shared" si="31"/>
        <v>1</v>
      </c>
      <c r="F184" s="499" t="s">
        <v>645</v>
      </c>
      <c r="G184" s="499" t="str">
        <f t="shared" si="32"/>
        <v>1_90 to 1_99 gpm</v>
      </c>
      <c r="H184" s="492" t="str">
        <f t="shared" si="33"/>
        <v>Retail</v>
      </c>
      <c r="I184" s="492" t="str">
        <f t="shared" si="33"/>
        <v>1_75</v>
      </c>
      <c r="J184" s="492" t="str">
        <f t="shared" si="33"/>
        <v>Electric Water Heating</v>
      </c>
      <c r="K184" s="492" t="str">
        <f t="shared" si="34"/>
        <v>Commercial Showerhead Replacement_Fitness Center_precondition 1_90 to 1_99 gpm_efficient 1_75 gpm_Retail_Electric Water Heating</v>
      </c>
      <c r="L184" s="493">
        <f>INDEX(InstallRatesCostAndLifetime!$A$2:$D$6,MATCH(InputForProCost_FitnessCenter!H184,InstallRatesCostAndLifetime!$A$2:$A$6,0),MATCH(InputForProCost_FitnessCenter!I184,InstallRatesCostAndLifetime!$A$2:$D$2,0))</f>
        <v>0.75</v>
      </c>
      <c r="M184" s="493">
        <f t="shared" si="35"/>
        <v>1</v>
      </c>
      <c r="N184" s="492"/>
      <c r="O184" s="492" t="str">
        <f t="shared" si="36"/>
        <v>Fitness Center1_90 to 1_99 gpm1_75</v>
      </c>
      <c r="P184" s="494">
        <f>VLOOKUP($O184,Impacts!$F$27:$Z$59,16,FALSE)</f>
        <v>1406.8462386946012</v>
      </c>
      <c r="Q184" s="494">
        <f>VLOOKUP($O184,Impacts!$F$27:$Z$59,17,FALSE)*L184</f>
        <v>45.144356485965588</v>
      </c>
      <c r="R184" s="495">
        <f>VLOOKUP($O184,Impacts!$F$27:$Z$59,19,FALSE)*L184</f>
        <v>47.054925389785296</v>
      </c>
      <c r="S184" s="496">
        <f>VLOOKUP($O184,Impacts!$F$27:$Z$59,20,FALSE)*L184</f>
        <v>8533.904817762872</v>
      </c>
      <c r="T184" s="497">
        <f>VLOOKUP($O184,Impacts!$F$27:$Z$59,21,FALSE)*L184</f>
        <v>112.3290901070434</v>
      </c>
      <c r="U184" s="492"/>
      <c r="V184" s="492" t="str">
        <f t="shared" si="37"/>
        <v>Commercial Showerhead Replacement_Fitness Center_precondition 1_90 to 1_99 gpm_efficient 1_75 gpm_Retail_Electric Water Heating</v>
      </c>
      <c r="W184" s="492" t="s">
        <v>440</v>
      </c>
      <c r="X184" s="494">
        <f t="shared" si="40"/>
        <v>1055.1346790209509</v>
      </c>
      <c r="Y184" s="492">
        <v>10</v>
      </c>
      <c r="Z184" s="498">
        <f t="shared" si="41"/>
        <v>3.2966774171383419</v>
      </c>
      <c r="AA184" s="492"/>
      <c r="AB184" s="499" t="s">
        <v>441</v>
      </c>
      <c r="AC184" s="497">
        <f t="shared" si="42"/>
        <v>112.3290901070434</v>
      </c>
      <c r="AD184" s="492"/>
      <c r="AE184" s="492"/>
      <c r="AF184" s="492"/>
      <c r="AG184" s="492"/>
      <c r="AH184" s="492"/>
      <c r="AI184" s="492"/>
      <c r="AJ184" s="492">
        <f t="shared" si="38"/>
        <v>0</v>
      </c>
      <c r="AK184" s="492" t="s">
        <v>442</v>
      </c>
    </row>
    <row r="185" spans="1:37">
      <c r="A185" s="492">
        <f t="shared" si="39"/>
        <v>167</v>
      </c>
      <c r="B185" s="492">
        <f t="shared" si="44"/>
        <v>7</v>
      </c>
      <c r="C185" s="492">
        <f t="shared" si="44"/>
        <v>1</v>
      </c>
      <c r="D185" s="492">
        <f t="shared" si="44"/>
        <v>2</v>
      </c>
      <c r="E185" s="492">
        <f t="shared" si="31"/>
        <v>2</v>
      </c>
      <c r="F185" s="499" t="s">
        <v>645</v>
      </c>
      <c r="G185" s="499" t="str">
        <f t="shared" si="32"/>
        <v>1_90 to 1_99 gpm</v>
      </c>
      <c r="H185" s="492" t="str">
        <f t="shared" si="33"/>
        <v>Retail</v>
      </c>
      <c r="I185" s="492" t="str">
        <f t="shared" si="33"/>
        <v>1_75</v>
      </c>
      <c r="J185" s="492" t="str">
        <f t="shared" si="33"/>
        <v>Gas Water Heating</v>
      </c>
      <c r="K185" s="492" t="str">
        <f t="shared" si="34"/>
        <v>Commercial Showerhead Replacement_Fitness Center_precondition 1_90 to 1_99 gpm_efficient 1_75 gpm_Retail_Gas Water Heating</v>
      </c>
      <c r="L185" s="493">
        <f>INDEX(InstallRatesCostAndLifetime!$A$2:$D$6,MATCH(InputForProCost_FitnessCenter!H185,InstallRatesCostAndLifetime!$A$2:$A$6,0),MATCH(InputForProCost_FitnessCenter!I185,InstallRatesCostAndLifetime!$A$2:$D$2,0))</f>
        <v>0.75</v>
      </c>
      <c r="M185" s="493">
        <f t="shared" si="35"/>
        <v>0</v>
      </c>
      <c r="N185" s="492"/>
      <c r="O185" s="492" t="str">
        <f t="shared" si="36"/>
        <v>Fitness Center1_90 to 1_99 gpm1_75</v>
      </c>
      <c r="P185" s="494">
        <f>VLOOKUP($O185,Impacts!$F$27:$Z$59,16,FALSE)</f>
        <v>1406.8462386946012</v>
      </c>
      <c r="Q185" s="494">
        <f>VLOOKUP($O185,Impacts!$F$27:$Z$59,17,FALSE)*L185</f>
        <v>45.144356485965588</v>
      </c>
      <c r="R185" s="495">
        <f>VLOOKUP($O185,Impacts!$F$27:$Z$59,19,FALSE)*L185</f>
        <v>47.054925389785296</v>
      </c>
      <c r="S185" s="496">
        <f>VLOOKUP($O185,Impacts!$F$27:$Z$59,20,FALSE)*L185</f>
        <v>8533.904817762872</v>
      </c>
      <c r="T185" s="497">
        <f>VLOOKUP($O185,Impacts!$F$27:$Z$59,21,FALSE)*L185</f>
        <v>112.3290901070434</v>
      </c>
      <c r="U185" s="492"/>
      <c r="V185" s="492" t="str">
        <f t="shared" si="37"/>
        <v>Commercial Showerhead Replacement_Fitness Center_precondition 1_90 to 1_99 gpm_efficient 1_75 gpm_Retail_Gas Water Heating</v>
      </c>
      <c r="W185" s="492" t="s">
        <v>440</v>
      </c>
      <c r="X185" s="494">
        <f t="shared" si="40"/>
        <v>0</v>
      </c>
      <c r="Y185" s="492">
        <v>10</v>
      </c>
      <c r="Z185" s="498">
        <f t="shared" si="41"/>
        <v>3.2966774171383419</v>
      </c>
      <c r="AA185" s="492"/>
      <c r="AB185" s="499" t="s">
        <v>441</v>
      </c>
      <c r="AC185" s="497">
        <f t="shared" si="42"/>
        <v>112.3290901070434</v>
      </c>
      <c r="AD185" s="492"/>
      <c r="AE185" s="492"/>
      <c r="AF185" s="492"/>
      <c r="AG185" s="492"/>
      <c r="AH185" s="492"/>
      <c r="AI185" s="492"/>
      <c r="AJ185" s="492">
        <f t="shared" si="38"/>
        <v>47.054925389785296</v>
      </c>
      <c r="AK185" s="492" t="s">
        <v>442</v>
      </c>
    </row>
    <row r="186" spans="1:37">
      <c r="A186" s="492">
        <f t="shared" si="39"/>
        <v>168</v>
      </c>
      <c r="B186" s="492">
        <f t="shared" si="44"/>
        <v>7</v>
      </c>
      <c r="C186" s="492">
        <f t="shared" si="44"/>
        <v>1</v>
      </c>
      <c r="D186" s="492">
        <f t="shared" si="44"/>
        <v>2</v>
      </c>
      <c r="E186" s="492">
        <f t="shared" si="31"/>
        <v>3</v>
      </c>
      <c r="F186" s="499" t="s">
        <v>645</v>
      </c>
      <c r="G186" s="499" t="str">
        <f t="shared" si="32"/>
        <v>1_90 to 1_99 gpm</v>
      </c>
      <c r="H186" s="492" t="str">
        <f t="shared" si="33"/>
        <v>Retail</v>
      </c>
      <c r="I186" s="492" t="str">
        <f t="shared" si="33"/>
        <v>1_75</v>
      </c>
      <c r="J186" s="492" t="str">
        <f t="shared" si="33"/>
        <v>Any Water Heating</v>
      </c>
      <c r="K186" s="492" t="str">
        <f t="shared" si="34"/>
        <v>Commercial Showerhead Replacement_Fitness Center_precondition 1_90 to 1_99 gpm_efficient 1_75 gpm_Retail_Any Water Heating</v>
      </c>
      <c r="L186" s="493">
        <f>INDEX(InstallRatesCostAndLifetime!$A$2:$D$6,MATCH(InputForProCost_FitnessCenter!H186,InstallRatesCostAndLifetime!$A$2:$A$6,0),MATCH(InputForProCost_FitnessCenter!I186,InstallRatesCostAndLifetime!$A$2:$D$2,0))</f>
        <v>0.75</v>
      </c>
      <c r="M186" s="493">
        <f t="shared" si="35"/>
        <v>0.31666666666666665</v>
      </c>
      <c r="N186" s="492"/>
      <c r="O186" s="492" t="str">
        <f t="shared" si="36"/>
        <v>Fitness Center1_90 to 1_99 gpm1_75</v>
      </c>
      <c r="P186" s="494">
        <f>VLOOKUP($O186,Impacts!$F$27:$Z$59,16,FALSE)</f>
        <v>1406.8462386946012</v>
      </c>
      <c r="Q186" s="494">
        <f>VLOOKUP($O186,Impacts!$F$27:$Z$59,17,FALSE)*L186</f>
        <v>45.144356485965588</v>
      </c>
      <c r="R186" s="495">
        <f>VLOOKUP($O186,Impacts!$F$27:$Z$59,19,FALSE)*L186</f>
        <v>47.054925389785296</v>
      </c>
      <c r="S186" s="496">
        <f>VLOOKUP($O186,Impacts!$F$27:$Z$59,20,FALSE)*L186</f>
        <v>8533.904817762872</v>
      </c>
      <c r="T186" s="497">
        <f>VLOOKUP($O186,Impacts!$F$27:$Z$59,21,FALSE)*L186</f>
        <v>112.3290901070434</v>
      </c>
      <c r="U186" s="492"/>
      <c r="V186" s="492" t="str">
        <f t="shared" si="37"/>
        <v>Commercial Showerhead Replacement_Fitness Center_precondition 1_90 to 1_99 gpm_efficient 1_75 gpm_Retail_Any Water Heating</v>
      </c>
      <c r="W186" s="492" t="s">
        <v>440</v>
      </c>
      <c r="X186" s="494">
        <f t="shared" si="40"/>
        <v>334.12598168996777</v>
      </c>
      <c r="Y186" s="492">
        <v>10</v>
      </c>
      <c r="Z186" s="498">
        <f t="shared" si="41"/>
        <v>3.2966774171383419</v>
      </c>
      <c r="AA186" s="492"/>
      <c r="AB186" s="499" t="s">
        <v>441</v>
      </c>
      <c r="AC186" s="497">
        <f t="shared" si="42"/>
        <v>112.3290901070434</v>
      </c>
      <c r="AD186" s="492"/>
      <c r="AE186" s="492"/>
      <c r="AF186" s="492"/>
      <c r="AG186" s="492"/>
      <c r="AH186" s="492"/>
      <c r="AI186" s="492"/>
      <c r="AJ186" s="492">
        <f t="shared" si="38"/>
        <v>32.154199016353289</v>
      </c>
      <c r="AK186" s="492" t="s">
        <v>442</v>
      </c>
    </row>
    <row r="187" spans="1:37">
      <c r="A187" s="492">
        <f t="shared" si="39"/>
        <v>169</v>
      </c>
      <c r="B187" s="492">
        <f t="shared" si="44"/>
        <v>7</v>
      </c>
      <c r="C187" s="492">
        <f t="shared" si="44"/>
        <v>1</v>
      </c>
      <c r="D187" s="492">
        <f t="shared" si="44"/>
        <v>3</v>
      </c>
      <c r="E187" s="492">
        <f t="shared" si="31"/>
        <v>1</v>
      </c>
      <c r="F187" s="499" t="s">
        <v>645</v>
      </c>
      <c r="G187" s="499" t="str">
        <f t="shared" si="32"/>
        <v>1_90 to 1_99 gpm</v>
      </c>
      <c r="H187" s="492" t="str">
        <f t="shared" si="33"/>
        <v>Retail</v>
      </c>
      <c r="I187" s="492" t="str">
        <f t="shared" si="33"/>
        <v>1_50</v>
      </c>
      <c r="J187" s="492" t="str">
        <f t="shared" si="33"/>
        <v>Electric Water Heating</v>
      </c>
      <c r="K187" s="492" t="str">
        <f t="shared" si="34"/>
        <v>Commercial Showerhead Replacement_Fitness Center_precondition 1_90 to 1_99 gpm_efficient 1_50 gpm_Retail_Electric Water Heating</v>
      </c>
      <c r="L187" s="493">
        <f>INDEX(InstallRatesCostAndLifetime!$A$2:$D$6,MATCH(InputForProCost_FitnessCenter!H187,InstallRatesCostAndLifetime!$A$2:$A$6,0),MATCH(InputForProCost_FitnessCenter!I187,InstallRatesCostAndLifetime!$A$2:$D$2,0))</f>
        <v>0.7</v>
      </c>
      <c r="M187" s="493">
        <f t="shared" si="35"/>
        <v>1</v>
      </c>
      <c r="N187" s="492"/>
      <c r="O187" s="492" t="str">
        <f t="shared" si="36"/>
        <v>Fitness Center1_90 to 1_99 gpm1_50</v>
      </c>
      <c r="P187" s="494">
        <f>VLOOKUP($O187,Impacts!$F$27:$Z$59,16,FALSE)</f>
        <v>3206.1803128439387</v>
      </c>
      <c r="Q187" s="494">
        <f>VLOOKUP($O187,Impacts!$F$27:$Z$59,17,FALSE)*L187</f>
        <v>94.803148620527793</v>
      </c>
      <c r="R187" s="495">
        <f>VLOOKUP($O187,Impacts!$F$27:$Z$59,19,FALSE)*L187</f>
        <v>100.08826824168113</v>
      </c>
      <c r="S187" s="496">
        <f>VLOOKUP($O187,Impacts!$F$27:$Z$59,20,FALSE)*L187</f>
        <v>17921.20011730204</v>
      </c>
      <c r="T187" s="497">
        <f>VLOOKUP($O187,Impacts!$F$27:$Z$59,21,FALSE)*L187</f>
        <v>235.89108922479124</v>
      </c>
      <c r="U187" s="492"/>
      <c r="V187" s="492" t="str">
        <f t="shared" si="37"/>
        <v>Commercial Showerhead Replacement_Fitness Center_precondition 1_90 to 1_99 gpm_efficient 1_50 gpm_Retail_Electric Water Heating</v>
      </c>
      <c r="W187" s="492" t="s">
        <v>440</v>
      </c>
      <c r="X187" s="494">
        <f t="shared" si="40"/>
        <v>2244.3262189907568</v>
      </c>
      <c r="Y187" s="492">
        <v>10</v>
      </c>
      <c r="Z187" s="498">
        <f t="shared" si="41"/>
        <v>3.2966774171383419</v>
      </c>
      <c r="AA187" s="492"/>
      <c r="AB187" s="499" t="s">
        <v>441</v>
      </c>
      <c r="AC187" s="497">
        <f t="shared" si="42"/>
        <v>235.89108922479124</v>
      </c>
      <c r="AD187" s="492"/>
      <c r="AE187" s="492"/>
      <c r="AF187" s="492"/>
      <c r="AG187" s="492"/>
      <c r="AH187" s="492"/>
      <c r="AI187" s="492"/>
      <c r="AJ187" s="492">
        <f t="shared" si="38"/>
        <v>0</v>
      </c>
      <c r="AK187" s="492" t="s">
        <v>442</v>
      </c>
    </row>
    <row r="188" spans="1:37">
      <c r="A188" s="492">
        <f t="shared" si="39"/>
        <v>170</v>
      </c>
      <c r="B188" s="492">
        <f t="shared" si="44"/>
        <v>7</v>
      </c>
      <c r="C188" s="492">
        <f t="shared" si="44"/>
        <v>1</v>
      </c>
      <c r="D188" s="492">
        <f t="shared" si="44"/>
        <v>3</v>
      </c>
      <c r="E188" s="492">
        <f t="shared" si="31"/>
        <v>2</v>
      </c>
      <c r="F188" s="499" t="s">
        <v>645</v>
      </c>
      <c r="G188" s="499" t="str">
        <f t="shared" si="32"/>
        <v>1_90 to 1_99 gpm</v>
      </c>
      <c r="H188" s="492" t="str">
        <f t="shared" si="33"/>
        <v>Retail</v>
      </c>
      <c r="I188" s="492" t="str">
        <f t="shared" si="33"/>
        <v>1_50</v>
      </c>
      <c r="J188" s="492" t="str">
        <f t="shared" si="33"/>
        <v>Gas Water Heating</v>
      </c>
      <c r="K188" s="492" t="str">
        <f t="shared" si="34"/>
        <v>Commercial Showerhead Replacement_Fitness Center_precondition 1_90 to 1_99 gpm_efficient 1_50 gpm_Retail_Gas Water Heating</v>
      </c>
      <c r="L188" s="493">
        <f>INDEX(InstallRatesCostAndLifetime!$A$2:$D$6,MATCH(InputForProCost_FitnessCenter!H188,InstallRatesCostAndLifetime!$A$2:$A$6,0),MATCH(InputForProCost_FitnessCenter!I188,InstallRatesCostAndLifetime!$A$2:$D$2,0))</f>
        <v>0.7</v>
      </c>
      <c r="M188" s="493">
        <f t="shared" si="35"/>
        <v>0</v>
      </c>
      <c r="N188" s="492"/>
      <c r="O188" s="492" t="str">
        <f t="shared" si="36"/>
        <v>Fitness Center1_90 to 1_99 gpm1_50</v>
      </c>
      <c r="P188" s="494">
        <f>VLOOKUP($O188,Impacts!$F$27:$Z$59,16,FALSE)</f>
        <v>3206.1803128439387</v>
      </c>
      <c r="Q188" s="494">
        <f>VLOOKUP($O188,Impacts!$F$27:$Z$59,17,FALSE)*L188</f>
        <v>94.803148620527793</v>
      </c>
      <c r="R188" s="495">
        <f>VLOOKUP($O188,Impacts!$F$27:$Z$59,19,FALSE)*L188</f>
        <v>100.08826824168113</v>
      </c>
      <c r="S188" s="496">
        <f>VLOOKUP($O188,Impacts!$F$27:$Z$59,20,FALSE)*L188</f>
        <v>17921.20011730204</v>
      </c>
      <c r="T188" s="497">
        <f>VLOOKUP($O188,Impacts!$F$27:$Z$59,21,FALSE)*L188</f>
        <v>235.89108922479124</v>
      </c>
      <c r="U188" s="492"/>
      <c r="V188" s="492" t="str">
        <f t="shared" si="37"/>
        <v>Commercial Showerhead Replacement_Fitness Center_precondition 1_90 to 1_99 gpm_efficient 1_50 gpm_Retail_Gas Water Heating</v>
      </c>
      <c r="W188" s="492" t="s">
        <v>440</v>
      </c>
      <c r="X188" s="494">
        <f t="shared" si="40"/>
        <v>0</v>
      </c>
      <c r="Y188" s="492">
        <v>10</v>
      </c>
      <c r="Z188" s="498">
        <f t="shared" si="41"/>
        <v>3.2966774171383419</v>
      </c>
      <c r="AA188" s="492"/>
      <c r="AB188" s="499" t="s">
        <v>441</v>
      </c>
      <c r="AC188" s="497">
        <f t="shared" si="42"/>
        <v>235.89108922479124</v>
      </c>
      <c r="AD188" s="492"/>
      <c r="AE188" s="492"/>
      <c r="AF188" s="492"/>
      <c r="AG188" s="492"/>
      <c r="AH188" s="492"/>
      <c r="AI188" s="492"/>
      <c r="AJ188" s="492">
        <f t="shared" si="38"/>
        <v>100.08826824168113</v>
      </c>
      <c r="AK188" s="492" t="s">
        <v>442</v>
      </c>
    </row>
    <row r="189" spans="1:37">
      <c r="A189" s="492">
        <f t="shared" si="39"/>
        <v>171</v>
      </c>
      <c r="B189" s="492">
        <f t="shared" si="44"/>
        <v>7</v>
      </c>
      <c r="C189" s="492">
        <f t="shared" si="44"/>
        <v>1</v>
      </c>
      <c r="D189" s="492">
        <f t="shared" si="44"/>
        <v>3</v>
      </c>
      <c r="E189" s="492">
        <f t="shared" si="31"/>
        <v>3</v>
      </c>
      <c r="F189" s="499" t="s">
        <v>645</v>
      </c>
      <c r="G189" s="499" t="str">
        <f t="shared" si="32"/>
        <v>1_90 to 1_99 gpm</v>
      </c>
      <c r="H189" s="492" t="str">
        <f t="shared" si="33"/>
        <v>Retail</v>
      </c>
      <c r="I189" s="492" t="str">
        <f t="shared" si="33"/>
        <v>1_50</v>
      </c>
      <c r="J189" s="492" t="str">
        <f t="shared" si="33"/>
        <v>Any Water Heating</v>
      </c>
      <c r="K189" s="492" t="str">
        <f t="shared" si="34"/>
        <v>Commercial Showerhead Replacement_Fitness Center_precondition 1_90 to 1_99 gpm_efficient 1_50 gpm_Retail_Any Water Heating</v>
      </c>
      <c r="L189" s="493">
        <f>INDEX(InstallRatesCostAndLifetime!$A$2:$D$6,MATCH(InputForProCost_FitnessCenter!H189,InstallRatesCostAndLifetime!$A$2:$A$6,0),MATCH(InputForProCost_FitnessCenter!I189,InstallRatesCostAndLifetime!$A$2:$D$2,0))</f>
        <v>0.7</v>
      </c>
      <c r="M189" s="493">
        <f t="shared" si="35"/>
        <v>0.31666666666666665</v>
      </c>
      <c r="N189" s="492"/>
      <c r="O189" s="492" t="str">
        <f t="shared" si="36"/>
        <v>Fitness Center1_90 to 1_99 gpm1_50</v>
      </c>
      <c r="P189" s="494">
        <f>VLOOKUP($O189,Impacts!$F$27:$Z$59,16,FALSE)</f>
        <v>3206.1803128439387</v>
      </c>
      <c r="Q189" s="494">
        <f>VLOOKUP($O189,Impacts!$F$27:$Z$59,17,FALSE)*L189</f>
        <v>94.803148620527793</v>
      </c>
      <c r="R189" s="495">
        <f>VLOOKUP($O189,Impacts!$F$27:$Z$59,19,FALSE)*L189</f>
        <v>100.08826824168113</v>
      </c>
      <c r="S189" s="496">
        <f>VLOOKUP($O189,Impacts!$F$27:$Z$59,20,FALSE)*L189</f>
        <v>17921.20011730204</v>
      </c>
      <c r="T189" s="497">
        <f>VLOOKUP($O189,Impacts!$F$27:$Z$59,21,FALSE)*L189</f>
        <v>235.89108922479124</v>
      </c>
      <c r="U189" s="492"/>
      <c r="V189" s="492" t="str">
        <f t="shared" si="37"/>
        <v>Commercial Showerhead Replacement_Fitness Center_precondition 1_90 to 1_99 gpm_efficient 1_50 gpm_Retail_Any Water Heating</v>
      </c>
      <c r="W189" s="492" t="s">
        <v>440</v>
      </c>
      <c r="X189" s="494">
        <f t="shared" si="40"/>
        <v>710.70330268040641</v>
      </c>
      <c r="Y189" s="492">
        <v>10</v>
      </c>
      <c r="Z189" s="498">
        <f t="shared" si="41"/>
        <v>3.2966774171383419</v>
      </c>
      <c r="AA189" s="492"/>
      <c r="AB189" s="499" t="s">
        <v>441</v>
      </c>
      <c r="AC189" s="497">
        <f t="shared" si="42"/>
        <v>235.89108922479124</v>
      </c>
      <c r="AD189" s="492"/>
      <c r="AE189" s="492"/>
      <c r="AF189" s="492"/>
      <c r="AG189" s="492"/>
      <c r="AH189" s="492"/>
      <c r="AI189" s="492"/>
      <c r="AJ189" s="492">
        <f t="shared" si="38"/>
        <v>68.393649965148782</v>
      </c>
      <c r="AK189" s="492" t="s">
        <v>442</v>
      </c>
    </row>
    <row r="190" spans="1:37">
      <c r="A190" s="492">
        <f t="shared" si="39"/>
        <v>172</v>
      </c>
      <c r="B190" s="492">
        <f t="shared" si="44"/>
        <v>7</v>
      </c>
      <c r="C190" s="492">
        <f t="shared" si="44"/>
        <v>2</v>
      </c>
      <c r="D190" s="492">
        <f t="shared" si="44"/>
        <v>1</v>
      </c>
      <c r="E190" s="492">
        <f t="shared" si="31"/>
        <v>1</v>
      </c>
      <c r="F190" s="499" t="s">
        <v>645</v>
      </c>
      <c r="G190" s="499" t="str">
        <f t="shared" si="32"/>
        <v>1_90 to 1_99 gpm</v>
      </c>
      <c r="H190" s="492" t="str">
        <f t="shared" si="33"/>
        <v>Direct Install</v>
      </c>
      <c r="I190" s="492" t="str">
        <f t="shared" si="33"/>
        <v>2_00</v>
      </c>
      <c r="J190" s="492" t="str">
        <f t="shared" si="33"/>
        <v>Electric Water Heating</v>
      </c>
      <c r="K190" s="492" t="str">
        <f t="shared" si="34"/>
        <v>Commercial Showerhead Replacement_Fitness Center_precondition 1_90 to 1_99 gpm_efficient 2_00 gpm_Direct Install_Electric Water Heating</v>
      </c>
      <c r="L190" s="493">
        <f>INDEX(InstallRatesCostAndLifetime!$A$2:$D$6,MATCH(InputForProCost_FitnessCenter!H190,InstallRatesCostAndLifetime!$A$2:$A$6,0),MATCH(InputForProCost_FitnessCenter!I190,InstallRatesCostAndLifetime!$A$2:$D$2,0))</f>
        <v>0.9</v>
      </c>
      <c r="M190" s="493">
        <f t="shared" si="35"/>
        <v>1</v>
      </c>
      <c r="N190" s="492"/>
      <c r="O190" s="492" t="str">
        <f t="shared" si="36"/>
        <v>Fitness Center1_90 to 1_99 gpm2_00</v>
      </c>
      <c r="P190" s="494">
        <f>VLOOKUP($O190,Impacts!$F$27:$Z$59,16,FALSE)</f>
        <v>1233.3852560068244</v>
      </c>
      <c r="Q190" s="494">
        <f>VLOOKUP($O190,Impacts!$F$27:$Z$59,17,FALSE)*L190</f>
        <v>40.629920837369035</v>
      </c>
      <c r="R190" s="495">
        <f>VLOOKUP($O190,Impacts!$F$27:$Z$59,19,FALSE)*L190</f>
        <v>49.503790480000944</v>
      </c>
      <c r="S190" s="496">
        <f>VLOOKUP($O190,Impacts!$F$27:$Z$59,20,FALSE)*L190</f>
        <v>7680.5143359865851</v>
      </c>
      <c r="T190" s="497">
        <f>VLOOKUP($O190,Impacts!$F$27:$Z$59,21,FALSE)*L190</f>
        <v>101.09618109633905</v>
      </c>
      <c r="U190" s="492"/>
      <c r="V190" s="492" t="str">
        <f t="shared" si="37"/>
        <v>Commercial Showerhead Replacement_Fitness Center_precondition 1_90 to 1_99 gpm_efficient 2_00 gpm_Direct Install_Electric Water Heating</v>
      </c>
      <c r="W190" s="492" t="s">
        <v>440</v>
      </c>
      <c r="X190" s="494">
        <f t="shared" si="40"/>
        <v>1110.0467304061419</v>
      </c>
      <c r="Y190" s="492">
        <v>10</v>
      </c>
      <c r="Z190" s="498">
        <f t="shared" si="41"/>
        <v>11.336666666666666</v>
      </c>
      <c r="AA190" s="492"/>
      <c r="AB190" s="499" t="s">
        <v>441</v>
      </c>
      <c r="AC190" s="497">
        <f t="shared" si="42"/>
        <v>101.09618109633905</v>
      </c>
      <c r="AD190" s="492"/>
      <c r="AE190" s="492"/>
      <c r="AF190" s="492"/>
      <c r="AG190" s="492"/>
      <c r="AH190" s="492"/>
      <c r="AI190" s="492"/>
      <c r="AJ190" s="492">
        <f t="shared" si="38"/>
        <v>0</v>
      </c>
      <c r="AK190" s="492" t="s">
        <v>442</v>
      </c>
    </row>
    <row r="191" spans="1:37">
      <c r="A191" s="492">
        <f t="shared" si="39"/>
        <v>173</v>
      </c>
      <c r="B191" s="492">
        <f t="shared" si="44"/>
        <v>7</v>
      </c>
      <c r="C191" s="492">
        <f t="shared" si="44"/>
        <v>2</v>
      </c>
      <c r="D191" s="492">
        <f t="shared" si="44"/>
        <v>1</v>
      </c>
      <c r="E191" s="492">
        <f t="shared" si="31"/>
        <v>2</v>
      </c>
      <c r="F191" s="499" t="s">
        <v>645</v>
      </c>
      <c r="G191" s="499" t="str">
        <f t="shared" si="32"/>
        <v>1_90 to 1_99 gpm</v>
      </c>
      <c r="H191" s="492" t="str">
        <f t="shared" si="33"/>
        <v>Direct Install</v>
      </c>
      <c r="I191" s="492" t="str">
        <f t="shared" si="33"/>
        <v>2_00</v>
      </c>
      <c r="J191" s="492" t="str">
        <f t="shared" si="33"/>
        <v>Gas Water Heating</v>
      </c>
      <c r="K191" s="492" t="str">
        <f t="shared" si="34"/>
        <v>Commercial Showerhead Replacement_Fitness Center_precondition 1_90 to 1_99 gpm_efficient 2_00 gpm_Direct Install_Gas Water Heating</v>
      </c>
      <c r="L191" s="493">
        <f>INDEX(InstallRatesCostAndLifetime!$A$2:$D$6,MATCH(InputForProCost_FitnessCenter!H191,InstallRatesCostAndLifetime!$A$2:$A$6,0),MATCH(InputForProCost_FitnessCenter!I191,InstallRatesCostAndLifetime!$A$2:$D$2,0))</f>
        <v>0.9</v>
      </c>
      <c r="M191" s="493">
        <f t="shared" si="35"/>
        <v>0</v>
      </c>
      <c r="N191" s="492"/>
      <c r="O191" s="492" t="str">
        <f t="shared" si="36"/>
        <v>Fitness Center1_90 to 1_99 gpm2_00</v>
      </c>
      <c r="P191" s="494">
        <f>VLOOKUP($O191,Impacts!$F$27:$Z$59,16,FALSE)</f>
        <v>1233.3852560068244</v>
      </c>
      <c r="Q191" s="494">
        <f>VLOOKUP($O191,Impacts!$F$27:$Z$59,17,FALSE)*L191</f>
        <v>40.629920837369035</v>
      </c>
      <c r="R191" s="495">
        <f>VLOOKUP($O191,Impacts!$F$27:$Z$59,19,FALSE)*L191</f>
        <v>49.503790480000944</v>
      </c>
      <c r="S191" s="496">
        <f>VLOOKUP($O191,Impacts!$F$27:$Z$59,20,FALSE)*L191</f>
        <v>7680.5143359865851</v>
      </c>
      <c r="T191" s="497">
        <f>VLOOKUP($O191,Impacts!$F$27:$Z$59,21,FALSE)*L191</f>
        <v>101.09618109633905</v>
      </c>
      <c r="U191" s="492"/>
      <c r="V191" s="492" t="str">
        <f t="shared" si="37"/>
        <v>Commercial Showerhead Replacement_Fitness Center_precondition 1_90 to 1_99 gpm_efficient 2_00 gpm_Direct Install_Gas Water Heating</v>
      </c>
      <c r="W191" s="492" t="s">
        <v>440</v>
      </c>
      <c r="X191" s="494">
        <f t="shared" si="40"/>
        <v>0</v>
      </c>
      <c r="Y191" s="492">
        <v>10</v>
      </c>
      <c r="Z191" s="498">
        <f t="shared" si="41"/>
        <v>11.336666666666666</v>
      </c>
      <c r="AA191" s="492"/>
      <c r="AB191" s="499" t="s">
        <v>441</v>
      </c>
      <c r="AC191" s="497">
        <f t="shared" si="42"/>
        <v>101.09618109633905</v>
      </c>
      <c r="AD191" s="492"/>
      <c r="AE191" s="492"/>
      <c r="AF191" s="492"/>
      <c r="AG191" s="492"/>
      <c r="AH191" s="492"/>
      <c r="AI191" s="492"/>
      <c r="AJ191" s="492">
        <f t="shared" si="38"/>
        <v>49.503790480000944</v>
      </c>
      <c r="AK191" s="492" t="s">
        <v>442</v>
      </c>
    </row>
    <row r="192" spans="1:37">
      <c r="A192" s="492">
        <f t="shared" si="39"/>
        <v>174</v>
      </c>
      <c r="B192" s="492">
        <f t="shared" si="44"/>
        <v>7</v>
      </c>
      <c r="C192" s="492">
        <f t="shared" si="44"/>
        <v>2</v>
      </c>
      <c r="D192" s="492">
        <f t="shared" si="44"/>
        <v>1</v>
      </c>
      <c r="E192" s="492">
        <f t="shared" si="31"/>
        <v>3</v>
      </c>
      <c r="F192" s="499" t="s">
        <v>645</v>
      </c>
      <c r="G192" s="499" t="str">
        <f t="shared" si="32"/>
        <v>1_90 to 1_99 gpm</v>
      </c>
      <c r="H192" s="492" t="str">
        <f t="shared" si="33"/>
        <v>Direct Install</v>
      </c>
      <c r="I192" s="492" t="str">
        <f t="shared" si="33"/>
        <v>2_00</v>
      </c>
      <c r="J192" s="492" t="str">
        <f t="shared" si="33"/>
        <v>Any Water Heating</v>
      </c>
      <c r="K192" s="492" t="str">
        <f t="shared" si="34"/>
        <v>Commercial Showerhead Replacement_Fitness Center_precondition 1_90 to 1_99 gpm_efficient 2_00 gpm_Direct Install_Any Water Heating</v>
      </c>
      <c r="L192" s="493">
        <f>INDEX(InstallRatesCostAndLifetime!$A$2:$D$6,MATCH(InputForProCost_FitnessCenter!H192,InstallRatesCostAndLifetime!$A$2:$A$6,0),MATCH(InputForProCost_FitnessCenter!I192,InstallRatesCostAndLifetime!$A$2:$D$2,0))</f>
        <v>0.9</v>
      </c>
      <c r="M192" s="493">
        <f t="shared" si="35"/>
        <v>0.31666666666666665</v>
      </c>
      <c r="N192" s="492"/>
      <c r="O192" s="492" t="str">
        <f t="shared" si="36"/>
        <v>Fitness Center1_90 to 1_99 gpm2_00</v>
      </c>
      <c r="P192" s="494">
        <f>VLOOKUP($O192,Impacts!$F$27:$Z$59,16,FALSE)</f>
        <v>1233.3852560068244</v>
      </c>
      <c r="Q192" s="494">
        <f>VLOOKUP($O192,Impacts!$F$27:$Z$59,17,FALSE)*L192</f>
        <v>40.629920837369035</v>
      </c>
      <c r="R192" s="495">
        <f>VLOOKUP($O192,Impacts!$F$27:$Z$59,19,FALSE)*L192</f>
        <v>49.503790480000944</v>
      </c>
      <c r="S192" s="496">
        <f>VLOOKUP($O192,Impacts!$F$27:$Z$59,20,FALSE)*L192</f>
        <v>7680.5143359865851</v>
      </c>
      <c r="T192" s="497">
        <f>VLOOKUP($O192,Impacts!$F$27:$Z$59,21,FALSE)*L192</f>
        <v>101.09618109633905</v>
      </c>
      <c r="U192" s="492"/>
      <c r="V192" s="492" t="str">
        <f t="shared" si="37"/>
        <v>Commercial Showerhead Replacement_Fitness Center_precondition 1_90 to 1_99 gpm_efficient 2_00 gpm_Direct Install_Any Water Heating</v>
      </c>
      <c r="W192" s="492" t="s">
        <v>440</v>
      </c>
      <c r="X192" s="494">
        <f t="shared" si="40"/>
        <v>351.51479796194496</v>
      </c>
      <c r="Y192" s="492">
        <v>10</v>
      </c>
      <c r="Z192" s="498">
        <f t="shared" si="41"/>
        <v>11.336666666666666</v>
      </c>
      <c r="AA192" s="492"/>
      <c r="AB192" s="499" t="s">
        <v>441</v>
      </c>
      <c r="AC192" s="497">
        <f t="shared" si="42"/>
        <v>101.09618109633905</v>
      </c>
      <c r="AD192" s="492"/>
      <c r="AE192" s="492"/>
      <c r="AF192" s="492"/>
      <c r="AG192" s="492"/>
      <c r="AH192" s="492"/>
      <c r="AI192" s="492"/>
      <c r="AJ192" s="492">
        <f t="shared" si="38"/>
        <v>33.82759016133398</v>
      </c>
      <c r="AK192" s="492" t="s">
        <v>442</v>
      </c>
    </row>
    <row r="193" spans="1:37">
      <c r="A193" s="492">
        <f t="shared" si="39"/>
        <v>175</v>
      </c>
      <c r="B193" s="492">
        <f t="shared" si="44"/>
        <v>7</v>
      </c>
      <c r="C193" s="492">
        <f t="shared" si="44"/>
        <v>2</v>
      </c>
      <c r="D193" s="492">
        <f t="shared" si="44"/>
        <v>2</v>
      </c>
      <c r="E193" s="492">
        <f t="shared" si="31"/>
        <v>1</v>
      </c>
      <c r="F193" s="499" t="s">
        <v>645</v>
      </c>
      <c r="G193" s="499" t="str">
        <f t="shared" si="32"/>
        <v>1_90 to 1_99 gpm</v>
      </c>
      <c r="H193" s="492" t="str">
        <f t="shared" si="33"/>
        <v>Direct Install</v>
      </c>
      <c r="I193" s="492" t="str">
        <f t="shared" si="33"/>
        <v>1_75</v>
      </c>
      <c r="J193" s="492" t="str">
        <f t="shared" si="33"/>
        <v>Electric Water Heating</v>
      </c>
      <c r="K193" s="492" t="str">
        <f t="shared" si="34"/>
        <v>Commercial Showerhead Replacement_Fitness Center_precondition 1_90 to 1_99 gpm_efficient 1_75 gpm_Direct Install_Electric Water Heating</v>
      </c>
      <c r="L193" s="493">
        <f>INDEX(InstallRatesCostAndLifetime!$A$2:$D$6,MATCH(InputForProCost_FitnessCenter!H193,InstallRatesCostAndLifetime!$A$2:$A$6,0),MATCH(InputForProCost_FitnessCenter!I193,InstallRatesCostAndLifetime!$A$2:$D$2,0))</f>
        <v>0.9</v>
      </c>
      <c r="M193" s="493">
        <f t="shared" si="35"/>
        <v>1</v>
      </c>
      <c r="N193" s="492"/>
      <c r="O193" s="492" t="str">
        <f t="shared" si="36"/>
        <v>Fitness Center1_90 to 1_99 gpm1_75</v>
      </c>
      <c r="P193" s="494">
        <f>VLOOKUP($O193,Impacts!$F$27:$Z$59,16,FALSE)</f>
        <v>1406.8462386946012</v>
      </c>
      <c r="Q193" s="494">
        <f>VLOOKUP($O193,Impacts!$F$27:$Z$59,17,FALSE)*L193</f>
        <v>54.173227783158708</v>
      </c>
      <c r="R193" s="495">
        <f>VLOOKUP($O193,Impacts!$F$27:$Z$59,19,FALSE)*L193</f>
        <v>56.465910467742354</v>
      </c>
      <c r="S193" s="496">
        <f>VLOOKUP($O193,Impacts!$F$27:$Z$59,20,FALSE)*L193</f>
        <v>10240.685781315447</v>
      </c>
      <c r="T193" s="497">
        <f>VLOOKUP($O193,Impacts!$F$27:$Z$59,21,FALSE)*L193</f>
        <v>134.79490812845208</v>
      </c>
      <c r="U193" s="492"/>
      <c r="V193" s="492" t="str">
        <f t="shared" si="37"/>
        <v>Commercial Showerhead Replacement_Fitness Center_precondition 1_90 to 1_99 gpm_efficient 1_75 gpm_Direct Install_Electric Water Heating</v>
      </c>
      <c r="W193" s="492" t="s">
        <v>440</v>
      </c>
      <c r="X193" s="494">
        <f t="shared" si="40"/>
        <v>1266.1616148251412</v>
      </c>
      <c r="Y193" s="492">
        <v>10</v>
      </c>
      <c r="Z193" s="498">
        <f t="shared" si="41"/>
        <v>11.336666666666666</v>
      </c>
      <c r="AA193" s="492"/>
      <c r="AB193" s="499" t="s">
        <v>441</v>
      </c>
      <c r="AC193" s="497">
        <f t="shared" si="42"/>
        <v>134.79490812845208</v>
      </c>
      <c r="AD193" s="492"/>
      <c r="AE193" s="492"/>
      <c r="AF193" s="492"/>
      <c r="AG193" s="492"/>
      <c r="AH193" s="492"/>
      <c r="AI193" s="492"/>
      <c r="AJ193" s="492">
        <f t="shared" si="38"/>
        <v>0</v>
      </c>
      <c r="AK193" s="492" t="s">
        <v>442</v>
      </c>
    </row>
    <row r="194" spans="1:37">
      <c r="A194" s="492">
        <f t="shared" si="39"/>
        <v>176</v>
      </c>
      <c r="B194" s="492">
        <f t="shared" si="44"/>
        <v>7</v>
      </c>
      <c r="C194" s="492">
        <f t="shared" si="44"/>
        <v>2</v>
      </c>
      <c r="D194" s="492">
        <f t="shared" si="44"/>
        <v>2</v>
      </c>
      <c r="E194" s="492">
        <f t="shared" si="31"/>
        <v>2</v>
      </c>
      <c r="F194" s="499" t="s">
        <v>645</v>
      </c>
      <c r="G194" s="499" t="str">
        <f t="shared" si="32"/>
        <v>1_90 to 1_99 gpm</v>
      </c>
      <c r="H194" s="492" t="str">
        <f t="shared" si="33"/>
        <v>Direct Install</v>
      </c>
      <c r="I194" s="492" t="str">
        <f t="shared" si="33"/>
        <v>1_75</v>
      </c>
      <c r="J194" s="492" t="str">
        <f t="shared" si="33"/>
        <v>Gas Water Heating</v>
      </c>
      <c r="K194" s="492" t="str">
        <f t="shared" si="34"/>
        <v>Commercial Showerhead Replacement_Fitness Center_precondition 1_90 to 1_99 gpm_efficient 1_75 gpm_Direct Install_Gas Water Heating</v>
      </c>
      <c r="L194" s="493">
        <f>INDEX(InstallRatesCostAndLifetime!$A$2:$D$6,MATCH(InputForProCost_FitnessCenter!H194,InstallRatesCostAndLifetime!$A$2:$A$6,0),MATCH(InputForProCost_FitnessCenter!I194,InstallRatesCostAndLifetime!$A$2:$D$2,0))</f>
        <v>0.9</v>
      </c>
      <c r="M194" s="493">
        <f t="shared" si="35"/>
        <v>0</v>
      </c>
      <c r="N194" s="492"/>
      <c r="O194" s="492" t="str">
        <f t="shared" si="36"/>
        <v>Fitness Center1_90 to 1_99 gpm1_75</v>
      </c>
      <c r="P194" s="494">
        <f>VLOOKUP($O194,Impacts!$F$27:$Z$59,16,FALSE)</f>
        <v>1406.8462386946012</v>
      </c>
      <c r="Q194" s="494">
        <f>VLOOKUP($O194,Impacts!$F$27:$Z$59,17,FALSE)*L194</f>
        <v>54.173227783158708</v>
      </c>
      <c r="R194" s="495">
        <f>VLOOKUP($O194,Impacts!$F$27:$Z$59,19,FALSE)*L194</f>
        <v>56.465910467742354</v>
      </c>
      <c r="S194" s="496">
        <f>VLOOKUP($O194,Impacts!$F$27:$Z$59,20,FALSE)*L194</f>
        <v>10240.685781315447</v>
      </c>
      <c r="T194" s="497">
        <f>VLOOKUP($O194,Impacts!$F$27:$Z$59,21,FALSE)*L194</f>
        <v>134.79490812845208</v>
      </c>
      <c r="U194" s="492"/>
      <c r="V194" s="492" t="str">
        <f t="shared" si="37"/>
        <v>Commercial Showerhead Replacement_Fitness Center_precondition 1_90 to 1_99 gpm_efficient 1_75 gpm_Direct Install_Gas Water Heating</v>
      </c>
      <c r="W194" s="492" t="s">
        <v>440</v>
      </c>
      <c r="X194" s="494">
        <f t="shared" si="40"/>
        <v>0</v>
      </c>
      <c r="Y194" s="492">
        <v>10</v>
      </c>
      <c r="Z194" s="498">
        <f t="shared" si="41"/>
        <v>11.336666666666666</v>
      </c>
      <c r="AA194" s="492"/>
      <c r="AB194" s="499" t="s">
        <v>441</v>
      </c>
      <c r="AC194" s="497">
        <f t="shared" si="42"/>
        <v>134.79490812845208</v>
      </c>
      <c r="AD194" s="492"/>
      <c r="AE194" s="492"/>
      <c r="AF194" s="492"/>
      <c r="AG194" s="492"/>
      <c r="AH194" s="492"/>
      <c r="AI194" s="492"/>
      <c r="AJ194" s="492">
        <f t="shared" si="38"/>
        <v>56.465910467742354</v>
      </c>
      <c r="AK194" s="492" t="s">
        <v>442</v>
      </c>
    </row>
    <row r="195" spans="1:37">
      <c r="A195" s="492">
        <f t="shared" si="39"/>
        <v>177</v>
      </c>
      <c r="B195" s="492">
        <f t="shared" si="44"/>
        <v>7</v>
      </c>
      <c r="C195" s="492">
        <f t="shared" si="44"/>
        <v>2</v>
      </c>
      <c r="D195" s="492">
        <f t="shared" si="44"/>
        <v>2</v>
      </c>
      <c r="E195" s="492">
        <f t="shared" si="31"/>
        <v>3</v>
      </c>
      <c r="F195" s="499" t="s">
        <v>645</v>
      </c>
      <c r="G195" s="499" t="str">
        <f t="shared" si="32"/>
        <v>1_90 to 1_99 gpm</v>
      </c>
      <c r="H195" s="492" t="str">
        <f t="shared" si="33"/>
        <v>Direct Install</v>
      </c>
      <c r="I195" s="492" t="str">
        <f t="shared" si="33"/>
        <v>1_75</v>
      </c>
      <c r="J195" s="492" t="str">
        <f t="shared" si="33"/>
        <v>Any Water Heating</v>
      </c>
      <c r="K195" s="492" t="str">
        <f t="shared" si="34"/>
        <v>Commercial Showerhead Replacement_Fitness Center_precondition 1_90 to 1_99 gpm_efficient 1_75 gpm_Direct Install_Any Water Heating</v>
      </c>
      <c r="L195" s="493">
        <f>INDEX(InstallRatesCostAndLifetime!$A$2:$D$6,MATCH(InputForProCost_FitnessCenter!H195,InstallRatesCostAndLifetime!$A$2:$A$6,0),MATCH(InputForProCost_FitnessCenter!I195,InstallRatesCostAndLifetime!$A$2:$D$2,0))</f>
        <v>0.9</v>
      </c>
      <c r="M195" s="493">
        <f t="shared" si="35"/>
        <v>0.31666666666666665</v>
      </c>
      <c r="N195" s="492"/>
      <c r="O195" s="492" t="str">
        <f t="shared" si="36"/>
        <v>Fitness Center1_90 to 1_99 gpm1_75</v>
      </c>
      <c r="P195" s="494">
        <f>VLOOKUP($O195,Impacts!$F$27:$Z$59,16,FALSE)</f>
        <v>1406.8462386946012</v>
      </c>
      <c r="Q195" s="494">
        <f>VLOOKUP($O195,Impacts!$F$27:$Z$59,17,FALSE)*L195</f>
        <v>54.173227783158708</v>
      </c>
      <c r="R195" s="495">
        <f>VLOOKUP($O195,Impacts!$F$27:$Z$59,19,FALSE)*L195</f>
        <v>56.465910467742354</v>
      </c>
      <c r="S195" s="496">
        <f>VLOOKUP($O195,Impacts!$F$27:$Z$59,20,FALSE)*L195</f>
        <v>10240.685781315447</v>
      </c>
      <c r="T195" s="497">
        <f>VLOOKUP($O195,Impacts!$F$27:$Z$59,21,FALSE)*L195</f>
        <v>134.79490812845208</v>
      </c>
      <c r="U195" s="492"/>
      <c r="V195" s="492" t="str">
        <f t="shared" si="37"/>
        <v>Commercial Showerhead Replacement_Fitness Center_precondition 1_90 to 1_99 gpm_efficient 1_75 gpm_Direct Install_Any Water Heating</v>
      </c>
      <c r="W195" s="492" t="s">
        <v>440</v>
      </c>
      <c r="X195" s="494">
        <f t="shared" si="40"/>
        <v>400.9511780279613</v>
      </c>
      <c r="Y195" s="492">
        <v>10</v>
      </c>
      <c r="Z195" s="498">
        <f t="shared" si="41"/>
        <v>11.336666666666666</v>
      </c>
      <c r="AA195" s="492"/>
      <c r="AB195" s="499" t="s">
        <v>441</v>
      </c>
      <c r="AC195" s="497">
        <f t="shared" si="42"/>
        <v>134.79490812845208</v>
      </c>
      <c r="AD195" s="492"/>
      <c r="AE195" s="492"/>
      <c r="AF195" s="492"/>
      <c r="AG195" s="492"/>
      <c r="AH195" s="492"/>
      <c r="AI195" s="492"/>
      <c r="AJ195" s="492">
        <f t="shared" si="38"/>
        <v>38.585038819623946</v>
      </c>
      <c r="AK195" s="492" t="s">
        <v>442</v>
      </c>
    </row>
    <row r="196" spans="1:37">
      <c r="A196" s="492">
        <f t="shared" si="39"/>
        <v>178</v>
      </c>
      <c r="B196" s="492">
        <f t="shared" si="44"/>
        <v>7</v>
      </c>
      <c r="C196" s="492">
        <f t="shared" si="44"/>
        <v>2</v>
      </c>
      <c r="D196" s="492">
        <f t="shared" si="44"/>
        <v>3</v>
      </c>
      <c r="E196" s="492">
        <f t="shared" si="31"/>
        <v>1</v>
      </c>
      <c r="F196" s="499" t="s">
        <v>645</v>
      </c>
      <c r="G196" s="499" t="str">
        <f t="shared" si="32"/>
        <v>1_90 to 1_99 gpm</v>
      </c>
      <c r="H196" s="492" t="str">
        <f t="shared" si="33"/>
        <v>Direct Install</v>
      </c>
      <c r="I196" s="492" t="str">
        <f t="shared" si="33"/>
        <v>1_50</v>
      </c>
      <c r="J196" s="492" t="str">
        <f t="shared" si="33"/>
        <v>Electric Water Heating</v>
      </c>
      <c r="K196" s="492" t="str">
        <f t="shared" si="34"/>
        <v>Commercial Showerhead Replacement_Fitness Center_precondition 1_90 to 1_99 gpm_efficient 1_50 gpm_Direct Install_Electric Water Heating</v>
      </c>
      <c r="L196" s="493">
        <f>INDEX(InstallRatesCostAndLifetime!$A$2:$D$6,MATCH(InputForProCost_FitnessCenter!H196,InstallRatesCostAndLifetime!$A$2:$A$6,0),MATCH(InputForProCost_FitnessCenter!I196,InstallRatesCostAndLifetime!$A$2:$D$2,0))</f>
        <v>0.9</v>
      </c>
      <c r="M196" s="493">
        <f t="shared" si="35"/>
        <v>1</v>
      </c>
      <c r="N196" s="492"/>
      <c r="O196" s="492" t="str">
        <f t="shared" si="36"/>
        <v>Fitness Center1_90 to 1_99 gpm1_50</v>
      </c>
      <c r="P196" s="494">
        <f>VLOOKUP($O196,Impacts!$F$27:$Z$59,16,FALSE)</f>
        <v>3206.1803128439387</v>
      </c>
      <c r="Q196" s="494">
        <f>VLOOKUP($O196,Impacts!$F$27:$Z$59,17,FALSE)*L196</f>
        <v>121.88976251210718</v>
      </c>
      <c r="R196" s="495">
        <f>VLOOKUP($O196,Impacts!$F$27:$Z$59,19,FALSE)*L196</f>
        <v>128.68491631073289</v>
      </c>
      <c r="S196" s="496">
        <f>VLOOKUP($O196,Impacts!$F$27:$Z$59,20,FALSE)*L196</f>
        <v>23041.543007959768</v>
      </c>
      <c r="T196" s="497">
        <f>VLOOKUP($O196,Impacts!$F$27:$Z$59,21,FALSE)*L196</f>
        <v>303.28854328901735</v>
      </c>
      <c r="U196" s="492"/>
      <c r="V196" s="492" t="str">
        <f t="shared" si="37"/>
        <v>Commercial Showerhead Replacement_Fitness Center_precondition 1_90 to 1_99 gpm_efficient 1_50 gpm_Direct Install_Electric Water Heating</v>
      </c>
      <c r="W196" s="492" t="s">
        <v>440</v>
      </c>
      <c r="X196" s="494">
        <f t="shared" si="40"/>
        <v>2885.5622815595448</v>
      </c>
      <c r="Y196" s="492">
        <v>10</v>
      </c>
      <c r="Z196" s="498">
        <f t="shared" si="41"/>
        <v>11.336666666666666</v>
      </c>
      <c r="AA196" s="492"/>
      <c r="AB196" s="499" t="s">
        <v>441</v>
      </c>
      <c r="AC196" s="497">
        <f t="shared" si="42"/>
        <v>303.28854328901735</v>
      </c>
      <c r="AD196" s="492"/>
      <c r="AE196" s="492"/>
      <c r="AF196" s="492"/>
      <c r="AG196" s="492"/>
      <c r="AH196" s="492"/>
      <c r="AI196" s="492"/>
      <c r="AJ196" s="492">
        <f t="shared" si="38"/>
        <v>0</v>
      </c>
      <c r="AK196" s="492" t="s">
        <v>442</v>
      </c>
    </row>
    <row r="197" spans="1:37">
      <c r="A197" s="492">
        <f t="shared" si="39"/>
        <v>179</v>
      </c>
      <c r="B197" s="492">
        <f t="shared" si="44"/>
        <v>7</v>
      </c>
      <c r="C197" s="492">
        <f t="shared" si="44"/>
        <v>2</v>
      </c>
      <c r="D197" s="492">
        <f t="shared" si="44"/>
        <v>3</v>
      </c>
      <c r="E197" s="492">
        <f t="shared" si="31"/>
        <v>2</v>
      </c>
      <c r="F197" s="499" t="s">
        <v>645</v>
      </c>
      <c r="G197" s="499" t="str">
        <f t="shared" si="32"/>
        <v>1_90 to 1_99 gpm</v>
      </c>
      <c r="H197" s="492" t="str">
        <f t="shared" si="33"/>
        <v>Direct Install</v>
      </c>
      <c r="I197" s="492" t="str">
        <f t="shared" si="33"/>
        <v>1_50</v>
      </c>
      <c r="J197" s="492" t="str">
        <f t="shared" si="33"/>
        <v>Gas Water Heating</v>
      </c>
      <c r="K197" s="492" t="str">
        <f t="shared" si="34"/>
        <v>Commercial Showerhead Replacement_Fitness Center_precondition 1_90 to 1_99 gpm_efficient 1_50 gpm_Direct Install_Gas Water Heating</v>
      </c>
      <c r="L197" s="493">
        <f>INDEX(InstallRatesCostAndLifetime!$A$2:$D$6,MATCH(InputForProCost_FitnessCenter!H197,InstallRatesCostAndLifetime!$A$2:$A$6,0),MATCH(InputForProCost_FitnessCenter!I197,InstallRatesCostAndLifetime!$A$2:$D$2,0))</f>
        <v>0.9</v>
      </c>
      <c r="M197" s="493">
        <f t="shared" si="35"/>
        <v>0</v>
      </c>
      <c r="N197" s="492"/>
      <c r="O197" s="492" t="str">
        <f t="shared" si="36"/>
        <v>Fitness Center1_90 to 1_99 gpm1_50</v>
      </c>
      <c r="P197" s="494">
        <f>VLOOKUP($O197,Impacts!$F$27:$Z$59,16,FALSE)</f>
        <v>3206.1803128439387</v>
      </c>
      <c r="Q197" s="494">
        <f>VLOOKUP($O197,Impacts!$F$27:$Z$59,17,FALSE)*L197</f>
        <v>121.88976251210718</v>
      </c>
      <c r="R197" s="495">
        <f>VLOOKUP($O197,Impacts!$F$27:$Z$59,19,FALSE)*L197</f>
        <v>128.68491631073289</v>
      </c>
      <c r="S197" s="496">
        <f>VLOOKUP($O197,Impacts!$F$27:$Z$59,20,FALSE)*L197</f>
        <v>23041.543007959768</v>
      </c>
      <c r="T197" s="497">
        <f>VLOOKUP($O197,Impacts!$F$27:$Z$59,21,FALSE)*L197</f>
        <v>303.28854328901735</v>
      </c>
      <c r="U197" s="492"/>
      <c r="V197" s="492" t="str">
        <f t="shared" si="37"/>
        <v>Commercial Showerhead Replacement_Fitness Center_precondition 1_90 to 1_99 gpm_efficient 1_50 gpm_Direct Install_Gas Water Heating</v>
      </c>
      <c r="W197" s="492" t="s">
        <v>440</v>
      </c>
      <c r="X197" s="494">
        <f t="shared" si="40"/>
        <v>0</v>
      </c>
      <c r="Y197" s="492">
        <v>10</v>
      </c>
      <c r="Z197" s="498">
        <f t="shared" si="41"/>
        <v>11.336666666666666</v>
      </c>
      <c r="AA197" s="492"/>
      <c r="AB197" s="499" t="s">
        <v>441</v>
      </c>
      <c r="AC197" s="497">
        <f t="shared" si="42"/>
        <v>303.28854328901735</v>
      </c>
      <c r="AD197" s="492"/>
      <c r="AE197" s="492"/>
      <c r="AF197" s="492"/>
      <c r="AG197" s="492"/>
      <c r="AH197" s="492"/>
      <c r="AI197" s="492"/>
      <c r="AJ197" s="492">
        <f t="shared" si="38"/>
        <v>128.68491631073289</v>
      </c>
      <c r="AK197" s="492" t="s">
        <v>442</v>
      </c>
    </row>
    <row r="198" spans="1:37">
      <c r="A198" s="492">
        <f t="shared" si="39"/>
        <v>180</v>
      </c>
      <c r="B198" s="492">
        <f t="shared" si="44"/>
        <v>7</v>
      </c>
      <c r="C198" s="492">
        <f t="shared" si="44"/>
        <v>2</v>
      </c>
      <c r="D198" s="492">
        <f t="shared" si="44"/>
        <v>3</v>
      </c>
      <c r="E198" s="492">
        <f t="shared" si="31"/>
        <v>3</v>
      </c>
      <c r="F198" s="499" t="s">
        <v>645</v>
      </c>
      <c r="G198" s="499" t="str">
        <f t="shared" si="32"/>
        <v>1_90 to 1_99 gpm</v>
      </c>
      <c r="H198" s="492" t="str">
        <f t="shared" si="33"/>
        <v>Direct Install</v>
      </c>
      <c r="I198" s="492" t="str">
        <f t="shared" si="33"/>
        <v>1_50</v>
      </c>
      <c r="J198" s="492" t="str">
        <f t="shared" si="33"/>
        <v>Any Water Heating</v>
      </c>
      <c r="K198" s="492" t="str">
        <f t="shared" si="34"/>
        <v>Commercial Showerhead Replacement_Fitness Center_precondition 1_90 to 1_99 gpm_efficient 1_50 gpm_Direct Install_Any Water Heating</v>
      </c>
      <c r="L198" s="493">
        <f>INDEX(InstallRatesCostAndLifetime!$A$2:$D$6,MATCH(InputForProCost_FitnessCenter!H198,InstallRatesCostAndLifetime!$A$2:$A$6,0),MATCH(InputForProCost_FitnessCenter!I198,InstallRatesCostAndLifetime!$A$2:$D$2,0))</f>
        <v>0.9</v>
      </c>
      <c r="M198" s="493">
        <f t="shared" si="35"/>
        <v>0.31666666666666665</v>
      </c>
      <c r="N198" s="492"/>
      <c r="O198" s="492" t="str">
        <f t="shared" si="36"/>
        <v>Fitness Center1_90 to 1_99 gpm1_50</v>
      </c>
      <c r="P198" s="494">
        <f>VLOOKUP($O198,Impacts!$F$27:$Z$59,16,FALSE)</f>
        <v>3206.1803128439387</v>
      </c>
      <c r="Q198" s="494">
        <f>VLOOKUP($O198,Impacts!$F$27:$Z$59,17,FALSE)*L198</f>
        <v>121.88976251210718</v>
      </c>
      <c r="R198" s="495">
        <f>VLOOKUP($O198,Impacts!$F$27:$Z$59,19,FALSE)*L198</f>
        <v>128.68491631073289</v>
      </c>
      <c r="S198" s="496">
        <f>VLOOKUP($O198,Impacts!$F$27:$Z$59,20,FALSE)*L198</f>
        <v>23041.543007959768</v>
      </c>
      <c r="T198" s="497">
        <f>VLOOKUP($O198,Impacts!$F$27:$Z$59,21,FALSE)*L198</f>
        <v>303.28854328901735</v>
      </c>
      <c r="U198" s="492"/>
      <c r="V198" s="492" t="str">
        <f t="shared" si="37"/>
        <v>Commercial Showerhead Replacement_Fitness Center_precondition 1_90 to 1_99 gpm_efficient 1_50 gpm_Direct Install_Any Water Heating</v>
      </c>
      <c r="W198" s="492" t="s">
        <v>440</v>
      </c>
      <c r="X198" s="494">
        <f t="shared" si="40"/>
        <v>913.76138916052253</v>
      </c>
      <c r="Y198" s="492">
        <v>10</v>
      </c>
      <c r="Z198" s="498">
        <f t="shared" si="41"/>
        <v>11.336666666666666</v>
      </c>
      <c r="AA198" s="492"/>
      <c r="AB198" s="499" t="s">
        <v>441</v>
      </c>
      <c r="AC198" s="497">
        <f t="shared" si="42"/>
        <v>303.28854328901735</v>
      </c>
      <c r="AD198" s="492"/>
      <c r="AE198" s="492"/>
      <c r="AF198" s="492"/>
      <c r="AG198" s="492"/>
      <c r="AH198" s="492"/>
      <c r="AI198" s="492"/>
      <c r="AJ198" s="492">
        <f t="shared" si="38"/>
        <v>87.934692812334148</v>
      </c>
      <c r="AK198" s="492" t="s">
        <v>442</v>
      </c>
    </row>
    <row r="199" spans="1:37">
      <c r="A199" s="492">
        <f t="shared" si="39"/>
        <v>181</v>
      </c>
      <c r="B199" s="492">
        <f t="shared" ref="B199:D218" si="45">CEILING((MOD($A199-1,B$17)+1)/C$17,1)</f>
        <v>7</v>
      </c>
      <c r="C199" s="492">
        <f t="shared" si="45"/>
        <v>3</v>
      </c>
      <c r="D199" s="492">
        <f t="shared" si="45"/>
        <v>1</v>
      </c>
      <c r="E199" s="492">
        <f t="shared" si="31"/>
        <v>1</v>
      </c>
      <c r="F199" s="499" t="s">
        <v>645</v>
      </c>
      <c r="G199" s="499" t="str">
        <f t="shared" si="32"/>
        <v>1_90 to 1_99 gpm</v>
      </c>
      <c r="H199" s="492" t="str">
        <f t="shared" si="33"/>
        <v>Mail-by-Request</v>
      </c>
      <c r="I199" s="492" t="str">
        <f t="shared" si="33"/>
        <v>2_00</v>
      </c>
      <c r="J199" s="492" t="str">
        <f t="shared" si="33"/>
        <v>Electric Water Heating</v>
      </c>
      <c r="K199" s="492" t="str">
        <f t="shared" si="34"/>
        <v>Commercial Showerhead Replacement_Fitness Center_precondition 1_90 to 1_99 gpm_efficient 2_00 gpm_Mail-by-Request_Electric Water Heating</v>
      </c>
      <c r="L199" s="493">
        <f>INDEX(InstallRatesCostAndLifetime!$A$2:$D$6,MATCH(InputForProCost_FitnessCenter!H199,InstallRatesCostAndLifetime!$A$2:$A$6,0),MATCH(InputForProCost_FitnessCenter!I199,InstallRatesCostAndLifetime!$A$2:$D$2,0))</f>
        <v>0.6</v>
      </c>
      <c r="M199" s="493">
        <f t="shared" si="35"/>
        <v>1</v>
      </c>
      <c r="N199" s="492"/>
      <c r="O199" s="492" t="str">
        <f t="shared" si="36"/>
        <v>Fitness Center1_90 to 1_99 gpm2_00</v>
      </c>
      <c r="P199" s="494">
        <f>VLOOKUP($O199,Impacts!$F$27:$Z$59,16,FALSE)</f>
        <v>1233.3852560068244</v>
      </c>
      <c r="Q199" s="494">
        <f>VLOOKUP($O199,Impacts!$F$27:$Z$59,17,FALSE)*L199</f>
        <v>27.086613891579358</v>
      </c>
      <c r="R199" s="495">
        <f>VLOOKUP($O199,Impacts!$F$27:$Z$59,19,FALSE)*L199</f>
        <v>33.002526986667291</v>
      </c>
      <c r="S199" s="496">
        <f>VLOOKUP($O199,Impacts!$F$27:$Z$59,20,FALSE)*L199</f>
        <v>5120.3428906577228</v>
      </c>
      <c r="T199" s="497">
        <f>VLOOKUP($O199,Impacts!$F$27:$Z$59,21,FALSE)*L199</f>
        <v>67.397454064226025</v>
      </c>
      <c r="U199" s="492"/>
      <c r="V199" s="492" t="str">
        <f t="shared" si="37"/>
        <v>Commercial Showerhead Replacement_Fitness Center_precondition 1_90 to 1_99 gpm_efficient 2_00 gpm_Mail-by-Request_Electric Water Heating</v>
      </c>
      <c r="W199" s="492" t="s">
        <v>440</v>
      </c>
      <c r="X199" s="494">
        <f t="shared" si="40"/>
        <v>740.03115360409458</v>
      </c>
      <c r="Y199" s="492">
        <v>10</v>
      </c>
      <c r="Z199" s="498">
        <f t="shared" si="41"/>
        <v>8.1096944444444432</v>
      </c>
      <c r="AA199" s="492"/>
      <c r="AB199" s="499" t="s">
        <v>441</v>
      </c>
      <c r="AC199" s="497">
        <f t="shared" si="42"/>
        <v>67.397454064226025</v>
      </c>
      <c r="AD199" s="492"/>
      <c r="AE199" s="492"/>
      <c r="AF199" s="492"/>
      <c r="AG199" s="492"/>
      <c r="AH199" s="492"/>
      <c r="AI199" s="492"/>
      <c r="AJ199" s="492">
        <f t="shared" si="38"/>
        <v>0</v>
      </c>
      <c r="AK199" s="492" t="s">
        <v>442</v>
      </c>
    </row>
    <row r="200" spans="1:37">
      <c r="A200" s="492">
        <f t="shared" si="39"/>
        <v>182</v>
      </c>
      <c r="B200" s="492">
        <f t="shared" si="45"/>
        <v>7</v>
      </c>
      <c r="C200" s="492">
        <f t="shared" si="45"/>
        <v>3</v>
      </c>
      <c r="D200" s="492">
        <f t="shared" si="45"/>
        <v>1</v>
      </c>
      <c r="E200" s="492">
        <f t="shared" si="31"/>
        <v>2</v>
      </c>
      <c r="F200" s="499" t="s">
        <v>645</v>
      </c>
      <c r="G200" s="499" t="str">
        <f t="shared" si="32"/>
        <v>1_90 to 1_99 gpm</v>
      </c>
      <c r="H200" s="492" t="str">
        <f t="shared" si="33"/>
        <v>Mail-by-Request</v>
      </c>
      <c r="I200" s="492" t="str">
        <f t="shared" si="33"/>
        <v>2_00</v>
      </c>
      <c r="J200" s="492" t="str">
        <f t="shared" si="33"/>
        <v>Gas Water Heating</v>
      </c>
      <c r="K200" s="492" t="str">
        <f t="shared" si="34"/>
        <v>Commercial Showerhead Replacement_Fitness Center_precondition 1_90 to 1_99 gpm_efficient 2_00 gpm_Mail-by-Request_Gas Water Heating</v>
      </c>
      <c r="L200" s="493">
        <f>INDEX(InstallRatesCostAndLifetime!$A$2:$D$6,MATCH(InputForProCost_FitnessCenter!H200,InstallRatesCostAndLifetime!$A$2:$A$6,0),MATCH(InputForProCost_FitnessCenter!I200,InstallRatesCostAndLifetime!$A$2:$D$2,0))</f>
        <v>0.6</v>
      </c>
      <c r="M200" s="493">
        <f t="shared" si="35"/>
        <v>0</v>
      </c>
      <c r="N200" s="492"/>
      <c r="O200" s="492" t="str">
        <f t="shared" si="36"/>
        <v>Fitness Center1_90 to 1_99 gpm2_00</v>
      </c>
      <c r="P200" s="494">
        <f>VLOOKUP($O200,Impacts!$F$27:$Z$59,16,FALSE)</f>
        <v>1233.3852560068244</v>
      </c>
      <c r="Q200" s="494">
        <f>VLOOKUP($O200,Impacts!$F$27:$Z$59,17,FALSE)*L200</f>
        <v>27.086613891579358</v>
      </c>
      <c r="R200" s="495">
        <f>VLOOKUP($O200,Impacts!$F$27:$Z$59,19,FALSE)*L200</f>
        <v>33.002526986667291</v>
      </c>
      <c r="S200" s="496">
        <f>VLOOKUP($O200,Impacts!$F$27:$Z$59,20,FALSE)*L200</f>
        <v>5120.3428906577228</v>
      </c>
      <c r="T200" s="497">
        <f>VLOOKUP($O200,Impacts!$F$27:$Z$59,21,FALSE)*L200</f>
        <v>67.397454064226025</v>
      </c>
      <c r="U200" s="492"/>
      <c r="V200" s="492" t="str">
        <f t="shared" si="37"/>
        <v>Commercial Showerhead Replacement_Fitness Center_precondition 1_90 to 1_99 gpm_efficient 2_00 gpm_Mail-by-Request_Gas Water Heating</v>
      </c>
      <c r="W200" s="492" t="s">
        <v>440</v>
      </c>
      <c r="X200" s="494">
        <f t="shared" si="40"/>
        <v>0</v>
      </c>
      <c r="Y200" s="492">
        <v>10</v>
      </c>
      <c r="Z200" s="498">
        <f t="shared" si="41"/>
        <v>8.1096944444444432</v>
      </c>
      <c r="AA200" s="492"/>
      <c r="AB200" s="499" t="s">
        <v>441</v>
      </c>
      <c r="AC200" s="497">
        <f t="shared" si="42"/>
        <v>67.397454064226025</v>
      </c>
      <c r="AD200" s="492"/>
      <c r="AE200" s="492"/>
      <c r="AF200" s="492"/>
      <c r="AG200" s="492"/>
      <c r="AH200" s="492"/>
      <c r="AI200" s="492"/>
      <c r="AJ200" s="492">
        <f t="shared" si="38"/>
        <v>33.002526986667291</v>
      </c>
      <c r="AK200" s="492" t="s">
        <v>442</v>
      </c>
    </row>
    <row r="201" spans="1:37">
      <c r="A201" s="492">
        <f t="shared" si="39"/>
        <v>183</v>
      </c>
      <c r="B201" s="492">
        <f t="shared" si="45"/>
        <v>7</v>
      </c>
      <c r="C201" s="492">
        <f t="shared" si="45"/>
        <v>3</v>
      </c>
      <c r="D201" s="492">
        <f t="shared" si="45"/>
        <v>1</v>
      </c>
      <c r="E201" s="492">
        <f t="shared" si="31"/>
        <v>3</v>
      </c>
      <c r="F201" s="499" t="s">
        <v>645</v>
      </c>
      <c r="G201" s="499" t="str">
        <f t="shared" si="32"/>
        <v>1_90 to 1_99 gpm</v>
      </c>
      <c r="H201" s="492" t="str">
        <f t="shared" si="33"/>
        <v>Mail-by-Request</v>
      </c>
      <c r="I201" s="492" t="str">
        <f t="shared" si="33"/>
        <v>2_00</v>
      </c>
      <c r="J201" s="492" t="str">
        <f t="shared" si="33"/>
        <v>Any Water Heating</v>
      </c>
      <c r="K201" s="492" t="str">
        <f t="shared" si="34"/>
        <v>Commercial Showerhead Replacement_Fitness Center_precondition 1_90 to 1_99 gpm_efficient 2_00 gpm_Mail-by-Request_Any Water Heating</v>
      </c>
      <c r="L201" s="493">
        <f>INDEX(InstallRatesCostAndLifetime!$A$2:$D$6,MATCH(InputForProCost_FitnessCenter!H201,InstallRatesCostAndLifetime!$A$2:$A$6,0),MATCH(InputForProCost_FitnessCenter!I201,InstallRatesCostAndLifetime!$A$2:$D$2,0))</f>
        <v>0.6</v>
      </c>
      <c r="M201" s="493">
        <f t="shared" si="35"/>
        <v>0.31666666666666665</v>
      </c>
      <c r="N201" s="492"/>
      <c r="O201" s="492" t="str">
        <f t="shared" si="36"/>
        <v>Fitness Center1_90 to 1_99 gpm2_00</v>
      </c>
      <c r="P201" s="494">
        <f>VLOOKUP($O201,Impacts!$F$27:$Z$59,16,FALSE)</f>
        <v>1233.3852560068244</v>
      </c>
      <c r="Q201" s="494">
        <f>VLOOKUP($O201,Impacts!$F$27:$Z$59,17,FALSE)*L201</f>
        <v>27.086613891579358</v>
      </c>
      <c r="R201" s="495">
        <f>VLOOKUP($O201,Impacts!$F$27:$Z$59,19,FALSE)*L201</f>
        <v>33.002526986667291</v>
      </c>
      <c r="S201" s="496">
        <f>VLOOKUP($O201,Impacts!$F$27:$Z$59,20,FALSE)*L201</f>
        <v>5120.3428906577228</v>
      </c>
      <c r="T201" s="497">
        <f>VLOOKUP($O201,Impacts!$F$27:$Z$59,21,FALSE)*L201</f>
        <v>67.397454064226025</v>
      </c>
      <c r="U201" s="492"/>
      <c r="V201" s="492" t="str">
        <f t="shared" si="37"/>
        <v>Commercial Showerhead Replacement_Fitness Center_precondition 1_90 to 1_99 gpm_efficient 2_00 gpm_Mail-by-Request_Any Water Heating</v>
      </c>
      <c r="W201" s="492" t="s">
        <v>440</v>
      </c>
      <c r="X201" s="494">
        <f t="shared" si="40"/>
        <v>234.34319864129662</v>
      </c>
      <c r="Y201" s="492">
        <v>10</v>
      </c>
      <c r="Z201" s="498">
        <f t="shared" si="41"/>
        <v>8.1096944444444432</v>
      </c>
      <c r="AA201" s="492"/>
      <c r="AB201" s="499" t="s">
        <v>441</v>
      </c>
      <c r="AC201" s="497">
        <f t="shared" si="42"/>
        <v>67.397454064226025</v>
      </c>
      <c r="AD201" s="492"/>
      <c r="AE201" s="492"/>
      <c r="AF201" s="492"/>
      <c r="AG201" s="492"/>
      <c r="AH201" s="492"/>
      <c r="AI201" s="492"/>
      <c r="AJ201" s="492">
        <f t="shared" si="38"/>
        <v>22.551726774222651</v>
      </c>
      <c r="AK201" s="492" t="s">
        <v>442</v>
      </c>
    </row>
    <row r="202" spans="1:37">
      <c r="A202" s="492">
        <f t="shared" si="39"/>
        <v>184</v>
      </c>
      <c r="B202" s="492">
        <f t="shared" si="45"/>
        <v>7</v>
      </c>
      <c r="C202" s="492">
        <f t="shared" si="45"/>
        <v>3</v>
      </c>
      <c r="D202" s="492">
        <f t="shared" si="45"/>
        <v>2</v>
      </c>
      <c r="E202" s="492">
        <f t="shared" si="31"/>
        <v>1</v>
      </c>
      <c r="F202" s="499" t="s">
        <v>645</v>
      </c>
      <c r="G202" s="499" t="str">
        <f t="shared" si="32"/>
        <v>1_90 to 1_99 gpm</v>
      </c>
      <c r="H202" s="492" t="str">
        <f t="shared" si="33"/>
        <v>Mail-by-Request</v>
      </c>
      <c r="I202" s="492" t="str">
        <f t="shared" si="33"/>
        <v>1_75</v>
      </c>
      <c r="J202" s="492" t="str">
        <f t="shared" si="33"/>
        <v>Electric Water Heating</v>
      </c>
      <c r="K202" s="492" t="str">
        <f t="shared" si="34"/>
        <v>Commercial Showerhead Replacement_Fitness Center_precondition 1_90 to 1_99 gpm_efficient 1_75 gpm_Mail-by-Request_Electric Water Heating</v>
      </c>
      <c r="L202" s="493">
        <f>INDEX(InstallRatesCostAndLifetime!$A$2:$D$6,MATCH(InputForProCost_FitnessCenter!H202,InstallRatesCostAndLifetime!$A$2:$A$6,0),MATCH(InputForProCost_FitnessCenter!I202,InstallRatesCostAndLifetime!$A$2:$D$2,0))</f>
        <v>0.6</v>
      </c>
      <c r="M202" s="493">
        <f t="shared" si="35"/>
        <v>1</v>
      </c>
      <c r="N202" s="492"/>
      <c r="O202" s="492" t="str">
        <f t="shared" si="36"/>
        <v>Fitness Center1_90 to 1_99 gpm1_75</v>
      </c>
      <c r="P202" s="494">
        <f>VLOOKUP($O202,Impacts!$F$27:$Z$59,16,FALSE)</f>
        <v>1406.8462386946012</v>
      </c>
      <c r="Q202" s="494">
        <f>VLOOKUP($O202,Impacts!$F$27:$Z$59,17,FALSE)*L202</f>
        <v>36.115485188772467</v>
      </c>
      <c r="R202" s="495">
        <f>VLOOKUP($O202,Impacts!$F$27:$Z$59,19,FALSE)*L202</f>
        <v>37.643940311828239</v>
      </c>
      <c r="S202" s="496">
        <f>VLOOKUP($O202,Impacts!$F$27:$Z$59,20,FALSE)*L202</f>
        <v>6827.1238542102974</v>
      </c>
      <c r="T202" s="497">
        <f>VLOOKUP($O202,Impacts!$F$27:$Z$59,21,FALSE)*L202</f>
        <v>89.863272085634719</v>
      </c>
      <c r="U202" s="492"/>
      <c r="V202" s="492" t="str">
        <f t="shared" si="37"/>
        <v>Commercial Showerhead Replacement_Fitness Center_precondition 1_90 to 1_99 gpm_efficient 1_75 gpm_Mail-by-Request_Electric Water Heating</v>
      </c>
      <c r="W202" s="492" t="s">
        <v>440</v>
      </c>
      <c r="X202" s="494">
        <f t="shared" si="40"/>
        <v>844.1077432167607</v>
      </c>
      <c r="Y202" s="492">
        <v>10</v>
      </c>
      <c r="Z202" s="498">
        <f t="shared" si="41"/>
        <v>8.1096944444444432</v>
      </c>
      <c r="AA202" s="492"/>
      <c r="AB202" s="499" t="s">
        <v>441</v>
      </c>
      <c r="AC202" s="497">
        <f t="shared" si="42"/>
        <v>89.863272085634719</v>
      </c>
      <c r="AD202" s="492"/>
      <c r="AE202" s="492"/>
      <c r="AF202" s="492"/>
      <c r="AG202" s="492"/>
      <c r="AH202" s="492"/>
      <c r="AI202" s="492"/>
      <c r="AJ202" s="492">
        <f t="shared" si="38"/>
        <v>0</v>
      </c>
      <c r="AK202" s="492" t="s">
        <v>442</v>
      </c>
    </row>
    <row r="203" spans="1:37">
      <c r="A203" s="492">
        <f t="shared" si="39"/>
        <v>185</v>
      </c>
      <c r="B203" s="492">
        <f t="shared" si="45"/>
        <v>7</v>
      </c>
      <c r="C203" s="492">
        <f t="shared" si="45"/>
        <v>3</v>
      </c>
      <c r="D203" s="492">
        <f t="shared" si="45"/>
        <v>2</v>
      </c>
      <c r="E203" s="492">
        <f t="shared" si="31"/>
        <v>2</v>
      </c>
      <c r="F203" s="499" t="s">
        <v>645</v>
      </c>
      <c r="G203" s="499" t="str">
        <f t="shared" si="32"/>
        <v>1_90 to 1_99 gpm</v>
      </c>
      <c r="H203" s="492" t="str">
        <f t="shared" si="33"/>
        <v>Mail-by-Request</v>
      </c>
      <c r="I203" s="492" t="str">
        <f t="shared" si="33"/>
        <v>1_75</v>
      </c>
      <c r="J203" s="492" t="str">
        <f t="shared" si="33"/>
        <v>Gas Water Heating</v>
      </c>
      <c r="K203" s="492" t="str">
        <f t="shared" si="34"/>
        <v>Commercial Showerhead Replacement_Fitness Center_precondition 1_90 to 1_99 gpm_efficient 1_75 gpm_Mail-by-Request_Gas Water Heating</v>
      </c>
      <c r="L203" s="493">
        <f>INDEX(InstallRatesCostAndLifetime!$A$2:$D$6,MATCH(InputForProCost_FitnessCenter!H203,InstallRatesCostAndLifetime!$A$2:$A$6,0),MATCH(InputForProCost_FitnessCenter!I203,InstallRatesCostAndLifetime!$A$2:$D$2,0))</f>
        <v>0.6</v>
      </c>
      <c r="M203" s="493">
        <f t="shared" si="35"/>
        <v>0</v>
      </c>
      <c r="N203" s="492"/>
      <c r="O203" s="492" t="str">
        <f t="shared" si="36"/>
        <v>Fitness Center1_90 to 1_99 gpm1_75</v>
      </c>
      <c r="P203" s="494">
        <f>VLOOKUP($O203,Impacts!$F$27:$Z$59,16,FALSE)</f>
        <v>1406.8462386946012</v>
      </c>
      <c r="Q203" s="494">
        <f>VLOOKUP($O203,Impacts!$F$27:$Z$59,17,FALSE)*L203</f>
        <v>36.115485188772467</v>
      </c>
      <c r="R203" s="495">
        <f>VLOOKUP($O203,Impacts!$F$27:$Z$59,19,FALSE)*L203</f>
        <v>37.643940311828239</v>
      </c>
      <c r="S203" s="496">
        <f>VLOOKUP($O203,Impacts!$F$27:$Z$59,20,FALSE)*L203</f>
        <v>6827.1238542102974</v>
      </c>
      <c r="T203" s="497">
        <f>VLOOKUP($O203,Impacts!$F$27:$Z$59,21,FALSE)*L203</f>
        <v>89.863272085634719</v>
      </c>
      <c r="U203" s="492"/>
      <c r="V203" s="492" t="str">
        <f t="shared" si="37"/>
        <v>Commercial Showerhead Replacement_Fitness Center_precondition 1_90 to 1_99 gpm_efficient 1_75 gpm_Mail-by-Request_Gas Water Heating</v>
      </c>
      <c r="W203" s="492" t="s">
        <v>440</v>
      </c>
      <c r="X203" s="494">
        <f t="shared" si="40"/>
        <v>0</v>
      </c>
      <c r="Y203" s="492">
        <v>10</v>
      </c>
      <c r="Z203" s="498">
        <f t="shared" si="41"/>
        <v>8.1096944444444432</v>
      </c>
      <c r="AA203" s="492"/>
      <c r="AB203" s="499" t="s">
        <v>441</v>
      </c>
      <c r="AC203" s="497">
        <f t="shared" si="42"/>
        <v>89.863272085634719</v>
      </c>
      <c r="AD203" s="492"/>
      <c r="AE203" s="492"/>
      <c r="AF203" s="492"/>
      <c r="AG203" s="492"/>
      <c r="AH203" s="492"/>
      <c r="AI203" s="492"/>
      <c r="AJ203" s="492">
        <f t="shared" si="38"/>
        <v>37.643940311828239</v>
      </c>
      <c r="AK203" s="492" t="s">
        <v>442</v>
      </c>
    </row>
    <row r="204" spans="1:37">
      <c r="A204" s="492">
        <f t="shared" si="39"/>
        <v>186</v>
      </c>
      <c r="B204" s="492">
        <f t="shared" si="45"/>
        <v>7</v>
      </c>
      <c r="C204" s="492">
        <f t="shared" si="45"/>
        <v>3</v>
      </c>
      <c r="D204" s="492">
        <f t="shared" si="45"/>
        <v>2</v>
      </c>
      <c r="E204" s="492">
        <f t="shared" si="31"/>
        <v>3</v>
      </c>
      <c r="F204" s="499" t="s">
        <v>645</v>
      </c>
      <c r="G204" s="499" t="str">
        <f t="shared" si="32"/>
        <v>1_90 to 1_99 gpm</v>
      </c>
      <c r="H204" s="492" t="str">
        <f t="shared" si="33"/>
        <v>Mail-by-Request</v>
      </c>
      <c r="I204" s="492" t="str">
        <f t="shared" si="33"/>
        <v>1_75</v>
      </c>
      <c r="J204" s="492" t="str">
        <f t="shared" si="33"/>
        <v>Any Water Heating</v>
      </c>
      <c r="K204" s="492" t="str">
        <f t="shared" si="34"/>
        <v>Commercial Showerhead Replacement_Fitness Center_precondition 1_90 to 1_99 gpm_efficient 1_75 gpm_Mail-by-Request_Any Water Heating</v>
      </c>
      <c r="L204" s="493">
        <f>INDEX(InstallRatesCostAndLifetime!$A$2:$D$6,MATCH(InputForProCost_FitnessCenter!H204,InstallRatesCostAndLifetime!$A$2:$A$6,0),MATCH(InputForProCost_FitnessCenter!I204,InstallRatesCostAndLifetime!$A$2:$D$2,0))</f>
        <v>0.6</v>
      </c>
      <c r="M204" s="493">
        <f t="shared" si="35"/>
        <v>0.31666666666666665</v>
      </c>
      <c r="N204" s="492"/>
      <c r="O204" s="492" t="str">
        <f t="shared" si="36"/>
        <v>Fitness Center1_90 to 1_99 gpm1_75</v>
      </c>
      <c r="P204" s="494">
        <f>VLOOKUP($O204,Impacts!$F$27:$Z$59,16,FALSE)</f>
        <v>1406.8462386946012</v>
      </c>
      <c r="Q204" s="494">
        <f>VLOOKUP($O204,Impacts!$F$27:$Z$59,17,FALSE)*L204</f>
        <v>36.115485188772467</v>
      </c>
      <c r="R204" s="495">
        <f>VLOOKUP($O204,Impacts!$F$27:$Z$59,19,FALSE)*L204</f>
        <v>37.643940311828239</v>
      </c>
      <c r="S204" s="496">
        <f>VLOOKUP($O204,Impacts!$F$27:$Z$59,20,FALSE)*L204</f>
        <v>6827.1238542102974</v>
      </c>
      <c r="T204" s="497">
        <f>VLOOKUP($O204,Impacts!$F$27:$Z$59,21,FALSE)*L204</f>
        <v>89.863272085634719</v>
      </c>
      <c r="U204" s="492"/>
      <c r="V204" s="492" t="str">
        <f t="shared" si="37"/>
        <v>Commercial Showerhead Replacement_Fitness Center_precondition 1_90 to 1_99 gpm_efficient 1_75 gpm_Mail-by-Request_Any Water Heating</v>
      </c>
      <c r="W204" s="492" t="s">
        <v>440</v>
      </c>
      <c r="X204" s="494">
        <f t="shared" si="40"/>
        <v>267.30078535197418</v>
      </c>
      <c r="Y204" s="492">
        <v>10</v>
      </c>
      <c r="Z204" s="498">
        <f t="shared" si="41"/>
        <v>8.1096944444444432</v>
      </c>
      <c r="AA204" s="492"/>
      <c r="AB204" s="499" t="s">
        <v>441</v>
      </c>
      <c r="AC204" s="497">
        <f t="shared" si="42"/>
        <v>89.863272085634719</v>
      </c>
      <c r="AD204" s="492"/>
      <c r="AE204" s="492"/>
      <c r="AF204" s="492"/>
      <c r="AG204" s="492"/>
      <c r="AH204" s="492"/>
      <c r="AI204" s="492"/>
      <c r="AJ204" s="492">
        <f t="shared" si="38"/>
        <v>25.723359213082631</v>
      </c>
      <c r="AK204" s="492" t="s">
        <v>442</v>
      </c>
    </row>
    <row r="205" spans="1:37">
      <c r="A205" s="492">
        <f t="shared" si="39"/>
        <v>187</v>
      </c>
      <c r="B205" s="492">
        <f t="shared" si="45"/>
        <v>7</v>
      </c>
      <c r="C205" s="492">
        <f t="shared" si="45"/>
        <v>3</v>
      </c>
      <c r="D205" s="492">
        <f t="shared" si="45"/>
        <v>3</v>
      </c>
      <c r="E205" s="492">
        <f t="shared" si="31"/>
        <v>1</v>
      </c>
      <c r="F205" s="499" t="s">
        <v>645</v>
      </c>
      <c r="G205" s="499" t="str">
        <f t="shared" si="32"/>
        <v>1_90 to 1_99 gpm</v>
      </c>
      <c r="H205" s="492" t="str">
        <f t="shared" si="33"/>
        <v>Mail-by-Request</v>
      </c>
      <c r="I205" s="492" t="str">
        <f t="shared" si="33"/>
        <v>1_50</v>
      </c>
      <c r="J205" s="492" t="str">
        <f t="shared" si="33"/>
        <v>Electric Water Heating</v>
      </c>
      <c r="K205" s="492" t="str">
        <f t="shared" si="34"/>
        <v>Commercial Showerhead Replacement_Fitness Center_precondition 1_90 to 1_99 gpm_efficient 1_50 gpm_Mail-by-Request_Electric Water Heating</v>
      </c>
      <c r="L205" s="493">
        <f>INDEX(InstallRatesCostAndLifetime!$A$2:$D$6,MATCH(InputForProCost_FitnessCenter!H205,InstallRatesCostAndLifetime!$A$2:$A$6,0),MATCH(InputForProCost_FitnessCenter!I205,InstallRatesCostAndLifetime!$A$2:$D$2,0))</f>
        <v>0.6</v>
      </c>
      <c r="M205" s="493">
        <f t="shared" si="35"/>
        <v>1</v>
      </c>
      <c r="N205" s="492"/>
      <c r="O205" s="492" t="str">
        <f t="shared" si="36"/>
        <v>Fitness Center1_90 to 1_99 gpm1_50</v>
      </c>
      <c r="P205" s="494">
        <f>VLOOKUP($O205,Impacts!$F$27:$Z$59,16,FALSE)</f>
        <v>3206.1803128439387</v>
      </c>
      <c r="Q205" s="494">
        <f>VLOOKUP($O205,Impacts!$F$27:$Z$59,17,FALSE)*L205</f>
        <v>81.259841674738112</v>
      </c>
      <c r="R205" s="495">
        <f>VLOOKUP($O205,Impacts!$F$27:$Z$59,19,FALSE)*L205</f>
        <v>85.789944207155258</v>
      </c>
      <c r="S205" s="496">
        <f>VLOOKUP($O205,Impacts!$F$27:$Z$59,20,FALSE)*L205</f>
        <v>15361.028671973178</v>
      </c>
      <c r="T205" s="497">
        <f>VLOOKUP($O205,Impacts!$F$27:$Z$59,21,FALSE)*L205</f>
        <v>202.19236219267822</v>
      </c>
      <c r="U205" s="492"/>
      <c r="V205" s="492" t="str">
        <f t="shared" si="37"/>
        <v>Commercial Showerhead Replacement_Fitness Center_precondition 1_90 to 1_99 gpm_efficient 1_50 gpm_Mail-by-Request_Electric Water Heating</v>
      </c>
      <c r="W205" s="492" t="s">
        <v>440</v>
      </c>
      <c r="X205" s="494">
        <f t="shared" si="40"/>
        <v>1923.7081877063631</v>
      </c>
      <c r="Y205" s="492">
        <v>10</v>
      </c>
      <c r="Z205" s="498">
        <f t="shared" si="41"/>
        <v>8.1096944444444432</v>
      </c>
      <c r="AA205" s="492"/>
      <c r="AB205" s="499" t="s">
        <v>441</v>
      </c>
      <c r="AC205" s="497">
        <f t="shared" si="42"/>
        <v>202.19236219267822</v>
      </c>
      <c r="AD205" s="492"/>
      <c r="AE205" s="492"/>
      <c r="AF205" s="492"/>
      <c r="AG205" s="492"/>
      <c r="AH205" s="492"/>
      <c r="AI205" s="492"/>
      <c r="AJ205" s="492">
        <f t="shared" si="38"/>
        <v>0</v>
      </c>
      <c r="AK205" s="492" t="s">
        <v>442</v>
      </c>
    </row>
    <row r="206" spans="1:37">
      <c r="A206" s="492">
        <f t="shared" si="39"/>
        <v>188</v>
      </c>
      <c r="B206" s="492">
        <f t="shared" si="45"/>
        <v>7</v>
      </c>
      <c r="C206" s="492">
        <f t="shared" si="45"/>
        <v>3</v>
      </c>
      <c r="D206" s="492">
        <f t="shared" si="45"/>
        <v>3</v>
      </c>
      <c r="E206" s="492">
        <f t="shared" si="31"/>
        <v>2</v>
      </c>
      <c r="F206" s="499" t="s">
        <v>645</v>
      </c>
      <c r="G206" s="499" t="str">
        <f t="shared" si="32"/>
        <v>1_90 to 1_99 gpm</v>
      </c>
      <c r="H206" s="492" t="str">
        <f t="shared" si="33"/>
        <v>Mail-by-Request</v>
      </c>
      <c r="I206" s="492" t="str">
        <f t="shared" si="33"/>
        <v>1_50</v>
      </c>
      <c r="J206" s="492" t="str">
        <f t="shared" si="33"/>
        <v>Gas Water Heating</v>
      </c>
      <c r="K206" s="492" t="str">
        <f t="shared" si="34"/>
        <v>Commercial Showerhead Replacement_Fitness Center_precondition 1_90 to 1_99 gpm_efficient 1_50 gpm_Mail-by-Request_Gas Water Heating</v>
      </c>
      <c r="L206" s="493">
        <f>INDEX(InstallRatesCostAndLifetime!$A$2:$D$6,MATCH(InputForProCost_FitnessCenter!H206,InstallRatesCostAndLifetime!$A$2:$A$6,0),MATCH(InputForProCost_FitnessCenter!I206,InstallRatesCostAndLifetime!$A$2:$D$2,0))</f>
        <v>0.6</v>
      </c>
      <c r="M206" s="493">
        <f t="shared" si="35"/>
        <v>0</v>
      </c>
      <c r="N206" s="492"/>
      <c r="O206" s="492" t="str">
        <f t="shared" si="36"/>
        <v>Fitness Center1_90 to 1_99 gpm1_50</v>
      </c>
      <c r="P206" s="494">
        <f>VLOOKUP($O206,Impacts!$F$27:$Z$59,16,FALSE)</f>
        <v>3206.1803128439387</v>
      </c>
      <c r="Q206" s="494">
        <f>VLOOKUP($O206,Impacts!$F$27:$Z$59,17,FALSE)*L206</f>
        <v>81.259841674738112</v>
      </c>
      <c r="R206" s="495">
        <f>VLOOKUP($O206,Impacts!$F$27:$Z$59,19,FALSE)*L206</f>
        <v>85.789944207155258</v>
      </c>
      <c r="S206" s="496">
        <f>VLOOKUP($O206,Impacts!$F$27:$Z$59,20,FALSE)*L206</f>
        <v>15361.028671973178</v>
      </c>
      <c r="T206" s="497">
        <f>VLOOKUP($O206,Impacts!$F$27:$Z$59,21,FALSE)*L206</f>
        <v>202.19236219267822</v>
      </c>
      <c r="U206" s="492"/>
      <c r="V206" s="492" t="str">
        <f t="shared" si="37"/>
        <v>Commercial Showerhead Replacement_Fitness Center_precondition 1_90 to 1_99 gpm_efficient 1_50 gpm_Mail-by-Request_Gas Water Heating</v>
      </c>
      <c r="W206" s="492" t="s">
        <v>440</v>
      </c>
      <c r="X206" s="494">
        <f t="shared" si="40"/>
        <v>0</v>
      </c>
      <c r="Y206" s="492">
        <v>10</v>
      </c>
      <c r="Z206" s="498">
        <f t="shared" si="41"/>
        <v>8.1096944444444432</v>
      </c>
      <c r="AA206" s="492"/>
      <c r="AB206" s="499" t="s">
        <v>441</v>
      </c>
      <c r="AC206" s="497">
        <f t="shared" si="42"/>
        <v>202.19236219267822</v>
      </c>
      <c r="AD206" s="492"/>
      <c r="AE206" s="492"/>
      <c r="AF206" s="492"/>
      <c r="AG206" s="492"/>
      <c r="AH206" s="492"/>
      <c r="AI206" s="492"/>
      <c r="AJ206" s="492">
        <f t="shared" si="38"/>
        <v>85.789944207155258</v>
      </c>
      <c r="AK206" s="492" t="s">
        <v>442</v>
      </c>
    </row>
    <row r="207" spans="1:37">
      <c r="A207" s="492">
        <f t="shared" si="39"/>
        <v>189</v>
      </c>
      <c r="B207" s="492">
        <f t="shared" si="45"/>
        <v>7</v>
      </c>
      <c r="C207" s="492">
        <f t="shared" si="45"/>
        <v>3</v>
      </c>
      <c r="D207" s="492">
        <f t="shared" si="45"/>
        <v>3</v>
      </c>
      <c r="E207" s="492">
        <f t="shared" si="31"/>
        <v>3</v>
      </c>
      <c r="F207" s="499" t="s">
        <v>645</v>
      </c>
      <c r="G207" s="499" t="str">
        <f t="shared" si="32"/>
        <v>1_90 to 1_99 gpm</v>
      </c>
      <c r="H207" s="492" t="str">
        <f t="shared" si="33"/>
        <v>Mail-by-Request</v>
      </c>
      <c r="I207" s="492" t="str">
        <f t="shared" si="33"/>
        <v>1_50</v>
      </c>
      <c r="J207" s="492" t="str">
        <f t="shared" si="33"/>
        <v>Any Water Heating</v>
      </c>
      <c r="K207" s="492" t="str">
        <f t="shared" si="34"/>
        <v>Commercial Showerhead Replacement_Fitness Center_precondition 1_90 to 1_99 gpm_efficient 1_50 gpm_Mail-by-Request_Any Water Heating</v>
      </c>
      <c r="L207" s="493">
        <f>INDEX(InstallRatesCostAndLifetime!$A$2:$D$6,MATCH(InputForProCost_FitnessCenter!H207,InstallRatesCostAndLifetime!$A$2:$A$6,0),MATCH(InputForProCost_FitnessCenter!I207,InstallRatesCostAndLifetime!$A$2:$D$2,0))</f>
        <v>0.6</v>
      </c>
      <c r="M207" s="493">
        <f t="shared" si="35"/>
        <v>0.31666666666666665</v>
      </c>
      <c r="N207" s="492"/>
      <c r="O207" s="492" t="str">
        <f t="shared" si="36"/>
        <v>Fitness Center1_90 to 1_99 gpm1_50</v>
      </c>
      <c r="P207" s="494">
        <f>VLOOKUP($O207,Impacts!$F$27:$Z$59,16,FALSE)</f>
        <v>3206.1803128439387</v>
      </c>
      <c r="Q207" s="494">
        <f>VLOOKUP($O207,Impacts!$F$27:$Z$59,17,FALSE)*L207</f>
        <v>81.259841674738112</v>
      </c>
      <c r="R207" s="495">
        <f>VLOOKUP($O207,Impacts!$F$27:$Z$59,19,FALSE)*L207</f>
        <v>85.789944207155258</v>
      </c>
      <c r="S207" s="496">
        <f>VLOOKUP($O207,Impacts!$F$27:$Z$59,20,FALSE)*L207</f>
        <v>15361.028671973178</v>
      </c>
      <c r="T207" s="497">
        <f>VLOOKUP($O207,Impacts!$F$27:$Z$59,21,FALSE)*L207</f>
        <v>202.19236219267822</v>
      </c>
      <c r="U207" s="492"/>
      <c r="V207" s="492" t="str">
        <f t="shared" si="37"/>
        <v>Commercial Showerhead Replacement_Fitness Center_precondition 1_90 to 1_99 gpm_efficient 1_50 gpm_Mail-by-Request_Any Water Heating</v>
      </c>
      <c r="W207" s="492" t="s">
        <v>440</v>
      </c>
      <c r="X207" s="494">
        <f t="shared" si="40"/>
        <v>609.17425944034835</v>
      </c>
      <c r="Y207" s="492">
        <v>10</v>
      </c>
      <c r="Z207" s="498">
        <f t="shared" si="41"/>
        <v>8.1096944444444432</v>
      </c>
      <c r="AA207" s="492"/>
      <c r="AB207" s="499" t="s">
        <v>441</v>
      </c>
      <c r="AC207" s="497">
        <f t="shared" si="42"/>
        <v>202.19236219267822</v>
      </c>
      <c r="AD207" s="492"/>
      <c r="AE207" s="492"/>
      <c r="AF207" s="492"/>
      <c r="AG207" s="492"/>
      <c r="AH207" s="492"/>
      <c r="AI207" s="492"/>
      <c r="AJ207" s="492">
        <f t="shared" si="38"/>
        <v>58.623128541556092</v>
      </c>
      <c r="AK207" s="492" t="s">
        <v>442</v>
      </c>
    </row>
    <row r="208" spans="1:37">
      <c r="A208" s="492">
        <f t="shared" si="39"/>
        <v>190</v>
      </c>
      <c r="B208" s="492">
        <f t="shared" si="45"/>
        <v>8</v>
      </c>
      <c r="C208" s="492">
        <f t="shared" si="45"/>
        <v>1</v>
      </c>
      <c r="D208" s="492">
        <f t="shared" si="45"/>
        <v>1</v>
      </c>
      <c r="E208" s="492">
        <f t="shared" si="31"/>
        <v>1</v>
      </c>
      <c r="F208" s="499" t="s">
        <v>645</v>
      </c>
      <c r="G208" s="499" t="str">
        <f t="shared" si="32"/>
        <v>1_80 to 1_89 gpm</v>
      </c>
      <c r="H208" s="492" t="str">
        <f t="shared" si="33"/>
        <v>Retail</v>
      </c>
      <c r="I208" s="492" t="str">
        <f t="shared" si="33"/>
        <v>2_00</v>
      </c>
      <c r="J208" s="492" t="str">
        <f t="shared" si="33"/>
        <v>Electric Water Heating</v>
      </c>
      <c r="K208" s="492" t="str">
        <f t="shared" si="34"/>
        <v>Commercial Showerhead Replacement_Fitness Center_precondition 1_80 to 1_89 gpm_efficient 2_00 gpm_Retail_Electric Water Heating</v>
      </c>
      <c r="L208" s="493">
        <f>INDEX(InstallRatesCostAndLifetime!$A$2:$D$6,MATCH(InputForProCost_FitnessCenter!H208,InstallRatesCostAndLifetime!$A$2:$A$6,0),MATCH(InputForProCost_FitnessCenter!I208,InstallRatesCostAndLifetime!$A$2:$D$2,0))</f>
        <v>0.8</v>
      </c>
      <c r="M208" s="493">
        <f t="shared" si="35"/>
        <v>1</v>
      </c>
      <c r="N208" s="492"/>
      <c r="O208" s="492" t="str">
        <f t="shared" si="36"/>
        <v>Fitness Center1_80 to 1_89 gpm2_00</v>
      </c>
      <c r="P208" s="494">
        <f>VLOOKUP($O208,Impacts!$F$27:$Z$59,16,FALSE)</f>
        <v>448.40958509735719</v>
      </c>
      <c r="Q208" s="494">
        <f>VLOOKUP($O208,Impacts!$F$27:$Z$59,17,FALSE)*L208</f>
        <v>12.038495062924097</v>
      </c>
      <c r="R208" s="495">
        <f>VLOOKUP($O208,Impacts!$F$27:$Z$59,19,FALSE)*L208</f>
        <v>15.997866426226574</v>
      </c>
      <c r="S208" s="496">
        <f>VLOOKUP($O208,Impacts!$F$27:$Z$59,20,FALSE)*L208</f>
        <v>2275.7079514034208</v>
      </c>
      <c r="T208" s="497">
        <f>VLOOKUP($O208,Impacts!$F$27:$Z$59,21,FALSE)*L208</f>
        <v>29.954424028544754</v>
      </c>
      <c r="U208" s="492"/>
      <c r="V208" s="492" t="str">
        <f t="shared" si="37"/>
        <v>Commercial Showerhead Replacement_Fitness Center_precondition 1_80 to 1_89 gpm_efficient 2_00 gpm_Retail_Electric Water Heating</v>
      </c>
      <c r="W208" s="492" t="s">
        <v>440</v>
      </c>
      <c r="X208" s="494">
        <f t="shared" si="40"/>
        <v>358.72766807788577</v>
      </c>
      <c r="Y208" s="492">
        <v>10</v>
      </c>
      <c r="Z208" s="498">
        <f t="shared" si="41"/>
        <v>3.2966774171383419</v>
      </c>
      <c r="AA208" s="492"/>
      <c r="AB208" s="499" t="s">
        <v>441</v>
      </c>
      <c r="AC208" s="497">
        <f t="shared" si="42"/>
        <v>29.954424028544754</v>
      </c>
      <c r="AD208" s="492"/>
      <c r="AE208" s="492"/>
      <c r="AF208" s="492"/>
      <c r="AG208" s="492"/>
      <c r="AH208" s="492"/>
      <c r="AI208" s="492"/>
      <c r="AJ208" s="492">
        <f t="shared" si="38"/>
        <v>0</v>
      </c>
      <c r="AK208" s="492" t="s">
        <v>442</v>
      </c>
    </row>
    <row r="209" spans="1:37">
      <c r="A209" s="492">
        <f t="shared" si="39"/>
        <v>191</v>
      </c>
      <c r="B209" s="492">
        <f t="shared" si="45"/>
        <v>8</v>
      </c>
      <c r="C209" s="492">
        <f t="shared" si="45"/>
        <v>1</v>
      </c>
      <c r="D209" s="492">
        <f t="shared" si="45"/>
        <v>1</v>
      </c>
      <c r="E209" s="492">
        <f t="shared" si="31"/>
        <v>2</v>
      </c>
      <c r="F209" s="499" t="s">
        <v>645</v>
      </c>
      <c r="G209" s="499" t="str">
        <f t="shared" si="32"/>
        <v>1_80 to 1_89 gpm</v>
      </c>
      <c r="H209" s="492" t="str">
        <f t="shared" si="33"/>
        <v>Retail</v>
      </c>
      <c r="I209" s="492" t="str">
        <f t="shared" si="33"/>
        <v>2_00</v>
      </c>
      <c r="J209" s="492" t="str">
        <f t="shared" si="33"/>
        <v>Gas Water Heating</v>
      </c>
      <c r="K209" s="492" t="str">
        <f t="shared" si="34"/>
        <v>Commercial Showerhead Replacement_Fitness Center_precondition 1_80 to 1_89 gpm_efficient 2_00 gpm_Retail_Gas Water Heating</v>
      </c>
      <c r="L209" s="493">
        <f>INDEX(InstallRatesCostAndLifetime!$A$2:$D$6,MATCH(InputForProCost_FitnessCenter!H209,InstallRatesCostAndLifetime!$A$2:$A$6,0),MATCH(InputForProCost_FitnessCenter!I209,InstallRatesCostAndLifetime!$A$2:$D$2,0))</f>
        <v>0.8</v>
      </c>
      <c r="M209" s="493">
        <f t="shared" si="35"/>
        <v>0</v>
      </c>
      <c r="N209" s="492"/>
      <c r="O209" s="492" t="str">
        <f t="shared" si="36"/>
        <v>Fitness Center1_80 to 1_89 gpm2_00</v>
      </c>
      <c r="P209" s="494">
        <f>VLOOKUP($O209,Impacts!$F$27:$Z$59,16,FALSE)</f>
        <v>448.40958509735719</v>
      </c>
      <c r="Q209" s="494">
        <f>VLOOKUP($O209,Impacts!$F$27:$Z$59,17,FALSE)*L209</f>
        <v>12.038495062924097</v>
      </c>
      <c r="R209" s="495">
        <f>VLOOKUP($O209,Impacts!$F$27:$Z$59,19,FALSE)*L209</f>
        <v>15.997866426226574</v>
      </c>
      <c r="S209" s="496">
        <f>VLOOKUP($O209,Impacts!$F$27:$Z$59,20,FALSE)*L209</f>
        <v>2275.7079514034208</v>
      </c>
      <c r="T209" s="497">
        <f>VLOOKUP($O209,Impacts!$F$27:$Z$59,21,FALSE)*L209</f>
        <v>29.954424028544754</v>
      </c>
      <c r="U209" s="492"/>
      <c r="V209" s="492" t="str">
        <f t="shared" si="37"/>
        <v>Commercial Showerhead Replacement_Fitness Center_precondition 1_80 to 1_89 gpm_efficient 2_00 gpm_Retail_Gas Water Heating</v>
      </c>
      <c r="W209" s="492" t="s">
        <v>440</v>
      </c>
      <c r="X209" s="494">
        <f t="shared" si="40"/>
        <v>0</v>
      </c>
      <c r="Y209" s="492">
        <v>10</v>
      </c>
      <c r="Z209" s="498">
        <f t="shared" si="41"/>
        <v>3.2966774171383419</v>
      </c>
      <c r="AA209" s="492"/>
      <c r="AB209" s="499" t="s">
        <v>441</v>
      </c>
      <c r="AC209" s="497">
        <f t="shared" si="42"/>
        <v>29.954424028544754</v>
      </c>
      <c r="AD209" s="492"/>
      <c r="AE209" s="492"/>
      <c r="AF209" s="492"/>
      <c r="AG209" s="492"/>
      <c r="AH209" s="492"/>
      <c r="AI209" s="492"/>
      <c r="AJ209" s="492">
        <f t="shared" si="38"/>
        <v>15.997866426226574</v>
      </c>
      <c r="AK209" s="492" t="s">
        <v>442</v>
      </c>
    </row>
    <row r="210" spans="1:37">
      <c r="A210" s="492">
        <f t="shared" si="39"/>
        <v>192</v>
      </c>
      <c r="B210" s="492">
        <f t="shared" si="45"/>
        <v>8</v>
      </c>
      <c r="C210" s="492">
        <f t="shared" si="45"/>
        <v>1</v>
      </c>
      <c r="D210" s="492">
        <f t="shared" si="45"/>
        <v>1</v>
      </c>
      <c r="E210" s="492">
        <f t="shared" si="31"/>
        <v>3</v>
      </c>
      <c r="F210" s="499" t="s">
        <v>645</v>
      </c>
      <c r="G210" s="499" t="str">
        <f t="shared" si="32"/>
        <v>1_80 to 1_89 gpm</v>
      </c>
      <c r="H210" s="492" t="str">
        <f t="shared" si="33"/>
        <v>Retail</v>
      </c>
      <c r="I210" s="492" t="str">
        <f t="shared" si="33"/>
        <v>2_00</v>
      </c>
      <c r="J210" s="492" t="str">
        <f t="shared" si="33"/>
        <v>Any Water Heating</v>
      </c>
      <c r="K210" s="492" t="str">
        <f t="shared" si="34"/>
        <v>Commercial Showerhead Replacement_Fitness Center_precondition 1_80 to 1_89 gpm_efficient 2_00 gpm_Retail_Any Water Heating</v>
      </c>
      <c r="L210" s="493">
        <f>INDEX(InstallRatesCostAndLifetime!$A$2:$D$6,MATCH(InputForProCost_FitnessCenter!H210,InstallRatesCostAndLifetime!$A$2:$A$6,0),MATCH(InputForProCost_FitnessCenter!I210,InstallRatesCostAndLifetime!$A$2:$D$2,0))</f>
        <v>0.8</v>
      </c>
      <c r="M210" s="493">
        <f t="shared" si="35"/>
        <v>0.31666666666666665</v>
      </c>
      <c r="N210" s="492"/>
      <c r="O210" s="492" t="str">
        <f t="shared" si="36"/>
        <v>Fitness Center1_80 to 1_89 gpm2_00</v>
      </c>
      <c r="P210" s="494">
        <f>VLOOKUP($O210,Impacts!$F$27:$Z$59,16,FALSE)</f>
        <v>448.40958509735719</v>
      </c>
      <c r="Q210" s="494">
        <f>VLOOKUP($O210,Impacts!$F$27:$Z$59,17,FALSE)*L210</f>
        <v>12.038495062924097</v>
      </c>
      <c r="R210" s="495">
        <f>VLOOKUP($O210,Impacts!$F$27:$Z$59,19,FALSE)*L210</f>
        <v>15.997866426226574</v>
      </c>
      <c r="S210" s="496">
        <f>VLOOKUP($O210,Impacts!$F$27:$Z$59,20,FALSE)*L210</f>
        <v>2275.7079514034208</v>
      </c>
      <c r="T210" s="497">
        <f>VLOOKUP($O210,Impacts!$F$27:$Z$59,21,FALSE)*L210</f>
        <v>29.954424028544754</v>
      </c>
      <c r="U210" s="492"/>
      <c r="V210" s="492" t="str">
        <f t="shared" si="37"/>
        <v>Commercial Showerhead Replacement_Fitness Center_precondition 1_80 to 1_89 gpm_efficient 2_00 gpm_Retail_Any Water Heating</v>
      </c>
      <c r="W210" s="492" t="s">
        <v>440</v>
      </c>
      <c r="X210" s="494">
        <f t="shared" si="40"/>
        <v>113.5970948913305</v>
      </c>
      <c r="Y210" s="492">
        <v>10</v>
      </c>
      <c r="Z210" s="498">
        <f t="shared" si="41"/>
        <v>3.2966774171383419</v>
      </c>
      <c r="AA210" s="492"/>
      <c r="AB210" s="499" t="s">
        <v>441</v>
      </c>
      <c r="AC210" s="497">
        <f t="shared" si="42"/>
        <v>29.954424028544754</v>
      </c>
      <c r="AD210" s="492"/>
      <c r="AE210" s="492"/>
      <c r="AF210" s="492"/>
      <c r="AG210" s="492"/>
      <c r="AH210" s="492"/>
      <c r="AI210" s="492"/>
      <c r="AJ210" s="492">
        <f t="shared" si="38"/>
        <v>10.931875391254826</v>
      </c>
      <c r="AK210" s="492" t="s">
        <v>442</v>
      </c>
    </row>
    <row r="211" spans="1:37">
      <c r="A211" s="492">
        <f t="shared" si="39"/>
        <v>193</v>
      </c>
      <c r="B211" s="492">
        <f t="shared" si="45"/>
        <v>8</v>
      </c>
      <c r="C211" s="492">
        <f t="shared" si="45"/>
        <v>1</v>
      </c>
      <c r="D211" s="492">
        <f t="shared" si="45"/>
        <v>2</v>
      </c>
      <c r="E211" s="492">
        <f t="shared" ref="E211:E274" si="46">MOD($A211-1,E$17)+1</f>
        <v>1</v>
      </c>
      <c r="F211" s="499" t="s">
        <v>645</v>
      </c>
      <c r="G211" s="499" t="str">
        <f t="shared" ref="G211:G274" si="47">INDEX($G$3:$G$13,B211)</f>
        <v>1_80 to 1_89 gpm</v>
      </c>
      <c r="H211" s="492" t="str">
        <f t="shared" ref="H211:J274" si="48">INDEX(H$3:H$5,C211)</f>
        <v>Retail</v>
      </c>
      <c r="I211" s="492" t="str">
        <f t="shared" si="48"/>
        <v>1_75</v>
      </c>
      <c r="J211" s="492" t="str">
        <f t="shared" si="48"/>
        <v>Electric Water Heating</v>
      </c>
      <c r="K211" s="492" t="str">
        <f t="shared" ref="K211:K274" si="49">CONCATENATE("Commercial Showerhead Replacement_",F211,"_precondition ",G211,"_efficient ",I211," gpm_", H211,"_",J211)</f>
        <v>Commercial Showerhead Replacement_Fitness Center_precondition 1_80 to 1_89 gpm_efficient 1_75 gpm_Retail_Electric Water Heating</v>
      </c>
      <c r="L211" s="493">
        <f>INDEX(InstallRatesCostAndLifetime!$A$2:$D$6,MATCH(InputForProCost_FitnessCenter!H211,InstallRatesCostAndLifetime!$A$2:$A$6,0),MATCH(InputForProCost_FitnessCenter!I211,InstallRatesCostAndLifetime!$A$2:$D$2,0))</f>
        <v>0.75</v>
      </c>
      <c r="M211" s="493">
        <f t="shared" ref="M211:M274" si="50">IF(J211="Electric Water Heating",1,IF(J211 = "Gas Water Heating",0,VLOOKUP(F211,table_ElectricSaturation,2,FALSE)))</f>
        <v>1</v>
      </c>
      <c r="N211" s="492"/>
      <c r="O211" s="492" t="str">
        <f t="shared" ref="O211:O274" si="51">F211&amp;G211&amp;I211</f>
        <v>Fitness Center1_80 to 1_89 gpm1_75</v>
      </c>
      <c r="P211" s="494">
        <f>VLOOKUP($O211,Impacts!$F$27:$Z$59,16,FALSE)</f>
        <v>621.87056778513397</v>
      </c>
      <c r="Q211" s="494">
        <f>VLOOKUP($O211,Impacts!$F$27:$Z$59,17,FALSE)*L211</f>
        <v>22.572178242982737</v>
      </c>
      <c r="R211" s="495">
        <f>VLOOKUP($O211,Impacts!$F$27:$Z$59,19,FALSE)*L211</f>
        <v>20.799766431038591</v>
      </c>
      <c r="S211" s="496">
        <f>VLOOKUP($O211,Impacts!$F$27:$Z$59,20,FALSE)*L211</f>
        <v>4266.9524088814251</v>
      </c>
      <c r="T211" s="497">
        <f>VLOOKUP($O211,Impacts!$F$27:$Z$59,21,FALSE)*L211</f>
        <v>56.16454505352155</v>
      </c>
      <c r="U211" s="492"/>
      <c r="V211" s="492" t="str">
        <f t="shared" ref="V211:V274" si="52">K211</f>
        <v>Commercial Showerhead Replacement_Fitness Center_precondition 1_80 to 1_89 gpm_efficient 1_75 gpm_Retail_Electric Water Heating</v>
      </c>
      <c r="W211" s="492" t="s">
        <v>440</v>
      </c>
      <c r="X211" s="494">
        <f t="shared" si="40"/>
        <v>466.40292583885048</v>
      </c>
      <c r="Y211" s="492">
        <v>10</v>
      </c>
      <c r="Z211" s="498">
        <f t="shared" si="41"/>
        <v>3.2966774171383419</v>
      </c>
      <c r="AA211" s="492"/>
      <c r="AB211" s="499" t="s">
        <v>441</v>
      </c>
      <c r="AC211" s="497">
        <f t="shared" si="42"/>
        <v>56.16454505352155</v>
      </c>
      <c r="AD211" s="492"/>
      <c r="AE211" s="492"/>
      <c r="AF211" s="492"/>
      <c r="AG211" s="492"/>
      <c r="AH211" s="492"/>
      <c r="AI211" s="492"/>
      <c r="AJ211" s="492">
        <f t="shared" ref="AJ211:AJ274" si="53">IF(S211&gt;0,R211*(1-M211),0)</f>
        <v>0</v>
      </c>
      <c r="AK211" s="492" t="s">
        <v>442</v>
      </c>
    </row>
    <row r="212" spans="1:37">
      <c r="A212" s="492">
        <f t="shared" ref="A212:A275" si="54">A211+1</f>
        <v>194</v>
      </c>
      <c r="B212" s="492">
        <f t="shared" si="45"/>
        <v>8</v>
      </c>
      <c r="C212" s="492">
        <f t="shared" si="45"/>
        <v>1</v>
      </c>
      <c r="D212" s="492">
        <f t="shared" si="45"/>
        <v>2</v>
      </c>
      <c r="E212" s="492">
        <f t="shared" si="46"/>
        <v>2</v>
      </c>
      <c r="F212" s="499" t="s">
        <v>645</v>
      </c>
      <c r="G212" s="499" t="str">
        <f t="shared" si="47"/>
        <v>1_80 to 1_89 gpm</v>
      </c>
      <c r="H212" s="492" t="str">
        <f t="shared" si="48"/>
        <v>Retail</v>
      </c>
      <c r="I212" s="492" t="str">
        <f t="shared" si="48"/>
        <v>1_75</v>
      </c>
      <c r="J212" s="492" t="str">
        <f t="shared" si="48"/>
        <v>Gas Water Heating</v>
      </c>
      <c r="K212" s="492" t="str">
        <f t="shared" si="49"/>
        <v>Commercial Showerhead Replacement_Fitness Center_precondition 1_80 to 1_89 gpm_efficient 1_75 gpm_Retail_Gas Water Heating</v>
      </c>
      <c r="L212" s="493">
        <f>INDEX(InstallRatesCostAndLifetime!$A$2:$D$6,MATCH(InputForProCost_FitnessCenter!H212,InstallRatesCostAndLifetime!$A$2:$A$6,0),MATCH(InputForProCost_FitnessCenter!I212,InstallRatesCostAndLifetime!$A$2:$D$2,0))</f>
        <v>0.75</v>
      </c>
      <c r="M212" s="493">
        <f t="shared" si="50"/>
        <v>0</v>
      </c>
      <c r="N212" s="492"/>
      <c r="O212" s="492" t="str">
        <f t="shared" si="51"/>
        <v>Fitness Center1_80 to 1_89 gpm1_75</v>
      </c>
      <c r="P212" s="494">
        <f>VLOOKUP($O212,Impacts!$F$27:$Z$59,16,FALSE)</f>
        <v>621.87056778513397</v>
      </c>
      <c r="Q212" s="494">
        <f>VLOOKUP($O212,Impacts!$F$27:$Z$59,17,FALSE)*L212</f>
        <v>22.572178242982737</v>
      </c>
      <c r="R212" s="495">
        <f>VLOOKUP($O212,Impacts!$F$27:$Z$59,19,FALSE)*L212</f>
        <v>20.799766431038591</v>
      </c>
      <c r="S212" s="496">
        <f>VLOOKUP($O212,Impacts!$F$27:$Z$59,20,FALSE)*L212</f>
        <v>4266.9524088814251</v>
      </c>
      <c r="T212" s="497">
        <f>VLOOKUP($O212,Impacts!$F$27:$Z$59,21,FALSE)*L212</f>
        <v>56.16454505352155</v>
      </c>
      <c r="U212" s="492"/>
      <c r="V212" s="492" t="str">
        <f t="shared" si="52"/>
        <v>Commercial Showerhead Replacement_Fitness Center_precondition 1_80 to 1_89 gpm_efficient 1_75 gpm_Retail_Gas Water Heating</v>
      </c>
      <c r="W212" s="492" t="s">
        <v>440</v>
      </c>
      <c r="X212" s="494">
        <f t="shared" ref="X212:X275" si="55">(P212*M212*L212)</f>
        <v>0</v>
      </c>
      <c r="Y212" s="492">
        <v>10</v>
      </c>
      <c r="Z212" s="498">
        <f t="shared" ref="Z212:Z275" si="56">VLOOKUP(H212,table_MeasureCosts,2,FALSE)</f>
        <v>3.2966774171383419</v>
      </c>
      <c r="AA212" s="492"/>
      <c r="AB212" s="499" t="s">
        <v>441</v>
      </c>
      <c r="AC212" s="497">
        <f t="shared" ref="AC212:AC275" si="57">T212</f>
        <v>56.16454505352155</v>
      </c>
      <c r="AD212" s="492"/>
      <c r="AE212" s="492"/>
      <c r="AF212" s="492"/>
      <c r="AG212" s="492"/>
      <c r="AH212" s="492"/>
      <c r="AI212" s="492"/>
      <c r="AJ212" s="492">
        <f t="shared" si="53"/>
        <v>20.799766431038591</v>
      </c>
      <c r="AK212" s="492" t="s">
        <v>442</v>
      </c>
    </row>
    <row r="213" spans="1:37">
      <c r="A213" s="492">
        <f t="shared" si="54"/>
        <v>195</v>
      </c>
      <c r="B213" s="492">
        <f t="shared" si="45"/>
        <v>8</v>
      </c>
      <c r="C213" s="492">
        <f t="shared" si="45"/>
        <v>1</v>
      </c>
      <c r="D213" s="492">
        <f t="shared" si="45"/>
        <v>2</v>
      </c>
      <c r="E213" s="492">
        <f t="shared" si="46"/>
        <v>3</v>
      </c>
      <c r="F213" s="499" t="s">
        <v>645</v>
      </c>
      <c r="G213" s="499" t="str">
        <f t="shared" si="47"/>
        <v>1_80 to 1_89 gpm</v>
      </c>
      <c r="H213" s="492" t="str">
        <f t="shared" si="48"/>
        <v>Retail</v>
      </c>
      <c r="I213" s="492" t="str">
        <f t="shared" si="48"/>
        <v>1_75</v>
      </c>
      <c r="J213" s="492" t="str">
        <f t="shared" si="48"/>
        <v>Any Water Heating</v>
      </c>
      <c r="K213" s="492" t="str">
        <f t="shared" si="49"/>
        <v>Commercial Showerhead Replacement_Fitness Center_precondition 1_80 to 1_89 gpm_efficient 1_75 gpm_Retail_Any Water Heating</v>
      </c>
      <c r="L213" s="493">
        <f>INDEX(InstallRatesCostAndLifetime!$A$2:$D$6,MATCH(InputForProCost_FitnessCenter!H213,InstallRatesCostAndLifetime!$A$2:$A$6,0),MATCH(InputForProCost_FitnessCenter!I213,InstallRatesCostAndLifetime!$A$2:$D$2,0))</f>
        <v>0.75</v>
      </c>
      <c r="M213" s="493">
        <f t="shared" si="50"/>
        <v>0.31666666666666665</v>
      </c>
      <c r="N213" s="492"/>
      <c r="O213" s="492" t="str">
        <f t="shared" si="51"/>
        <v>Fitness Center1_80 to 1_89 gpm1_75</v>
      </c>
      <c r="P213" s="494">
        <f>VLOOKUP($O213,Impacts!$F$27:$Z$59,16,FALSE)</f>
        <v>621.87056778513397</v>
      </c>
      <c r="Q213" s="494">
        <f>VLOOKUP($O213,Impacts!$F$27:$Z$59,17,FALSE)*L213</f>
        <v>22.572178242982737</v>
      </c>
      <c r="R213" s="495">
        <f>VLOOKUP($O213,Impacts!$F$27:$Z$59,19,FALSE)*L213</f>
        <v>20.799766431038591</v>
      </c>
      <c r="S213" s="496">
        <f>VLOOKUP($O213,Impacts!$F$27:$Z$59,20,FALSE)*L213</f>
        <v>4266.9524088814251</v>
      </c>
      <c r="T213" s="497">
        <f>VLOOKUP($O213,Impacts!$F$27:$Z$59,21,FALSE)*L213</f>
        <v>56.16454505352155</v>
      </c>
      <c r="U213" s="492"/>
      <c r="V213" s="492" t="str">
        <f t="shared" si="52"/>
        <v>Commercial Showerhead Replacement_Fitness Center_precondition 1_80 to 1_89 gpm_efficient 1_75 gpm_Retail_Any Water Heating</v>
      </c>
      <c r="W213" s="492" t="s">
        <v>440</v>
      </c>
      <c r="X213" s="494">
        <f t="shared" si="55"/>
        <v>147.6942598489693</v>
      </c>
      <c r="Y213" s="492">
        <v>10</v>
      </c>
      <c r="Z213" s="498">
        <f t="shared" si="56"/>
        <v>3.2966774171383419</v>
      </c>
      <c r="AA213" s="492"/>
      <c r="AB213" s="499" t="s">
        <v>441</v>
      </c>
      <c r="AC213" s="497">
        <f t="shared" si="57"/>
        <v>56.16454505352155</v>
      </c>
      <c r="AD213" s="492"/>
      <c r="AE213" s="492"/>
      <c r="AF213" s="492"/>
      <c r="AG213" s="492"/>
      <c r="AH213" s="492"/>
      <c r="AI213" s="492"/>
      <c r="AJ213" s="492">
        <f t="shared" si="53"/>
        <v>14.213173727876372</v>
      </c>
      <c r="AK213" s="492" t="s">
        <v>442</v>
      </c>
    </row>
    <row r="214" spans="1:37">
      <c r="A214" s="492">
        <f t="shared" si="54"/>
        <v>196</v>
      </c>
      <c r="B214" s="492">
        <f t="shared" si="45"/>
        <v>8</v>
      </c>
      <c r="C214" s="492">
        <f t="shared" si="45"/>
        <v>1</v>
      </c>
      <c r="D214" s="492">
        <f t="shared" si="45"/>
        <v>3</v>
      </c>
      <c r="E214" s="492">
        <f t="shared" si="46"/>
        <v>1</v>
      </c>
      <c r="F214" s="499" t="s">
        <v>645</v>
      </c>
      <c r="G214" s="499" t="str">
        <f t="shared" si="47"/>
        <v>1_80 to 1_89 gpm</v>
      </c>
      <c r="H214" s="492" t="str">
        <f t="shared" si="48"/>
        <v>Retail</v>
      </c>
      <c r="I214" s="492" t="str">
        <f t="shared" si="48"/>
        <v>1_50</v>
      </c>
      <c r="J214" s="492" t="str">
        <f t="shared" si="48"/>
        <v>Electric Water Heating</v>
      </c>
      <c r="K214" s="492" t="str">
        <f t="shared" si="49"/>
        <v>Commercial Showerhead Replacement_Fitness Center_precondition 1_80 to 1_89 gpm_efficient 1_50 gpm_Retail_Electric Water Heating</v>
      </c>
      <c r="L214" s="493">
        <f>INDEX(InstallRatesCostAndLifetime!$A$2:$D$6,MATCH(InputForProCost_FitnessCenter!H214,InstallRatesCostAndLifetime!$A$2:$A$6,0),MATCH(InputForProCost_FitnessCenter!I214,InstallRatesCostAndLifetime!$A$2:$D$2,0))</f>
        <v>0.7</v>
      </c>
      <c r="M214" s="493">
        <f t="shared" si="50"/>
        <v>1</v>
      </c>
      <c r="N214" s="492"/>
      <c r="O214" s="492" t="str">
        <f t="shared" si="51"/>
        <v>Fitness Center1_80 to 1_89 gpm1_50</v>
      </c>
      <c r="P214" s="494">
        <f>VLOOKUP($O214,Impacts!$F$27:$Z$59,16,FALSE)</f>
        <v>2421.2046419344715</v>
      </c>
      <c r="Q214" s="494">
        <f>VLOOKUP($O214,Impacts!$F$27:$Z$59,17,FALSE)*L214</f>
        <v>73.73578226041046</v>
      </c>
      <c r="R214" s="495">
        <f>VLOOKUP($O214,Impacts!$F$27:$Z$59,19,FALSE)*L214</f>
        <v>75.583453213517544</v>
      </c>
      <c r="S214" s="496">
        <f>VLOOKUP($O214,Impacts!$F$27:$Z$59,20,FALSE)*L214</f>
        <v>13938.711202346023</v>
      </c>
      <c r="T214" s="497">
        <f>VLOOKUP($O214,Impacts!$F$27:$Z$59,21,FALSE)*L214</f>
        <v>183.47084717483753</v>
      </c>
      <c r="U214" s="492"/>
      <c r="V214" s="492" t="str">
        <f t="shared" si="52"/>
        <v>Commercial Showerhead Replacement_Fitness Center_precondition 1_80 to 1_89 gpm_efficient 1_50 gpm_Retail_Electric Water Heating</v>
      </c>
      <c r="W214" s="492" t="s">
        <v>440</v>
      </c>
      <c r="X214" s="494">
        <f t="shared" si="55"/>
        <v>1694.84324935413</v>
      </c>
      <c r="Y214" s="492">
        <v>10</v>
      </c>
      <c r="Z214" s="498">
        <f t="shared" si="56"/>
        <v>3.2966774171383419</v>
      </c>
      <c r="AA214" s="492"/>
      <c r="AB214" s="499" t="s">
        <v>441</v>
      </c>
      <c r="AC214" s="497">
        <f t="shared" si="57"/>
        <v>183.47084717483753</v>
      </c>
      <c r="AD214" s="492"/>
      <c r="AE214" s="492"/>
      <c r="AF214" s="492"/>
      <c r="AG214" s="492"/>
      <c r="AH214" s="492"/>
      <c r="AI214" s="492"/>
      <c r="AJ214" s="492">
        <f t="shared" si="53"/>
        <v>0</v>
      </c>
      <c r="AK214" s="492" t="s">
        <v>442</v>
      </c>
    </row>
    <row r="215" spans="1:37">
      <c r="A215" s="492">
        <f t="shared" si="54"/>
        <v>197</v>
      </c>
      <c r="B215" s="492">
        <f t="shared" si="45"/>
        <v>8</v>
      </c>
      <c r="C215" s="492">
        <f t="shared" si="45"/>
        <v>1</v>
      </c>
      <c r="D215" s="492">
        <f t="shared" si="45"/>
        <v>3</v>
      </c>
      <c r="E215" s="492">
        <f t="shared" si="46"/>
        <v>2</v>
      </c>
      <c r="F215" s="499" t="s">
        <v>645</v>
      </c>
      <c r="G215" s="499" t="str">
        <f t="shared" si="47"/>
        <v>1_80 to 1_89 gpm</v>
      </c>
      <c r="H215" s="492" t="str">
        <f t="shared" si="48"/>
        <v>Retail</v>
      </c>
      <c r="I215" s="492" t="str">
        <f t="shared" si="48"/>
        <v>1_50</v>
      </c>
      <c r="J215" s="492" t="str">
        <f t="shared" si="48"/>
        <v>Gas Water Heating</v>
      </c>
      <c r="K215" s="492" t="str">
        <f t="shared" si="49"/>
        <v>Commercial Showerhead Replacement_Fitness Center_precondition 1_80 to 1_89 gpm_efficient 1_50 gpm_Retail_Gas Water Heating</v>
      </c>
      <c r="L215" s="493">
        <f>INDEX(InstallRatesCostAndLifetime!$A$2:$D$6,MATCH(InputForProCost_FitnessCenter!H215,InstallRatesCostAndLifetime!$A$2:$A$6,0),MATCH(InputForProCost_FitnessCenter!I215,InstallRatesCostAndLifetime!$A$2:$D$2,0))</f>
        <v>0.7</v>
      </c>
      <c r="M215" s="493">
        <f t="shared" si="50"/>
        <v>0</v>
      </c>
      <c r="N215" s="492"/>
      <c r="O215" s="492" t="str">
        <f t="shared" si="51"/>
        <v>Fitness Center1_80 to 1_89 gpm1_50</v>
      </c>
      <c r="P215" s="494">
        <f>VLOOKUP($O215,Impacts!$F$27:$Z$59,16,FALSE)</f>
        <v>2421.2046419344715</v>
      </c>
      <c r="Q215" s="494">
        <f>VLOOKUP($O215,Impacts!$F$27:$Z$59,17,FALSE)*L215</f>
        <v>73.73578226041046</v>
      </c>
      <c r="R215" s="495">
        <f>VLOOKUP($O215,Impacts!$F$27:$Z$59,19,FALSE)*L215</f>
        <v>75.583453213517544</v>
      </c>
      <c r="S215" s="496">
        <f>VLOOKUP($O215,Impacts!$F$27:$Z$59,20,FALSE)*L215</f>
        <v>13938.711202346023</v>
      </c>
      <c r="T215" s="497">
        <f>VLOOKUP($O215,Impacts!$F$27:$Z$59,21,FALSE)*L215</f>
        <v>183.47084717483753</v>
      </c>
      <c r="U215" s="492"/>
      <c r="V215" s="492" t="str">
        <f t="shared" si="52"/>
        <v>Commercial Showerhead Replacement_Fitness Center_precondition 1_80 to 1_89 gpm_efficient 1_50 gpm_Retail_Gas Water Heating</v>
      </c>
      <c r="W215" s="492" t="s">
        <v>440</v>
      </c>
      <c r="X215" s="494">
        <f t="shared" si="55"/>
        <v>0</v>
      </c>
      <c r="Y215" s="492">
        <v>10</v>
      </c>
      <c r="Z215" s="498">
        <f t="shared" si="56"/>
        <v>3.2966774171383419</v>
      </c>
      <c r="AA215" s="492"/>
      <c r="AB215" s="499" t="s">
        <v>441</v>
      </c>
      <c r="AC215" s="497">
        <f t="shared" si="57"/>
        <v>183.47084717483753</v>
      </c>
      <c r="AD215" s="492"/>
      <c r="AE215" s="492"/>
      <c r="AF215" s="492"/>
      <c r="AG215" s="492"/>
      <c r="AH215" s="492"/>
      <c r="AI215" s="492"/>
      <c r="AJ215" s="492">
        <f t="shared" si="53"/>
        <v>75.583453213517544</v>
      </c>
      <c r="AK215" s="492" t="s">
        <v>442</v>
      </c>
    </row>
    <row r="216" spans="1:37">
      <c r="A216" s="492">
        <f t="shared" si="54"/>
        <v>198</v>
      </c>
      <c r="B216" s="492">
        <f t="shared" si="45"/>
        <v>8</v>
      </c>
      <c r="C216" s="492">
        <f t="shared" si="45"/>
        <v>1</v>
      </c>
      <c r="D216" s="492">
        <f t="shared" si="45"/>
        <v>3</v>
      </c>
      <c r="E216" s="492">
        <f t="shared" si="46"/>
        <v>3</v>
      </c>
      <c r="F216" s="499" t="s">
        <v>645</v>
      </c>
      <c r="G216" s="499" t="str">
        <f t="shared" si="47"/>
        <v>1_80 to 1_89 gpm</v>
      </c>
      <c r="H216" s="492" t="str">
        <f t="shared" si="48"/>
        <v>Retail</v>
      </c>
      <c r="I216" s="492" t="str">
        <f t="shared" si="48"/>
        <v>1_50</v>
      </c>
      <c r="J216" s="492" t="str">
        <f t="shared" si="48"/>
        <v>Any Water Heating</v>
      </c>
      <c r="K216" s="492" t="str">
        <f t="shared" si="49"/>
        <v>Commercial Showerhead Replacement_Fitness Center_precondition 1_80 to 1_89 gpm_efficient 1_50 gpm_Retail_Any Water Heating</v>
      </c>
      <c r="L216" s="493">
        <f>INDEX(InstallRatesCostAndLifetime!$A$2:$D$6,MATCH(InputForProCost_FitnessCenter!H216,InstallRatesCostAndLifetime!$A$2:$A$6,0),MATCH(InputForProCost_FitnessCenter!I216,InstallRatesCostAndLifetime!$A$2:$D$2,0))</f>
        <v>0.7</v>
      </c>
      <c r="M216" s="493">
        <f t="shared" si="50"/>
        <v>0.31666666666666665</v>
      </c>
      <c r="N216" s="492"/>
      <c r="O216" s="492" t="str">
        <f t="shared" si="51"/>
        <v>Fitness Center1_80 to 1_89 gpm1_50</v>
      </c>
      <c r="P216" s="494">
        <f>VLOOKUP($O216,Impacts!$F$27:$Z$59,16,FALSE)</f>
        <v>2421.2046419344715</v>
      </c>
      <c r="Q216" s="494">
        <f>VLOOKUP($O216,Impacts!$F$27:$Z$59,17,FALSE)*L216</f>
        <v>73.73578226041046</v>
      </c>
      <c r="R216" s="495">
        <f>VLOOKUP($O216,Impacts!$F$27:$Z$59,19,FALSE)*L216</f>
        <v>75.583453213517544</v>
      </c>
      <c r="S216" s="496">
        <f>VLOOKUP($O216,Impacts!$F$27:$Z$59,20,FALSE)*L216</f>
        <v>13938.711202346023</v>
      </c>
      <c r="T216" s="497">
        <f>VLOOKUP($O216,Impacts!$F$27:$Z$59,21,FALSE)*L216</f>
        <v>183.47084717483753</v>
      </c>
      <c r="U216" s="492"/>
      <c r="V216" s="492" t="str">
        <f t="shared" si="52"/>
        <v>Commercial Showerhead Replacement_Fitness Center_precondition 1_80 to 1_89 gpm_efficient 1_50 gpm_Retail_Any Water Heating</v>
      </c>
      <c r="W216" s="492" t="s">
        <v>440</v>
      </c>
      <c r="X216" s="494">
        <f t="shared" si="55"/>
        <v>536.70036229547452</v>
      </c>
      <c r="Y216" s="492">
        <v>10</v>
      </c>
      <c r="Z216" s="498">
        <f t="shared" si="56"/>
        <v>3.2966774171383419</v>
      </c>
      <c r="AA216" s="492"/>
      <c r="AB216" s="499" t="s">
        <v>441</v>
      </c>
      <c r="AC216" s="497">
        <f t="shared" si="57"/>
        <v>183.47084717483753</v>
      </c>
      <c r="AD216" s="492"/>
      <c r="AE216" s="492"/>
      <c r="AF216" s="492"/>
      <c r="AG216" s="492"/>
      <c r="AH216" s="492"/>
      <c r="AI216" s="492"/>
      <c r="AJ216" s="492">
        <f t="shared" si="53"/>
        <v>51.648693029236988</v>
      </c>
      <c r="AK216" s="492" t="s">
        <v>442</v>
      </c>
    </row>
    <row r="217" spans="1:37">
      <c r="A217" s="492">
        <f t="shared" si="54"/>
        <v>199</v>
      </c>
      <c r="B217" s="492">
        <f t="shared" si="45"/>
        <v>8</v>
      </c>
      <c r="C217" s="492">
        <f t="shared" si="45"/>
        <v>2</v>
      </c>
      <c r="D217" s="492">
        <f t="shared" si="45"/>
        <v>1</v>
      </c>
      <c r="E217" s="492">
        <f t="shared" si="46"/>
        <v>1</v>
      </c>
      <c r="F217" s="499" t="s">
        <v>645</v>
      </c>
      <c r="G217" s="499" t="str">
        <f t="shared" si="47"/>
        <v>1_80 to 1_89 gpm</v>
      </c>
      <c r="H217" s="492" t="str">
        <f t="shared" si="48"/>
        <v>Direct Install</v>
      </c>
      <c r="I217" s="492" t="str">
        <f t="shared" si="48"/>
        <v>2_00</v>
      </c>
      <c r="J217" s="492" t="str">
        <f t="shared" si="48"/>
        <v>Electric Water Heating</v>
      </c>
      <c r="K217" s="492" t="str">
        <f t="shared" si="49"/>
        <v>Commercial Showerhead Replacement_Fitness Center_precondition 1_80 to 1_89 gpm_efficient 2_00 gpm_Direct Install_Electric Water Heating</v>
      </c>
      <c r="L217" s="493">
        <f>INDEX(InstallRatesCostAndLifetime!$A$2:$D$6,MATCH(InputForProCost_FitnessCenter!H217,InstallRatesCostAndLifetime!$A$2:$A$6,0),MATCH(InputForProCost_FitnessCenter!I217,InstallRatesCostAndLifetime!$A$2:$D$2,0))</f>
        <v>0.9</v>
      </c>
      <c r="M217" s="493">
        <f t="shared" si="50"/>
        <v>1</v>
      </c>
      <c r="N217" s="492"/>
      <c r="O217" s="492" t="str">
        <f t="shared" si="51"/>
        <v>Fitness Center1_80 to 1_89 gpm2_00</v>
      </c>
      <c r="P217" s="494">
        <f>VLOOKUP($O217,Impacts!$F$27:$Z$59,16,FALSE)</f>
        <v>448.40958509735719</v>
      </c>
      <c r="Q217" s="494">
        <f>VLOOKUP($O217,Impacts!$F$27:$Z$59,17,FALSE)*L217</f>
        <v>13.543306945789608</v>
      </c>
      <c r="R217" s="495">
        <f>VLOOKUP($O217,Impacts!$F$27:$Z$59,19,FALSE)*L217</f>
        <v>17.997599729504895</v>
      </c>
      <c r="S217" s="496">
        <f>VLOOKUP($O217,Impacts!$F$27:$Z$59,20,FALSE)*L217</f>
        <v>2560.1714453288487</v>
      </c>
      <c r="T217" s="497">
        <f>VLOOKUP($O217,Impacts!$F$27:$Z$59,21,FALSE)*L217</f>
        <v>33.698727032112849</v>
      </c>
      <c r="U217" s="492"/>
      <c r="V217" s="492" t="str">
        <f t="shared" si="52"/>
        <v>Commercial Showerhead Replacement_Fitness Center_precondition 1_80 to 1_89 gpm_efficient 2_00 gpm_Direct Install_Electric Water Heating</v>
      </c>
      <c r="W217" s="492" t="s">
        <v>440</v>
      </c>
      <c r="X217" s="494">
        <f t="shared" si="55"/>
        <v>403.56862658762151</v>
      </c>
      <c r="Y217" s="492">
        <v>10</v>
      </c>
      <c r="Z217" s="498">
        <f t="shared" si="56"/>
        <v>11.336666666666666</v>
      </c>
      <c r="AA217" s="492"/>
      <c r="AB217" s="499" t="s">
        <v>441</v>
      </c>
      <c r="AC217" s="497">
        <f t="shared" si="57"/>
        <v>33.698727032112849</v>
      </c>
      <c r="AD217" s="492"/>
      <c r="AE217" s="492"/>
      <c r="AF217" s="492"/>
      <c r="AG217" s="492"/>
      <c r="AH217" s="492"/>
      <c r="AI217" s="492"/>
      <c r="AJ217" s="492">
        <f t="shared" si="53"/>
        <v>0</v>
      </c>
      <c r="AK217" s="492" t="s">
        <v>442</v>
      </c>
    </row>
    <row r="218" spans="1:37">
      <c r="A218" s="492">
        <f t="shared" si="54"/>
        <v>200</v>
      </c>
      <c r="B218" s="492">
        <f t="shared" si="45"/>
        <v>8</v>
      </c>
      <c r="C218" s="492">
        <f t="shared" si="45"/>
        <v>2</v>
      </c>
      <c r="D218" s="492">
        <f t="shared" si="45"/>
        <v>1</v>
      </c>
      <c r="E218" s="492">
        <f t="shared" si="46"/>
        <v>2</v>
      </c>
      <c r="F218" s="499" t="s">
        <v>645</v>
      </c>
      <c r="G218" s="499" t="str">
        <f t="shared" si="47"/>
        <v>1_80 to 1_89 gpm</v>
      </c>
      <c r="H218" s="492" t="str">
        <f t="shared" si="48"/>
        <v>Direct Install</v>
      </c>
      <c r="I218" s="492" t="str">
        <f t="shared" si="48"/>
        <v>2_00</v>
      </c>
      <c r="J218" s="492" t="str">
        <f t="shared" si="48"/>
        <v>Gas Water Heating</v>
      </c>
      <c r="K218" s="492" t="str">
        <f t="shared" si="49"/>
        <v>Commercial Showerhead Replacement_Fitness Center_precondition 1_80 to 1_89 gpm_efficient 2_00 gpm_Direct Install_Gas Water Heating</v>
      </c>
      <c r="L218" s="493">
        <f>INDEX(InstallRatesCostAndLifetime!$A$2:$D$6,MATCH(InputForProCost_FitnessCenter!H218,InstallRatesCostAndLifetime!$A$2:$A$6,0),MATCH(InputForProCost_FitnessCenter!I218,InstallRatesCostAndLifetime!$A$2:$D$2,0))</f>
        <v>0.9</v>
      </c>
      <c r="M218" s="493">
        <f t="shared" si="50"/>
        <v>0</v>
      </c>
      <c r="N218" s="492"/>
      <c r="O218" s="492" t="str">
        <f t="shared" si="51"/>
        <v>Fitness Center1_80 to 1_89 gpm2_00</v>
      </c>
      <c r="P218" s="494">
        <f>VLOOKUP($O218,Impacts!$F$27:$Z$59,16,FALSE)</f>
        <v>448.40958509735719</v>
      </c>
      <c r="Q218" s="494">
        <f>VLOOKUP($O218,Impacts!$F$27:$Z$59,17,FALSE)*L218</f>
        <v>13.543306945789608</v>
      </c>
      <c r="R218" s="495">
        <f>VLOOKUP($O218,Impacts!$F$27:$Z$59,19,FALSE)*L218</f>
        <v>17.997599729504895</v>
      </c>
      <c r="S218" s="496">
        <f>VLOOKUP($O218,Impacts!$F$27:$Z$59,20,FALSE)*L218</f>
        <v>2560.1714453288487</v>
      </c>
      <c r="T218" s="497">
        <f>VLOOKUP($O218,Impacts!$F$27:$Z$59,21,FALSE)*L218</f>
        <v>33.698727032112849</v>
      </c>
      <c r="U218" s="492"/>
      <c r="V218" s="492" t="str">
        <f t="shared" si="52"/>
        <v>Commercial Showerhead Replacement_Fitness Center_precondition 1_80 to 1_89 gpm_efficient 2_00 gpm_Direct Install_Gas Water Heating</v>
      </c>
      <c r="W218" s="492" t="s">
        <v>440</v>
      </c>
      <c r="X218" s="494">
        <f t="shared" si="55"/>
        <v>0</v>
      </c>
      <c r="Y218" s="492">
        <v>10</v>
      </c>
      <c r="Z218" s="498">
        <f t="shared" si="56"/>
        <v>11.336666666666666</v>
      </c>
      <c r="AA218" s="492"/>
      <c r="AB218" s="499" t="s">
        <v>441</v>
      </c>
      <c r="AC218" s="497">
        <f t="shared" si="57"/>
        <v>33.698727032112849</v>
      </c>
      <c r="AD218" s="492"/>
      <c r="AE218" s="492"/>
      <c r="AF218" s="492"/>
      <c r="AG218" s="492"/>
      <c r="AH218" s="492"/>
      <c r="AI218" s="492"/>
      <c r="AJ218" s="492">
        <f t="shared" si="53"/>
        <v>17.997599729504895</v>
      </c>
      <c r="AK218" s="492" t="s">
        <v>442</v>
      </c>
    </row>
    <row r="219" spans="1:37">
      <c r="A219" s="492">
        <f t="shared" si="54"/>
        <v>201</v>
      </c>
      <c r="B219" s="492">
        <f t="shared" ref="B219:D238" si="58">CEILING((MOD($A219-1,B$17)+1)/C$17,1)</f>
        <v>8</v>
      </c>
      <c r="C219" s="492">
        <f t="shared" si="58"/>
        <v>2</v>
      </c>
      <c r="D219" s="492">
        <f t="shared" si="58"/>
        <v>1</v>
      </c>
      <c r="E219" s="492">
        <f t="shared" si="46"/>
        <v>3</v>
      </c>
      <c r="F219" s="499" t="s">
        <v>645</v>
      </c>
      <c r="G219" s="499" t="str">
        <f t="shared" si="47"/>
        <v>1_80 to 1_89 gpm</v>
      </c>
      <c r="H219" s="492" t="str">
        <f t="shared" si="48"/>
        <v>Direct Install</v>
      </c>
      <c r="I219" s="492" t="str">
        <f t="shared" si="48"/>
        <v>2_00</v>
      </c>
      <c r="J219" s="492" t="str">
        <f t="shared" si="48"/>
        <v>Any Water Heating</v>
      </c>
      <c r="K219" s="492" t="str">
        <f t="shared" si="49"/>
        <v>Commercial Showerhead Replacement_Fitness Center_precondition 1_80 to 1_89 gpm_efficient 2_00 gpm_Direct Install_Any Water Heating</v>
      </c>
      <c r="L219" s="493">
        <f>INDEX(InstallRatesCostAndLifetime!$A$2:$D$6,MATCH(InputForProCost_FitnessCenter!H219,InstallRatesCostAndLifetime!$A$2:$A$6,0),MATCH(InputForProCost_FitnessCenter!I219,InstallRatesCostAndLifetime!$A$2:$D$2,0))</f>
        <v>0.9</v>
      </c>
      <c r="M219" s="493">
        <f t="shared" si="50"/>
        <v>0.31666666666666665</v>
      </c>
      <c r="N219" s="492"/>
      <c r="O219" s="492" t="str">
        <f t="shared" si="51"/>
        <v>Fitness Center1_80 to 1_89 gpm2_00</v>
      </c>
      <c r="P219" s="494">
        <f>VLOOKUP($O219,Impacts!$F$27:$Z$59,16,FALSE)</f>
        <v>448.40958509735719</v>
      </c>
      <c r="Q219" s="494">
        <f>VLOOKUP($O219,Impacts!$F$27:$Z$59,17,FALSE)*L219</f>
        <v>13.543306945789608</v>
      </c>
      <c r="R219" s="495">
        <f>VLOOKUP($O219,Impacts!$F$27:$Z$59,19,FALSE)*L219</f>
        <v>17.997599729504895</v>
      </c>
      <c r="S219" s="496">
        <f>VLOOKUP($O219,Impacts!$F$27:$Z$59,20,FALSE)*L219</f>
        <v>2560.1714453288487</v>
      </c>
      <c r="T219" s="497">
        <f>VLOOKUP($O219,Impacts!$F$27:$Z$59,21,FALSE)*L219</f>
        <v>33.698727032112849</v>
      </c>
      <c r="U219" s="492"/>
      <c r="V219" s="492" t="str">
        <f t="shared" si="52"/>
        <v>Commercial Showerhead Replacement_Fitness Center_precondition 1_80 to 1_89 gpm_efficient 2_00 gpm_Direct Install_Any Water Heating</v>
      </c>
      <c r="W219" s="492" t="s">
        <v>440</v>
      </c>
      <c r="X219" s="494">
        <f t="shared" si="55"/>
        <v>127.79673175274681</v>
      </c>
      <c r="Y219" s="492">
        <v>10</v>
      </c>
      <c r="Z219" s="498">
        <f t="shared" si="56"/>
        <v>11.336666666666666</v>
      </c>
      <c r="AA219" s="492"/>
      <c r="AB219" s="499" t="s">
        <v>441</v>
      </c>
      <c r="AC219" s="497">
        <f t="shared" si="57"/>
        <v>33.698727032112849</v>
      </c>
      <c r="AD219" s="492"/>
      <c r="AE219" s="492"/>
      <c r="AF219" s="492"/>
      <c r="AG219" s="492"/>
      <c r="AH219" s="492"/>
      <c r="AI219" s="492"/>
      <c r="AJ219" s="492">
        <f t="shared" si="53"/>
        <v>12.298359815161678</v>
      </c>
      <c r="AK219" s="492" t="s">
        <v>442</v>
      </c>
    </row>
    <row r="220" spans="1:37">
      <c r="A220" s="492">
        <f t="shared" si="54"/>
        <v>202</v>
      </c>
      <c r="B220" s="492">
        <f t="shared" si="58"/>
        <v>8</v>
      </c>
      <c r="C220" s="492">
        <f t="shared" si="58"/>
        <v>2</v>
      </c>
      <c r="D220" s="492">
        <f t="shared" si="58"/>
        <v>2</v>
      </c>
      <c r="E220" s="492">
        <f t="shared" si="46"/>
        <v>1</v>
      </c>
      <c r="F220" s="499" t="s">
        <v>645</v>
      </c>
      <c r="G220" s="499" t="str">
        <f t="shared" si="47"/>
        <v>1_80 to 1_89 gpm</v>
      </c>
      <c r="H220" s="492" t="str">
        <f t="shared" si="48"/>
        <v>Direct Install</v>
      </c>
      <c r="I220" s="492" t="str">
        <f t="shared" si="48"/>
        <v>1_75</v>
      </c>
      <c r="J220" s="492" t="str">
        <f t="shared" si="48"/>
        <v>Electric Water Heating</v>
      </c>
      <c r="K220" s="492" t="str">
        <f t="shared" si="49"/>
        <v>Commercial Showerhead Replacement_Fitness Center_precondition 1_80 to 1_89 gpm_efficient 1_75 gpm_Direct Install_Electric Water Heating</v>
      </c>
      <c r="L220" s="493">
        <f>INDEX(InstallRatesCostAndLifetime!$A$2:$D$6,MATCH(InputForProCost_FitnessCenter!H220,InstallRatesCostAndLifetime!$A$2:$A$6,0),MATCH(InputForProCost_FitnessCenter!I220,InstallRatesCostAndLifetime!$A$2:$D$2,0))</f>
        <v>0.9</v>
      </c>
      <c r="M220" s="493">
        <f t="shared" si="50"/>
        <v>1</v>
      </c>
      <c r="N220" s="492"/>
      <c r="O220" s="492" t="str">
        <f t="shared" si="51"/>
        <v>Fitness Center1_80 to 1_89 gpm1_75</v>
      </c>
      <c r="P220" s="494">
        <f>VLOOKUP($O220,Impacts!$F$27:$Z$59,16,FALSE)</f>
        <v>621.87056778513397</v>
      </c>
      <c r="Q220" s="494">
        <f>VLOOKUP($O220,Impacts!$F$27:$Z$59,17,FALSE)*L220</f>
        <v>27.086613891579287</v>
      </c>
      <c r="R220" s="495">
        <f>VLOOKUP($O220,Impacts!$F$27:$Z$59,19,FALSE)*L220</f>
        <v>24.959719717246312</v>
      </c>
      <c r="S220" s="496">
        <f>VLOOKUP($O220,Impacts!$F$27:$Z$59,20,FALSE)*L220</f>
        <v>5120.3428906577101</v>
      </c>
      <c r="T220" s="497">
        <f>VLOOKUP($O220,Impacts!$F$27:$Z$59,21,FALSE)*L220</f>
        <v>67.397454064225869</v>
      </c>
      <c r="U220" s="492"/>
      <c r="V220" s="492" t="str">
        <f t="shared" si="52"/>
        <v>Commercial Showerhead Replacement_Fitness Center_precondition 1_80 to 1_89 gpm_efficient 1_75 gpm_Direct Install_Electric Water Heating</v>
      </c>
      <c r="W220" s="492" t="s">
        <v>440</v>
      </c>
      <c r="X220" s="494">
        <f t="shared" si="55"/>
        <v>559.68351100662062</v>
      </c>
      <c r="Y220" s="492">
        <v>10</v>
      </c>
      <c r="Z220" s="498">
        <f t="shared" si="56"/>
        <v>11.336666666666666</v>
      </c>
      <c r="AA220" s="492"/>
      <c r="AB220" s="499" t="s">
        <v>441</v>
      </c>
      <c r="AC220" s="497">
        <f t="shared" si="57"/>
        <v>67.397454064225869</v>
      </c>
      <c r="AD220" s="492"/>
      <c r="AE220" s="492"/>
      <c r="AF220" s="492"/>
      <c r="AG220" s="492"/>
      <c r="AH220" s="492"/>
      <c r="AI220" s="492"/>
      <c r="AJ220" s="492">
        <f t="shared" si="53"/>
        <v>0</v>
      </c>
      <c r="AK220" s="492" t="s">
        <v>442</v>
      </c>
    </row>
    <row r="221" spans="1:37">
      <c r="A221" s="492">
        <f t="shared" si="54"/>
        <v>203</v>
      </c>
      <c r="B221" s="492">
        <f t="shared" si="58"/>
        <v>8</v>
      </c>
      <c r="C221" s="492">
        <f t="shared" si="58"/>
        <v>2</v>
      </c>
      <c r="D221" s="492">
        <f t="shared" si="58"/>
        <v>2</v>
      </c>
      <c r="E221" s="492">
        <f t="shared" si="46"/>
        <v>2</v>
      </c>
      <c r="F221" s="499" t="s">
        <v>645</v>
      </c>
      <c r="G221" s="499" t="str">
        <f t="shared" si="47"/>
        <v>1_80 to 1_89 gpm</v>
      </c>
      <c r="H221" s="492" t="str">
        <f t="shared" si="48"/>
        <v>Direct Install</v>
      </c>
      <c r="I221" s="492" t="str">
        <f t="shared" si="48"/>
        <v>1_75</v>
      </c>
      <c r="J221" s="492" t="str">
        <f t="shared" si="48"/>
        <v>Gas Water Heating</v>
      </c>
      <c r="K221" s="492" t="str">
        <f t="shared" si="49"/>
        <v>Commercial Showerhead Replacement_Fitness Center_precondition 1_80 to 1_89 gpm_efficient 1_75 gpm_Direct Install_Gas Water Heating</v>
      </c>
      <c r="L221" s="493">
        <f>INDEX(InstallRatesCostAndLifetime!$A$2:$D$6,MATCH(InputForProCost_FitnessCenter!H221,InstallRatesCostAndLifetime!$A$2:$A$6,0),MATCH(InputForProCost_FitnessCenter!I221,InstallRatesCostAndLifetime!$A$2:$D$2,0))</f>
        <v>0.9</v>
      </c>
      <c r="M221" s="493">
        <f t="shared" si="50"/>
        <v>0</v>
      </c>
      <c r="N221" s="492"/>
      <c r="O221" s="492" t="str">
        <f t="shared" si="51"/>
        <v>Fitness Center1_80 to 1_89 gpm1_75</v>
      </c>
      <c r="P221" s="494">
        <f>VLOOKUP($O221,Impacts!$F$27:$Z$59,16,FALSE)</f>
        <v>621.87056778513397</v>
      </c>
      <c r="Q221" s="494">
        <f>VLOOKUP($O221,Impacts!$F$27:$Z$59,17,FALSE)*L221</f>
        <v>27.086613891579287</v>
      </c>
      <c r="R221" s="495">
        <f>VLOOKUP($O221,Impacts!$F$27:$Z$59,19,FALSE)*L221</f>
        <v>24.959719717246312</v>
      </c>
      <c r="S221" s="496">
        <f>VLOOKUP($O221,Impacts!$F$27:$Z$59,20,FALSE)*L221</f>
        <v>5120.3428906577101</v>
      </c>
      <c r="T221" s="497">
        <f>VLOOKUP($O221,Impacts!$F$27:$Z$59,21,FALSE)*L221</f>
        <v>67.397454064225869</v>
      </c>
      <c r="U221" s="492"/>
      <c r="V221" s="492" t="str">
        <f t="shared" si="52"/>
        <v>Commercial Showerhead Replacement_Fitness Center_precondition 1_80 to 1_89 gpm_efficient 1_75 gpm_Direct Install_Gas Water Heating</v>
      </c>
      <c r="W221" s="492" t="s">
        <v>440</v>
      </c>
      <c r="X221" s="494">
        <f t="shared" si="55"/>
        <v>0</v>
      </c>
      <c r="Y221" s="492">
        <v>10</v>
      </c>
      <c r="Z221" s="498">
        <f t="shared" si="56"/>
        <v>11.336666666666666</v>
      </c>
      <c r="AA221" s="492"/>
      <c r="AB221" s="499" t="s">
        <v>441</v>
      </c>
      <c r="AC221" s="497">
        <f t="shared" si="57"/>
        <v>67.397454064225869</v>
      </c>
      <c r="AD221" s="492"/>
      <c r="AE221" s="492"/>
      <c r="AF221" s="492"/>
      <c r="AG221" s="492"/>
      <c r="AH221" s="492"/>
      <c r="AI221" s="492"/>
      <c r="AJ221" s="492">
        <f t="shared" si="53"/>
        <v>24.959719717246312</v>
      </c>
      <c r="AK221" s="492" t="s">
        <v>442</v>
      </c>
    </row>
    <row r="222" spans="1:37">
      <c r="A222" s="492">
        <f t="shared" si="54"/>
        <v>204</v>
      </c>
      <c r="B222" s="492">
        <f t="shared" si="58"/>
        <v>8</v>
      </c>
      <c r="C222" s="492">
        <f t="shared" si="58"/>
        <v>2</v>
      </c>
      <c r="D222" s="492">
        <f t="shared" si="58"/>
        <v>2</v>
      </c>
      <c r="E222" s="492">
        <f t="shared" si="46"/>
        <v>3</v>
      </c>
      <c r="F222" s="499" t="s">
        <v>645</v>
      </c>
      <c r="G222" s="499" t="str">
        <f t="shared" si="47"/>
        <v>1_80 to 1_89 gpm</v>
      </c>
      <c r="H222" s="492" t="str">
        <f t="shared" si="48"/>
        <v>Direct Install</v>
      </c>
      <c r="I222" s="492" t="str">
        <f t="shared" si="48"/>
        <v>1_75</v>
      </c>
      <c r="J222" s="492" t="str">
        <f t="shared" si="48"/>
        <v>Any Water Heating</v>
      </c>
      <c r="K222" s="492" t="str">
        <f t="shared" si="49"/>
        <v>Commercial Showerhead Replacement_Fitness Center_precondition 1_80 to 1_89 gpm_efficient 1_75 gpm_Direct Install_Any Water Heating</v>
      </c>
      <c r="L222" s="493">
        <f>INDEX(InstallRatesCostAndLifetime!$A$2:$D$6,MATCH(InputForProCost_FitnessCenter!H222,InstallRatesCostAndLifetime!$A$2:$A$6,0),MATCH(InputForProCost_FitnessCenter!I222,InstallRatesCostAndLifetime!$A$2:$D$2,0))</f>
        <v>0.9</v>
      </c>
      <c r="M222" s="493">
        <f t="shared" si="50"/>
        <v>0.31666666666666665</v>
      </c>
      <c r="N222" s="492"/>
      <c r="O222" s="492" t="str">
        <f t="shared" si="51"/>
        <v>Fitness Center1_80 to 1_89 gpm1_75</v>
      </c>
      <c r="P222" s="494">
        <f>VLOOKUP($O222,Impacts!$F$27:$Z$59,16,FALSE)</f>
        <v>621.87056778513397</v>
      </c>
      <c r="Q222" s="494">
        <f>VLOOKUP($O222,Impacts!$F$27:$Z$59,17,FALSE)*L222</f>
        <v>27.086613891579287</v>
      </c>
      <c r="R222" s="495">
        <f>VLOOKUP($O222,Impacts!$F$27:$Z$59,19,FALSE)*L222</f>
        <v>24.959719717246312</v>
      </c>
      <c r="S222" s="496">
        <f>VLOOKUP($O222,Impacts!$F$27:$Z$59,20,FALSE)*L222</f>
        <v>5120.3428906577101</v>
      </c>
      <c r="T222" s="497">
        <f>VLOOKUP($O222,Impacts!$F$27:$Z$59,21,FALSE)*L222</f>
        <v>67.397454064225869</v>
      </c>
      <c r="U222" s="492"/>
      <c r="V222" s="492" t="str">
        <f t="shared" si="52"/>
        <v>Commercial Showerhead Replacement_Fitness Center_precondition 1_80 to 1_89 gpm_efficient 1_75 gpm_Direct Install_Any Water Heating</v>
      </c>
      <c r="W222" s="492" t="s">
        <v>440</v>
      </c>
      <c r="X222" s="494">
        <f t="shared" si="55"/>
        <v>177.23311181876318</v>
      </c>
      <c r="Y222" s="492">
        <v>10</v>
      </c>
      <c r="Z222" s="498">
        <f t="shared" si="56"/>
        <v>11.336666666666666</v>
      </c>
      <c r="AA222" s="492"/>
      <c r="AB222" s="499" t="s">
        <v>441</v>
      </c>
      <c r="AC222" s="497">
        <f t="shared" si="57"/>
        <v>67.397454064225869</v>
      </c>
      <c r="AD222" s="492"/>
      <c r="AE222" s="492"/>
      <c r="AF222" s="492"/>
      <c r="AG222" s="492"/>
      <c r="AH222" s="492"/>
      <c r="AI222" s="492"/>
      <c r="AJ222" s="492">
        <f t="shared" si="53"/>
        <v>17.055808473451648</v>
      </c>
      <c r="AK222" s="492" t="s">
        <v>442</v>
      </c>
    </row>
    <row r="223" spans="1:37">
      <c r="A223" s="492">
        <f t="shared" si="54"/>
        <v>205</v>
      </c>
      <c r="B223" s="492">
        <f t="shared" si="58"/>
        <v>8</v>
      </c>
      <c r="C223" s="492">
        <f t="shared" si="58"/>
        <v>2</v>
      </c>
      <c r="D223" s="492">
        <f t="shared" si="58"/>
        <v>3</v>
      </c>
      <c r="E223" s="492">
        <f t="shared" si="46"/>
        <v>1</v>
      </c>
      <c r="F223" s="499" t="s">
        <v>645</v>
      </c>
      <c r="G223" s="499" t="str">
        <f t="shared" si="47"/>
        <v>1_80 to 1_89 gpm</v>
      </c>
      <c r="H223" s="492" t="str">
        <f t="shared" si="48"/>
        <v>Direct Install</v>
      </c>
      <c r="I223" s="492" t="str">
        <f t="shared" si="48"/>
        <v>1_50</v>
      </c>
      <c r="J223" s="492" t="str">
        <f t="shared" si="48"/>
        <v>Electric Water Heating</v>
      </c>
      <c r="K223" s="492" t="str">
        <f t="shared" si="49"/>
        <v>Commercial Showerhead Replacement_Fitness Center_precondition 1_80 to 1_89 gpm_efficient 1_50 gpm_Direct Install_Electric Water Heating</v>
      </c>
      <c r="L223" s="493">
        <f>INDEX(InstallRatesCostAndLifetime!$A$2:$D$6,MATCH(InputForProCost_FitnessCenter!H223,InstallRatesCostAndLifetime!$A$2:$A$6,0),MATCH(InputForProCost_FitnessCenter!I223,InstallRatesCostAndLifetime!$A$2:$D$2,0))</f>
        <v>0.9</v>
      </c>
      <c r="M223" s="493">
        <f t="shared" si="50"/>
        <v>1</v>
      </c>
      <c r="N223" s="492"/>
      <c r="O223" s="492" t="str">
        <f t="shared" si="51"/>
        <v>Fitness Center1_80 to 1_89 gpm1_50</v>
      </c>
      <c r="P223" s="494">
        <f>VLOOKUP($O223,Impacts!$F$27:$Z$59,16,FALSE)</f>
        <v>2421.2046419344715</v>
      </c>
      <c r="Q223" s="494">
        <f>VLOOKUP($O223,Impacts!$F$27:$Z$59,17,FALSE)*L223</f>
        <v>94.80314862052775</v>
      </c>
      <c r="R223" s="495">
        <f>VLOOKUP($O223,Impacts!$F$27:$Z$59,19,FALSE)*L223</f>
        <v>97.178725560236842</v>
      </c>
      <c r="S223" s="496">
        <f>VLOOKUP($O223,Impacts!$F$27:$Z$59,20,FALSE)*L223</f>
        <v>17921.200117302033</v>
      </c>
      <c r="T223" s="497">
        <f>VLOOKUP($O223,Impacts!$F$27:$Z$59,21,FALSE)*L223</f>
        <v>235.89108922479113</v>
      </c>
      <c r="U223" s="492"/>
      <c r="V223" s="492" t="str">
        <f t="shared" si="52"/>
        <v>Commercial Showerhead Replacement_Fitness Center_precondition 1_80 to 1_89 gpm_efficient 1_50 gpm_Direct Install_Electric Water Heating</v>
      </c>
      <c r="W223" s="492" t="s">
        <v>440</v>
      </c>
      <c r="X223" s="494">
        <f t="shared" si="55"/>
        <v>2179.0841777410246</v>
      </c>
      <c r="Y223" s="492">
        <v>10</v>
      </c>
      <c r="Z223" s="498">
        <f t="shared" si="56"/>
        <v>11.336666666666666</v>
      </c>
      <c r="AA223" s="492"/>
      <c r="AB223" s="499" t="s">
        <v>441</v>
      </c>
      <c r="AC223" s="497">
        <f t="shared" si="57"/>
        <v>235.89108922479113</v>
      </c>
      <c r="AD223" s="492"/>
      <c r="AE223" s="492"/>
      <c r="AF223" s="492"/>
      <c r="AG223" s="492"/>
      <c r="AH223" s="492"/>
      <c r="AI223" s="492"/>
      <c r="AJ223" s="492">
        <f t="shared" si="53"/>
        <v>0</v>
      </c>
      <c r="AK223" s="492" t="s">
        <v>442</v>
      </c>
    </row>
    <row r="224" spans="1:37">
      <c r="A224" s="492">
        <f t="shared" si="54"/>
        <v>206</v>
      </c>
      <c r="B224" s="492">
        <f t="shared" si="58"/>
        <v>8</v>
      </c>
      <c r="C224" s="492">
        <f t="shared" si="58"/>
        <v>2</v>
      </c>
      <c r="D224" s="492">
        <f t="shared" si="58"/>
        <v>3</v>
      </c>
      <c r="E224" s="492">
        <f t="shared" si="46"/>
        <v>2</v>
      </c>
      <c r="F224" s="499" t="s">
        <v>645</v>
      </c>
      <c r="G224" s="499" t="str">
        <f t="shared" si="47"/>
        <v>1_80 to 1_89 gpm</v>
      </c>
      <c r="H224" s="492" t="str">
        <f t="shared" si="48"/>
        <v>Direct Install</v>
      </c>
      <c r="I224" s="492" t="str">
        <f t="shared" si="48"/>
        <v>1_50</v>
      </c>
      <c r="J224" s="492" t="str">
        <f t="shared" si="48"/>
        <v>Gas Water Heating</v>
      </c>
      <c r="K224" s="492" t="str">
        <f t="shared" si="49"/>
        <v>Commercial Showerhead Replacement_Fitness Center_precondition 1_80 to 1_89 gpm_efficient 1_50 gpm_Direct Install_Gas Water Heating</v>
      </c>
      <c r="L224" s="493">
        <f>INDEX(InstallRatesCostAndLifetime!$A$2:$D$6,MATCH(InputForProCost_FitnessCenter!H224,InstallRatesCostAndLifetime!$A$2:$A$6,0),MATCH(InputForProCost_FitnessCenter!I224,InstallRatesCostAndLifetime!$A$2:$D$2,0))</f>
        <v>0.9</v>
      </c>
      <c r="M224" s="493">
        <f t="shared" si="50"/>
        <v>0</v>
      </c>
      <c r="N224" s="492"/>
      <c r="O224" s="492" t="str">
        <f t="shared" si="51"/>
        <v>Fitness Center1_80 to 1_89 gpm1_50</v>
      </c>
      <c r="P224" s="494">
        <f>VLOOKUP($O224,Impacts!$F$27:$Z$59,16,FALSE)</f>
        <v>2421.2046419344715</v>
      </c>
      <c r="Q224" s="494">
        <f>VLOOKUP($O224,Impacts!$F$27:$Z$59,17,FALSE)*L224</f>
        <v>94.80314862052775</v>
      </c>
      <c r="R224" s="495">
        <f>VLOOKUP($O224,Impacts!$F$27:$Z$59,19,FALSE)*L224</f>
        <v>97.178725560236842</v>
      </c>
      <c r="S224" s="496">
        <f>VLOOKUP($O224,Impacts!$F$27:$Z$59,20,FALSE)*L224</f>
        <v>17921.200117302033</v>
      </c>
      <c r="T224" s="497">
        <f>VLOOKUP($O224,Impacts!$F$27:$Z$59,21,FALSE)*L224</f>
        <v>235.89108922479113</v>
      </c>
      <c r="U224" s="492"/>
      <c r="V224" s="492" t="str">
        <f t="shared" si="52"/>
        <v>Commercial Showerhead Replacement_Fitness Center_precondition 1_80 to 1_89 gpm_efficient 1_50 gpm_Direct Install_Gas Water Heating</v>
      </c>
      <c r="W224" s="492" t="s">
        <v>440</v>
      </c>
      <c r="X224" s="494">
        <f t="shared" si="55"/>
        <v>0</v>
      </c>
      <c r="Y224" s="492">
        <v>10</v>
      </c>
      <c r="Z224" s="498">
        <f t="shared" si="56"/>
        <v>11.336666666666666</v>
      </c>
      <c r="AA224" s="492"/>
      <c r="AB224" s="499" t="s">
        <v>441</v>
      </c>
      <c r="AC224" s="497">
        <f t="shared" si="57"/>
        <v>235.89108922479113</v>
      </c>
      <c r="AD224" s="492"/>
      <c r="AE224" s="492"/>
      <c r="AF224" s="492"/>
      <c r="AG224" s="492"/>
      <c r="AH224" s="492"/>
      <c r="AI224" s="492"/>
      <c r="AJ224" s="492">
        <f t="shared" si="53"/>
        <v>97.178725560236842</v>
      </c>
      <c r="AK224" s="492" t="s">
        <v>442</v>
      </c>
    </row>
    <row r="225" spans="1:37">
      <c r="A225" s="492">
        <f t="shared" si="54"/>
        <v>207</v>
      </c>
      <c r="B225" s="492">
        <f t="shared" si="58"/>
        <v>8</v>
      </c>
      <c r="C225" s="492">
        <f t="shared" si="58"/>
        <v>2</v>
      </c>
      <c r="D225" s="492">
        <f t="shared" si="58"/>
        <v>3</v>
      </c>
      <c r="E225" s="492">
        <f t="shared" si="46"/>
        <v>3</v>
      </c>
      <c r="F225" s="499" t="s">
        <v>645</v>
      </c>
      <c r="G225" s="499" t="str">
        <f t="shared" si="47"/>
        <v>1_80 to 1_89 gpm</v>
      </c>
      <c r="H225" s="492" t="str">
        <f t="shared" si="48"/>
        <v>Direct Install</v>
      </c>
      <c r="I225" s="492" t="str">
        <f t="shared" si="48"/>
        <v>1_50</v>
      </c>
      <c r="J225" s="492" t="str">
        <f t="shared" si="48"/>
        <v>Any Water Heating</v>
      </c>
      <c r="K225" s="492" t="str">
        <f t="shared" si="49"/>
        <v>Commercial Showerhead Replacement_Fitness Center_precondition 1_80 to 1_89 gpm_efficient 1_50 gpm_Direct Install_Any Water Heating</v>
      </c>
      <c r="L225" s="493">
        <f>INDEX(InstallRatesCostAndLifetime!$A$2:$D$6,MATCH(InputForProCost_FitnessCenter!H225,InstallRatesCostAndLifetime!$A$2:$A$6,0),MATCH(InputForProCost_FitnessCenter!I225,InstallRatesCostAndLifetime!$A$2:$D$2,0))</f>
        <v>0.9</v>
      </c>
      <c r="M225" s="493">
        <f t="shared" si="50"/>
        <v>0.31666666666666665</v>
      </c>
      <c r="N225" s="492"/>
      <c r="O225" s="492" t="str">
        <f t="shared" si="51"/>
        <v>Fitness Center1_80 to 1_89 gpm1_50</v>
      </c>
      <c r="P225" s="494">
        <f>VLOOKUP($O225,Impacts!$F$27:$Z$59,16,FALSE)</f>
        <v>2421.2046419344715</v>
      </c>
      <c r="Q225" s="494">
        <f>VLOOKUP($O225,Impacts!$F$27:$Z$59,17,FALSE)*L225</f>
        <v>94.80314862052775</v>
      </c>
      <c r="R225" s="495">
        <f>VLOOKUP($O225,Impacts!$F$27:$Z$59,19,FALSE)*L225</f>
        <v>97.178725560236842</v>
      </c>
      <c r="S225" s="496">
        <f>VLOOKUP($O225,Impacts!$F$27:$Z$59,20,FALSE)*L225</f>
        <v>17921.200117302033</v>
      </c>
      <c r="T225" s="497">
        <f>VLOOKUP($O225,Impacts!$F$27:$Z$59,21,FALSE)*L225</f>
        <v>235.89108922479113</v>
      </c>
      <c r="U225" s="492"/>
      <c r="V225" s="492" t="str">
        <f t="shared" si="52"/>
        <v>Commercial Showerhead Replacement_Fitness Center_precondition 1_80 to 1_89 gpm_efficient 1_50 gpm_Direct Install_Any Water Heating</v>
      </c>
      <c r="W225" s="492" t="s">
        <v>440</v>
      </c>
      <c r="X225" s="494">
        <f t="shared" si="55"/>
        <v>690.0433229513244</v>
      </c>
      <c r="Y225" s="492">
        <v>10</v>
      </c>
      <c r="Z225" s="498">
        <f t="shared" si="56"/>
        <v>11.336666666666666</v>
      </c>
      <c r="AA225" s="492"/>
      <c r="AB225" s="499" t="s">
        <v>441</v>
      </c>
      <c r="AC225" s="497">
        <f t="shared" si="57"/>
        <v>235.89108922479113</v>
      </c>
      <c r="AD225" s="492"/>
      <c r="AE225" s="492"/>
      <c r="AF225" s="492"/>
      <c r="AG225" s="492"/>
      <c r="AH225" s="492"/>
      <c r="AI225" s="492"/>
      <c r="AJ225" s="492">
        <f t="shared" si="53"/>
        <v>66.40546246616185</v>
      </c>
      <c r="AK225" s="492" t="s">
        <v>442</v>
      </c>
    </row>
    <row r="226" spans="1:37">
      <c r="A226" s="492">
        <f t="shared" si="54"/>
        <v>208</v>
      </c>
      <c r="B226" s="492">
        <f t="shared" si="58"/>
        <v>8</v>
      </c>
      <c r="C226" s="492">
        <f t="shared" si="58"/>
        <v>3</v>
      </c>
      <c r="D226" s="492">
        <f t="shared" si="58"/>
        <v>1</v>
      </c>
      <c r="E226" s="492">
        <f t="shared" si="46"/>
        <v>1</v>
      </c>
      <c r="F226" s="499" t="s">
        <v>645</v>
      </c>
      <c r="G226" s="499" t="str">
        <f t="shared" si="47"/>
        <v>1_80 to 1_89 gpm</v>
      </c>
      <c r="H226" s="492" t="str">
        <f t="shared" si="48"/>
        <v>Mail-by-Request</v>
      </c>
      <c r="I226" s="492" t="str">
        <f t="shared" si="48"/>
        <v>2_00</v>
      </c>
      <c r="J226" s="492" t="str">
        <f t="shared" si="48"/>
        <v>Electric Water Heating</v>
      </c>
      <c r="K226" s="492" t="str">
        <f t="shared" si="49"/>
        <v>Commercial Showerhead Replacement_Fitness Center_precondition 1_80 to 1_89 gpm_efficient 2_00 gpm_Mail-by-Request_Electric Water Heating</v>
      </c>
      <c r="L226" s="493">
        <f>INDEX(InstallRatesCostAndLifetime!$A$2:$D$6,MATCH(InputForProCost_FitnessCenter!H226,InstallRatesCostAndLifetime!$A$2:$A$6,0),MATCH(InputForProCost_FitnessCenter!I226,InstallRatesCostAndLifetime!$A$2:$D$2,0))</f>
        <v>0.6</v>
      </c>
      <c r="M226" s="493">
        <f t="shared" si="50"/>
        <v>1</v>
      </c>
      <c r="N226" s="492"/>
      <c r="O226" s="492" t="str">
        <f t="shared" si="51"/>
        <v>Fitness Center1_80 to 1_89 gpm2_00</v>
      </c>
      <c r="P226" s="494">
        <f>VLOOKUP($O226,Impacts!$F$27:$Z$59,16,FALSE)</f>
        <v>448.40958509735719</v>
      </c>
      <c r="Q226" s="494">
        <f>VLOOKUP($O226,Impacts!$F$27:$Z$59,17,FALSE)*L226</f>
        <v>9.0288712971930725</v>
      </c>
      <c r="R226" s="495">
        <f>VLOOKUP($O226,Impacts!$F$27:$Z$59,19,FALSE)*L226</f>
        <v>11.998399819669929</v>
      </c>
      <c r="S226" s="496">
        <f>VLOOKUP($O226,Impacts!$F$27:$Z$59,20,FALSE)*L226</f>
        <v>1706.7809635525657</v>
      </c>
      <c r="T226" s="497">
        <f>VLOOKUP($O226,Impacts!$F$27:$Z$59,21,FALSE)*L226</f>
        <v>22.465818021408563</v>
      </c>
      <c r="U226" s="492"/>
      <c r="V226" s="492" t="str">
        <f t="shared" si="52"/>
        <v>Commercial Showerhead Replacement_Fitness Center_precondition 1_80 to 1_89 gpm_efficient 2_00 gpm_Mail-by-Request_Electric Water Heating</v>
      </c>
      <c r="W226" s="492" t="s">
        <v>440</v>
      </c>
      <c r="X226" s="494">
        <f t="shared" si="55"/>
        <v>269.04575105841428</v>
      </c>
      <c r="Y226" s="492">
        <v>10</v>
      </c>
      <c r="Z226" s="498">
        <f t="shared" si="56"/>
        <v>8.1096944444444432</v>
      </c>
      <c r="AA226" s="492"/>
      <c r="AB226" s="499" t="s">
        <v>441</v>
      </c>
      <c r="AC226" s="497">
        <f t="shared" si="57"/>
        <v>22.465818021408563</v>
      </c>
      <c r="AD226" s="492"/>
      <c r="AE226" s="492"/>
      <c r="AF226" s="492"/>
      <c r="AG226" s="492"/>
      <c r="AH226" s="492"/>
      <c r="AI226" s="492"/>
      <c r="AJ226" s="492">
        <f t="shared" si="53"/>
        <v>0</v>
      </c>
      <c r="AK226" s="492" t="s">
        <v>442</v>
      </c>
    </row>
    <row r="227" spans="1:37">
      <c r="A227" s="492">
        <f t="shared" si="54"/>
        <v>209</v>
      </c>
      <c r="B227" s="492">
        <f t="shared" si="58"/>
        <v>8</v>
      </c>
      <c r="C227" s="492">
        <f t="shared" si="58"/>
        <v>3</v>
      </c>
      <c r="D227" s="492">
        <f t="shared" si="58"/>
        <v>1</v>
      </c>
      <c r="E227" s="492">
        <f t="shared" si="46"/>
        <v>2</v>
      </c>
      <c r="F227" s="499" t="s">
        <v>645</v>
      </c>
      <c r="G227" s="499" t="str">
        <f t="shared" si="47"/>
        <v>1_80 to 1_89 gpm</v>
      </c>
      <c r="H227" s="492" t="str">
        <f t="shared" si="48"/>
        <v>Mail-by-Request</v>
      </c>
      <c r="I227" s="492" t="str">
        <f t="shared" si="48"/>
        <v>2_00</v>
      </c>
      <c r="J227" s="492" t="str">
        <f t="shared" si="48"/>
        <v>Gas Water Heating</v>
      </c>
      <c r="K227" s="492" t="str">
        <f t="shared" si="49"/>
        <v>Commercial Showerhead Replacement_Fitness Center_precondition 1_80 to 1_89 gpm_efficient 2_00 gpm_Mail-by-Request_Gas Water Heating</v>
      </c>
      <c r="L227" s="493">
        <f>INDEX(InstallRatesCostAndLifetime!$A$2:$D$6,MATCH(InputForProCost_FitnessCenter!H227,InstallRatesCostAndLifetime!$A$2:$A$6,0),MATCH(InputForProCost_FitnessCenter!I227,InstallRatesCostAndLifetime!$A$2:$D$2,0))</f>
        <v>0.6</v>
      </c>
      <c r="M227" s="493">
        <f t="shared" si="50"/>
        <v>0</v>
      </c>
      <c r="N227" s="492"/>
      <c r="O227" s="492" t="str">
        <f t="shared" si="51"/>
        <v>Fitness Center1_80 to 1_89 gpm2_00</v>
      </c>
      <c r="P227" s="494">
        <f>VLOOKUP($O227,Impacts!$F$27:$Z$59,16,FALSE)</f>
        <v>448.40958509735719</v>
      </c>
      <c r="Q227" s="494">
        <f>VLOOKUP($O227,Impacts!$F$27:$Z$59,17,FALSE)*L227</f>
        <v>9.0288712971930725</v>
      </c>
      <c r="R227" s="495">
        <f>VLOOKUP($O227,Impacts!$F$27:$Z$59,19,FALSE)*L227</f>
        <v>11.998399819669929</v>
      </c>
      <c r="S227" s="496">
        <f>VLOOKUP($O227,Impacts!$F$27:$Z$59,20,FALSE)*L227</f>
        <v>1706.7809635525657</v>
      </c>
      <c r="T227" s="497">
        <f>VLOOKUP($O227,Impacts!$F$27:$Z$59,21,FALSE)*L227</f>
        <v>22.465818021408563</v>
      </c>
      <c r="U227" s="492"/>
      <c r="V227" s="492" t="str">
        <f t="shared" si="52"/>
        <v>Commercial Showerhead Replacement_Fitness Center_precondition 1_80 to 1_89 gpm_efficient 2_00 gpm_Mail-by-Request_Gas Water Heating</v>
      </c>
      <c r="W227" s="492" t="s">
        <v>440</v>
      </c>
      <c r="X227" s="494">
        <f t="shared" si="55"/>
        <v>0</v>
      </c>
      <c r="Y227" s="492">
        <v>10</v>
      </c>
      <c r="Z227" s="498">
        <f t="shared" si="56"/>
        <v>8.1096944444444432</v>
      </c>
      <c r="AA227" s="492"/>
      <c r="AB227" s="499" t="s">
        <v>441</v>
      </c>
      <c r="AC227" s="497">
        <f t="shared" si="57"/>
        <v>22.465818021408563</v>
      </c>
      <c r="AD227" s="492"/>
      <c r="AE227" s="492"/>
      <c r="AF227" s="492"/>
      <c r="AG227" s="492"/>
      <c r="AH227" s="492"/>
      <c r="AI227" s="492"/>
      <c r="AJ227" s="492">
        <f t="shared" si="53"/>
        <v>11.998399819669929</v>
      </c>
      <c r="AK227" s="492" t="s">
        <v>442</v>
      </c>
    </row>
    <row r="228" spans="1:37">
      <c r="A228" s="492">
        <f t="shared" si="54"/>
        <v>210</v>
      </c>
      <c r="B228" s="492">
        <f t="shared" si="58"/>
        <v>8</v>
      </c>
      <c r="C228" s="492">
        <f t="shared" si="58"/>
        <v>3</v>
      </c>
      <c r="D228" s="492">
        <f t="shared" si="58"/>
        <v>1</v>
      </c>
      <c r="E228" s="492">
        <f t="shared" si="46"/>
        <v>3</v>
      </c>
      <c r="F228" s="499" t="s">
        <v>645</v>
      </c>
      <c r="G228" s="499" t="str">
        <f t="shared" si="47"/>
        <v>1_80 to 1_89 gpm</v>
      </c>
      <c r="H228" s="492" t="str">
        <f t="shared" si="48"/>
        <v>Mail-by-Request</v>
      </c>
      <c r="I228" s="492" t="str">
        <f t="shared" si="48"/>
        <v>2_00</v>
      </c>
      <c r="J228" s="492" t="str">
        <f t="shared" si="48"/>
        <v>Any Water Heating</v>
      </c>
      <c r="K228" s="492" t="str">
        <f t="shared" si="49"/>
        <v>Commercial Showerhead Replacement_Fitness Center_precondition 1_80 to 1_89 gpm_efficient 2_00 gpm_Mail-by-Request_Any Water Heating</v>
      </c>
      <c r="L228" s="493">
        <f>INDEX(InstallRatesCostAndLifetime!$A$2:$D$6,MATCH(InputForProCost_FitnessCenter!H228,InstallRatesCostAndLifetime!$A$2:$A$6,0),MATCH(InputForProCost_FitnessCenter!I228,InstallRatesCostAndLifetime!$A$2:$D$2,0))</f>
        <v>0.6</v>
      </c>
      <c r="M228" s="493">
        <f t="shared" si="50"/>
        <v>0.31666666666666665</v>
      </c>
      <c r="N228" s="492"/>
      <c r="O228" s="492" t="str">
        <f t="shared" si="51"/>
        <v>Fitness Center1_80 to 1_89 gpm2_00</v>
      </c>
      <c r="P228" s="494">
        <f>VLOOKUP($O228,Impacts!$F$27:$Z$59,16,FALSE)</f>
        <v>448.40958509735719</v>
      </c>
      <c r="Q228" s="494">
        <f>VLOOKUP($O228,Impacts!$F$27:$Z$59,17,FALSE)*L228</f>
        <v>9.0288712971930725</v>
      </c>
      <c r="R228" s="495">
        <f>VLOOKUP($O228,Impacts!$F$27:$Z$59,19,FALSE)*L228</f>
        <v>11.998399819669929</v>
      </c>
      <c r="S228" s="496">
        <f>VLOOKUP($O228,Impacts!$F$27:$Z$59,20,FALSE)*L228</f>
        <v>1706.7809635525657</v>
      </c>
      <c r="T228" s="497">
        <f>VLOOKUP($O228,Impacts!$F$27:$Z$59,21,FALSE)*L228</f>
        <v>22.465818021408563</v>
      </c>
      <c r="U228" s="492"/>
      <c r="V228" s="492" t="str">
        <f t="shared" si="52"/>
        <v>Commercial Showerhead Replacement_Fitness Center_precondition 1_80 to 1_89 gpm_efficient 2_00 gpm_Mail-by-Request_Any Water Heating</v>
      </c>
      <c r="W228" s="492" t="s">
        <v>440</v>
      </c>
      <c r="X228" s="494">
        <f t="shared" si="55"/>
        <v>85.197821168497867</v>
      </c>
      <c r="Y228" s="492">
        <v>10</v>
      </c>
      <c r="Z228" s="498">
        <f t="shared" si="56"/>
        <v>8.1096944444444432</v>
      </c>
      <c r="AA228" s="492"/>
      <c r="AB228" s="499" t="s">
        <v>441</v>
      </c>
      <c r="AC228" s="497">
        <f t="shared" si="57"/>
        <v>22.465818021408563</v>
      </c>
      <c r="AD228" s="492"/>
      <c r="AE228" s="492"/>
      <c r="AF228" s="492"/>
      <c r="AG228" s="492"/>
      <c r="AH228" s="492"/>
      <c r="AI228" s="492"/>
      <c r="AJ228" s="492">
        <f t="shared" si="53"/>
        <v>8.1989065434411188</v>
      </c>
      <c r="AK228" s="492" t="s">
        <v>442</v>
      </c>
    </row>
    <row r="229" spans="1:37">
      <c r="A229" s="492">
        <f t="shared" si="54"/>
        <v>211</v>
      </c>
      <c r="B229" s="492">
        <f t="shared" si="58"/>
        <v>8</v>
      </c>
      <c r="C229" s="492">
        <f t="shared" si="58"/>
        <v>3</v>
      </c>
      <c r="D229" s="492">
        <f t="shared" si="58"/>
        <v>2</v>
      </c>
      <c r="E229" s="492">
        <f t="shared" si="46"/>
        <v>1</v>
      </c>
      <c r="F229" s="499" t="s">
        <v>645</v>
      </c>
      <c r="G229" s="499" t="str">
        <f t="shared" si="47"/>
        <v>1_80 to 1_89 gpm</v>
      </c>
      <c r="H229" s="492" t="str">
        <f t="shared" si="48"/>
        <v>Mail-by-Request</v>
      </c>
      <c r="I229" s="492" t="str">
        <f t="shared" si="48"/>
        <v>1_75</v>
      </c>
      <c r="J229" s="492" t="str">
        <f t="shared" si="48"/>
        <v>Electric Water Heating</v>
      </c>
      <c r="K229" s="492" t="str">
        <f t="shared" si="49"/>
        <v>Commercial Showerhead Replacement_Fitness Center_precondition 1_80 to 1_89 gpm_efficient 1_75 gpm_Mail-by-Request_Electric Water Heating</v>
      </c>
      <c r="L229" s="493">
        <f>INDEX(InstallRatesCostAndLifetime!$A$2:$D$6,MATCH(InputForProCost_FitnessCenter!H229,InstallRatesCostAndLifetime!$A$2:$A$6,0),MATCH(InputForProCost_FitnessCenter!I229,InstallRatesCostAndLifetime!$A$2:$D$2,0))</f>
        <v>0.6</v>
      </c>
      <c r="M229" s="493">
        <f t="shared" si="50"/>
        <v>1</v>
      </c>
      <c r="N229" s="492"/>
      <c r="O229" s="492" t="str">
        <f t="shared" si="51"/>
        <v>Fitness Center1_80 to 1_89 gpm1_75</v>
      </c>
      <c r="P229" s="494">
        <f>VLOOKUP($O229,Impacts!$F$27:$Z$59,16,FALSE)</f>
        <v>621.87056778513397</v>
      </c>
      <c r="Q229" s="494">
        <f>VLOOKUP($O229,Impacts!$F$27:$Z$59,17,FALSE)*L229</f>
        <v>18.057742594386191</v>
      </c>
      <c r="R229" s="495">
        <f>VLOOKUP($O229,Impacts!$F$27:$Z$59,19,FALSE)*L229</f>
        <v>16.639813144830871</v>
      </c>
      <c r="S229" s="496">
        <f>VLOOKUP($O229,Impacts!$F$27:$Z$59,20,FALSE)*L229</f>
        <v>3413.5619271051401</v>
      </c>
      <c r="T229" s="497">
        <f>VLOOKUP($O229,Impacts!$F$27:$Z$59,21,FALSE)*L229</f>
        <v>44.931636042817239</v>
      </c>
      <c r="U229" s="492"/>
      <c r="V229" s="492" t="str">
        <f t="shared" si="52"/>
        <v>Commercial Showerhead Replacement_Fitness Center_precondition 1_80 to 1_89 gpm_efficient 1_75 gpm_Mail-by-Request_Electric Water Heating</v>
      </c>
      <c r="W229" s="492" t="s">
        <v>440</v>
      </c>
      <c r="X229" s="494">
        <f t="shared" si="55"/>
        <v>373.12234067108039</v>
      </c>
      <c r="Y229" s="492">
        <v>10</v>
      </c>
      <c r="Z229" s="498">
        <f t="shared" si="56"/>
        <v>8.1096944444444432</v>
      </c>
      <c r="AA229" s="492"/>
      <c r="AB229" s="499" t="s">
        <v>441</v>
      </c>
      <c r="AC229" s="497">
        <f t="shared" si="57"/>
        <v>44.931636042817239</v>
      </c>
      <c r="AD229" s="492"/>
      <c r="AE229" s="492"/>
      <c r="AF229" s="492"/>
      <c r="AG229" s="492"/>
      <c r="AH229" s="492"/>
      <c r="AI229" s="492"/>
      <c r="AJ229" s="492">
        <f t="shared" si="53"/>
        <v>0</v>
      </c>
      <c r="AK229" s="492" t="s">
        <v>442</v>
      </c>
    </row>
    <row r="230" spans="1:37">
      <c r="A230" s="492">
        <f t="shared" si="54"/>
        <v>212</v>
      </c>
      <c r="B230" s="492">
        <f t="shared" si="58"/>
        <v>8</v>
      </c>
      <c r="C230" s="492">
        <f t="shared" si="58"/>
        <v>3</v>
      </c>
      <c r="D230" s="492">
        <f t="shared" si="58"/>
        <v>2</v>
      </c>
      <c r="E230" s="492">
        <f t="shared" si="46"/>
        <v>2</v>
      </c>
      <c r="F230" s="499" t="s">
        <v>645</v>
      </c>
      <c r="G230" s="499" t="str">
        <f t="shared" si="47"/>
        <v>1_80 to 1_89 gpm</v>
      </c>
      <c r="H230" s="492" t="str">
        <f t="shared" si="48"/>
        <v>Mail-by-Request</v>
      </c>
      <c r="I230" s="492" t="str">
        <f t="shared" si="48"/>
        <v>1_75</v>
      </c>
      <c r="J230" s="492" t="str">
        <f t="shared" si="48"/>
        <v>Gas Water Heating</v>
      </c>
      <c r="K230" s="492" t="str">
        <f t="shared" si="49"/>
        <v>Commercial Showerhead Replacement_Fitness Center_precondition 1_80 to 1_89 gpm_efficient 1_75 gpm_Mail-by-Request_Gas Water Heating</v>
      </c>
      <c r="L230" s="493">
        <f>INDEX(InstallRatesCostAndLifetime!$A$2:$D$6,MATCH(InputForProCost_FitnessCenter!H230,InstallRatesCostAndLifetime!$A$2:$A$6,0),MATCH(InputForProCost_FitnessCenter!I230,InstallRatesCostAndLifetime!$A$2:$D$2,0))</f>
        <v>0.6</v>
      </c>
      <c r="M230" s="493">
        <f t="shared" si="50"/>
        <v>0</v>
      </c>
      <c r="N230" s="492"/>
      <c r="O230" s="492" t="str">
        <f t="shared" si="51"/>
        <v>Fitness Center1_80 to 1_89 gpm1_75</v>
      </c>
      <c r="P230" s="494">
        <f>VLOOKUP($O230,Impacts!$F$27:$Z$59,16,FALSE)</f>
        <v>621.87056778513397</v>
      </c>
      <c r="Q230" s="494">
        <f>VLOOKUP($O230,Impacts!$F$27:$Z$59,17,FALSE)*L230</f>
        <v>18.057742594386191</v>
      </c>
      <c r="R230" s="495">
        <f>VLOOKUP($O230,Impacts!$F$27:$Z$59,19,FALSE)*L230</f>
        <v>16.639813144830871</v>
      </c>
      <c r="S230" s="496">
        <f>VLOOKUP($O230,Impacts!$F$27:$Z$59,20,FALSE)*L230</f>
        <v>3413.5619271051401</v>
      </c>
      <c r="T230" s="497">
        <f>VLOOKUP($O230,Impacts!$F$27:$Z$59,21,FALSE)*L230</f>
        <v>44.931636042817239</v>
      </c>
      <c r="U230" s="492"/>
      <c r="V230" s="492" t="str">
        <f t="shared" si="52"/>
        <v>Commercial Showerhead Replacement_Fitness Center_precondition 1_80 to 1_89 gpm_efficient 1_75 gpm_Mail-by-Request_Gas Water Heating</v>
      </c>
      <c r="W230" s="492" t="s">
        <v>440</v>
      </c>
      <c r="X230" s="494">
        <f t="shared" si="55"/>
        <v>0</v>
      </c>
      <c r="Y230" s="492">
        <v>10</v>
      </c>
      <c r="Z230" s="498">
        <f t="shared" si="56"/>
        <v>8.1096944444444432</v>
      </c>
      <c r="AA230" s="492"/>
      <c r="AB230" s="499" t="s">
        <v>441</v>
      </c>
      <c r="AC230" s="497">
        <f t="shared" si="57"/>
        <v>44.931636042817239</v>
      </c>
      <c r="AD230" s="492"/>
      <c r="AE230" s="492"/>
      <c r="AF230" s="492"/>
      <c r="AG230" s="492"/>
      <c r="AH230" s="492"/>
      <c r="AI230" s="492"/>
      <c r="AJ230" s="492">
        <f t="shared" si="53"/>
        <v>16.639813144830871</v>
      </c>
      <c r="AK230" s="492" t="s">
        <v>442</v>
      </c>
    </row>
    <row r="231" spans="1:37">
      <c r="A231" s="492">
        <f t="shared" si="54"/>
        <v>213</v>
      </c>
      <c r="B231" s="492">
        <f t="shared" si="58"/>
        <v>8</v>
      </c>
      <c r="C231" s="492">
        <f t="shared" si="58"/>
        <v>3</v>
      </c>
      <c r="D231" s="492">
        <f t="shared" si="58"/>
        <v>2</v>
      </c>
      <c r="E231" s="492">
        <f t="shared" si="46"/>
        <v>3</v>
      </c>
      <c r="F231" s="499" t="s">
        <v>645</v>
      </c>
      <c r="G231" s="499" t="str">
        <f t="shared" si="47"/>
        <v>1_80 to 1_89 gpm</v>
      </c>
      <c r="H231" s="492" t="str">
        <f t="shared" si="48"/>
        <v>Mail-by-Request</v>
      </c>
      <c r="I231" s="492" t="str">
        <f t="shared" si="48"/>
        <v>1_75</v>
      </c>
      <c r="J231" s="492" t="str">
        <f t="shared" si="48"/>
        <v>Any Water Heating</v>
      </c>
      <c r="K231" s="492" t="str">
        <f t="shared" si="49"/>
        <v>Commercial Showerhead Replacement_Fitness Center_precondition 1_80 to 1_89 gpm_efficient 1_75 gpm_Mail-by-Request_Any Water Heating</v>
      </c>
      <c r="L231" s="493">
        <f>INDEX(InstallRatesCostAndLifetime!$A$2:$D$6,MATCH(InputForProCost_FitnessCenter!H231,InstallRatesCostAndLifetime!$A$2:$A$6,0),MATCH(InputForProCost_FitnessCenter!I231,InstallRatesCostAndLifetime!$A$2:$D$2,0))</f>
        <v>0.6</v>
      </c>
      <c r="M231" s="493">
        <f t="shared" si="50"/>
        <v>0.31666666666666665</v>
      </c>
      <c r="N231" s="492"/>
      <c r="O231" s="492" t="str">
        <f t="shared" si="51"/>
        <v>Fitness Center1_80 to 1_89 gpm1_75</v>
      </c>
      <c r="P231" s="494">
        <f>VLOOKUP($O231,Impacts!$F$27:$Z$59,16,FALSE)</f>
        <v>621.87056778513397</v>
      </c>
      <c r="Q231" s="494">
        <f>VLOOKUP($O231,Impacts!$F$27:$Z$59,17,FALSE)*L231</f>
        <v>18.057742594386191</v>
      </c>
      <c r="R231" s="495">
        <f>VLOOKUP($O231,Impacts!$F$27:$Z$59,19,FALSE)*L231</f>
        <v>16.639813144830871</v>
      </c>
      <c r="S231" s="496">
        <f>VLOOKUP($O231,Impacts!$F$27:$Z$59,20,FALSE)*L231</f>
        <v>3413.5619271051401</v>
      </c>
      <c r="T231" s="497">
        <f>VLOOKUP($O231,Impacts!$F$27:$Z$59,21,FALSE)*L231</f>
        <v>44.931636042817239</v>
      </c>
      <c r="U231" s="492"/>
      <c r="V231" s="492" t="str">
        <f t="shared" si="52"/>
        <v>Commercial Showerhead Replacement_Fitness Center_precondition 1_80 to 1_89 gpm_efficient 1_75 gpm_Mail-by-Request_Any Water Heating</v>
      </c>
      <c r="W231" s="492" t="s">
        <v>440</v>
      </c>
      <c r="X231" s="494">
        <f t="shared" si="55"/>
        <v>118.15540787917544</v>
      </c>
      <c r="Y231" s="492">
        <v>10</v>
      </c>
      <c r="Z231" s="498">
        <f t="shared" si="56"/>
        <v>8.1096944444444432</v>
      </c>
      <c r="AA231" s="492"/>
      <c r="AB231" s="499" t="s">
        <v>441</v>
      </c>
      <c r="AC231" s="497">
        <f t="shared" si="57"/>
        <v>44.931636042817239</v>
      </c>
      <c r="AD231" s="492"/>
      <c r="AE231" s="492"/>
      <c r="AF231" s="492"/>
      <c r="AG231" s="492"/>
      <c r="AH231" s="492"/>
      <c r="AI231" s="492"/>
      <c r="AJ231" s="492">
        <f t="shared" si="53"/>
        <v>11.370538982301095</v>
      </c>
      <c r="AK231" s="492" t="s">
        <v>442</v>
      </c>
    </row>
    <row r="232" spans="1:37">
      <c r="A232" s="492">
        <f t="shared" si="54"/>
        <v>214</v>
      </c>
      <c r="B232" s="492">
        <f t="shared" si="58"/>
        <v>8</v>
      </c>
      <c r="C232" s="492">
        <f t="shared" si="58"/>
        <v>3</v>
      </c>
      <c r="D232" s="492">
        <f t="shared" si="58"/>
        <v>3</v>
      </c>
      <c r="E232" s="492">
        <f t="shared" si="46"/>
        <v>1</v>
      </c>
      <c r="F232" s="499" t="s">
        <v>645</v>
      </c>
      <c r="G232" s="499" t="str">
        <f t="shared" si="47"/>
        <v>1_80 to 1_89 gpm</v>
      </c>
      <c r="H232" s="492" t="str">
        <f t="shared" si="48"/>
        <v>Mail-by-Request</v>
      </c>
      <c r="I232" s="492" t="str">
        <f t="shared" si="48"/>
        <v>1_50</v>
      </c>
      <c r="J232" s="492" t="str">
        <f t="shared" si="48"/>
        <v>Electric Water Heating</v>
      </c>
      <c r="K232" s="492" t="str">
        <f t="shared" si="49"/>
        <v>Commercial Showerhead Replacement_Fitness Center_precondition 1_80 to 1_89 gpm_efficient 1_50 gpm_Mail-by-Request_Electric Water Heating</v>
      </c>
      <c r="L232" s="493">
        <f>INDEX(InstallRatesCostAndLifetime!$A$2:$D$6,MATCH(InputForProCost_FitnessCenter!H232,InstallRatesCostAndLifetime!$A$2:$A$6,0),MATCH(InputForProCost_FitnessCenter!I232,InstallRatesCostAndLifetime!$A$2:$D$2,0))</f>
        <v>0.6</v>
      </c>
      <c r="M232" s="493">
        <f t="shared" si="50"/>
        <v>1</v>
      </c>
      <c r="N232" s="492"/>
      <c r="O232" s="492" t="str">
        <f t="shared" si="51"/>
        <v>Fitness Center1_80 to 1_89 gpm1_50</v>
      </c>
      <c r="P232" s="494">
        <f>VLOOKUP($O232,Impacts!$F$27:$Z$59,16,FALSE)</f>
        <v>2421.2046419344715</v>
      </c>
      <c r="Q232" s="494">
        <f>VLOOKUP($O232,Impacts!$F$27:$Z$59,17,FALSE)*L232</f>
        <v>63.202099080351829</v>
      </c>
      <c r="R232" s="495">
        <f>VLOOKUP($O232,Impacts!$F$27:$Z$59,19,FALSE)*L232</f>
        <v>64.785817040157895</v>
      </c>
      <c r="S232" s="496">
        <f>VLOOKUP($O232,Impacts!$F$27:$Z$59,20,FALSE)*L232</f>
        <v>11947.466744868021</v>
      </c>
      <c r="T232" s="497">
        <f>VLOOKUP($O232,Impacts!$F$27:$Z$59,21,FALSE)*L232</f>
        <v>157.26072614986074</v>
      </c>
      <c r="U232" s="492"/>
      <c r="V232" s="492" t="str">
        <f t="shared" si="52"/>
        <v>Commercial Showerhead Replacement_Fitness Center_precondition 1_80 to 1_89 gpm_efficient 1_50 gpm_Mail-by-Request_Electric Water Heating</v>
      </c>
      <c r="W232" s="492" t="s">
        <v>440</v>
      </c>
      <c r="X232" s="494">
        <f t="shared" si="55"/>
        <v>1452.7227851606829</v>
      </c>
      <c r="Y232" s="492">
        <v>10</v>
      </c>
      <c r="Z232" s="498">
        <f t="shared" si="56"/>
        <v>8.1096944444444432</v>
      </c>
      <c r="AA232" s="492"/>
      <c r="AB232" s="499" t="s">
        <v>441</v>
      </c>
      <c r="AC232" s="497">
        <f t="shared" si="57"/>
        <v>157.26072614986074</v>
      </c>
      <c r="AD232" s="492"/>
      <c r="AE232" s="492"/>
      <c r="AF232" s="492"/>
      <c r="AG232" s="492"/>
      <c r="AH232" s="492"/>
      <c r="AI232" s="492"/>
      <c r="AJ232" s="492">
        <f t="shared" si="53"/>
        <v>0</v>
      </c>
      <c r="AK232" s="492" t="s">
        <v>442</v>
      </c>
    </row>
    <row r="233" spans="1:37">
      <c r="A233" s="492">
        <f t="shared" si="54"/>
        <v>215</v>
      </c>
      <c r="B233" s="492">
        <f t="shared" si="58"/>
        <v>8</v>
      </c>
      <c r="C233" s="492">
        <f t="shared" si="58"/>
        <v>3</v>
      </c>
      <c r="D233" s="492">
        <f t="shared" si="58"/>
        <v>3</v>
      </c>
      <c r="E233" s="492">
        <f t="shared" si="46"/>
        <v>2</v>
      </c>
      <c r="F233" s="499" t="s">
        <v>645</v>
      </c>
      <c r="G233" s="499" t="str">
        <f t="shared" si="47"/>
        <v>1_80 to 1_89 gpm</v>
      </c>
      <c r="H233" s="492" t="str">
        <f t="shared" si="48"/>
        <v>Mail-by-Request</v>
      </c>
      <c r="I233" s="492" t="str">
        <f t="shared" si="48"/>
        <v>1_50</v>
      </c>
      <c r="J233" s="492" t="str">
        <f t="shared" si="48"/>
        <v>Gas Water Heating</v>
      </c>
      <c r="K233" s="492" t="str">
        <f t="shared" si="49"/>
        <v>Commercial Showerhead Replacement_Fitness Center_precondition 1_80 to 1_89 gpm_efficient 1_50 gpm_Mail-by-Request_Gas Water Heating</v>
      </c>
      <c r="L233" s="493">
        <f>INDEX(InstallRatesCostAndLifetime!$A$2:$D$6,MATCH(InputForProCost_FitnessCenter!H233,InstallRatesCostAndLifetime!$A$2:$A$6,0),MATCH(InputForProCost_FitnessCenter!I233,InstallRatesCostAndLifetime!$A$2:$D$2,0))</f>
        <v>0.6</v>
      </c>
      <c r="M233" s="493">
        <f t="shared" si="50"/>
        <v>0</v>
      </c>
      <c r="N233" s="492"/>
      <c r="O233" s="492" t="str">
        <f t="shared" si="51"/>
        <v>Fitness Center1_80 to 1_89 gpm1_50</v>
      </c>
      <c r="P233" s="494">
        <f>VLOOKUP($O233,Impacts!$F$27:$Z$59,16,FALSE)</f>
        <v>2421.2046419344715</v>
      </c>
      <c r="Q233" s="494">
        <f>VLOOKUP($O233,Impacts!$F$27:$Z$59,17,FALSE)*L233</f>
        <v>63.202099080351829</v>
      </c>
      <c r="R233" s="495">
        <f>VLOOKUP($O233,Impacts!$F$27:$Z$59,19,FALSE)*L233</f>
        <v>64.785817040157895</v>
      </c>
      <c r="S233" s="496">
        <f>VLOOKUP($O233,Impacts!$F$27:$Z$59,20,FALSE)*L233</f>
        <v>11947.466744868021</v>
      </c>
      <c r="T233" s="497">
        <f>VLOOKUP($O233,Impacts!$F$27:$Z$59,21,FALSE)*L233</f>
        <v>157.26072614986074</v>
      </c>
      <c r="U233" s="492"/>
      <c r="V233" s="492" t="str">
        <f t="shared" si="52"/>
        <v>Commercial Showerhead Replacement_Fitness Center_precondition 1_80 to 1_89 gpm_efficient 1_50 gpm_Mail-by-Request_Gas Water Heating</v>
      </c>
      <c r="W233" s="492" t="s">
        <v>440</v>
      </c>
      <c r="X233" s="494">
        <f t="shared" si="55"/>
        <v>0</v>
      </c>
      <c r="Y233" s="492">
        <v>10</v>
      </c>
      <c r="Z233" s="498">
        <f t="shared" si="56"/>
        <v>8.1096944444444432</v>
      </c>
      <c r="AA233" s="492"/>
      <c r="AB233" s="499" t="s">
        <v>441</v>
      </c>
      <c r="AC233" s="497">
        <f t="shared" si="57"/>
        <v>157.26072614986074</v>
      </c>
      <c r="AD233" s="492"/>
      <c r="AE233" s="492"/>
      <c r="AF233" s="492"/>
      <c r="AG233" s="492"/>
      <c r="AH233" s="492"/>
      <c r="AI233" s="492"/>
      <c r="AJ233" s="492">
        <f t="shared" si="53"/>
        <v>64.785817040157895</v>
      </c>
      <c r="AK233" s="492" t="s">
        <v>442</v>
      </c>
    </row>
    <row r="234" spans="1:37">
      <c r="A234" s="492">
        <f t="shared" si="54"/>
        <v>216</v>
      </c>
      <c r="B234" s="492">
        <f t="shared" si="58"/>
        <v>8</v>
      </c>
      <c r="C234" s="492">
        <f t="shared" si="58"/>
        <v>3</v>
      </c>
      <c r="D234" s="492">
        <f t="shared" si="58"/>
        <v>3</v>
      </c>
      <c r="E234" s="492">
        <f t="shared" si="46"/>
        <v>3</v>
      </c>
      <c r="F234" s="499" t="s">
        <v>645</v>
      </c>
      <c r="G234" s="499" t="str">
        <f t="shared" si="47"/>
        <v>1_80 to 1_89 gpm</v>
      </c>
      <c r="H234" s="492" t="str">
        <f t="shared" si="48"/>
        <v>Mail-by-Request</v>
      </c>
      <c r="I234" s="492" t="str">
        <f t="shared" si="48"/>
        <v>1_50</v>
      </c>
      <c r="J234" s="492" t="str">
        <f t="shared" si="48"/>
        <v>Any Water Heating</v>
      </c>
      <c r="K234" s="492" t="str">
        <f t="shared" si="49"/>
        <v>Commercial Showerhead Replacement_Fitness Center_precondition 1_80 to 1_89 gpm_efficient 1_50 gpm_Mail-by-Request_Any Water Heating</v>
      </c>
      <c r="L234" s="493">
        <f>INDEX(InstallRatesCostAndLifetime!$A$2:$D$6,MATCH(InputForProCost_FitnessCenter!H234,InstallRatesCostAndLifetime!$A$2:$A$6,0),MATCH(InputForProCost_FitnessCenter!I234,InstallRatesCostAndLifetime!$A$2:$D$2,0))</f>
        <v>0.6</v>
      </c>
      <c r="M234" s="493">
        <f t="shared" si="50"/>
        <v>0.31666666666666665</v>
      </c>
      <c r="N234" s="492"/>
      <c r="O234" s="492" t="str">
        <f t="shared" si="51"/>
        <v>Fitness Center1_80 to 1_89 gpm1_50</v>
      </c>
      <c r="P234" s="494">
        <f>VLOOKUP($O234,Impacts!$F$27:$Z$59,16,FALSE)</f>
        <v>2421.2046419344715</v>
      </c>
      <c r="Q234" s="494">
        <f>VLOOKUP($O234,Impacts!$F$27:$Z$59,17,FALSE)*L234</f>
        <v>63.202099080351829</v>
      </c>
      <c r="R234" s="495">
        <f>VLOOKUP($O234,Impacts!$F$27:$Z$59,19,FALSE)*L234</f>
        <v>64.785817040157895</v>
      </c>
      <c r="S234" s="496">
        <f>VLOOKUP($O234,Impacts!$F$27:$Z$59,20,FALSE)*L234</f>
        <v>11947.466744868021</v>
      </c>
      <c r="T234" s="497">
        <f>VLOOKUP($O234,Impacts!$F$27:$Z$59,21,FALSE)*L234</f>
        <v>157.26072614986074</v>
      </c>
      <c r="U234" s="492"/>
      <c r="V234" s="492" t="str">
        <f t="shared" si="52"/>
        <v>Commercial Showerhead Replacement_Fitness Center_precondition 1_80 to 1_89 gpm_efficient 1_50 gpm_Mail-by-Request_Any Water Heating</v>
      </c>
      <c r="W234" s="492" t="s">
        <v>440</v>
      </c>
      <c r="X234" s="494">
        <f t="shared" si="55"/>
        <v>460.02888196754958</v>
      </c>
      <c r="Y234" s="492">
        <v>10</v>
      </c>
      <c r="Z234" s="498">
        <f t="shared" si="56"/>
        <v>8.1096944444444432</v>
      </c>
      <c r="AA234" s="492"/>
      <c r="AB234" s="499" t="s">
        <v>441</v>
      </c>
      <c r="AC234" s="497">
        <f t="shared" si="57"/>
        <v>157.26072614986074</v>
      </c>
      <c r="AD234" s="492"/>
      <c r="AE234" s="492"/>
      <c r="AF234" s="492"/>
      <c r="AG234" s="492"/>
      <c r="AH234" s="492"/>
      <c r="AI234" s="492"/>
      <c r="AJ234" s="492">
        <f t="shared" si="53"/>
        <v>44.27030831077456</v>
      </c>
      <c r="AK234" s="492" t="s">
        <v>442</v>
      </c>
    </row>
    <row r="235" spans="1:37">
      <c r="A235" s="492">
        <f t="shared" si="54"/>
        <v>217</v>
      </c>
      <c r="B235" s="492">
        <f t="shared" si="58"/>
        <v>9</v>
      </c>
      <c r="C235" s="492">
        <f t="shared" si="58"/>
        <v>1</v>
      </c>
      <c r="D235" s="492">
        <f t="shared" si="58"/>
        <v>1</v>
      </c>
      <c r="E235" s="492">
        <f t="shared" si="46"/>
        <v>1</v>
      </c>
      <c r="F235" s="499" t="s">
        <v>645</v>
      </c>
      <c r="G235" s="499" t="str">
        <f t="shared" si="47"/>
        <v>1_70 to 1_79 gpm</v>
      </c>
      <c r="H235" s="492" t="str">
        <f t="shared" si="48"/>
        <v>Retail</v>
      </c>
      <c r="I235" s="492" t="str">
        <f t="shared" si="48"/>
        <v>2_00</v>
      </c>
      <c r="J235" s="492" t="str">
        <f t="shared" si="48"/>
        <v>Electric Water Heating</v>
      </c>
      <c r="K235" s="492" t="str">
        <f t="shared" si="49"/>
        <v>Commercial Showerhead Replacement_Fitness Center_precondition 1_70 to 1_79 gpm_efficient 2_00 gpm_Retail_Electric Water Heating</v>
      </c>
      <c r="L235" s="493">
        <f>INDEX(InstallRatesCostAndLifetime!$A$2:$D$6,MATCH(InputForProCost_FitnessCenter!H235,InstallRatesCostAndLifetime!$A$2:$A$6,0),MATCH(InputForProCost_FitnessCenter!I235,InstallRatesCostAndLifetime!$A$2:$D$2,0))</f>
        <v>0.8</v>
      </c>
      <c r="M235" s="493">
        <f t="shared" si="50"/>
        <v>1</v>
      </c>
      <c r="N235" s="492"/>
      <c r="O235" s="492" t="str">
        <f t="shared" si="51"/>
        <v>Fitness Center1_70 to 1_79 gpm2_00</v>
      </c>
      <c r="P235" s="494">
        <f>VLOOKUP($O235,Impacts!$F$27:$Z$59,16,FALSE)</f>
        <v>-336.56608581211185</v>
      </c>
      <c r="Q235" s="494">
        <f>VLOOKUP($O235,Impacts!$F$27:$Z$59,17,FALSE)*L235</f>
        <v>-12.038495062924282</v>
      </c>
      <c r="R235" s="495">
        <f>VLOOKUP($O235,Impacts!$F$27:$Z$59,19,FALSE)*L235</f>
        <v>-12.007636463103246</v>
      </c>
      <c r="S235" s="496">
        <f>VLOOKUP($O235,Impacts!$F$27:$Z$59,20,FALSE)*L235</f>
        <v>-2275.7079514034558</v>
      </c>
      <c r="T235" s="497">
        <f>VLOOKUP($O235,Impacts!$F$27:$Z$59,21,FALSE)*L235</f>
        <v>-29.954424028545215</v>
      </c>
      <c r="U235" s="492"/>
      <c r="V235" s="492" t="str">
        <f t="shared" si="52"/>
        <v>Commercial Showerhead Replacement_Fitness Center_precondition 1_70 to 1_79 gpm_efficient 2_00 gpm_Retail_Electric Water Heating</v>
      </c>
      <c r="W235" s="492" t="s">
        <v>440</v>
      </c>
      <c r="X235" s="494">
        <f t="shared" si="55"/>
        <v>-269.2528686496895</v>
      </c>
      <c r="Y235" s="492">
        <v>10</v>
      </c>
      <c r="Z235" s="498">
        <f t="shared" si="56"/>
        <v>3.2966774171383419</v>
      </c>
      <c r="AA235" s="492"/>
      <c r="AB235" s="499" t="s">
        <v>441</v>
      </c>
      <c r="AC235" s="497">
        <f t="shared" si="57"/>
        <v>-29.954424028545215</v>
      </c>
      <c r="AD235" s="492"/>
      <c r="AE235" s="492"/>
      <c r="AF235" s="492"/>
      <c r="AG235" s="492"/>
      <c r="AH235" s="492"/>
      <c r="AI235" s="492"/>
      <c r="AJ235" s="492">
        <f t="shared" si="53"/>
        <v>0</v>
      </c>
      <c r="AK235" s="492" t="s">
        <v>442</v>
      </c>
    </row>
    <row r="236" spans="1:37">
      <c r="A236" s="492">
        <f t="shared" si="54"/>
        <v>218</v>
      </c>
      <c r="B236" s="492">
        <f t="shared" si="58"/>
        <v>9</v>
      </c>
      <c r="C236" s="492">
        <f t="shared" si="58"/>
        <v>1</v>
      </c>
      <c r="D236" s="492">
        <f t="shared" si="58"/>
        <v>1</v>
      </c>
      <c r="E236" s="492">
        <f t="shared" si="46"/>
        <v>2</v>
      </c>
      <c r="F236" s="499" t="s">
        <v>645</v>
      </c>
      <c r="G236" s="499" t="str">
        <f t="shared" si="47"/>
        <v>1_70 to 1_79 gpm</v>
      </c>
      <c r="H236" s="492" t="str">
        <f t="shared" si="48"/>
        <v>Retail</v>
      </c>
      <c r="I236" s="492" t="str">
        <f t="shared" si="48"/>
        <v>2_00</v>
      </c>
      <c r="J236" s="492" t="str">
        <f t="shared" si="48"/>
        <v>Gas Water Heating</v>
      </c>
      <c r="K236" s="492" t="str">
        <f t="shared" si="49"/>
        <v>Commercial Showerhead Replacement_Fitness Center_precondition 1_70 to 1_79 gpm_efficient 2_00 gpm_Retail_Gas Water Heating</v>
      </c>
      <c r="L236" s="493">
        <f>INDEX(InstallRatesCostAndLifetime!$A$2:$D$6,MATCH(InputForProCost_FitnessCenter!H236,InstallRatesCostAndLifetime!$A$2:$A$6,0),MATCH(InputForProCost_FitnessCenter!I236,InstallRatesCostAndLifetime!$A$2:$D$2,0))</f>
        <v>0.8</v>
      </c>
      <c r="M236" s="493">
        <f t="shared" si="50"/>
        <v>0</v>
      </c>
      <c r="N236" s="492"/>
      <c r="O236" s="492" t="str">
        <f t="shared" si="51"/>
        <v>Fitness Center1_70 to 1_79 gpm2_00</v>
      </c>
      <c r="P236" s="494">
        <f>VLOOKUP($O236,Impacts!$F$27:$Z$59,16,FALSE)</f>
        <v>-336.56608581211185</v>
      </c>
      <c r="Q236" s="494">
        <f>VLOOKUP($O236,Impacts!$F$27:$Z$59,17,FALSE)*L236</f>
        <v>-12.038495062924282</v>
      </c>
      <c r="R236" s="495">
        <f>VLOOKUP($O236,Impacts!$F$27:$Z$59,19,FALSE)*L236</f>
        <v>-12.007636463103246</v>
      </c>
      <c r="S236" s="496">
        <f>VLOOKUP($O236,Impacts!$F$27:$Z$59,20,FALSE)*L236</f>
        <v>-2275.7079514034558</v>
      </c>
      <c r="T236" s="497">
        <f>VLOOKUP($O236,Impacts!$F$27:$Z$59,21,FALSE)*L236</f>
        <v>-29.954424028545215</v>
      </c>
      <c r="U236" s="492"/>
      <c r="V236" s="492" t="str">
        <f t="shared" si="52"/>
        <v>Commercial Showerhead Replacement_Fitness Center_precondition 1_70 to 1_79 gpm_efficient 2_00 gpm_Retail_Gas Water Heating</v>
      </c>
      <c r="W236" s="492" t="s">
        <v>440</v>
      </c>
      <c r="X236" s="494">
        <f t="shared" si="55"/>
        <v>0</v>
      </c>
      <c r="Y236" s="492">
        <v>10</v>
      </c>
      <c r="Z236" s="498">
        <f t="shared" si="56"/>
        <v>3.2966774171383419</v>
      </c>
      <c r="AA236" s="492"/>
      <c r="AB236" s="499" t="s">
        <v>441</v>
      </c>
      <c r="AC236" s="497">
        <f t="shared" si="57"/>
        <v>-29.954424028545215</v>
      </c>
      <c r="AD236" s="492"/>
      <c r="AE236" s="492"/>
      <c r="AF236" s="492"/>
      <c r="AG236" s="492"/>
      <c r="AH236" s="492"/>
      <c r="AI236" s="492"/>
      <c r="AJ236" s="492">
        <f t="shared" si="53"/>
        <v>0</v>
      </c>
      <c r="AK236" s="492" t="s">
        <v>442</v>
      </c>
    </row>
    <row r="237" spans="1:37">
      <c r="A237" s="492">
        <f t="shared" si="54"/>
        <v>219</v>
      </c>
      <c r="B237" s="492">
        <f t="shared" si="58"/>
        <v>9</v>
      </c>
      <c r="C237" s="492">
        <f t="shared" si="58"/>
        <v>1</v>
      </c>
      <c r="D237" s="492">
        <f t="shared" si="58"/>
        <v>1</v>
      </c>
      <c r="E237" s="492">
        <f t="shared" si="46"/>
        <v>3</v>
      </c>
      <c r="F237" s="499" t="s">
        <v>645</v>
      </c>
      <c r="G237" s="499" t="str">
        <f t="shared" si="47"/>
        <v>1_70 to 1_79 gpm</v>
      </c>
      <c r="H237" s="492" t="str">
        <f t="shared" si="48"/>
        <v>Retail</v>
      </c>
      <c r="I237" s="492" t="str">
        <f t="shared" si="48"/>
        <v>2_00</v>
      </c>
      <c r="J237" s="492" t="str">
        <f t="shared" si="48"/>
        <v>Any Water Heating</v>
      </c>
      <c r="K237" s="492" t="str">
        <f t="shared" si="49"/>
        <v>Commercial Showerhead Replacement_Fitness Center_precondition 1_70 to 1_79 gpm_efficient 2_00 gpm_Retail_Any Water Heating</v>
      </c>
      <c r="L237" s="493">
        <f>INDEX(InstallRatesCostAndLifetime!$A$2:$D$6,MATCH(InputForProCost_FitnessCenter!H237,InstallRatesCostAndLifetime!$A$2:$A$6,0),MATCH(InputForProCost_FitnessCenter!I237,InstallRatesCostAndLifetime!$A$2:$D$2,0))</f>
        <v>0.8</v>
      </c>
      <c r="M237" s="493">
        <f t="shared" si="50"/>
        <v>0.31666666666666665</v>
      </c>
      <c r="N237" s="492"/>
      <c r="O237" s="492" t="str">
        <f t="shared" si="51"/>
        <v>Fitness Center1_70 to 1_79 gpm2_00</v>
      </c>
      <c r="P237" s="494">
        <f>VLOOKUP($O237,Impacts!$F$27:$Z$59,16,FALSE)</f>
        <v>-336.56608581211185</v>
      </c>
      <c r="Q237" s="494">
        <f>VLOOKUP($O237,Impacts!$F$27:$Z$59,17,FALSE)*L237</f>
        <v>-12.038495062924282</v>
      </c>
      <c r="R237" s="495">
        <f>VLOOKUP($O237,Impacts!$F$27:$Z$59,19,FALSE)*L237</f>
        <v>-12.007636463103246</v>
      </c>
      <c r="S237" s="496">
        <f>VLOOKUP($O237,Impacts!$F$27:$Z$59,20,FALSE)*L237</f>
        <v>-2275.7079514034558</v>
      </c>
      <c r="T237" s="497">
        <f>VLOOKUP($O237,Impacts!$F$27:$Z$59,21,FALSE)*L237</f>
        <v>-29.954424028545215</v>
      </c>
      <c r="U237" s="492"/>
      <c r="V237" s="492" t="str">
        <f t="shared" si="52"/>
        <v>Commercial Showerhead Replacement_Fitness Center_precondition 1_70 to 1_79 gpm_efficient 2_00 gpm_Retail_Any Water Heating</v>
      </c>
      <c r="W237" s="492" t="s">
        <v>440</v>
      </c>
      <c r="X237" s="494">
        <f t="shared" si="55"/>
        <v>-85.263408405735007</v>
      </c>
      <c r="Y237" s="492">
        <v>10</v>
      </c>
      <c r="Z237" s="498">
        <f t="shared" si="56"/>
        <v>3.2966774171383419</v>
      </c>
      <c r="AA237" s="492"/>
      <c r="AB237" s="499" t="s">
        <v>441</v>
      </c>
      <c r="AC237" s="497">
        <f t="shared" si="57"/>
        <v>-29.954424028545215</v>
      </c>
      <c r="AD237" s="492"/>
      <c r="AE237" s="492"/>
      <c r="AF237" s="492"/>
      <c r="AG237" s="492"/>
      <c r="AH237" s="492"/>
      <c r="AI237" s="492"/>
      <c r="AJ237" s="492">
        <f t="shared" si="53"/>
        <v>0</v>
      </c>
      <c r="AK237" s="492" t="s">
        <v>442</v>
      </c>
    </row>
    <row r="238" spans="1:37">
      <c r="A238" s="492">
        <f t="shared" si="54"/>
        <v>220</v>
      </c>
      <c r="B238" s="492">
        <f t="shared" si="58"/>
        <v>9</v>
      </c>
      <c r="C238" s="492">
        <f t="shared" si="58"/>
        <v>1</v>
      </c>
      <c r="D238" s="492">
        <f t="shared" si="58"/>
        <v>2</v>
      </c>
      <c r="E238" s="492">
        <f t="shared" si="46"/>
        <v>1</v>
      </c>
      <c r="F238" s="499" t="s">
        <v>645</v>
      </c>
      <c r="G238" s="499" t="str">
        <f t="shared" si="47"/>
        <v>1_70 to 1_79 gpm</v>
      </c>
      <c r="H238" s="492" t="str">
        <f t="shared" si="48"/>
        <v>Retail</v>
      </c>
      <c r="I238" s="492" t="str">
        <f t="shared" si="48"/>
        <v>1_75</v>
      </c>
      <c r="J238" s="492" t="str">
        <f t="shared" si="48"/>
        <v>Electric Water Heating</v>
      </c>
      <c r="K238" s="492" t="str">
        <f t="shared" si="49"/>
        <v>Commercial Showerhead Replacement_Fitness Center_precondition 1_70 to 1_79 gpm_efficient 1_75 gpm_Retail_Electric Water Heating</v>
      </c>
      <c r="L238" s="493">
        <f>INDEX(InstallRatesCostAndLifetime!$A$2:$D$6,MATCH(InputForProCost_FitnessCenter!H238,InstallRatesCostAndLifetime!$A$2:$A$6,0),MATCH(InputForProCost_FitnessCenter!I238,InstallRatesCostAndLifetime!$A$2:$D$2,0))</f>
        <v>0.75</v>
      </c>
      <c r="M238" s="493">
        <f t="shared" si="50"/>
        <v>1</v>
      </c>
      <c r="N238" s="492"/>
      <c r="O238" s="492" t="str">
        <f t="shared" si="51"/>
        <v>Fitness Center1_70 to 1_79 gpm1_75</v>
      </c>
      <c r="P238" s="494">
        <f>VLOOKUP($O238,Impacts!$F$27:$Z$59,16,FALSE)</f>
        <v>-163.10510312433507</v>
      </c>
      <c r="Q238" s="494">
        <f>VLOOKUP($O238,Impacts!$F$27:$Z$59,17,FALSE)*L238</f>
        <v>0</v>
      </c>
      <c r="R238" s="495">
        <f>VLOOKUP($O238,Impacts!$F$27:$Z$59,19,FALSE)*L238</f>
        <v>-5.4553925277081134</v>
      </c>
      <c r="S238" s="496">
        <f>VLOOKUP($O238,Impacts!$F$27:$Z$59,20,FALSE)*L238</f>
        <v>0</v>
      </c>
      <c r="T238" s="497">
        <f>VLOOKUP($O238,Impacts!$F$27:$Z$59,21,FALSE)*L238</f>
        <v>0</v>
      </c>
      <c r="U238" s="492"/>
      <c r="V238" s="492" t="str">
        <f t="shared" si="52"/>
        <v>Commercial Showerhead Replacement_Fitness Center_precondition 1_70 to 1_79 gpm_efficient 1_75 gpm_Retail_Electric Water Heating</v>
      </c>
      <c r="W238" s="492" t="s">
        <v>440</v>
      </c>
      <c r="X238" s="494">
        <f t="shared" si="55"/>
        <v>-122.32882734325131</v>
      </c>
      <c r="Y238" s="492">
        <v>10</v>
      </c>
      <c r="Z238" s="498">
        <f t="shared" si="56"/>
        <v>3.2966774171383419</v>
      </c>
      <c r="AA238" s="492"/>
      <c r="AB238" s="499" t="s">
        <v>441</v>
      </c>
      <c r="AC238" s="497">
        <f t="shared" si="57"/>
        <v>0</v>
      </c>
      <c r="AD238" s="492"/>
      <c r="AE238" s="492"/>
      <c r="AF238" s="492"/>
      <c r="AG238" s="492"/>
      <c r="AH238" s="492"/>
      <c r="AI238" s="492"/>
      <c r="AJ238" s="492">
        <f t="shared" si="53"/>
        <v>0</v>
      </c>
      <c r="AK238" s="492" t="s">
        <v>442</v>
      </c>
    </row>
    <row r="239" spans="1:37">
      <c r="A239" s="492">
        <f t="shared" si="54"/>
        <v>221</v>
      </c>
      <c r="B239" s="492">
        <f t="shared" ref="B239:D258" si="59">CEILING((MOD($A239-1,B$17)+1)/C$17,1)</f>
        <v>9</v>
      </c>
      <c r="C239" s="492">
        <f t="shared" si="59"/>
        <v>1</v>
      </c>
      <c r="D239" s="492">
        <f t="shared" si="59"/>
        <v>2</v>
      </c>
      <c r="E239" s="492">
        <f t="shared" si="46"/>
        <v>2</v>
      </c>
      <c r="F239" s="499" t="s">
        <v>645</v>
      </c>
      <c r="G239" s="499" t="str">
        <f t="shared" si="47"/>
        <v>1_70 to 1_79 gpm</v>
      </c>
      <c r="H239" s="492" t="str">
        <f t="shared" si="48"/>
        <v>Retail</v>
      </c>
      <c r="I239" s="492" t="str">
        <f t="shared" si="48"/>
        <v>1_75</v>
      </c>
      <c r="J239" s="492" t="str">
        <f t="shared" si="48"/>
        <v>Gas Water Heating</v>
      </c>
      <c r="K239" s="492" t="str">
        <f t="shared" si="49"/>
        <v>Commercial Showerhead Replacement_Fitness Center_precondition 1_70 to 1_79 gpm_efficient 1_75 gpm_Retail_Gas Water Heating</v>
      </c>
      <c r="L239" s="493">
        <f>INDEX(InstallRatesCostAndLifetime!$A$2:$D$6,MATCH(InputForProCost_FitnessCenter!H239,InstallRatesCostAndLifetime!$A$2:$A$6,0),MATCH(InputForProCost_FitnessCenter!I239,InstallRatesCostAndLifetime!$A$2:$D$2,0))</f>
        <v>0.75</v>
      </c>
      <c r="M239" s="493">
        <f t="shared" si="50"/>
        <v>0</v>
      </c>
      <c r="N239" s="492"/>
      <c r="O239" s="492" t="str">
        <f t="shared" si="51"/>
        <v>Fitness Center1_70 to 1_79 gpm1_75</v>
      </c>
      <c r="P239" s="494">
        <f>VLOOKUP($O239,Impacts!$F$27:$Z$59,16,FALSE)</f>
        <v>-163.10510312433507</v>
      </c>
      <c r="Q239" s="494">
        <f>VLOOKUP($O239,Impacts!$F$27:$Z$59,17,FALSE)*L239</f>
        <v>0</v>
      </c>
      <c r="R239" s="495">
        <f>VLOOKUP($O239,Impacts!$F$27:$Z$59,19,FALSE)*L239</f>
        <v>-5.4553925277081134</v>
      </c>
      <c r="S239" s="496">
        <f>VLOOKUP($O239,Impacts!$F$27:$Z$59,20,FALSE)*L239</f>
        <v>0</v>
      </c>
      <c r="T239" s="497">
        <f>VLOOKUP($O239,Impacts!$F$27:$Z$59,21,FALSE)*L239</f>
        <v>0</v>
      </c>
      <c r="U239" s="492"/>
      <c r="V239" s="492" t="str">
        <f t="shared" si="52"/>
        <v>Commercial Showerhead Replacement_Fitness Center_precondition 1_70 to 1_79 gpm_efficient 1_75 gpm_Retail_Gas Water Heating</v>
      </c>
      <c r="W239" s="492" t="s">
        <v>440</v>
      </c>
      <c r="X239" s="494">
        <f t="shared" si="55"/>
        <v>0</v>
      </c>
      <c r="Y239" s="492">
        <v>10</v>
      </c>
      <c r="Z239" s="498">
        <f t="shared" si="56"/>
        <v>3.2966774171383419</v>
      </c>
      <c r="AA239" s="492"/>
      <c r="AB239" s="499" t="s">
        <v>441</v>
      </c>
      <c r="AC239" s="497">
        <f t="shared" si="57"/>
        <v>0</v>
      </c>
      <c r="AD239" s="492"/>
      <c r="AE239" s="492"/>
      <c r="AF239" s="492"/>
      <c r="AG239" s="492"/>
      <c r="AH239" s="492"/>
      <c r="AI239" s="492"/>
      <c r="AJ239" s="492">
        <f t="shared" si="53"/>
        <v>0</v>
      </c>
      <c r="AK239" s="492" t="s">
        <v>442</v>
      </c>
    </row>
    <row r="240" spans="1:37">
      <c r="A240" s="492">
        <f t="shared" si="54"/>
        <v>222</v>
      </c>
      <c r="B240" s="492">
        <f t="shared" si="59"/>
        <v>9</v>
      </c>
      <c r="C240" s="492">
        <f t="shared" si="59"/>
        <v>1</v>
      </c>
      <c r="D240" s="492">
        <f t="shared" si="59"/>
        <v>2</v>
      </c>
      <c r="E240" s="492">
        <f t="shared" si="46"/>
        <v>3</v>
      </c>
      <c r="F240" s="499" t="s">
        <v>645</v>
      </c>
      <c r="G240" s="499" t="str">
        <f t="shared" si="47"/>
        <v>1_70 to 1_79 gpm</v>
      </c>
      <c r="H240" s="492" t="str">
        <f t="shared" si="48"/>
        <v>Retail</v>
      </c>
      <c r="I240" s="492" t="str">
        <f t="shared" si="48"/>
        <v>1_75</v>
      </c>
      <c r="J240" s="492" t="str">
        <f t="shared" si="48"/>
        <v>Any Water Heating</v>
      </c>
      <c r="K240" s="492" t="str">
        <f t="shared" si="49"/>
        <v>Commercial Showerhead Replacement_Fitness Center_precondition 1_70 to 1_79 gpm_efficient 1_75 gpm_Retail_Any Water Heating</v>
      </c>
      <c r="L240" s="493">
        <f>INDEX(InstallRatesCostAndLifetime!$A$2:$D$6,MATCH(InputForProCost_FitnessCenter!H240,InstallRatesCostAndLifetime!$A$2:$A$6,0),MATCH(InputForProCost_FitnessCenter!I240,InstallRatesCostAndLifetime!$A$2:$D$2,0))</f>
        <v>0.75</v>
      </c>
      <c r="M240" s="493">
        <f t="shared" si="50"/>
        <v>0.31666666666666665</v>
      </c>
      <c r="N240" s="492"/>
      <c r="O240" s="492" t="str">
        <f t="shared" si="51"/>
        <v>Fitness Center1_70 to 1_79 gpm1_75</v>
      </c>
      <c r="P240" s="494">
        <f>VLOOKUP($O240,Impacts!$F$27:$Z$59,16,FALSE)</f>
        <v>-163.10510312433507</v>
      </c>
      <c r="Q240" s="494">
        <f>VLOOKUP($O240,Impacts!$F$27:$Z$59,17,FALSE)*L240</f>
        <v>0</v>
      </c>
      <c r="R240" s="495">
        <f>VLOOKUP($O240,Impacts!$F$27:$Z$59,19,FALSE)*L240</f>
        <v>-5.4553925277081134</v>
      </c>
      <c r="S240" s="496">
        <f>VLOOKUP($O240,Impacts!$F$27:$Z$59,20,FALSE)*L240</f>
        <v>0</v>
      </c>
      <c r="T240" s="497">
        <f>VLOOKUP($O240,Impacts!$F$27:$Z$59,21,FALSE)*L240</f>
        <v>0</v>
      </c>
      <c r="U240" s="492"/>
      <c r="V240" s="492" t="str">
        <f t="shared" si="52"/>
        <v>Commercial Showerhead Replacement_Fitness Center_precondition 1_70 to 1_79 gpm_efficient 1_75 gpm_Retail_Any Water Heating</v>
      </c>
      <c r="W240" s="492" t="s">
        <v>440</v>
      </c>
      <c r="X240" s="494">
        <f t="shared" si="55"/>
        <v>-38.73746199202958</v>
      </c>
      <c r="Y240" s="492">
        <v>10</v>
      </c>
      <c r="Z240" s="498">
        <f t="shared" si="56"/>
        <v>3.2966774171383419</v>
      </c>
      <c r="AA240" s="492"/>
      <c r="AB240" s="499" t="s">
        <v>441</v>
      </c>
      <c r="AC240" s="497">
        <f t="shared" si="57"/>
        <v>0</v>
      </c>
      <c r="AD240" s="492"/>
      <c r="AE240" s="492"/>
      <c r="AF240" s="492"/>
      <c r="AG240" s="492"/>
      <c r="AH240" s="492"/>
      <c r="AI240" s="492"/>
      <c r="AJ240" s="492">
        <f t="shared" si="53"/>
        <v>0</v>
      </c>
      <c r="AK240" s="492" t="s">
        <v>442</v>
      </c>
    </row>
    <row r="241" spans="1:37">
      <c r="A241" s="492">
        <f t="shared" si="54"/>
        <v>223</v>
      </c>
      <c r="B241" s="492">
        <f t="shared" si="59"/>
        <v>9</v>
      </c>
      <c r="C241" s="492">
        <f t="shared" si="59"/>
        <v>1</v>
      </c>
      <c r="D241" s="492">
        <f t="shared" si="59"/>
        <v>3</v>
      </c>
      <c r="E241" s="492">
        <f t="shared" si="46"/>
        <v>1</v>
      </c>
      <c r="F241" s="499" t="s">
        <v>645</v>
      </c>
      <c r="G241" s="499" t="str">
        <f t="shared" si="47"/>
        <v>1_70 to 1_79 gpm</v>
      </c>
      <c r="H241" s="492" t="str">
        <f t="shared" si="48"/>
        <v>Retail</v>
      </c>
      <c r="I241" s="492" t="str">
        <f t="shared" si="48"/>
        <v>1_50</v>
      </c>
      <c r="J241" s="492" t="str">
        <f t="shared" si="48"/>
        <v>Electric Water Heating</v>
      </c>
      <c r="K241" s="492" t="str">
        <f t="shared" si="49"/>
        <v>Commercial Showerhead Replacement_Fitness Center_precondition 1_70 to 1_79 gpm_efficient 1_50 gpm_Retail_Electric Water Heating</v>
      </c>
      <c r="L241" s="493">
        <f>INDEX(InstallRatesCostAndLifetime!$A$2:$D$6,MATCH(InputForProCost_FitnessCenter!H241,InstallRatesCostAndLifetime!$A$2:$A$6,0),MATCH(InputForProCost_FitnessCenter!I241,InstallRatesCostAndLifetime!$A$2:$D$2,0))</f>
        <v>0.7</v>
      </c>
      <c r="M241" s="493">
        <f t="shared" si="50"/>
        <v>1</v>
      </c>
      <c r="N241" s="492"/>
      <c r="O241" s="492" t="str">
        <f t="shared" si="51"/>
        <v>Fitness Center1_70 to 1_79 gpm1_50</v>
      </c>
      <c r="P241" s="494">
        <f>VLOOKUP($O241,Impacts!$F$27:$Z$59,16,FALSE)</f>
        <v>1636.2289710250025</v>
      </c>
      <c r="Q241" s="494">
        <f>VLOOKUP($O241,Impacts!$F$27:$Z$59,17,FALSE)*L241</f>
        <v>52.668415900293134</v>
      </c>
      <c r="R241" s="495">
        <f>VLOOKUP($O241,Impacts!$F$27:$Z$59,19,FALSE)*L241</f>
        <v>51.078638185353952</v>
      </c>
      <c r="S241" s="496">
        <f>VLOOKUP($O241,Impacts!$F$27:$Z$59,20,FALSE)*L241</f>
        <v>9956.2222873900064</v>
      </c>
      <c r="T241" s="497">
        <f>VLOOKUP($O241,Impacts!$F$27:$Z$59,21,FALSE)*L241</f>
        <v>131.05060512488382</v>
      </c>
      <c r="U241" s="492"/>
      <c r="V241" s="492" t="str">
        <f t="shared" si="52"/>
        <v>Commercial Showerhead Replacement_Fitness Center_precondition 1_70 to 1_79 gpm_efficient 1_50 gpm_Retail_Electric Water Heating</v>
      </c>
      <c r="W241" s="492" t="s">
        <v>440</v>
      </c>
      <c r="X241" s="494">
        <f t="shared" si="55"/>
        <v>1145.3602797175017</v>
      </c>
      <c r="Y241" s="492">
        <v>10</v>
      </c>
      <c r="Z241" s="498">
        <f t="shared" si="56"/>
        <v>3.2966774171383419</v>
      </c>
      <c r="AA241" s="492"/>
      <c r="AB241" s="499" t="s">
        <v>441</v>
      </c>
      <c r="AC241" s="497">
        <f t="shared" si="57"/>
        <v>131.05060512488382</v>
      </c>
      <c r="AD241" s="492"/>
      <c r="AE241" s="492"/>
      <c r="AF241" s="492"/>
      <c r="AG241" s="492"/>
      <c r="AH241" s="492"/>
      <c r="AI241" s="492"/>
      <c r="AJ241" s="492">
        <f t="shared" si="53"/>
        <v>0</v>
      </c>
      <c r="AK241" s="492" t="s">
        <v>442</v>
      </c>
    </row>
    <row r="242" spans="1:37">
      <c r="A242" s="492">
        <f t="shared" si="54"/>
        <v>224</v>
      </c>
      <c r="B242" s="492">
        <f t="shared" si="59"/>
        <v>9</v>
      </c>
      <c r="C242" s="492">
        <f t="shared" si="59"/>
        <v>1</v>
      </c>
      <c r="D242" s="492">
        <f t="shared" si="59"/>
        <v>3</v>
      </c>
      <c r="E242" s="492">
        <f t="shared" si="46"/>
        <v>2</v>
      </c>
      <c r="F242" s="499" t="s">
        <v>645</v>
      </c>
      <c r="G242" s="499" t="str">
        <f t="shared" si="47"/>
        <v>1_70 to 1_79 gpm</v>
      </c>
      <c r="H242" s="492" t="str">
        <f t="shared" si="48"/>
        <v>Retail</v>
      </c>
      <c r="I242" s="492" t="str">
        <f t="shared" si="48"/>
        <v>1_50</v>
      </c>
      <c r="J242" s="492" t="str">
        <f t="shared" si="48"/>
        <v>Gas Water Heating</v>
      </c>
      <c r="K242" s="492" t="str">
        <f t="shared" si="49"/>
        <v>Commercial Showerhead Replacement_Fitness Center_precondition 1_70 to 1_79 gpm_efficient 1_50 gpm_Retail_Gas Water Heating</v>
      </c>
      <c r="L242" s="493">
        <f>INDEX(InstallRatesCostAndLifetime!$A$2:$D$6,MATCH(InputForProCost_FitnessCenter!H242,InstallRatesCostAndLifetime!$A$2:$A$6,0),MATCH(InputForProCost_FitnessCenter!I242,InstallRatesCostAndLifetime!$A$2:$D$2,0))</f>
        <v>0.7</v>
      </c>
      <c r="M242" s="493">
        <f t="shared" si="50"/>
        <v>0</v>
      </c>
      <c r="N242" s="492"/>
      <c r="O242" s="492" t="str">
        <f t="shared" si="51"/>
        <v>Fitness Center1_70 to 1_79 gpm1_50</v>
      </c>
      <c r="P242" s="494">
        <f>VLOOKUP($O242,Impacts!$F$27:$Z$59,16,FALSE)</f>
        <v>1636.2289710250025</v>
      </c>
      <c r="Q242" s="494">
        <f>VLOOKUP($O242,Impacts!$F$27:$Z$59,17,FALSE)*L242</f>
        <v>52.668415900293134</v>
      </c>
      <c r="R242" s="495">
        <f>VLOOKUP($O242,Impacts!$F$27:$Z$59,19,FALSE)*L242</f>
        <v>51.078638185353952</v>
      </c>
      <c r="S242" s="496">
        <f>VLOOKUP($O242,Impacts!$F$27:$Z$59,20,FALSE)*L242</f>
        <v>9956.2222873900064</v>
      </c>
      <c r="T242" s="497">
        <f>VLOOKUP($O242,Impacts!$F$27:$Z$59,21,FALSE)*L242</f>
        <v>131.05060512488382</v>
      </c>
      <c r="U242" s="492"/>
      <c r="V242" s="492" t="str">
        <f t="shared" si="52"/>
        <v>Commercial Showerhead Replacement_Fitness Center_precondition 1_70 to 1_79 gpm_efficient 1_50 gpm_Retail_Gas Water Heating</v>
      </c>
      <c r="W242" s="492" t="s">
        <v>440</v>
      </c>
      <c r="X242" s="494">
        <f t="shared" si="55"/>
        <v>0</v>
      </c>
      <c r="Y242" s="492">
        <v>10</v>
      </c>
      <c r="Z242" s="498">
        <f t="shared" si="56"/>
        <v>3.2966774171383419</v>
      </c>
      <c r="AA242" s="492"/>
      <c r="AB242" s="499" t="s">
        <v>441</v>
      </c>
      <c r="AC242" s="497">
        <f t="shared" si="57"/>
        <v>131.05060512488382</v>
      </c>
      <c r="AD242" s="492"/>
      <c r="AE242" s="492"/>
      <c r="AF242" s="492"/>
      <c r="AG242" s="492"/>
      <c r="AH242" s="492"/>
      <c r="AI242" s="492"/>
      <c r="AJ242" s="492">
        <f t="shared" si="53"/>
        <v>51.078638185353952</v>
      </c>
      <c r="AK242" s="492" t="s">
        <v>442</v>
      </c>
    </row>
    <row r="243" spans="1:37">
      <c r="A243" s="492">
        <f t="shared" si="54"/>
        <v>225</v>
      </c>
      <c r="B243" s="492">
        <f t="shared" si="59"/>
        <v>9</v>
      </c>
      <c r="C243" s="492">
        <f t="shared" si="59"/>
        <v>1</v>
      </c>
      <c r="D243" s="492">
        <f t="shared" si="59"/>
        <v>3</v>
      </c>
      <c r="E243" s="492">
        <f t="shared" si="46"/>
        <v>3</v>
      </c>
      <c r="F243" s="499" t="s">
        <v>645</v>
      </c>
      <c r="G243" s="499" t="str">
        <f t="shared" si="47"/>
        <v>1_70 to 1_79 gpm</v>
      </c>
      <c r="H243" s="492" t="str">
        <f t="shared" si="48"/>
        <v>Retail</v>
      </c>
      <c r="I243" s="492" t="str">
        <f t="shared" si="48"/>
        <v>1_50</v>
      </c>
      <c r="J243" s="492" t="str">
        <f t="shared" si="48"/>
        <v>Any Water Heating</v>
      </c>
      <c r="K243" s="492" t="str">
        <f t="shared" si="49"/>
        <v>Commercial Showerhead Replacement_Fitness Center_precondition 1_70 to 1_79 gpm_efficient 1_50 gpm_Retail_Any Water Heating</v>
      </c>
      <c r="L243" s="493">
        <f>INDEX(InstallRatesCostAndLifetime!$A$2:$D$6,MATCH(InputForProCost_FitnessCenter!H243,InstallRatesCostAndLifetime!$A$2:$A$6,0),MATCH(InputForProCost_FitnessCenter!I243,InstallRatesCostAndLifetime!$A$2:$D$2,0))</f>
        <v>0.7</v>
      </c>
      <c r="M243" s="493">
        <f t="shared" si="50"/>
        <v>0.31666666666666665</v>
      </c>
      <c r="N243" s="492"/>
      <c r="O243" s="492" t="str">
        <f t="shared" si="51"/>
        <v>Fitness Center1_70 to 1_79 gpm1_50</v>
      </c>
      <c r="P243" s="494">
        <f>VLOOKUP($O243,Impacts!$F$27:$Z$59,16,FALSE)</f>
        <v>1636.2289710250025</v>
      </c>
      <c r="Q243" s="494">
        <f>VLOOKUP($O243,Impacts!$F$27:$Z$59,17,FALSE)*L243</f>
        <v>52.668415900293134</v>
      </c>
      <c r="R243" s="495">
        <f>VLOOKUP($O243,Impacts!$F$27:$Z$59,19,FALSE)*L243</f>
        <v>51.078638185353952</v>
      </c>
      <c r="S243" s="496">
        <f>VLOOKUP($O243,Impacts!$F$27:$Z$59,20,FALSE)*L243</f>
        <v>9956.2222873900064</v>
      </c>
      <c r="T243" s="497">
        <f>VLOOKUP($O243,Impacts!$F$27:$Z$59,21,FALSE)*L243</f>
        <v>131.05060512488382</v>
      </c>
      <c r="U243" s="492"/>
      <c r="V243" s="492" t="str">
        <f t="shared" si="52"/>
        <v>Commercial Showerhead Replacement_Fitness Center_precondition 1_70 to 1_79 gpm_efficient 1_50 gpm_Retail_Any Water Heating</v>
      </c>
      <c r="W243" s="492" t="s">
        <v>440</v>
      </c>
      <c r="X243" s="494">
        <f t="shared" si="55"/>
        <v>362.69742191054218</v>
      </c>
      <c r="Y243" s="492">
        <v>10</v>
      </c>
      <c r="Z243" s="498">
        <f t="shared" si="56"/>
        <v>3.2966774171383419</v>
      </c>
      <c r="AA243" s="492"/>
      <c r="AB243" s="499" t="s">
        <v>441</v>
      </c>
      <c r="AC243" s="497">
        <f t="shared" si="57"/>
        <v>131.05060512488382</v>
      </c>
      <c r="AD243" s="492"/>
      <c r="AE243" s="492"/>
      <c r="AF243" s="492"/>
      <c r="AG243" s="492"/>
      <c r="AH243" s="492"/>
      <c r="AI243" s="492"/>
      <c r="AJ243" s="492">
        <f t="shared" si="53"/>
        <v>34.9037360933252</v>
      </c>
      <c r="AK243" s="492" t="s">
        <v>442</v>
      </c>
    </row>
    <row r="244" spans="1:37">
      <c r="A244" s="492">
        <f t="shared" si="54"/>
        <v>226</v>
      </c>
      <c r="B244" s="492">
        <f t="shared" si="59"/>
        <v>9</v>
      </c>
      <c r="C244" s="492">
        <f t="shared" si="59"/>
        <v>2</v>
      </c>
      <c r="D244" s="492">
        <f t="shared" si="59"/>
        <v>1</v>
      </c>
      <c r="E244" s="492">
        <f t="shared" si="46"/>
        <v>1</v>
      </c>
      <c r="F244" s="499" t="s">
        <v>645</v>
      </c>
      <c r="G244" s="499" t="str">
        <f t="shared" si="47"/>
        <v>1_70 to 1_79 gpm</v>
      </c>
      <c r="H244" s="492" t="str">
        <f t="shared" si="48"/>
        <v>Direct Install</v>
      </c>
      <c r="I244" s="492" t="str">
        <f t="shared" si="48"/>
        <v>2_00</v>
      </c>
      <c r="J244" s="492" t="str">
        <f t="shared" si="48"/>
        <v>Electric Water Heating</v>
      </c>
      <c r="K244" s="492" t="str">
        <f t="shared" si="49"/>
        <v>Commercial Showerhead Replacement_Fitness Center_precondition 1_70 to 1_79 gpm_efficient 2_00 gpm_Direct Install_Electric Water Heating</v>
      </c>
      <c r="L244" s="493">
        <f>INDEX(InstallRatesCostAndLifetime!$A$2:$D$6,MATCH(InputForProCost_FitnessCenter!H244,InstallRatesCostAndLifetime!$A$2:$A$6,0),MATCH(InputForProCost_FitnessCenter!I244,InstallRatesCostAndLifetime!$A$2:$D$2,0))</f>
        <v>0.9</v>
      </c>
      <c r="M244" s="493">
        <f t="shared" si="50"/>
        <v>1</v>
      </c>
      <c r="N244" s="492"/>
      <c r="O244" s="492" t="str">
        <f t="shared" si="51"/>
        <v>Fitness Center1_70 to 1_79 gpm2_00</v>
      </c>
      <c r="P244" s="494">
        <f>VLOOKUP($O244,Impacts!$F$27:$Z$59,16,FALSE)</f>
        <v>-336.56608581211185</v>
      </c>
      <c r="Q244" s="494">
        <f>VLOOKUP($O244,Impacts!$F$27:$Z$59,17,FALSE)*L244</f>
        <v>-13.543306945789816</v>
      </c>
      <c r="R244" s="495">
        <f>VLOOKUP($O244,Impacts!$F$27:$Z$59,19,FALSE)*L244</f>
        <v>-13.508591020991151</v>
      </c>
      <c r="S244" s="496">
        <f>VLOOKUP($O244,Impacts!$F$27:$Z$59,20,FALSE)*L244</f>
        <v>-2560.1714453288878</v>
      </c>
      <c r="T244" s="497">
        <f>VLOOKUP($O244,Impacts!$F$27:$Z$59,21,FALSE)*L244</f>
        <v>-33.698727032113368</v>
      </c>
      <c r="U244" s="492"/>
      <c r="V244" s="492" t="str">
        <f t="shared" si="52"/>
        <v>Commercial Showerhead Replacement_Fitness Center_precondition 1_70 to 1_79 gpm_efficient 2_00 gpm_Direct Install_Electric Water Heating</v>
      </c>
      <c r="W244" s="492" t="s">
        <v>440</v>
      </c>
      <c r="X244" s="494">
        <f t="shared" si="55"/>
        <v>-302.90947723090068</v>
      </c>
      <c r="Y244" s="492">
        <v>10</v>
      </c>
      <c r="Z244" s="498">
        <f t="shared" si="56"/>
        <v>11.336666666666666</v>
      </c>
      <c r="AA244" s="492"/>
      <c r="AB244" s="499" t="s">
        <v>441</v>
      </c>
      <c r="AC244" s="497">
        <f t="shared" si="57"/>
        <v>-33.698727032113368</v>
      </c>
      <c r="AD244" s="492"/>
      <c r="AE244" s="492"/>
      <c r="AF244" s="492"/>
      <c r="AG244" s="492"/>
      <c r="AH244" s="492"/>
      <c r="AI244" s="492"/>
      <c r="AJ244" s="492">
        <f t="shared" si="53"/>
        <v>0</v>
      </c>
      <c r="AK244" s="492" t="s">
        <v>442</v>
      </c>
    </row>
    <row r="245" spans="1:37">
      <c r="A245" s="492">
        <f t="shared" si="54"/>
        <v>227</v>
      </c>
      <c r="B245" s="492">
        <f t="shared" si="59"/>
        <v>9</v>
      </c>
      <c r="C245" s="492">
        <f t="shared" si="59"/>
        <v>2</v>
      </c>
      <c r="D245" s="492">
        <f t="shared" si="59"/>
        <v>1</v>
      </c>
      <c r="E245" s="492">
        <f t="shared" si="46"/>
        <v>2</v>
      </c>
      <c r="F245" s="499" t="s">
        <v>645</v>
      </c>
      <c r="G245" s="499" t="str">
        <f t="shared" si="47"/>
        <v>1_70 to 1_79 gpm</v>
      </c>
      <c r="H245" s="492" t="str">
        <f t="shared" si="48"/>
        <v>Direct Install</v>
      </c>
      <c r="I245" s="492" t="str">
        <f t="shared" si="48"/>
        <v>2_00</v>
      </c>
      <c r="J245" s="492" t="str">
        <f t="shared" si="48"/>
        <v>Gas Water Heating</v>
      </c>
      <c r="K245" s="492" t="str">
        <f t="shared" si="49"/>
        <v>Commercial Showerhead Replacement_Fitness Center_precondition 1_70 to 1_79 gpm_efficient 2_00 gpm_Direct Install_Gas Water Heating</v>
      </c>
      <c r="L245" s="493">
        <f>INDEX(InstallRatesCostAndLifetime!$A$2:$D$6,MATCH(InputForProCost_FitnessCenter!H245,InstallRatesCostAndLifetime!$A$2:$A$6,0),MATCH(InputForProCost_FitnessCenter!I245,InstallRatesCostAndLifetime!$A$2:$D$2,0))</f>
        <v>0.9</v>
      </c>
      <c r="M245" s="493">
        <f t="shared" si="50"/>
        <v>0</v>
      </c>
      <c r="N245" s="492"/>
      <c r="O245" s="492" t="str">
        <f t="shared" si="51"/>
        <v>Fitness Center1_70 to 1_79 gpm2_00</v>
      </c>
      <c r="P245" s="494">
        <f>VLOOKUP($O245,Impacts!$F$27:$Z$59,16,FALSE)</f>
        <v>-336.56608581211185</v>
      </c>
      <c r="Q245" s="494">
        <f>VLOOKUP($O245,Impacts!$F$27:$Z$59,17,FALSE)*L245</f>
        <v>-13.543306945789816</v>
      </c>
      <c r="R245" s="495">
        <f>VLOOKUP($O245,Impacts!$F$27:$Z$59,19,FALSE)*L245</f>
        <v>-13.508591020991151</v>
      </c>
      <c r="S245" s="496">
        <f>VLOOKUP($O245,Impacts!$F$27:$Z$59,20,FALSE)*L245</f>
        <v>-2560.1714453288878</v>
      </c>
      <c r="T245" s="497">
        <f>VLOOKUP($O245,Impacts!$F$27:$Z$59,21,FALSE)*L245</f>
        <v>-33.698727032113368</v>
      </c>
      <c r="U245" s="492"/>
      <c r="V245" s="492" t="str">
        <f t="shared" si="52"/>
        <v>Commercial Showerhead Replacement_Fitness Center_precondition 1_70 to 1_79 gpm_efficient 2_00 gpm_Direct Install_Gas Water Heating</v>
      </c>
      <c r="W245" s="492" t="s">
        <v>440</v>
      </c>
      <c r="X245" s="494">
        <f t="shared" si="55"/>
        <v>0</v>
      </c>
      <c r="Y245" s="492">
        <v>10</v>
      </c>
      <c r="Z245" s="498">
        <f t="shared" si="56"/>
        <v>11.336666666666666</v>
      </c>
      <c r="AA245" s="492"/>
      <c r="AB245" s="499" t="s">
        <v>441</v>
      </c>
      <c r="AC245" s="497">
        <f t="shared" si="57"/>
        <v>-33.698727032113368</v>
      </c>
      <c r="AD245" s="492"/>
      <c r="AE245" s="492"/>
      <c r="AF245" s="492"/>
      <c r="AG245" s="492"/>
      <c r="AH245" s="492"/>
      <c r="AI245" s="492"/>
      <c r="AJ245" s="492">
        <f t="shared" si="53"/>
        <v>0</v>
      </c>
      <c r="AK245" s="492" t="s">
        <v>442</v>
      </c>
    </row>
    <row r="246" spans="1:37">
      <c r="A246" s="492">
        <f t="shared" si="54"/>
        <v>228</v>
      </c>
      <c r="B246" s="492">
        <f t="shared" si="59"/>
        <v>9</v>
      </c>
      <c r="C246" s="492">
        <f t="shared" si="59"/>
        <v>2</v>
      </c>
      <c r="D246" s="492">
        <f t="shared" si="59"/>
        <v>1</v>
      </c>
      <c r="E246" s="492">
        <f t="shared" si="46"/>
        <v>3</v>
      </c>
      <c r="F246" s="499" t="s">
        <v>645</v>
      </c>
      <c r="G246" s="499" t="str">
        <f t="shared" si="47"/>
        <v>1_70 to 1_79 gpm</v>
      </c>
      <c r="H246" s="492" t="str">
        <f t="shared" si="48"/>
        <v>Direct Install</v>
      </c>
      <c r="I246" s="492" t="str">
        <f t="shared" si="48"/>
        <v>2_00</v>
      </c>
      <c r="J246" s="492" t="str">
        <f t="shared" si="48"/>
        <v>Any Water Heating</v>
      </c>
      <c r="K246" s="492" t="str">
        <f t="shared" si="49"/>
        <v>Commercial Showerhead Replacement_Fitness Center_precondition 1_70 to 1_79 gpm_efficient 2_00 gpm_Direct Install_Any Water Heating</v>
      </c>
      <c r="L246" s="493">
        <f>INDEX(InstallRatesCostAndLifetime!$A$2:$D$6,MATCH(InputForProCost_FitnessCenter!H246,InstallRatesCostAndLifetime!$A$2:$A$6,0),MATCH(InputForProCost_FitnessCenter!I246,InstallRatesCostAndLifetime!$A$2:$D$2,0))</f>
        <v>0.9</v>
      </c>
      <c r="M246" s="493">
        <f t="shared" si="50"/>
        <v>0.31666666666666665</v>
      </c>
      <c r="N246" s="492"/>
      <c r="O246" s="492" t="str">
        <f t="shared" si="51"/>
        <v>Fitness Center1_70 to 1_79 gpm2_00</v>
      </c>
      <c r="P246" s="494">
        <f>VLOOKUP($O246,Impacts!$F$27:$Z$59,16,FALSE)</f>
        <v>-336.56608581211185</v>
      </c>
      <c r="Q246" s="494">
        <f>VLOOKUP($O246,Impacts!$F$27:$Z$59,17,FALSE)*L246</f>
        <v>-13.543306945789816</v>
      </c>
      <c r="R246" s="495">
        <f>VLOOKUP($O246,Impacts!$F$27:$Z$59,19,FALSE)*L246</f>
        <v>-13.508591020991151</v>
      </c>
      <c r="S246" s="496">
        <f>VLOOKUP($O246,Impacts!$F$27:$Z$59,20,FALSE)*L246</f>
        <v>-2560.1714453288878</v>
      </c>
      <c r="T246" s="497">
        <f>VLOOKUP($O246,Impacts!$F$27:$Z$59,21,FALSE)*L246</f>
        <v>-33.698727032113368</v>
      </c>
      <c r="U246" s="492"/>
      <c r="V246" s="492" t="str">
        <f t="shared" si="52"/>
        <v>Commercial Showerhead Replacement_Fitness Center_precondition 1_70 to 1_79 gpm_efficient 2_00 gpm_Direct Install_Any Water Heating</v>
      </c>
      <c r="W246" s="492" t="s">
        <v>440</v>
      </c>
      <c r="X246" s="494">
        <f t="shared" si="55"/>
        <v>-95.921334456451888</v>
      </c>
      <c r="Y246" s="492">
        <v>10</v>
      </c>
      <c r="Z246" s="498">
        <f t="shared" si="56"/>
        <v>11.336666666666666</v>
      </c>
      <c r="AA246" s="492"/>
      <c r="AB246" s="499" t="s">
        <v>441</v>
      </c>
      <c r="AC246" s="497">
        <f t="shared" si="57"/>
        <v>-33.698727032113368</v>
      </c>
      <c r="AD246" s="492"/>
      <c r="AE246" s="492"/>
      <c r="AF246" s="492"/>
      <c r="AG246" s="492"/>
      <c r="AH246" s="492"/>
      <c r="AI246" s="492"/>
      <c r="AJ246" s="492">
        <f t="shared" si="53"/>
        <v>0</v>
      </c>
      <c r="AK246" s="492" t="s">
        <v>442</v>
      </c>
    </row>
    <row r="247" spans="1:37">
      <c r="A247" s="492">
        <f t="shared" si="54"/>
        <v>229</v>
      </c>
      <c r="B247" s="492">
        <f t="shared" si="59"/>
        <v>9</v>
      </c>
      <c r="C247" s="492">
        <f t="shared" si="59"/>
        <v>2</v>
      </c>
      <c r="D247" s="492">
        <f t="shared" si="59"/>
        <v>2</v>
      </c>
      <c r="E247" s="492">
        <f t="shared" si="46"/>
        <v>1</v>
      </c>
      <c r="F247" s="499" t="s">
        <v>645</v>
      </c>
      <c r="G247" s="499" t="str">
        <f t="shared" si="47"/>
        <v>1_70 to 1_79 gpm</v>
      </c>
      <c r="H247" s="492" t="str">
        <f t="shared" si="48"/>
        <v>Direct Install</v>
      </c>
      <c r="I247" s="492" t="str">
        <f t="shared" si="48"/>
        <v>1_75</v>
      </c>
      <c r="J247" s="492" t="str">
        <f t="shared" si="48"/>
        <v>Electric Water Heating</v>
      </c>
      <c r="K247" s="492" t="str">
        <f t="shared" si="49"/>
        <v>Commercial Showerhead Replacement_Fitness Center_precondition 1_70 to 1_79 gpm_efficient 1_75 gpm_Direct Install_Electric Water Heating</v>
      </c>
      <c r="L247" s="493">
        <f>INDEX(InstallRatesCostAndLifetime!$A$2:$D$6,MATCH(InputForProCost_FitnessCenter!H247,InstallRatesCostAndLifetime!$A$2:$A$6,0),MATCH(InputForProCost_FitnessCenter!I247,InstallRatesCostAndLifetime!$A$2:$D$2,0))</f>
        <v>0.9</v>
      </c>
      <c r="M247" s="493">
        <f t="shared" si="50"/>
        <v>1</v>
      </c>
      <c r="N247" s="492"/>
      <c r="O247" s="492" t="str">
        <f t="shared" si="51"/>
        <v>Fitness Center1_70 to 1_79 gpm1_75</v>
      </c>
      <c r="P247" s="494">
        <f>VLOOKUP($O247,Impacts!$F$27:$Z$59,16,FALSE)</f>
        <v>-163.10510312433507</v>
      </c>
      <c r="Q247" s="494">
        <f>VLOOKUP($O247,Impacts!$F$27:$Z$59,17,FALSE)*L247</f>
        <v>0</v>
      </c>
      <c r="R247" s="495">
        <f>VLOOKUP($O247,Impacts!$F$27:$Z$59,19,FALSE)*L247</f>
        <v>-6.5464710332497367</v>
      </c>
      <c r="S247" s="496">
        <f>VLOOKUP($O247,Impacts!$F$27:$Z$59,20,FALSE)*L247</f>
        <v>0</v>
      </c>
      <c r="T247" s="497">
        <f>VLOOKUP($O247,Impacts!$F$27:$Z$59,21,FALSE)*L247</f>
        <v>0</v>
      </c>
      <c r="U247" s="492"/>
      <c r="V247" s="492" t="str">
        <f t="shared" si="52"/>
        <v>Commercial Showerhead Replacement_Fitness Center_precondition 1_70 to 1_79 gpm_efficient 1_75 gpm_Direct Install_Electric Water Heating</v>
      </c>
      <c r="W247" s="492" t="s">
        <v>440</v>
      </c>
      <c r="X247" s="494">
        <f t="shared" si="55"/>
        <v>-146.79459281190157</v>
      </c>
      <c r="Y247" s="492">
        <v>10</v>
      </c>
      <c r="Z247" s="498">
        <f t="shared" si="56"/>
        <v>11.336666666666666</v>
      </c>
      <c r="AA247" s="492"/>
      <c r="AB247" s="499" t="s">
        <v>441</v>
      </c>
      <c r="AC247" s="497">
        <f t="shared" si="57"/>
        <v>0</v>
      </c>
      <c r="AD247" s="492"/>
      <c r="AE247" s="492"/>
      <c r="AF247" s="492"/>
      <c r="AG247" s="492"/>
      <c r="AH247" s="492"/>
      <c r="AI247" s="492"/>
      <c r="AJ247" s="492">
        <f t="shared" si="53"/>
        <v>0</v>
      </c>
      <c r="AK247" s="492" t="s">
        <v>442</v>
      </c>
    </row>
    <row r="248" spans="1:37">
      <c r="A248" s="492">
        <f t="shared" si="54"/>
        <v>230</v>
      </c>
      <c r="B248" s="492">
        <f t="shared" si="59"/>
        <v>9</v>
      </c>
      <c r="C248" s="492">
        <f t="shared" si="59"/>
        <v>2</v>
      </c>
      <c r="D248" s="492">
        <f t="shared" si="59"/>
        <v>2</v>
      </c>
      <c r="E248" s="492">
        <f t="shared" si="46"/>
        <v>2</v>
      </c>
      <c r="F248" s="499" t="s">
        <v>645</v>
      </c>
      <c r="G248" s="499" t="str">
        <f t="shared" si="47"/>
        <v>1_70 to 1_79 gpm</v>
      </c>
      <c r="H248" s="492" t="str">
        <f t="shared" si="48"/>
        <v>Direct Install</v>
      </c>
      <c r="I248" s="492" t="str">
        <f t="shared" si="48"/>
        <v>1_75</v>
      </c>
      <c r="J248" s="492" t="str">
        <f t="shared" si="48"/>
        <v>Gas Water Heating</v>
      </c>
      <c r="K248" s="492" t="str">
        <f t="shared" si="49"/>
        <v>Commercial Showerhead Replacement_Fitness Center_precondition 1_70 to 1_79 gpm_efficient 1_75 gpm_Direct Install_Gas Water Heating</v>
      </c>
      <c r="L248" s="493">
        <f>INDEX(InstallRatesCostAndLifetime!$A$2:$D$6,MATCH(InputForProCost_FitnessCenter!H248,InstallRatesCostAndLifetime!$A$2:$A$6,0),MATCH(InputForProCost_FitnessCenter!I248,InstallRatesCostAndLifetime!$A$2:$D$2,0))</f>
        <v>0.9</v>
      </c>
      <c r="M248" s="493">
        <f t="shared" si="50"/>
        <v>0</v>
      </c>
      <c r="N248" s="492"/>
      <c r="O248" s="492" t="str">
        <f t="shared" si="51"/>
        <v>Fitness Center1_70 to 1_79 gpm1_75</v>
      </c>
      <c r="P248" s="494">
        <f>VLOOKUP($O248,Impacts!$F$27:$Z$59,16,FALSE)</f>
        <v>-163.10510312433507</v>
      </c>
      <c r="Q248" s="494">
        <f>VLOOKUP($O248,Impacts!$F$27:$Z$59,17,FALSE)*L248</f>
        <v>0</v>
      </c>
      <c r="R248" s="495">
        <f>VLOOKUP($O248,Impacts!$F$27:$Z$59,19,FALSE)*L248</f>
        <v>-6.5464710332497367</v>
      </c>
      <c r="S248" s="496">
        <f>VLOOKUP($O248,Impacts!$F$27:$Z$59,20,FALSE)*L248</f>
        <v>0</v>
      </c>
      <c r="T248" s="497">
        <f>VLOOKUP($O248,Impacts!$F$27:$Z$59,21,FALSE)*L248</f>
        <v>0</v>
      </c>
      <c r="U248" s="492"/>
      <c r="V248" s="492" t="str">
        <f t="shared" si="52"/>
        <v>Commercial Showerhead Replacement_Fitness Center_precondition 1_70 to 1_79 gpm_efficient 1_75 gpm_Direct Install_Gas Water Heating</v>
      </c>
      <c r="W248" s="492" t="s">
        <v>440</v>
      </c>
      <c r="X248" s="494">
        <f t="shared" si="55"/>
        <v>0</v>
      </c>
      <c r="Y248" s="492">
        <v>10</v>
      </c>
      <c r="Z248" s="498">
        <f t="shared" si="56"/>
        <v>11.336666666666666</v>
      </c>
      <c r="AA248" s="492"/>
      <c r="AB248" s="499" t="s">
        <v>441</v>
      </c>
      <c r="AC248" s="497">
        <f t="shared" si="57"/>
        <v>0</v>
      </c>
      <c r="AD248" s="492"/>
      <c r="AE248" s="492"/>
      <c r="AF248" s="492"/>
      <c r="AG248" s="492"/>
      <c r="AH248" s="492"/>
      <c r="AI248" s="492"/>
      <c r="AJ248" s="492">
        <f t="shared" si="53"/>
        <v>0</v>
      </c>
      <c r="AK248" s="492" t="s">
        <v>442</v>
      </c>
    </row>
    <row r="249" spans="1:37">
      <c r="A249" s="492">
        <f t="shared" si="54"/>
        <v>231</v>
      </c>
      <c r="B249" s="492">
        <f t="shared" si="59"/>
        <v>9</v>
      </c>
      <c r="C249" s="492">
        <f t="shared" si="59"/>
        <v>2</v>
      </c>
      <c r="D249" s="492">
        <f t="shared" si="59"/>
        <v>2</v>
      </c>
      <c r="E249" s="492">
        <f t="shared" si="46"/>
        <v>3</v>
      </c>
      <c r="F249" s="499" t="s">
        <v>645</v>
      </c>
      <c r="G249" s="499" t="str">
        <f t="shared" si="47"/>
        <v>1_70 to 1_79 gpm</v>
      </c>
      <c r="H249" s="492" t="str">
        <f t="shared" si="48"/>
        <v>Direct Install</v>
      </c>
      <c r="I249" s="492" t="str">
        <f t="shared" si="48"/>
        <v>1_75</v>
      </c>
      <c r="J249" s="492" t="str">
        <f t="shared" si="48"/>
        <v>Any Water Heating</v>
      </c>
      <c r="K249" s="492" t="str">
        <f t="shared" si="49"/>
        <v>Commercial Showerhead Replacement_Fitness Center_precondition 1_70 to 1_79 gpm_efficient 1_75 gpm_Direct Install_Any Water Heating</v>
      </c>
      <c r="L249" s="493">
        <f>INDEX(InstallRatesCostAndLifetime!$A$2:$D$6,MATCH(InputForProCost_FitnessCenter!H249,InstallRatesCostAndLifetime!$A$2:$A$6,0),MATCH(InputForProCost_FitnessCenter!I249,InstallRatesCostAndLifetime!$A$2:$D$2,0))</f>
        <v>0.9</v>
      </c>
      <c r="M249" s="493">
        <f t="shared" si="50"/>
        <v>0.31666666666666665</v>
      </c>
      <c r="N249" s="492"/>
      <c r="O249" s="492" t="str">
        <f t="shared" si="51"/>
        <v>Fitness Center1_70 to 1_79 gpm1_75</v>
      </c>
      <c r="P249" s="494">
        <f>VLOOKUP($O249,Impacts!$F$27:$Z$59,16,FALSE)</f>
        <v>-163.10510312433507</v>
      </c>
      <c r="Q249" s="494">
        <f>VLOOKUP($O249,Impacts!$F$27:$Z$59,17,FALSE)*L249</f>
        <v>0</v>
      </c>
      <c r="R249" s="495">
        <f>VLOOKUP($O249,Impacts!$F$27:$Z$59,19,FALSE)*L249</f>
        <v>-6.5464710332497367</v>
      </c>
      <c r="S249" s="496">
        <f>VLOOKUP($O249,Impacts!$F$27:$Z$59,20,FALSE)*L249</f>
        <v>0</v>
      </c>
      <c r="T249" s="497">
        <f>VLOOKUP($O249,Impacts!$F$27:$Z$59,21,FALSE)*L249</f>
        <v>0</v>
      </c>
      <c r="U249" s="492"/>
      <c r="V249" s="492" t="str">
        <f t="shared" si="52"/>
        <v>Commercial Showerhead Replacement_Fitness Center_precondition 1_70 to 1_79 gpm_efficient 1_75 gpm_Direct Install_Any Water Heating</v>
      </c>
      <c r="W249" s="492" t="s">
        <v>440</v>
      </c>
      <c r="X249" s="494">
        <f t="shared" si="55"/>
        <v>-46.484954390435497</v>
      </c>
      <c r="Y249" s="492">
        <v>10</v>
      </c>
      <c r="Z249" s="498">
        <f t="shared" si="56"/>
        <v>11.336666666666666</v>
      </c>
      <c r="AA249" s="492"/>
      <c r="AB249" s="499" t="s">
        <v>441</v>
      </c>
      <c r="AC249" s="497">
        <f t="shared" si="57"/>
        <v>0</v>
      </c>
      <c r="AD249" s="492"/>
      <c r="AE249" s="492"/>
      <c r="AF249" s="492"/>
      <c r="AG249" s="492"/>
      <c r="AH249" s="492"/>
      <c r="AI249" s="492"/>
      <c r="AJ249" s="492">
        <f t="shared" si="53"/>
        <v>0</v>
      </c>
      <c r="AK249" s="492" t="s">
        <v>442</v>
      </c>
    </row>
    <row r="250" spans="1:37">
      <c r="A250" s="492">
        <f t="shared" si="54"/>
        <v>232</v>
      </c>
      <c r="B250" s="492">
        <f t="shared" si="59"/>
        <v>9</v>
      </c>
      <c r="C250" s="492">
        <f t="shared" si="59"/>
        <v>2</v>
      </c>
      <c r="D250" s="492">
        <f t="shared" si="59"/>
        <v>3</v>
      </c>
      <c r="E250" s="492">
        <f t="shared" si="46"/>
        <v>1</v>
      </c>
      <c r="F250" s="499" t="s">
        <v>645</v>
      </c>
      <c r="G250" s="499" t="str">
        <f t="shared" si="47"/>
        <v>1_70 to 1_79 gpm</v>
      </c>
      <c r="H250" s="492" t="str">
        <f t="shared" si="48"/>
        <v>Direct Install</v>
      </c>
      <c r="I250" s="492" t="str">
        <f t="shared" si="48"/>
        <v>1_50</v>
      </c>
      <c r="J250" s="492" t="str">
        <f t="shared" si="48"/>
        <v>Electric Water Heating</v>
      </c>
      <c r="K250" s="492" t="str">
        <f t="shared" si="49"/>
        <v>Commercial Showerhead Replacement_Fitness Center_precondition 1_70 to 1_79 gpm_efficient 1_50 gpm_Direct Install_Electric Water Heating</v>
      </c>
      <c r="L250" s="493">
        <f>INDEX(InstallRatesCostAndLifetime!$A$2:$D$6,MATCH(InputForProCost_FitnessCenter!H250,InstallRatesCostAndLifetime!$A$2:$A$6,0),MATCH(InputForProCost_FitnessCenter!I250,InstallRatesCostAndLifetime!$A$2:$D$2,0))</f>
        <v>0.9</v>
      </c>
      <c r="M250" s="493">
        <f t="shared" si="50"/>
        <v>1</v>
      </c>
      <c r="N250" s="492"/>
      <c r="O250" s="492" t="str">
        <f t="shared" si="51"/>
        <v>Fitness Center1_70 to 1_79 gpm1_50</v>
      </c>
      <c r="P250" s="494">
        <f>VLOOKUP($O250,Impacts!$F$27:$Z$59,16,FALSE)</f>
        <v>1636.2289710250025</v>
      </c>
      <c r="Q250" s="494">
        <f>VLOOKUP($O250,Impacts!$F$27:$Z$59,17,FALSE)*L250</f>
        <v>67.716534728948318</v>
      </c>
      <c r="R250" s="495">
        <f>VLOOKUP($O250,Impacts!$F$27:$Z$59,19,FALSE)*L250</f>
        <v>65.672534809740796</v>
      </c>
      <c r="S250" s="496">
        <f>VLOOKUP($O250,Impacts!$F$27:$Z$59,20,FALSE)*L250</f>
        <v>12800.857226644295</v>
      </c>
      <c r="T250" s="497">
        <f>VLOOKUP($O250,Impacts!$F$27:$Z$59,21,FALSE)*L250</f>
        <v>168.49363516056491</v>
      </c>
      <c r="U250" s="492"/>
      <c r="V250" s="492" t="str">
        <f t="shared" si="52"/>
        <v>Commercial Showerhead Replacement_Fitness Center_precondition 1_70 to 1_79 gpm_efficient 1_50 gpm_Direct Install_Electric Water Heating</v>
      </c>
      <c r="W250" s="492" t="s">
        <v>440</v>
      </c>
      <c r="X250" s="494">
        <f t="shared" si="55"/>
        <v>1472.6060739225022</v>
      </c>
      <c r="Y250" s="492">
        <v>10</v>
      </c>
      <c r="Z250" s="498">
        <f t="shared" si="56"/>
        <v>11.336666666666666</v>
      </c>
      <c r="AA250" s="492"/>
      <c r="AB250" s="499" t="s">
        <v>441</v>
      </c>
      <c r="AC250" s="497">
        <f t="shared" si="57"/>
        <v>168.49363516056491</v>
      </c>
      <c r="AD250" s="492"/>
      <c r="AE250" s="492"/>
      <c r="AF250" s="492"/>
      <c r="AG250" s="492"/>
      <c r="AH250" s="492"/>
      <c r="AI250" s="492"/>
      <c r="AJ250" s="492">
        <f t="shared" si="53"/>
        <v>0</v>
      </c>
      <c r="AK250" s="492" t="s">
        <v>442</v>
      </c>
    </row>
    <row r="251" spans="1:37">
      <c r="A251" s="492">
        <f t="shared" si="54"/>
        <v>233</v>
      </c>
      <c r="B251" s="492">
        <f t="shared" si="59"/>
        <v>9</v>
      </c>
      <c r="C251" s="492">
        <f t="shared" si="59"/>
        <v>2</v>
      </c>
      <c r="D251" s="492">
        <f t="shared" si="59"/>
        <v>3</v>
      </c>
      <c r="E251" s="492">
        <f t="shared" si="46"/>
        <v>2</v>
      </c>
      <c r="F251" s="499" t="s">
        <v>645</v>
      </c>
      <c r="G251" s="499" t="str">
        <f t="shared" si="47"/>
        <v>1_70 to 1_79 gpm</v>
      </c>
      <c r="H251" s="492" t="str">
        <f t="shared" si="48"/>
        <v>Direct Install</v>
      </c>
      <c r="I251" s="492" t="str">
        <f t="shared" si="48"/>
        <v>1_50</v>
      </c>
      <c r="J251" s="492" t="str">
        <f t="shared" si="48"/>
        <v>Gas Water Heating</v>
      </c>
      <c r="K251" s="492" t="str">
        <f t="shared" si="49"/>
        <v>Commercial Showerhead Replacement_Fitness Center_precondition 1_70 to 1_79 gpm_efficient 1_50 gpm_Direct Install_Gas Water Heating</v>
      </c>
      <c r="L251" s="493">
        <f>INDEX(InstallRatesCostAndLifetime!$A$2:$D$6,MATCH(InputForProCost_FitnessCenter!H251,InstallRatesCostAndLifetime!$A$2:$A$6,0),MATCH(InputForProCost_FitnessCenter!I251,InstallRatesCostAndLifetime!$A$2:$D$2,0))</f>
        <v>0.9</v>
      </c>
      <c r="M251" s="493">
        <f t="shared" si="50"/>
        <v>0</v>
      </c>
      <c r="N251" s="492"/>
      <c r="O251" s="492" t="str">
        <f t="shared" si="51"/>
        <v>Fitness Center1_70 to 1_79 gpm1_50</v>
      </c>
      <c r="P251" s="494">
        <f>VLOOKUP($O251,Impacts!$F$27:$Z$59,16,FALSE)</f>
        <v>1636.2289710250025</v>
      </c>
      <c r="Q251" s="494">
        <f>VLOOKUP($O251,Impacts!$F$27:$Z$59,17,FALSE)*L251</f>
        <v>67.716534728948318</v>
      </c>
      <c r="R251" s="495">
        <f>VLOOKUP($O251,Impacts!$F$27:$Z$59,19,FALSE)*L251</f>
        <v>65.672534809740796</v>
      </c>
      <c r="S251" s="496">
        <f>VLOOKUP($O251,Impacts!$F$27:$Z$59,20,FALSE)*L251</f>
        <v>12800.857226644295</v>
      </c>
      <c r="T251" s="497">
        <f>VLOOKUP($O251,Impacts!$F$27:$Z$59,21,FALSE)*L251</f>
        <v>168.49363516056491</v>
      </c>
      <c r="U251" s="492"/>
      <c r="V251" s="492" t="str">
        <f t="shared" si="52"/>
        <v>Commercial Showerhead Replacement_Fitness Center_precondition 1_70 to 1_79 gpm_efficient 1_50 gpm_Direct Install_Gas Water Heating</v>
      </c>
      <c r="W251" s="492" t="s">
        <v>440</v>
      </c>
      <c r="X251" s="494">
        <f t="shared" si="55"/>
        <v>0</v>
      </c>
      <c r="Y251" s="492">
        <v>10</v>
      </c>
      <c r="Z251" s="498">
        <f t="shared" si="56"/>
        <v>11.336666666666666</v>
      </c>
      <c r="AA251" s="492"/>
      <c r="AB251" s="499" t="s">
        <v>441</v>
      </c>
      <c r="AC251" s="497">
        <f t="shared" si="57"/>
        <v>168.49363516056491</v>
      </c>
      <c r="AD251" s="492"/>
      <c r="AE251" s="492"/>
      <c r="AF251" s="492"/>
      <c r="AG251" s="492"/>
      <c r="AH251" s="492"/>
      <c r="AI251" s="492"/>
      <c r="AJ251" s="492">
        <f t="shared" si="53"/>
        <v>65.672534809740796</v>
      </c>
      <c r="AK251" s="492" t="s">
        <v>442</v>
      </c>
    </row>
    <row r="252" spans="1:37">
      <c r="A252" s="492">
        <f t="shared" si="54"/>
        <v>234</v>
      </c>
      <c r="B252" s="492">
        <f t="shared" si="59"/>
        <v>9</v>
      </c>
      <c r="C252" s="492">
        <f t="shared" si="59"/>
        <v>2</v>
      </c>
      <c r="D252" s="492">
        <f t="shared" si="59"/>
        <v>3</v>
      </c>
      <c r="E252" s="492">
        <f t="shared" si="46"/>
        <v>3</v>
      </c>
      <c r="F252" s="499" t="s">
        <v>645</v>
      </c>
      <c r="G252" s="499" t="str">
        <f t="shared" si="47"/>
        <v>1_70 to 1_79 gpm</v>
      </c>
      <c r="H252" s="492" t="str">
        <f t="shared" si="48"/>
        <v>Direct Install</v>
      </c>
      <c r="I252" s="492" t="str">
        <f t="shared" si="48"/>
        <v>1_50</v>
      </c>
      <c r="J252" s="492" t="str">
        <f t="shared" si="48"/>
        <v>Any Water Heating</v>
      </c>
      <c r="K252" s="492" t="str">
        <f t="shared" si="49"/>
        <v>Commercial Showerhead Replacement_Fitness Center_precondition 1_70 to 1_79 gpm_efficient 1_50 gpm_Direct Install_Any Water Heating</v>
      </c>
      <c r="L252" s="493">
        <f>INDEX(InstallRatesCostAndLifetime!$A$2:$D$6,MATCH(InputForProCost_FitnessCenter!H252,InstallRatesCostAndLifetime!$A$2:$A$6,0),MATCH(InputForProCost_FitnessCenter!I252,InstallRatesCostAndLifetime!$A$2:$D$2,0))</f>
        <v>0.9</v>
      </c>
      <c r="M252" s="493">
        <f t="shared" si="50"/>
        <v>0.31666666666666665</v>
      </c>
      <c r="N252" s="492"/>
      <c r="O252" s="492" t="str">
        <f t="shared" si="51"/>
        <v>Fitness Center1_70 to 1_79 gpm1_50</v>
      </c>
      <c r="P252" s="494">
        <f>VLOOKUP($O252,Impacts!$F$27:$Z$59,16,FALSE)</f>
        <v>1636.2289710250025</v>
      </c>
      <c r="Q252" s="494">
        <f>VLOOKUP($O252,Impacts!$F$27:$Z$59,17,FALSE)*L252</f>
        <v>67.716534728948318</v>
      </c>
      <c r="R252" s="495">
        <f>VLOOKUP($O252,Impacts!$F$27:$Z$59,19,FALSE)*L252</f>
        <v>65.672534809740796</v>
      </c>
      <c r="S252" s="496">
        <f>VLOOKUP($O252,Impacts!$F$27:$Z$59,20,FALSE)*L252</f>
        <v>12800.857226644295</v>
      </c>
      <c r="T252" s="497">
        <f>VLOOKUP($O252,Impacts!$F$27:$Z$59,21,FALSE)*L252</f>
        <v>168.49363516056491</v>
      </c>
      <c r="U252" s="492"/>
      <c r="V252" s="492" t="str">
        <f t="shared" si="52"/>
        <v>Commercial Showerhead Replacement_Fitness Center_precondition 1_70 to 1_79 gpm_efficient 1_50 gpm_Direct Install_Any Water Heating</v>
      </c>
      <c r="W252" s="492" t="s">
        <v>440</v>
      </c>
      <c r="X252" s="494">
        <f t="shared" si="55"/>
        <v>466.3252567421257</v>
      </c>
      <c r="Y252" s="492">
        <v>10</v>
      </c>
      <c r="Z252" s="498">
        <f t="shared" si="56"/>
        <v>11.336666666666666</v>
      </c>
      <c r="AA252" s="492"/>
      <c r="AB252" s="499" t="s">
        <v>441</v>
      </c>
      <c r="AC252" s="497">
        <f t="shared" si="57"/>
        <v>168.49363516056491</v>
      </c>
      <c r="AD252" s="492"/>
      <c r="AE252" s="492"/>
      <c r="AF252" s="492"/>
      <c r="AG252" s="492"/>
      <c r="AH252" s="492"/>
      <c r="AI252" s="492"/>
      <c r="AJ252" s="492">
        <f t="shared" si="53"/>
        <v>44.876232119989545</v>
      </c>
      <c r="AK252" s="492" t="s">
        <v>442</v>
      </c>
    </row>
    <row r="253" spans="1:37">
      <c r="A253" s="492">
        <f t="shared" si="54"/>
        <v>235</v>
      </c>
      <c r="B253" s="492">
        <f t="shared" si="59"/>
        <v>9</v>
      </c>
      <c r="C253" s="492">
        <f t="shared" si="59"/>
        <v>3</v>
      </c>
      <c r="D253" s="492">
        <f t="shared" si="59"/>
        <v>1</v>
      </c>
      <c r="E253" s="492">
        <f t="shared" si="46"/>
        <v>1</v>
      </c>
      <c r="F253" s="499" t="s">
        <v>645</v>
      </c>
      <c r="G253" s="499" t="str">
        <f t="shared" si="47"/>
        <v>1_70 to 1_79 gpm</v>
      </c>
      <c r="H253" s="492" t="str">
        <f t="shared" si="48"/>
        <v>Mail-by-Request</v>
      </c>
      <c r="I253" s="492" t="str">
        <f t="shared" si="48"/>
        <v>2_00</v>
      </c>
      <c r="J253" s="492" t="str">
        <f t="shared" si="48"/>
        <v>Electric Water Heating</v>
      </c>
      <c r="K253" s="492" t="str">
        <f t="shared" si="49"/>
        <v>Commercial Showerhead Replacement_Fitness Center_precondition 1_70 to 1_79 gpm_efficient 2_00 gpm_Mail-by-Request_Electric Water Heating</v>
      </c>
      <c r="L253" s="493">
        <f>INDEX(InstallRatesCostAndLifetime!$A$2:$D$6,MATCH(InputForProCost_FitnessCenter!H253,InstallRatesCostAndLifetime!$A$2:$A$6,0),MATCH(InputForProCost_FitnessCenter!I253,InstallRatesCostAndLifetime!$A$2:$D$2,0))</f>
        <v>0.6</v>
      </c>
      <c r="M253" s="493">
        <f t="shared" si="50"/>
        <v>1</v>
      </c>
      <c r="N253" s="492"/>
      <c r="O253" s="492" t="str">
        <f t="shared" si="51"/>
        <v>Fitness Center1_70 to 1_79 gpm2_00</v>
      </c>
      <c r="P253" s="494">
        <f>VLOOKUP($O253,Impacts!$F$27:$Z$59,16,FALSE)</f>
        <v>-336.56608581211185</v>
      </c>
      <c r="Q253" s="494">
        <f>VLOOKUP($O253,Impacts!$F$27:$Z$59,17,FALSE)*L253</f>
        <v>-9.028871297193211</v>
      </c>
      <c r="R253" s="495">
        <f>VLOOKUP($O253,Impacts!$F$27:$Z$59,19,FALSE)*L253</f>
        <v>-9.0057273473274329</v>
      </c>
      <c r="S253" s="496">
        <f>VLOOKUP($O253,Impacts!$F$27:$Z$59,20,FALSE)*L253</f>
        <v>-1706.7809635525919</v>
      </c>
      <c r="T253" s="497">
        <f>VLOOKUP($O253,Impacts!$F$27:$Z$59,21,FALSE)*L253</f>
        <v>-22.465818021408911</v>
      </c>
      <c r="U253" s="492"/>
      <c r="V253" s="492" t="str">
        <f t="shared" si="52"/>
        <v>Commercial Showerhead Replacement_Fitness Center_precondition 1_70 to 1_79 gpm_efficient 2_00 gpm_Mail-by-Request_Electric Water Heating</v>
      </c>
      <c r="W253" s="492" t="s">
        <v>440</v>
      </c>
      <c r="X253" s="494">
        <f t="shared" si="55"/>
        <v>-201.9396514872671</v>
      </c>
      <c r="Y253" s="492">
        <v>10</v>
      </c>
      <c r="Z253" s="498">
        <f t="shared" si="56"/>
        <v>8.1096944444444432</v>
      </c>
      <c r="AA253" s="492"/>
      <c r="AB253" s="499" t="s">
        <v>441</v>
      </c>
      <c r="AC253" s="497">
        <f t="shared" si="57"/>
        <v>-22.465818021408911</v>
      </c>
      <c r="AD253" s="492"/>
      <c r="AE253" s="492"/>
      <c r="AF253" s="492"/>
      <c r="AG253" s="492"/>
      <c r="AH253" s="492"/>
      <c r="AI253" s="492"/>
      <c r="AJ253" s="492">
        <f t="shared" si="53"/>
        <v>0</v>
      </c>
      <c r="AK253" s="492" t="s">
        <v>442</v>
      </c>
    </row>
    <row r="254" spans="1:37">
      <c r="A254" s="492">
        <f t="shared" si="54"/>
        <v>236</v>
      </c>
      <c r="B254" s="492">
        <f t="shared" si="59"/>
        <v>9</v>
      </c>
      <c r="C254" s="492">
        <f t="shared" si="59"/>
        <v>3</v>
      </c>
      <c r="D254" s="492">
        <f t="shared" si="59"/>
        <v>1</v>
      </c>
      <c r="E254" s="492">
        <f t="shared" si="46"/>
        <v>2</v>
      </c>
      <c r="F254" s="499" t="s">
        <v>645</v>
      </c>
      <c r="G254" s="499" t="str">
        <f t="shared" si="47"/>
        <v>1_70 to 1_79 gpm</v>
      </c>
      <c r="H254" s="492" t="str">
        <f t="shared" si="48"/>
        <v>Mail-by-Request</v>
      </c>
      <c r="I254" s="492" t="str">
        <f t="shared" si="48"/>
        <v>2_00</v>
      </c>
      <c r="J254" s="492" t="str">
        <f t="shared" si="48"/>
        <v>Gas Water Heating</v>
      </c>
      <c r="K254" s="492" t="str">
        <f t="shared" si="49"/>
        <v>Commercial Showerhead Replacement_Fitness Center_precondition 1_70 to 1_79 gpm_efficient 2_00 gpm_Mail-by-Request_Gas Water Heating</v>
      </c>
      <c r="L254" s="493">
        <f>INDEX(InstallRatesCostAndLifetime!$A$2:$D$6,MATCH(InputForProCost_FitnessCenter!H254,InstallRatesCostAndLifetime!$A$2:$A$6,0),MATCH(InputForProCost_FitnessCenter!I254,InstallRatesCostAndLifetime!$A$2:$D$2,0))</f>
        <v>0.6</v>
      </c>
      <c r="M254" s="493">
        <f t="shared" si="50"/>
        <v>0</v>
      </c>
      <c r="N254" s="492"/>
      <c r="O254" s="492" t="str">
        <f t="shared" si="51"/>
        <v>Fitness Center1_70 to 1_79 gpm2_00</v>
      </c>
      <c r="P254" s="494">
        <f>VLOOKUP($O254,Impacts!$F$27:$Z$59,16,FALSE)</f>
        <v>-336.56608581211185</v>
      </c>
      <c r="Q254" s="494">
        <f>VLOOKUP($O254,Impacts!$F$27:$Z$59,17,FALSE)*L254</f>
        <v>-9.028871297193211</v>
      </c>
      <c r="R254" s="495">
        <f>VLOOKUP($O254,Impacts!$F$27:$Z$59,19,FALSE)*L254</f>
        <v>-9.0057273473274329</v>
      </c>
      <c r="S254" s="496">
        <f>VLOOKUP($O254,Impacts!$F$27:$Z$59,20,FALSE)*L254</f>
        <v>-1706.7809635525919</v>
      </c>
      <c r="T254" s="497">
        <f>VLOOKUP($O254,Impacts!$F$27:$Z$59,21,FALSE)*L254</f>
        <v>-22.465818021408911</v>
      </c>
      <c r="U254" s="492"/>
      <c r="V254" s="492" t="str">
        <f t="shared" si="52"/>
        <v>Commercial Showerhead Replacement_Fitness Center_precondition 1_70 to 1_79 gpm_efficient 2_00 gpm_Mail-by-Request_Gas Water Heating</v>
      </c>
      <c r="W254" s="492" t="s">
        <v>440</v>
      </c>
      <c r="X254" s="494">
        <f t="shared" si="55"/>
        <v>0</v>
      </c>
      <c r="Y254" s="492">
        <v>10</v>
      </c>
      <c r="Z254" s="498">
        <f t="shared" si="56"/>
        <v>8.1096944444444432</v>
      </c>
      <c r="AA254" s="492"/>
      <c r="AB254" s="499" t="s">
        <v>441</v>
      </c>
      <c r="AC254" s="497">
        <f t="shared" si="57"/>
        <v>-22.465818021408911</v>
      </c>
      <c r="AD254" s="492"/>
      <c r="AE254" s="492"/>
      <c r="AF254" s="492"/>
      <c r="AG254" s="492"/>
      <c r="AH254" s="492"/>
      <c r="AI254" s="492"/>
      <c r="AJ254" s="492">
        <f t="shared" si="53"/>
        <v>0</v>
      </c>
      <c r="AK254" s="492" t="s">
        <v>442</v>
      </c>
    </row>
    <row r="255" spans="1:37">
      <c r="A255" s="492">
        <f t="shared" si="54"/>
        <v>237</v>
      </c>
      <c r="B255" s="492">
        <f t="shared" si="59"/>
        <v>9</v>
      </c>
      <c r="C255" s="492">
        <f t="shared" si="59"/>
        <v>3</v>
      </c>
      <c r="D255" s="492">
        <f t="shared" si="59"/>
        <v>1</v>
      </c>
      <c r="E255" s="492">
        <f t="shared" si="46"/>
        <v>3</v>
      </c>
      <c r="F255" s="499" t="s">
        <v>645</v>
      </c>
      <c r="G255" s="499" t="str">
        <f t="shared" si="47"/>
        <v>1_70 to 1_79 gpm</v>
      </c>
      <c r="H255" s="492" t="str">
        <f t="shared" si="48"/>
        <v>Mail-by-Request</v>
      </c>
      <c r="I255" s="492" t="str">
        <f t="shared" si="48"/>
        <v>2_00</v>
      </c>
      <c r="J255" s="492" t="str">
        <f t="shared" si="48"/>
        <v>Any Water Heating</v>
      </c>
      <c r="K255" s="492" t="str">
        <f t="shared" si="49"/>
        <v>Commercial Showerhead Replacement_Fitness Center_precondition 1_70 to 1_79 gpm_efficient 2_00 gpm_Mail-by-Request_Any Water Heating</v>
      </c>
      <c r="L255" s="493">
        <f>INDEX(InstallRatesCostAndLifetime!$A$2:$D$6,MATCH(InputForProCost_FitnessCenter!H255,InstallRatesCostAndLifetime!$A$2:$A$6,0),MATCH(InputForProCost_FitnessCenter!I255,InstallRatesCostAndLifetime!$A$2:$D$2,0))</f>
        <v>0.6</v>
      </c>
      <c r="M255" s="493">
        <f t="shared" si="50"/>
        <v>0.31666666666666665</v>
      </c>
      <c r="N255" s="492"/>
      <c r="O255" s="492" t="str">
        <f t="shared" si="51"/>
        <v>Fitness Center1_70 to 1_79 gpm2_00</v>
      </c>
      <c r="P255" s="494">
        <f>VLOOKUP($O255,Impacts!$F$27:$Z$59,16,FALSE)</f>
        <v>-336.56608581211185</v>
      </c>
      <c r="Q255" s="494">
        <f>VLOOKUP($O255,Impacts!$F$27:$Z$59,17,FALSE)*L255</f>
        <v>-9.028871297193211</v>
      </c>
      <c r="R255" s="495">
        <f>VLOOKUP($O255,Impacts!$F$27:$Z$59,19,FALSE)*L255</f>
        <v>-9.0057273473274329</v>
      </c>
      <c r="S255" s="496">
        <f>VLOOKUP($O255,Impacts!$F$27:$Z$59,20,FALSE)*L255</f>
        <v>-1706.7809635525919</v>
      </c>
      <c r="T255" s="497">
        <f>VLOOKUP($O255,Impacts!$F$27:$Z$59,21,FALSE)*L255</f>
        <v>-22.465818021408911</v>
      </c>
      <c r="U255" s="492"/>
      <c r="V255" s="492" t="str">
        <f t="shared" si="52"/>
        <v>Commercial Showerhead Replacement_Fitness Center_precondition 1_70 to 1_79 gpm_efficient 2_00 gpm_Mail-by-Request_Any Water Heating</v>
      </c>
      <c r="W255" s="492" t="s">
        <v>440</v>
      </c>
      <c r="X255" s="494">
        <f t="shared" si="55"/>
        <v>-63.947556304301251</v>
      </c>
      <c r="Y255" s="492">
        <v>10</v>
      </c>
      <c r="Z255" s="498">
        <f t="shared" si="56"/>
        <v>8.1096944444444432</v>
      </c>
      <c r="AA255" s="492"/>
      <c r="AB255" s="499" t="s">
        <v>441</v>
      </c>
      <c r="AC255" s="497">
        <f t="shared" si="57"/>
        <v>-22.465818021408911</v>
      </c>
      <c r="AD255" s="492"/>
      <c r="AE255" s="492"/>
      <c r="AF255" s="492"/>
      <c r="AG255" s="492"/>
      <c r="AH255" s="492"/>
      <c r="AI255" s="492"/>
      <c r="AJ255" s="492">
        <f t="shared" si="53"/>
        <v>0</v>
      </c>
      <c r="AK255" s="492" t="s">
        <v>442</v>
      </c>
    </row>
    <row r="256" spans="1:37">
      <c r="A256" s="492">
        <f t="shared" si="54"/>
        <v>238</v>
      </c>
      <c r="B256" s="492">
        <f t="shared" si="59"/>
        <v>9</v>
      </c>
      <c r="C256" s="492">
        <f t="shared" si="59"/>
        <v>3</v>
      </c>
      <c r="D256" s="492">
        <f t="shared" si="59"/>
        <v>2</v>
      </c>
      <c r="E256" s="492">
        <f t="shared" si="46"/>
        <v>1</v>
      </c>
      <c r="F256" s="499" t="s">
        <v>645</v>
      </c>
      <c r="G256" s="499" t="str">
        <f t="shared" si="47"/>
        <v>1_70 to 1_79 gpm</v>
      </c>
      <c r="H256" s="492" t="str">
        <f t="shared" si="48"/>
        <v>Mail-by-Request</v>
      </c>
      <c r="I256" s="492" t="str">
        <f t="shared" si="48"/>
        <v>1_75</v>
      </c>
      <c r="J256" s="492" t="str">
        <f t="shared" si="48"/>
        <v>Electric Water Heating</v>
      </c>
      <c r="K256" s="492" t="str">
        <f t="shared" si="49"/>
        <v>Commercial Showerhead Replacement_Fitness Center_precondition 1_70 to 1_79 gpm_efficient 1_75 gpm_Mail-by-Request_Electric Water Heating</v>
      </c>
      <c r="L256" s="493">
        <f>INDEX(InstallRatesCostAndLifetime!$A$2:$D$6,MATCH(InputForProCost_FitnessCenter!H256,InstallRatesCostAndLifetime!$A$2:$A$6,0),MATCH(InputForProCost_FitnessCenter!I256,InstallRatesCostAndLifetime!$A$2:$D$2,0))</f>
        <v>0.6</v>
      </c>
      <c r="M256" s="493">
        <f t="shared" si="50"/>
        <v>1</v>
      </c>
      <c r="N256" s="492"/>
      <c r="O256" s="492" t="str">
        <f t="shared" si="51"/>
        <v>Fitness Center1_70 to 1_79 gpm1_75</v>
      </c>
      <c r="P256" s="494">
        <f>VLOOKUP($O256,Impacts!$F$27:$Z$59,16,FALSE)</f>
        <v>-163.10510312433507</v>
      </c>
      <c r="Q256" s="494">
        <f>VLOOKUP($O256,Impacts!$F$27:$Z$59,17,FALSE)*L256</f>
        <v>0</v>
      </c>
      <c r="R256" s="495">
        <f>VLOOKUP($O256,Impacts!$F$27:$Z$59,19,FALSE)*L256</f>
        <v>-4.3643140221664902</v>
      </c>
      <c r="S256" s="496">
        <f>VLOOKUP($O256,Impacts!$F$27:$Z$59,20,FALSE)*L256</f>
        <v>0</v>
      </c>
      <c r="T256" s="497">
        <f>VLOOKUP($O256,Impacts!$F$27:$Z$59,21,FALSE)*L256</f>
        <v>0</v>
      </c>
      <c r="U256" s="492"/>
      <c r="V256" s="492" t="str">
        <f t="shared" si="52"/>
        <v>Commercial Showerhead Replacement_Fitness Center_precondition 1_70 to 1_79 gpm_efficient 1_75 gpm_Mail-by-Request_Electric Water Heating</v>
      </c>
      <c r="W256" s="492" t="s">
        <v>440</v>
      </c>
      <c r="X256" s="494">
        <f t="shared" si="55"/>
        <v>-97.863061874601044</v>
      </c>
      <c r="Y256" s="492">
        <v>10</v>
      </c>
      <c r="Z256" s="498">
        <f t="shared" si="56"/>
        <v>8.1096944444444432</v>
      </c>
      <c r="AA256" s="492"/>
      <c r="AB256" s="499" t="s">
        <v>441</v>
      </c>
      <c r="AC256" s="497">
        <f t="shared" si="57"/>
        <v>0</v>
      </c>
      <c r="AD256" s="492"/>
      <c r="AE256" s="492"/>
      <c r="AF256" s="492"/>
      <c r="AG256" s="492"/>
      <c r="AH256" s="492"/>
      <c r="AI256" s="492"/>
      <c r="AJ256" s="492">
        <f t="shared" si="53"/>
        <v>0</v>
      </c>
      <c r="AK256" s="492" t="s">
        <v>442</v>
      </c>
    </row>
    <row r="257" spans="1:37">
      <c r="A257" s="492">
        <f t="shared" si="54"/>
        <v>239</v>
      </c>
      <c r="B257" s="492">
        <f t="shared" si="59"/>
        <v>9</v>
      </c>
      <c r="C257" s="492">
        <f t="shared" si="59"/>
        <v>3</v>
      </c>
      <c r="D257" s="492">
        <f t="shared" si="59"/>
        <v>2</v>
      </c>
      <c r="E257" s="492">
        <f t="shared" si="46"/>
        <v>2</v>
      </c>
      <c r="F257" s="499" t="s">
        <v>645</v>
      </c>
      <c r="G257" s="499" t="str">
        <f t="shared" si="47"/>
        <v>1_70 to 1_79 gpm</v>
      </c>
      <c r="H257" s="492" t="str">
        <f t="shared" si="48"/>
        <v>Mail-by-Request</v>
      </c>
      <c r="I257" s="492" t="str">
        <f t="shared" si="48"/>
        <v>1_75</v>
      </c>
      <c r="J257" s="492" t="str">
        <f t="shared" si="48"/>
        <v>Gas Water Heating</v>
      </c>
      <c r="K257" s="492" t="str">
        <f t="shared" si="49"/>
        <v>Commercial Showerhead Replacement_Fitness Center_precondition 1_70 to 1_79 gpm_efficient 1_75 gpm_Mail-by-Request_Gas Water Heating</v>
      </c>
      <c r="L257" s="493">
        <f>INDEX(InstallRatesCostAndLifetime!$A$2:$D$6,MATCH(InputForProCost_FitnessCenter!H257,InstallRatesCostAndLifetime!$A$2:$A$6,0),MATCH(InputForProCost_FitnessCenter!I257,InstallRatesCostAndLifetime!$A$2:$D$2,0))</f>
        <v>0.6</v>
      </c>
      <c r="M257" s="493">
        <f t="shared" si="50"/>
        <v>0</v>
      </c>
      <c r="N257" s="492"/>
      <c r="O257" s="492" t="str">
        <f t="shared" si="51"/>
        <v>Fitness Center1_70 to 1_79 gpm1_75</v>
      </c>
      <c r="P257" s="494">
        <f>VLOOKUP($O257,Impacts!$F$27:$Z$59,16,FALSE)</f>
        <v>-163.10510312433507</v>
      </c>
      <c r="Q257" s="494">
        <f>VLOOKUP($O257,Impacts!$F$27:$Z$59,17,FALSE)*L257</f>
        <v>0</v>
      </c>
      <c r="R257" s="495">
        <f>VLOOKUP($O257,Impacts!$F$27:$Z$59,19,FALSE)*L257</f>
        <v>-4.3643140221664902</v>
      </c>
      <c r="S257" s="496">
        <f>VLOOKUP($O257,Impacts!$F$27:$Z$59,20,FALSE)*L257</f>
        <v>0</v>
      </c>
      <c r="T257" s="497">
        <f>VLOOKUP($O257,Impacts!$F$27:$Z$59,21,FALSE)*L257</f>
        <v>0</v>
      </c>
      <c r="U257" s="492"/>
      <c r="V257" s="492" t="str">
        <f t="shared" si="52"/>
        <v>Commercial Showerhead Replacement_Fitness Center_precondition 1_70 to 1_79 gpm_efficient 1_75 gpm_Mail-by-Request_Gas Water Heating</v>
      </c>
      <c r="W257" s="492" t="s">
        <v>440</v>
      </c>
      <c r="X257" s="494">
        <f t="shared" si="55"/>
        <v>0</v>
      </c>
      <c r="Y257" s="492">
        <v>10</v>
      </c>
      <c r="Z257" s="498">
        <f t="shared" si="56"/>
        <v>8.1096944444444432</v>
      </c>
      <c r="AA257" s="492"/>
      <c r="AB257" s="499" t="s">
        <v>441</v>
      </c>
      <c r="AC257" s="497">
        <f t="shared" si="57"/>
        <v>0</v>
      </c>
      <c r="AD257" s="492"/>
      <c r="AE257" s="492"/>
      <c r="AF257" s="492"/>
      <c r="AG257" s="492"/>
      <c r="AH257" s="492"/>
      <c r="AI257" s="492"/>
      <c r="AJ257" s="492">
        <f t="shared" si="53"/>
        <v>0</v>
      </c>
      <c r="AK257" s="492" t="s">
        <v>442</v>
      </c>
    </row>
    <row r="258" spans="1:37">
      <c r="A258" s="492">
        <f t="shared" si="54"/>
        <v>240</v>
      </c>
      <c r="B258" s="492">
        <f t="shared" si="59"/>
        <v>9</v>
      </c>
      <c r="C258" s="492">
        <f t="shared" si="59"/>
        <v>3</v>
      </c>
      <c r="D258" s="492">
        <f t="shared" si="59"/>
        <v>2</v>
      </c>
      <c r="E258" s="492">
        <f t="shared" si="46"/>
        <v>3</v>
      </c>
      <c r="F258" s="499" t="s">
        <v>645</v>
      </c>
      <c r="G258" s="499" t="str">
        <f t="shared" si="47"/>
        <v>1_70 to 1_79 gpm</v>
      </c>
      <c r="H258" s="492" t="str">
        <f t="shared" si="48"/>
        <v>Mail-by-Request</v>
      </c>
      <c r="I258" s="492" t="str">
        <f t="shared" si="48"/>
        <v>1_75</v>
      </c>
      <c r="J258" s="492" t="str">
        <f t="shared" si="48"/>
        <v>Any Water Heating</v>
      </c>
      <c r="K258" s="492" t="str">
        <f t="shared" si="49"/>
        <v>Commercial Showerhead Replacement_Fitness Center_precondition 1_70 to 1_79 gpm_efficient 1_75 gpm_Mail-by-Request_Any Water Heating</v>
      </c>
      <c r="L258" s="493">
        <f>INDEX(InstallRatesCostAndLifetime!$A$2:$D$6,MATCH(InputForProCost_FitnessCenter!H258,InstallRatesCostAndLifetime!$A$2:$A$6,0),MATCH(InputForProCost_FitnessCenter!I258,InstallRatesCostAndLifetime!$A$2:$D$2,0))</f>
        <v>0.6</v>
      </c>
      <c r="M258" s="493">
        <f t="shared" si="50"/>
        <v>0.31666666666666665</v>
      </c>
      <c r="N258" s="492"/>
      <c r="O258" s="492" t="str">
        <f t="shared" si="51"/>
        <v>Fitness Center1_70 to 1_79 gpm1_75</v>
      </c>
      <c r="P258" s="494">
        <f>VLOOKUP($O258,Impacts!$F$27:$Z$59,16,FALSE)</f>
        <v>-163.10510312433507</v>
      </c>
      <c r="Q258" s="494">
        <f>VLOOKUP($O258,Impacts!$F$27:$Z$59,17,FALSE)*L258</f>
        <v>0</v>
      </c>
      <c r="R258" s="495">
        <f>VLOOKUP($O258,Impacts!$F$27:$Z$59,19,FALSE)*L258</f>
        <v>-4.3643140221664902</v>
      </c>
      <c r="S258" s="496">
        <f>VLOOKUP($O258,Impacts!$F$27:$Z$59,20,FALSE)*L258</f>
        <v>0</v>
      </c>
      <c r="T258" s="497">
        <f>VLOOKUP($O258,Impacts!$F$27:$Z$59,21,FALSE)*L258</f>
        <v>0</v>
      </c>
      <c r="U258" s="492"/>
      <c r="V258" s="492" t="str">
        <f t="shared" si="52"/>
        <v>Commercial Showerhead Replacement_Fitness Center_precondition 1_70 to 1_79 gpm_efficient 1_75 gpm_Mail-by-Request_Any Water Heating</v>
      </c>
      <c r="W258" s="492" t="s">
        <v>440</v>
      </c>
      <c r="X258" s="494">
        <f t="shared" si="55"/>
        <v>-30.989969593623663</v>
      </c>
      <c r="Y258" s="492">
        <v>10</v>
      </c>
      <c r="Z258" s="498">
        <f t="shared" si="56"/>
        <v>8.1096944444444432</v>
      </c>
      <c r="AA258" s="492"/>
      <c r="AB258" s="499" t="s">
        <v>441</v>
      </c>
      <c r="AC258" s="497">
        <f t="shared" si="57"/>
        <v>0</v>
      </c>
      <c r="AD258" s="492"/>
      <c r="AE258" s="492"/>
      <c r="AF258" s="492"/>
      <c r="AG258" s="492"/>
      <c r="AH258" s="492"/>
      <c r="AI258" s="492"/>
      <c r="AJ258" s="492">
        <f t="shared" si="53"/>
        <v>0</v>
      </c>
      <c r="AK258" s="492" t="s">
        <v>442</v>
      </c>
    </row>
    <row r="259" spans="1:37">
      <c r="A259" s="492">
        <f t="shared" si="54"/>
        <v>241</v>
      </c>
      <c r="B259" s="492">
        <f t="shared" ref="B259:D278" si="60">CEILING((MOD($A259-1,B$17)+1)/C$17,1)</f>
        <v>9</v>
      </c>
      <c r="C259" s="492">
        <f t="shared" si="60"/>
        <v>3</v>
      </c>
      <c r="D259" s="492">
        <f t="shared" si="60"/>
        <v>3</v>
      </c>
      <c r="E259" s="492">
        <f t="shared" si="46"/>
        <v>1</v>
      </c>
      <c r="F259" s="499" t="s">
        <v>645</v>
      </c>
      <c r="G259" s="499" t="str">
        <f t="shared" si="47"/>
        <v>1_70 to 1_79 gpm</v>
      </c>
      <c r="H259" s="492" t="str">
        <f t="shared" si="48"/>
        <v>Mail-by-Request</v>
      </c>
      <c r="I259" s="492" t="str">
        <f t="shared" si="48"/>
        <v>1_50</v>
      </c>
      <c r="J259" s="492" t="str">
        <f t="shared" si="48"/>
        <v>Electric Water Heating</v>
      </c>
      <c r="K259" s="492" t="str">
        <f t="shared" si="49"/>
        <v>Commercial Showerhead Replacement_Fitness Center_precondition 1_70 to 1_79 gpm_efficient 1_50 gpm_Mail-by-Request_Electric Water Heating</v>
      </c>
      <c r="L259" s="493">
        <f>INDEX(InstallRatesCostAndLifetime!$A$2:$D$6,MATCH(InputForProCost_FitnessCenter!H259,InstallRatesCostAndLifetime!$A$2:$A$6,0),MATCH(InputForProCost_FitnessCenter!I259,InstallRatesCostAndLifetime!$A$2:$D$2,0))</f>
        <v>0.6</v>
      </c>
      <c r="M259" s="493">
        <f t="shared" si="50"/>
        <v>1</v>
      </c>
      <c r="N259" s="492"/>
      <c r="O259" s="492" t="str">
        <f t="shared" si="51"/>
        <v>Fitness Center1_70 to 1_79 gpm1_50</v>
      </c>
      <c r="P259" s="494">
        <f>VLOOKUP($O259,Impacts!$F$27:$Z$59,16,FALSE)</f>
        <v>1636.2289710250025</v>
      </c>
      <c r="Q259" s="494">
        <f>VLOOKUP($O259,Impacts!$F$27:$Z$59,17,FALSE)*L259</f>
        <v>45.144356485965545</v>
      </c>
      <c r="R259" s="495">
        <f>VLOOKUP($O259,Impacts!$F$27:$Z$59,19,FALSE)*L259</f>
        <v>43.781689873160531</v>
      </c>
      <c r="S259" s="496">
        <f>VLOOKUP($O259,Impacts!$F$27:$Z$59,20,FALSE)*L259</f>
        <v>8533.9048177628629</v>
      </c>
      <c r="T259" s="497">
        <f>VLOOKUP($O259,Impacts!$F$27:$Z$59,21,FALSE)*L259</f>
        <v>112.32909010704327</v>
      </c>
      <c r="U259" s="492"/>
      <c r="V259" s="492" t="str">
        <f t="shared" si="52"/>
        <v>Commercial Showerhead Replacement_Fitness Center_precondition 1_70 to 1_79 gpm_efficient 1_50 gpm_Mail-by-Request_Electric Water Heating</v>
      </c>
      <c r="W259" s="492" t="s">
        <v>440</v>
      </c>
      <c r="X259" s="494">
        <f t="shared" si="55"/>
        <v>981.73738261500148</v>
      </c>
      <c r="Y259" s="492">
        <v>10</v>
      </c>
      <c r="Z259" s="498">
        <f t="shared" si="56"/>
        <v>8.1096944444444432</v>
      </c>
      <c r="AA259" s="492"/>
      <c r="AB259" s="499" t="s">
        <v>441</v>
      </c>
      <c r="AC259" s="497">
        <f t="shared" si="57"/>
        <v>112.32909010704327</v>
      </c>
      <c r="AD259" s="492"/>
      <c r="AE259" s="492"/>
      <c r="AF259" s="492"/>
      <c r="AG259" s="492"/>
      <c r="AH259" s="492"/>
      <c r="AI259" s="492"/>
      <c r="AJ259" s="492">
        <f t="shared" si="53"/>
        <v>0</v>
      </c>
      <c r="AK259" s="492" t="s">
        <v>442</v>
      </c>
    </row>
    <row r="260" spans="1:37">
      <c r="A260" s="492">
        <f t="shared" si="54"/>
        <v>242</v>
      </c>
      <c r="B260" s="492">
        <f t="shared" si="60"/>
        <v>9</v>
      </c>
      <c r="C260" s="492">
        <f t="shared" si="60"/>
        <v>3</v>
      </c>
      <c r="D260" s="492">
        <f t="shared" si="60"/>
        <v>3</v>
      </c>
      <c r="E260" s="492">
        <f t="shared" si="46"/>
        <v>2</v>
      </c>
      <c r="F260" s="499" t="s">
        <v>645</v>
      </c>
      <c r="G260" s="499" t="str">
        <f t="shared" si="47"/>
        <v>1_70 to 1_79 gpm</v>
      </c>
      <c r="H260" s="492" t="str">
        <f t="shared" si="48"/>
        <v>Mail-by-Request</v>
      </c>
      <c r="I260" s="492" t="str">
        <f t="shared" si="48"/>
        <v>1_50</v>
      </c>
      <c r="J260" s="492" t="str">
        <f t="shared" si="48"/>
        <v>Gas Water Heating</v>
      </c>
      <c r="K260" s="492" t="str">
        <f t="shared" si="49"/>
        <v>Commercial Showerhead Replacement_Fitness Center_precondition 1_70 to 1_79 gpm_efficient 1_50 gpm_Mail-by-Request_Gas Water Heating</v>
      </c>
      <c r="L260" s="493">
        <f>INDEX(InstallRatesCostAndLifetime!$A$2:$D$6,MATCH(InputForProCost_FitnessCenter!H260,InstallRatesCostAndLifetime!$A$2:$A$6,0),MATCH(InputForProCost_FitnessCenter!I260,InstallRatesCostAndLifetime!$A$2:$D$2,0))</f>
        <v>0.6</v>
      </c>
      <c r="M260" s="493">
        <f t="shared" si="50"/>
        <v>0</v>
      </c>
      <c r="N260" s="492"/>
      <c r="O260" s="492" t="str">
        <f t="shared" si="51"/>
        <v>Fitness Center1_70 to 1_79 gpm1_50</v>
      </c>
      <c r="P260" s="494">
        <f>VLOOKUP($O260,Impacts!$F$27:$Z$59,16,FALSE)</f>
        <v>1636.2289710250025</v>
      </c>
      <c r="Q260" s="494">
        <f>VLOOKUP($O260,Impacts!$F$27:$Z$59,17,FALSE)*L260</f>
        <v>45.144356485965545</v>
      </c>
      <c r="R260" s="495">
        <f>VLOOKUP($O260,Impacts!$F$27:$Z$59,19,FALSE)*L260</f>
        <v>43.781689873160531</v>
      </c>
      <c r="S260" s="496">
        <f>VLOOKUP($O260,Impacts!$F$27:$Z$59,20,FALSE)*L260</f>
        <v>8533.9048177628629</v>
      </c>
      <c r="T260" s="497">
        <f>VLOOKUP($O260,Impacts!$F$27:$Z$59,21,FALSE)*L260</f>
        <v>112.32909010704327</v>
      </c>
      <c r="U260" s="492"/>
      <c r="V260" s="492" t="str">
        <f t="shared" si="52"/>
        <v>Commercial Showerhead Replacement_Fitness Center_precondition 1_70 to 1_79 gpm_efficient 1_50 gpm_Mail-by-Request_Gas Water Heating</v>
      </c>
      <c r="W260" s="492" t="s">
        <v>440</v>
      </c>
      <c r="X260" s="494">
        <f t="shared" si="55"/>
        <v>0</v>
      </c>
      <c r="Y260" s="492">
        <v>10</v>
      </c>
      <c r="Z260" s="498">
        <f t="shared" si="56"/>
        <v>8.1096944444444432</v>
      </c>
      <c r="AA260" s="492"/>
      <c r="AB260" s="499" t="s">
        <v>441</v>
      </c>
      <c r="AC260" s="497">
        <f t="shared" si="57"/>
        <v>112.32909010704327</v>
      </c>
      <c r="AD260" s="492"/>
      <c r="AE260" s="492"/>
      <c r="AF260" s="492"/>
      <c r="AG260" s="492"/>
      <c r="AH260" s="492"/>
      <c r="AI260" s="492"/>
      <c r="AJ260" s="492">
        <f t="shared" si="53"/>
        <v>43.781689873160531</v>
      </c>
      <c r="AK260" s="492" t="s">
        <v>442</v>
      </c>
    </row>
    <row r="261" spans="1:37">
      <c r="A261" s="492">
        <f t="shared" si="54"/>
        <v>243</v>
      </c>
      <c r="B261" s="492">
        <f t="shared" si="60"/>
        <v>9</v>
      </c>
      <c r="C261" s="492">
        <f t="shared" si="60"/>
        <v>3</v>
      </c>
      <c r="D261" s="492">
        <f t="shared" si="60"/>
        <v>3</v>
      </c>
      <c r="E261" s="492">
        <f t="shared" si="46"/>
        <v>3</v>
      </c>
      <c r="F261" s="499" t="s">
        <v>645</v>
      </c>
      <c r="G261" s="499" t="str">
        <f t="shared" si="47"/>
        <v>1_70 to 1_79 gpm</v>
      </c>
      <c r="H261" s="492" t="str">
        <f t="shared" si="48"/>
        <v>Mail-by-Request</v>
      </c>
      <c r="I261" s="492" t="str">
        <f t="shared" si="48"/>
        <v>1_50</v>
      </c>
      <c r="J261" s="492" t="str">
        <f t="shared" si="48"/>
        <v>Any Water Heating</v>
      </c>
      <c r="K261" s="492" t="str">
        <f t="shared" si="49"/>
        <v>Commercial Showerhead Replacement_Fitness Center_precondition 1_70 to 1_79 gpm_efficient 1_50 gpm_Mail-by-Request_Any Water Heating</v>
      </c>
      <c r="L261" s="493">
        <f>INDEX(InstallRatesCostAndLifetime!$A$2:$D$6,MATCH(InputForProCost_FitnessCenter!H261,InstallRatesCostAndLifetime!$A$2:$A$6,0),MATCH(InputForProCost_FitnessCenter!I261,InstallRatesCostAndLifetime!$A$2:$D$2,0))</f>
        <v>0.6</v>
      </c>
      <c r="M261" s="493">
        <f t="shared" si="50"/>
        <v>0.31666666666666665</v>
      </c>
      <c r="N261" s="492"/>
      <c r="O261" s="492" t="str">
        <f t="shared" si="51"/>
        <v>Fitness Center1_70 to 1_79 gpm1_50</v>
      </c>
      <c r="P261" s="494">
        <f>VLOOKUP($O261,Impacts!$F$27:$Z$59,16,FALSE)</f>
        <v>1636.2289710250025</v>
      </c>
      <c r="Q261" s="494">
        <f>VLOOKUP($O261,Impacts!$F$27:$Z$59,17,FALSE)*L261</f>
        <v>45.144356485965545</v>
      </c>
      <c r="R261" s="495">
        <f>VLOOKUP($O261,Impacts!$F$27:$Z$59,19,FALSE)*L261</f>
        <v>43.781689873160531</v>
      </c>
      <c r="S261" s="496">
        <f>VLOOKUP($O261,Impacts!$F$27:$Z$59,20,FALSE)*L261</f>
        <v>8533.9048177628629</v>
      </c>
      <c r="T261" s="497">
        <f>VLOOKUP($O261,Impacts!$F$27:$Z$59,21,FALSE)*L261</f>
        <v>112.32909010704327</v>
      </c>
      <c r="U261" s="492"/>
      <c r="V261" s="492" t="str">
        <f t="shared" si="52"/>
        <v>Commercial Showerhead Replacement_Fitness Center_precondition 1_70 to 1_79 gpm_efficient 1_50 gpm_Mail-by-Request_Any Water Heating</v>
      </c>
      <c r="W261" s="492" t="s">
        <v>440</v>
      </c>
      <c r="X261" s="494">
        <f t="shared" si="55"/>
        <v>310.88350449475041</v>
      </c>
      <c r="Y261" s="492">
        <v>10</v>
      </c>
      <c r="Z261" s="498">
        <f t="shared" si="56"/>
        <v>8.1096944444444432</v>
      </c>
      <c r="AA261" s="492"/>
      <c r="AB261" s="499" t="s">
        <v>441</v>
      </c>
      <c r="AC261" s="497">
        <f t="shared" si="57"/>
        <v>112.32909010704327</v>
      </c>
      <c r="AD261" s="492"/>
      <c r="AE261" s="492"/>
      <c r="AF261" s="492"/>
      <c r="AG261" s="492"/>
      <c r="AH261" s="492"/>
      <c r="AI261" s="492"/>
      <c r="AJ261" s="492">
        <f t="shared" si="53"/>
        <v>29.917488079993031</v>
      </c>
      <c r="AK261" s="492" t="s">
        <v>442</v>
      </c>
    </row>
    <row r="262" spans="1:37">
      <c r="A262" s="492">
        <f t="shared" si="54"/>
        <v>244</v>
      </c>
      <c r="B262" s="492">
        <f t="shared" si="60"/>
        <v>10</v>
      </c>
      <c r="C262" s="492">
        <f t="shared" si="60"/>
        <v>1</v>
      </c>
      <c r="D262" s="492">
        <f t="shared" si="60"/>
        <v>1</v>
      </c>
      <c r="E262" s="492">
        <f t="shared" si="46"/>
        <v>1</v>
      </c>
      <c r="F262" s="499" t="s">
        <v>645</v>
      </c>
      <c r="G262" s="499" t="str">
        <f t="shared" si="47"/>
        <v>1_60 to 1_69 gpm</v>
      </c>
      <c r="H262" s="492" t="str">
        <f t="shared" si="48"/>
        <v>Retail</v>
      </c>
      <c r="I262" s="492" t="str">
        <f t="shared" si="48"/>
        <v>2_00</v>
      </c>
      <c r="J262" s="492" t="str">
        <f t="shared" si="48"/>
        <v>Electric Water Heating</v>
      </c>
      <c r="K262" s="492" t="str">
        <f t="shared" si="49"/>
        <v>Commercial Showerhead Replacement_Fitness Center_precondition 1_60 to 1_69 gpm_efficient 2_00 gpm_Retail_Electric Water Heating</v>
      </c>
      <c r="L262" s="493">
        <f>INDEX(InstallRatesCostAndLifetime!$A$2:$D$6,MATCH(InputForProCost_FitnessCenter!H262,InstallRatesCostAndLifetime!$A$2:$A$6,0),MATCH(InputForProCost_FitnessCenter!I262,InstallRatesCostAndLifetime!$A$2:$D$2,0))</f>
        <v>0.8</v>
      </c>
      <c r="M262" s="493">
        <f t="shared" si="50"/>
        <v>1</v>
      </c>
      <c r="N262" s="492"/>
      <c r="O262" s="492" t="str">
        <f t="shared" si="51"/>
        <v>Fitness Center1_60 to 1_69 gpm2_00</v>
      </c>
      <c r="P262" s="494">
        <f>VLOOKUP($O262,Impacts!$F$27:$Z$59,16,FALSE)</f>
        <v>-1121.5417567215791</v>
      </c>
      <c r="Q262" s="494">
        <f>VLOOKUP($O262,Impacts!$F$27:$Z$59,17,FALSE)*L262</f>
        <v>-36.115485188772659</v>
      </c>
      <c r="R262" s="495">
        <f>VLOOKUP($O262,Impacts!$F$27:$Z$59,19,FALSE)*L262</f>
        <v>-40.013139352433065</v>
      </c>
      <c r="S262" s="496">
        <f>VLOOKUP($O262,Impacts!$F$27:$Z$59,20,FALSE)*L262</f>
        <v>-6827.1238542103329</v>
      </c>
      <c r="T262" s="497">
        <f>VLOOKUP($O262,Impacts!$F$27:$Z$59,21,FALSE)*L262</f>
        <v>-89.863272085635174</v>
      </c>
      <c r="U262" s="492"/>
      <c r="V262" s="492" t="str">
        <f t="shared" si="52"/>
        <v>Commercial Showerhead Replacement_Fitness Center_precondition 1_60 to 1_69 gpm_efficient 2_00 gpm_Retail_Electric Water Heating</v>
      </c>
      <c r="W262" s="492" t="s">
        <v>440</v>
      </c>
      <c r="X262" s="494">
        <f t="shared" si="55"/>
        <v>-897.23340537726335</v>
      </c>
      <c r="Y262" s="492">
        <v>10</v>
      </c>
      <c r="Z262" s="498">
        <f t="shared" si="56"/>
        <v>3.2966774171383419</v>
      </c>
      <c r="AA262" s="492"/>
      <c r="AB262" s="499" t="s">
        <v>441</v>
      </c>
      <c r="AC262" s="497">
        <f t="shared" si="57"/>
        <v>-89.863272085635174</v>
      </c>
      <c r="AD262" s="492"/>
      <c r="AE262" s="492"/>
      <c r="AF262" s="492"/>
      <c r="AG262" s="492"/>
      <c r="AH262" s="492"/>
      <c r="AI262" s="492"/>
      <c r="AJ262" s="492">
        <f t="shared" si="53"/>
        <v>0</v>
      </c>
      <c r="AK262" s="492" t="s">
        <v>442</v>
      </c>
    </row>
    <row r="263" spans="1:37">
      <c r="A263" s="492">
        <f t="shared" si="54"/>
        <v>245</v>
      </c>
      <c r="B263" s="492">
        <f t="shared" si="60"/>
        <v>10</v>
      </c>
      <c r="C263" s="492">
        <f t="shared" si="60"/>
        <v>1</v>
      </c>
      <c r="D263" s="492">
        <f t="shared" si="60"/>
        <v>1</v>
      </c>
      <c r="E263" s="492">
        <f t="shared" si="46"/>
        <v>2</v>
      </c>
      <c r="F263" s="499" t="s">
        <v>645</v>
      </c>
      <c r="G263" s="499" t="str">
        <f t="shared" si="47"/>
        <v>1_60 to 1_69 gpm</v>
      </c>
      <c r="H263" s="492" t="str">
        <f t="shared" si="48"/>
        <v>Retail</v>
      </c>
      <c r="I263" s="492" t="str">
        <f t="shared" si="48"/>
        <v>2_00</v>
      </c>
      <c r="J263" s="492" t="str">
        <f t="shared" si="48"/>
        <v>Gas Water Heating</v>
      </c>
      <c r="K263" s="492" t="str">
        <f t="shared" si="49"/>
        <v>Commercial Showerhead Replacement_Fitness Center_precondition 1_60 to 1_69 gpm_efficient 2_00 gpm_Retail_Gas Water Heating</v>
      </c>
      <c r="L263" s="493">
        <f>INDEX(InstallRatesCostAndLifetime!$A$2:$D$6,MATCH(InputForProCost_FitnessCenter!H263,InstallRatesCostAndLifetime!$A$2:$A$6,0),MATCH(InputForProCost_FitnessCenter!I263,InstallRatesCostAndLifetime!$A$2:$D$2,0))</f>
        <v>0.8</v>
      </c>
      <c r="M263" s="493">
        <f t="shared" si="50"/>
        <v>0</v>
      </c>
      <c r="N263" s="492"/>
      <c r="O263" s="492" t="str">
        <f t="shared" si="51"/>
        <v>Fitness Center1_60 to 1_69 gpm2_00</v>
      </c>
      <c r="P263" s="494">
        <f>VLOOKUP($O263,Impacts!$F$27:$Z$59,16,FALSE)</f>
        <v>-1121.5417567215791</v>
      </c>
      <c r="Q263" s="494">
        <f>VLOOKUP($O263,Impacts!$F$27:$Z$59,17,FALSE)*L263</f>
        <v>-36.115485188772659</v>
      </c>
      <c r="R263" s="495">
        <f>VLOOKUP($O263,Impacts!$F$27:$Z$59,19,FALSE)*L263</f>
        <v>-40.013139352433065</v>
      </c>
      <c r="S263" s="496">
        <f>VLOOKUP($O263,Impacts!$F$27:$Z$59,20,FALSE)*L263</f>
        <v>-6827.1238542103329</v>
      </c>
      <c r="T263" s="497">
        <f>VLOOKUP($O263,Impacts!$F$27:$Z$59,21,FALSE)*L263</f>
        <v>-89.863272085635174</v>
      </c>
      <c r="U263" s="492"/>
      <c r="V263" s="492" t="str">
        <f t="shared" si="52"/>
        <v>Commercial Showerhead Replacement_Fitness Center_precondition 1_60 to 1_69 gpm_efficient 2_00 gpm_Retail_Gas Water Heating</v>
      </c>
      <c r="W263" s="492" t="s">
        <v>440</v>
      </c>
      <c r="X263" s="494">
        <f t="shared" si="55"/>
        <v>0</v>
      </c>
      <c r="Y263" s="492">
        <v>10</v>
      </c>
      <c r="Z263" s="498">
        <f t="shared" si="56"/>
        <v>3.2966774171383419</v>
      </c>
      <c r="AA263" s="492"/>
      <c r="AB263" s="499" t="s">
        <v>441</v>
      </c>
      <c r="AC263" s="497">
        <f t="shared" si="57"/>
        <v>-89.863272085635174</v>
      </c>
      <c r="AD263" s="492"/>
      <c r="AE263" s="492"/>
      <c r="AF263" s="492"/>
      <c r="AG263" s="492"/>
      <c r="AH263" s="492"/>
      <c r="AI263" s="492"/>
      <c r="AJ263" s="492">
        <f t="shared" si="53"/>
        <v>0</v>
      </c>
      <c r="AK263" s="492" t="s">
        <v>442</v>
      </c>
    </row>
    <row r="264" spans="1:37">
      <c r="A264" s="492">
        <f t="shared" si="54"/>
        <v>246</v>
      </c>
      <c r="B264" s="492">
        <f t="shared" si="60"/>
        <v>10</v>
      </c>
      <c r="C264" s="492">
        <f t="shared" si="60"/>
        <v>1</v>
      </c>
      <c r="D264" s="492">
        <f t="shared" si="60"/>
        <v>1</v>
      </c>
      <c r="E264" s="492">
        <f t="shared" si="46"/>
        <v>3</v>
      </c>
      <c r="F264" s="499" t="s">
        <v>645</v>
      </c>
      <c r="G264" s="499" t="str">
        <f t="shared" si="47"/>
        <v>1_60 to 1_69 gpm</v>
      </c>
      <c r="H264" s="492" t="str">
        <f t="shared" si="48"/>
        <v>Retail</v>
      </c>
      <c r="I264" s="492" t="str">
        <f t="shared" si="48"/>
        <v>2_00</v>
      </c>
      <c r="J264" s="492" t="str">
        <f t="shared" si="48"/>
        <v>Any Water Heating</v>
      </c>
      <c r="K264" s="492" t="str">
        <f t="shared" si="49"/>
        <v>Commercial Showerhead Replacement_Fitness Center_precondition 1_60 to 1_69 gpm_efficient 2_00 gpm_Retail_Any Water Heating</v>
      </c>
      <c r="L264" s="493">
        <f>INDEX(InstallRatesCostAndLifetime!$A$2:$D$6,MATCH(InputForProCost_FitnessCenter!H264,InstallRatesCostAndLifetime!$A$2:$A$6,0),MATCH(InputForProCost_FitnessCenter!I264,InstallRatesCostAndLifetime!$A$2:$D$2,0))</f>
        <v>0.8</v>
      </c>
      <c r="M264" s="493">
        <f t="shared" si="50"/>
        <v>0.31666666666666665</v>
      </c>
      <c r="N264" s="492"/>
      <c r="O264" s="492" t="str">
        <f t="shared" si="51"/>
        <v>Fitness Center1_60 to 1_69 gpm2_00</v>
      </c>
      <c r="P264" s="494">
        <f>VLOOKUP($O264,Impacts!$F$27:$Z$59,16,FALSE)</f>
        <v>-1121.5417567215791</v>
      </c>
      <c r="Q264" s="494">
        <f>VLOOKUP($O264,Impacts!$F$27:$Z$59,17,FALSE)*L264</f>
        <v>-36.115485188772659</v>
      </c>
      <c r="R264" s="495">
        <f>VLOOKUP($O264,Impacts!$F$27:$Z$59,19,FALSE)*L264</f>
        <v>-40.013139352433065</v>
      </c>
      <c r="S264" s="496">
        <f>VLOOKUP($O264,Impacts!$F$27:$Z$59,20,FALSE)*L264</f>
        <v>-6827.1238542103329</v>
      </c>
      <c r="T264" s="497">
        <f>VLOOKUP($O264,Impacts!$F$27:$Z$59,21,FALSE)*L264</f>
        <v>-89.863272085635174</v>
      </c>
      <c r="U264" s="492"/>
      <c r="V264" s="492" t="str">
        <f t="shared" si="52"/>
        <v>Commercial Showerhead Replacement_Fitness Center_precondition 1_60 to 1_69 gpm_efficient 2_00 gpm_Retail_Any Water Heating</v>
      </c>
      <c r="W264" s="492" t="s">
        <v>440</v>
      </c>
      <c r="X264" s="494">
        <f t="shared" si="55"/>
        <v>-284.12391170280006</v>
      </c>
      <c r="Y264" s="492">
        <v>10</v>
      </c>
      <c r="Z264" s="498">
        <f t="shared" si="56"/>
        <v>3.2966774171383419</v>
      </c>
      <c r="AA264" s="492"/>
      <c r="AB264" s="499" t="s">
        <v>441</v>
      </c>
      <c r="AC264" s="497">
        <f t="shared" si="57"/>
        <v>-89.863272085635174</v>
      </c>
      <c r="AD264" s="492"/>
      <c r="AE264" s="492"/>
      <c r="AF264" s="492"/>
      <c r="AG264" s="492"/>
      <c r="AH264" s="492"/>
      <c r="AI264" s="492"/>
      <c r="AJ264" s="492">
        <f t="shared" si="53"/>
        <v>0</v>
      </c>
      <c r="AK264" s="492" t="s">
        <v>442</v>
      </c>
    </row>
    <row r="265" spans="1:37">
      <c r="A265" s="492">
        <f t="shared" si="54"/>
        <v>247</v>
      </c>
      <c r="B265" s="492">
        <f t="shared" si="60"/>
        <v>10</v>
      </c>
      <c r="C265" s="492">
        <f t="shared" si="60"/>
        <v>1</v>
      </c>
      <c r="D265" s="492">
        <f t="shared" si="60"/>
        <v>2</v>
      </c>
      <c r="E265" s="492">
        <f t="shared" si="46"/>
        <v>1</v>
      </c>
      <c r="F265" s="499" t="s">
        <v>645</v>
      </c>
      <c r="G265" s="499" t="str">
        <f t="shared" si="47"/>
        <v>1_60 to 1_69 gpm</v>
      </c>
      <c r="H265" s="492" t="str">
        <f t="shared" si="48"/>
        <v>Retail</v>
      </c>
      <c r="I265" s="492" t="str">
        <f t="shared" si="48"/>
        <v>1_75</v>
      </c>
      <c r="J265" s="492" t="str">
        <f t="shared" si="48"/>
        <v>Electric Water Heating</v>
      </c>
      <c r="K265" s="492" t="str">
        <f t="shared" si="49"/>
        <v>Commercial Showerhead Replacement_Fitness Center_precondition 1_60 to 1_69 gpm_efficient 1_75 gpm_Retail_Electric Water Heating</v>
      </c>
      <c r="L265" s="493">
        <f>INDEX(InstallRatesCostAndLifetime!$A$2:$D$6,MATCH(InputForProCost_FitnessCenter!H265,InstallRatesCostAndLifetime!$A$2:$A$6,0),MATCH(InputForProCost_FitnessCenter!I265,InstallRatesCostAndLifetime!$A$2:$D$2,0))</f>
        <v>0.75</v>
      </c>
      <c r="M265" s="493">
        <f t="shared" si="50"/>
        <v>1</v>
      </c>
      <c r="N265" s="492"/>
      <c r="O265" s="492" t="str">
        <f t="shared" si="51"/>
        <v>Fitness Center1_60 to 1_69 gpm1_75</v>
      </c>
      <c r="P265" s="494">
        <f>VLOOKUP($O265,Impacts!$F$27:$Z$59,16,FALSE)</f>
        <v>-948.0807740338023</v>
      </c>
      <c r="Q265" s="494">
        <f>VLOOKUP($O265,Impacts!$F$27:$Z$59,17,FALSE)*L265</f>
        <v>-22.572178242982972</v>
      </c>
      <c r="R265" s="495">
        <f>VLOOKUP($O265,Impacts!$F$27:$Z$59,19,FALSE)*L265</f>
        <v>-31.710551486454818</v>
      </c>
      <c r="S265" s="496">
        <f>VLOOKUP($O265,Impacts!$F$27:$Z$59,20,FALSE)*L265</f>
        <v>-4266.9524088814687</v>
      </c>
      <c r="T265" s="497">
        <f>VLOOKUP($O265,Impacts!$F$27:$Z$59,21,FALSE)*L265</f>
        <v>-56.164545053522126</v>
      </c>
      <c r="U265" s="492"/>
      <c r="V265" s="492" t="str">
        <f t="shared" si="52"/>
        <v>Commercial Showerhead Replacement_Fitness Center_precondition 1_60 to 1_69 gpm_efficient 1_75 gpm_Retail_Electric Water Heating</v>
      </c>
      <c r="W265" s="492" t="s">
        <v>440</v>
      </c>
      <c r="X265" s="494">
        <f t="shared" si="55"/>
        <v>-711.06058052535172</v>
      </c>
      <c r="Y265" s="492">
        <v>10</v>
      </c>
      <c r="Z265" s="498">
        <f t="shared" si="56"/>
        <v>3.2966774171383419</v>
      </c>
      <c r="AA265" s="492"/>
      <c r="AB265" s="499" t="s">
        <v>441</v>
      </c>
      <c r="AC265" s="497">
        <f t="shared" si="57"/>
        <v>-56.164545053522126</v>
      </c>
      <c r="AD265" s="492"/>
      <c r="AE265" s="492"/>
      <c r="AF265" s="492"/>
      <c r="AG265" s="492"/>
      <c r="AH265" s="492"/>
      <c r="AI265" s="492"/>
      <c r="AJ265" s="492">
        <f t="shared" si="53"/>
        <v>0</v>
      </c>
      <c r="AK265" s="492" t="s">
        <v>442</v>
      </c>
    </row>
    <row r="266" spans="1:37">
      <c r="A266" s="492">
        <f t="shared" si="54"/>
        <v>248</v>
      </c>
      <c r="B266" s="492">
        <f t="shared" si="60"/>
        <v>10</v>
      </c>
      <c r="C266" s="492">
        <f t="shared" si="60"/>
        <v>1</v>
      </c>
      <c r="D266" s="492">
        <f t="shared" si="60"/>
        <v>2</v>
      </c>
      <c r="E266" s="492">
        <f t="shared" si="46"/>
        <v>2</v>
      </c>
      <c r="F266" s="499" t="s">
        <v>645</v>
      </c>
      <c r="G266" s="499" t="str">
        <f t="shared" si="47"/>
        <v>1_60 to 1_69 gpm</v>
      </c>
      <c r="H266" s="492" t="str">
        <f t="shared" si="48"/>
        <v>Retail</v>
      </c>
      <c r="I266" s="492" t="str">
        <f t="shared" si="48"/>
        <v>1_75</v>
      </c>
      <c r="J266" s="492" t="str">
        <f t="shared" si="48"/>
        <v>Gas Water Heating</v>
      </c>
      <c r="K266" s="492" t="str">
        <f t="shared" si="49"/>
        <v>Commercial Showerhead Replacement_Fitness Center_precondition 1_60 to 1_69 gpm_efficient 1_75 gpm_Retail_Gas Water Heating</v>
      </c>
      <c r="L266" s="493">
        <f>INDEX(InstallRatesCostAndLifetime!$A$2:$D$6,MATCH(InputForProCost_FitnessCenter!H266,InstallRatesCostAndLifetime!$A$2:$A$6,0),MATCH(InputForProCost_FitnessCenter!I266,InstallRatesCostAndLifetime!$A$2:$D$2,0))</f>
        <v>0.75</v>
      </c>
      <c r="M266" s="493">
        <f t="shared" si="50"/>
        <v>0</v>
      </c>
      <c r="N266" s="492"/>
      <c r="O266" s="492" t="str">
        <f t="shared" si="51"/>
        <v>Fitness Center1_60 to 1_69 gpm1_75</v>
      </c>
      <c r="P266" s="494">
        <f>VLOOKUP($O266,Impacts!$F$27:$Z$59,16,FALSE)</f>
        <v>-948.0807740338023</v>
      </c>
      <c r="Q266" s="494">
        <f>VLOOKUP($O266,Impacts!$F$27:$Z$59,17,FALSE)*L266</f>
        <v>-22.572178242982972</v>
      </c>
      <c r="R266" s="495">
        <f>VLOOKUP($O266,Impacts!$F$27:$Z$59,19,FALSE)*L266</f>
        <v>-31.710551486454818</v>
      </c>
      <c r="S266" s="496">
        <f>VLOOKUP($O266,Impacts!$F$27:$Z$59,20,FALSE)*L266</f>
        <v>-4266.9524088814687</v>
      </c>
      <c r="T266" s="497">
        <f>VLOOKUP($O266,Impacts!$F$27:$Z$59,21,FALSE)*L266</f>
        <v>-56.164545053522126</v>
      </c>
      <c r="U266" s="492"/>
      <c r="V266" s="492" t="str">
        <f t="shared" si="52"/>
        <v>Commercial Showerhead Replacement_Fitness Center_precondition 1_60 to 1_69 gpm_efficient 1_75 gpm_Retail_Gas Water Heating</v>
      </c>
      <c r="W266" s="492" t="s">
        <v>440</v>
      </c>
      <c r="X266" s="494">
        <f t="shared" si="55"/>
        <v>0</v>
      </c>
      <c r="Y266" s="492">
        <v>10</v>
      </c>
      <c r="Z266" s="498">
        <f t="shared" si="56"/>
        <v>3.2966774171383419</v>
      </c>
      <c r="AA266" s="492"/>
      <c r="AB266" s="499" t="s">
        <v>441</v>
      </c>
      <c r="AC266" s="497">
        <f t="shared" si="57"/>
        <v>-56.164545053522126</v>
      </c>
      <c r="AD266" s="492"/>
      <c r="AE266" s="492"/>
      <c r="AF266" s="492"/>
      <c r="AG266" s="492"/>
      <c r="AH266" s="492"/>
      <c r="AI266" s="492"/>
      <c r="AJ266" s="492">
        <f t="shared" si="53"/>
        <v>0</v>
      </c>
      <c r="AK266" s="492" t="s">
        <v>442</v>
      </c>
    </row>
    <row r="267" spans="1:37">
      <c r="A267" s="492">
        <f t="shared" si="54"/>
        <v>249</v>
      </c>
      <c r="B267" s="492">
        <f t="shared" si="60"/>
        <v>10</v>
      </c>
      <c r="C267" s="492">
        <f t="shared" si="60"/>
        <v>1</v>
      </c>
      <c r="D267" s="492">
        <f t="shared" si="60"/>
        <v>2</v>
      </c>
      <c r="E267" s="492">
        <f t="shared" si="46"/>
        <v>3</v>
      </c>
      <c r="F267" s="499" t="s">
        <v>645</v>
      </c>
      <c r="G267" s="499" t="str">
        <f t="shared" si="47"/>
        <v>1_60 to 1_69 gpm</v>
      </c>
      <c r="H267" s="492" t="str">
        <f t="shared" si="48"/>
        <v>Retail</v>
      </c>
      <c r="I267" s="492" t="str">
        <f t="shared" si="48"/>
        <v>1_75</v>
      </c>
      <c r="J267" s="492" t="str">
        <f t="shared" si="48"/>
        <v>Any Water Heating</v>
      </c>
      <c r="K267" s="492" t="str">
        <f t="shared" si="49"/>
        <v>Commercial Showerhead Replacement_Fitness Center_precondition 1_60 to 1_69 gpm_efficient 1_75 gpm_Retail_Any Water Heating</v>
      </c>
      <c r="L267" s="493">
        <f>INDEX(InstallRatesCostAndLifetime!$A$2:$D$6,MATCH(InputForProCost_FitnessCenter!H267,InstallRatesCostAndLifetime!$A$2:$A$6,0),MATCH(InputForProCost_FitnessCenter!I267,InstallRatesCostAndLifetime!$A$2:$D$2,0))</f>
        <v>0.75</v>
      </c>
      <c r="M267" s="493">
        <f t="shared" si="50"/>
        <v>0.31666666666666665</v>
      </c>
      <c r="N267" s="492"/>
      <c r="O267" s="492" t="str">
        <f t="shared" si="51"/>
        <v>Fitness Center1_60 to 1_69 gpm1_75</v>
      </c>
      <c r="P267" s="494">
        <f>VLOOKUP($O267,Impacts!$F$27:$Z$59,16,FALSE)</f>
        <v>-948.0807740338023</v>
      </c>
      <c r="Q267" s="494">
        <f>VLOOKUP($O267,Impacts!$F$27:$Z$59,17,FALSE)*L267</f>
        <v>-22.572178242982972</v>
      </c>
      <c r="R267" s="495">
        <f>VLOOKUP($O267,Impacts!$F$27:$Z$59,19,FALSE)*L267</f>
        <v>-31.710551486454818</v>
      </c>
      <c r="S267" s="496">
        <f>VLOOKUP($O267,Impacts!$F$27:$Z$59,20,FALSE)*L267</f>
        <v>-4266.9524088814687</v>
      </c>
      <c r="T267" s="497">
        <f>VLOOKUP($O267,Impacts!$F$27:$Z$59,21,FALSE)*L267</f>
        <v>-56.164545053522126</v>
      </c>
      <c r="U267" s="492"/>
      <c r="V267" s="492" t="str">
        <f t="shared" si="52"/>
        <v>Commercial Showerhead Replacement_Fitness Center_precondition 1_60 to 1_69 gpm_efficient 1_75 gpm_Retail_Any Water Heating</v>
      </c>
      <c r="W267" s="492" t="s">
        <v>440</v>
      </c>
      <c r="X267" s="494">
        <f t="shared" si="55"/>
        <v>-225.169183833028</v>
      </c>
      <c r="Y267" s="492">
        <v>10</v>
      </c>
      <c r="Z267" s="498">
        <f t="shared" si="56"/>
        <v>3.2966774171383419</v>
      </c>
      <c r="AA267" s="492"/>
      <c r="AB267" s="499" t="s">
        <v>441</v>
      </c>
      <c r="AC267" s="497">
        <f t="shared" si="57"/>
        <v>-56.164545053522126</v>
      </c>
      <c r="AD267" s="492"/>
      <c r="AE267" s="492"/>
      <c r="AF267" s="492"/>
      <c r="AG267" s="492"/>
      <c r="AH267" s="492"/>
      <c r="AI267" s="492"/>
      <c r="AJ267" s="492">
        <f t="shared" si="53"/>
        <v>0</v>
      </c>
      <c r="AK267" s="492" t="s">
        <v>442</v>
      </c>
    </row>
    <row r="268" spans="1:37">
      <c r="A268" s="492">
        <f t="shared" si="54"/>
        <v>250</v>
      </c>
      <c r="B268" s="492">
        <f t="shared" si="60"/>
        <v>10</v>
      </c>
      <c r="C268" s="492">
        <f t="shared" si="60"/>
        <v>1</v>
      </c>
      <c r="D268" s="492">
        <f t="shared" si="60"/>
        <v>3</v>
      </c>
      <c r="E268" s="492">
        <f t="shared" si="46"/>
        <v>1</v>
      </c>
      <c r="F268" s="499" t="s">
        <v>645</v>
      </c>
      <c r="G268" s="499" t="str">
        <f t="shared" si="47"/>
        <v>1_60 to 1_69 gpm</v>
      </c>
      <c r="H268" s="492" t="str">
        <f t="shared" si="48"/>
        <v>Retail</v>
      </c>
      <c r="I268" s="492" t="str">
        <f t="shared" si="48"/>
        <v>1_50</v>
      </c>
      <c r="J268" s="492" t="str">
        <f t="shared" si="48"/>
        <v>Electric Water Heating</v>
      </c>
      <c r="K268" s="492" t="str">
        <f t="shared" si="49"/>
        <v>Commercial Showerhead Replacement_Fitness Center_precondition 1_60 to 1_69 gpm_efficient 1_50 gpm_Retail_Electric Water Heating</v>
      </c>
      <c r="L268" s="493">
        <f>INDEX(InstallRatesCostAndLifetime!$A$2:$D$6,MATCH(InputForProCost_FitnessCenter!H268,InstallRatesCostAndLifetime!$A$2:$A$6,0),MATCH(InputForProCost_FitnessCenter!I268,InstallRatesCostAndLifetime!$A$2:$D$2,0))</f>
        <v>0.7</v>
      </c>
      <c r="M268" s="493">
        <f t="shared" si="50"/>
        <v>1</v>
      </c>
      <c r="N268" s="492"/>
      <c r="O268" s="492" t="str">
        <f t="shared" si="51"/>
        <v>Fitness Center1_60 to 1_69 gpm1_50</v>
      </c>
      <c r="P268" s="494">
        <f>VLOOKUP($O268,Impacts!$F$27:$Z$59,16,FALSE)</f>
        <v>851.25330011553524</v>
      </c>
      <c r="Q268" s="494">
        <f>VLOOKUP($O268,Impacts!$F$27:$Z$59,17,FALSE)*L268</f>
        <v>31.601049540175804</v>
      </c>
      <c r="R268" s="495">
        <f>VLOOKUP($O268,Impacts!$F$27:$Z$59,19,FALSE)*L268</f>
        <v>26.573823157190361</v>
      </c>
      <c r="S268" s="496">
        <f>VLOOKUP($O268,Impacts!$F$27:$Z$59,20,FALSE)*L268</f>
        <v>5973.7333724339896</v>
      </c>
      <c r="T268" s="497">
        <f>VLOOKUP($O268,Impacts!$F$27:$Z$59,21,FALSE)*L268</f>
        <v>78.630363074930102</v>
      </c>
      <c r="U268" s="492"/>
      <c r="V268" s="492" t="str">
        <f t="shared" si="52"/>
        <v>Commercial Showerhead Replacement_Fitness Center_precondition 1_60 to 1_69 gpm_efficient 1_50 gpm_Retail_Electric Water Heating</v>
      </c>
      <c r="W268" s="492" t="s">
        <v>440</v>
      </c>
      <c r="X268" s="494">
        <f t="shared" si="55"/>
        <v>595.87731008087462</v>
      </c>
      <c r="Y268" s="492">
        <v>10</v>
      </c>
      <c r="Z268" s="498">
        <f t="shared" si="56"/>
        <v>3.2966774171383419</v>
      </c>
      <c r="AA268" s="492"/>
      <c r="AB268" s="499" t="s">
        <v>441</v>
      </c>
      <c r="AC268" s="497">
        <f t="shared" si="57"/>
        <v>78.630363074930102</v>
      </c>
      <c r="AD268" s="492"/>
      <c r="AE268" s="492"/>
      <c r="AF268" s="492"/>
      <c r="AG268" s="492"/>
      <c r="AH268" s="492"/>
      <c r="AI268" s="492"/>
      <c r="AJ268" s="492">
        <f t="shared" si="53"/>
        <v>0</v>
      </c>
      <c r="AK268" s="492" t="s">
        <v>442</v>
      </c>
    </row>
    <row r="269" spans="1:37">
      <c r="A269" s="492">
        <f t="shared" si="54"/>
        <v>251</v>
      </c>
      <c r="B269" s="492">
        <f t="shared" si="60"/>
        <v>10</v>
      </c>
      <c r="C269" s="492">
        <f t="shared" si="60"/>
        <v>1</v>
      </c>
      <c r="D269" s="492">
        <f t="shared" si="60"/>
        <v>3</v>
      </c>
      <c r="E269" s="492">
        <f t="shared" si="46"/>
        <v>2</v>
      </c>
      <c r="F269" s="499" t="s">
        <v>645</v>
      </c>
      <c r="G269" s="499" t="str">
        <f t="shared" si="47"/>
        <v>1_60 to 1_69 gpm</v>
      </c>
      <c r="H269" s="492" t="str">
        <f t="shared" si="48"/>
        <v>Retail</v>
      </c>
      <c r="I269" s="492" t="str">
        <f t="shared" si="48"/>
        <v>1_50</v>
      </c>
      <c r="J269" s="492" t="str">
        <f t="shared" si="48"/>
        <v>Gas Water Heating</v>
      </c>
      <c r="K269" s="492" t="str">
        <f t="shared" si="49"/>
        <v>Commercial Showerhead Replacement_Fitness Center_precondition 1_60 to 1_69 gpm_efficient 1_50 gpm_Retail_Gas Water Heating</v>
      </c>
      <c r="L269" s="493">
        <f>INDEX(InstallRatesCostAndLifetime!$A$2:$D$6,MATCH(InputForProCost_FitnessCenter!H269,InstallRatesCostAndLifetime!$A$2:$A$6,0),MATCH(InputForProCost_FitnessCenter!I269,InstallRatesCostAndLifetime!$A$2:$D$2,0))</f>
        <v>0.7</v>
      </c>
      <c r="M269" s="493">
        <f t="shared" si="50"/>
        <v>0</v>
      </c>
      <c r="N269" s="492"/>
      <c r="O269" s="492" t="str">
        <f t="shared" si="51"/>
        <v>Fitness Center1_60 to 1_69 gpm1_50</v>
      </c>
      <c r="P269" s="494">
        <f>VLOOKUP($O269,Impacts!$F$27:$Z$59,16,FALSE)</f>
        <v>851.25330011553524</v>
      </c>
      <c r="Q269" s="494">
        <f>VLOOKUP($O269,Impacts!$F$27:$Z$59,17,FALSE)*L269</f>
        <v>31.601049540175804</v>
      </c>
      <c r="R269" s="495">
        <f>VLOOKUP($O269,Impacts!$F$27:$Z$59,19,FALSE)*L269</f>
        <v>26.573823157190361</v>
      </c>
      <c r="S269" s="496">
        <f>VLOOKUP($O269,Impacts!$F$27:$Z$59,20,FALSE)*L269</f>
        <v>5973.7333724339896</v>
      </c>
      <c r="T269" s="497">
        <f>VLOOKUP($O269,Impacts!$F$27:$Z$59,21,FALSE)*L269</f>
        <v>78.630363074930102</v>
      </c>
      <c r="U269" s="492"/>
      <c r="V269" s="492" t="str">
        <f t="shared" si="52"/>
        <v>Commercial Showerhead Replacement_Fitness Center_precondition 1_60 to 1_69 gpm_efficient 1_50 gpm_Retail_Gas Water Heating</v>
      </c>
      <c r="W269" s="492" t="s">
        <v>440</v>
      </c>
      <c r="X269" s="494">
        <f t="shared" si="55"/>
        <v>0</v>
      </c>
      <c r="Y269" s="492">
        <v>10</v>
      </c>
      <c r="Z269" s="498">
        <f t="shared" si="56"/>
        <v>3.2966774171383419</v>
      </c>
      <c r="AA269" s="492"/>
      <c r="AB269" s="499" t="s">
        <v>441</v>
      </c>
      <c r="AC269" s="497">
        <f t="shared" si="57"/>
        <v>78.630363074930102</v>
      </c>
      <c r="AD269" s="492"/>
      <c r="AE269" s="492"/>
      <c r="AF269" s="492"/>
      <c r="AG269" s="492"/>
      <c r="AH269" s="492"/>
      <c r="AI269" s="492"/>
      <c r="AJ269" s="492">
        <f t="shared" si="53"/>
        <v>26.573823157190361</v>
      </c>
      <c r="AK269" s="492" t="s">
        <v>442</v>
      </c>
    </row>
    <row r="270" spans="1:37">
      <c r="A270" s="492">
        <f t="shared" si="54"/>
        <v>252</v>
      </c>
      <c r="B270" s="492">
        <f t="shared" si="60"/>
        <v>10</v>
      </c>
      <c r="C270" s="492">
        <f t="shared" si="60"/>
        <v>1</v>
      </c>
      <c r="D270" s="492">
        <f t="shared" si="60"/>
        <v>3</v>
      </c>
      <c r="E270" s="492">
        <f t="shared" si="46"/>
        <v>3</v>
      </c>
      <c r="F270" s="499" t="s">
        <v>645</v>
      </c>
      <c r="G270" s="499" t="str">
        <f t="shared" si="47"/>
        <v>1_60 to 1_69 gpm</v>
      </c>
      <c r="H270" s="492" t="str">
        <f t="shared" si="48"/>
        <v>Retail</v>
      </c>
      <c r="I270" s="492" t="str">
        <f t="shared" si="48"/>
        <v>1_50</v>
      </c>
      <c r="J270" s="492" t="str">
        <f t="shared" si="48"/>
        <v>Any Water Heating</v>
      </c>
      <c r="K270" s="492" t="str">
        <f t="shared" si="49"/>
        <v>Commercial Showerhead Replacement_Fitness Center_precondition 1_60 to 1_69 gpm_efficient 1_50 gpm_Retail_Any Water Heating</v>
      </c>
      <c r="L270" s="493">
        <f>INDEX(InstallRatesCostAndLifetime!$A$2:$D$6,MATCH(InputForProCost_FitnessCenter!H270,InstallRatesCostAndLifetime!$A$2:$A$6,0),MATCH(InputForProCost_FitnessCenter!I270,InstallRatesCostAndLifetime!$A$2:$D$2,0))</f>
        <v>0.7</v>
      </c>
      <c r="M270" s="493">
        <f t="shared" si="50"/>
        <v>0.31666666666666665</v>
      </c>
      <c r="N270" s="492"/>
      <c r="O270" s="492" t="str">
        <f t="shared" si="51"/>
        <v>Fitness Center1_60 to 1_69 gpm1_50</v>
      </c>
      <c r="P270" s="494">
        <f>VLOOKUP($O270,Impacts!$F$27:$Z$59,16,FALSE)</f>
        <v>851.25330011553524</v>
      </c>
      <c r="Q270" s="494">
        <f>VLOOKUP($O270,Impacts!$F$27:$Z$59,17,FALSE)*L270</f>
        <v>31.601049540175804</v>
      </c>
      <c r="R270" s="495">
        <f>VLOOKUP($O270,Impacts!$F$27:$Z$59,19,FALSE)*L270</f>
        <v>26.573823157190361</v>
      </c>
      <c r="S270" s="496">
        <f>VLOOKUP($O270,Impacts!$F$27:$Z$59,20,FALSE)*L270</f>
        <v>5973.7333724339896</v>
      </c>
      <c r="T270" s="497">
        <f>VLOOKUP($O270,Impacts!$F$27:$Z$59,21,FALSE)*L270</f>
        <v>78.630363074930102</v>
      </c>
      <c r="U270" s="492"/>
      <c r="V270" s="492" t="str">
        <f t="shared" si="52"/>
        <v>Commercial Showerhead Replacement_Fitness Center_precondition 1_60 to 1_69 gpm_efficient 1_50 gpm_Retail_Any Water Heating</v>
      </c>
      <c r="W270" s="492" t="s">
        <v>440</v>
      </c>
      <c r="X270" s="494">
        <f t="shared" si="55"/>
        <v>188.69448152561031</v>
      </c>
      <c r="Y270" s="492">
        <v>10</v>
      </c>
      <c r="Z270" s="498">
        <f t="shared" si="56"/>
        <v>3.2966774171383419</v>
      </c>
      <c r="AA270" s="492"/>
      <c r="AB270" s="499" t="s">
        <v>441</v>
      </c>
      <c r="AC270" s="497">
        <f t="shared" si="57"/>
        <v>78.630363074930102</v>
      </c>
      <c r="AD270" s="492"/>
      <c r="AE270" s="492"/>
      <c r="AF270" s="492"/>
      <c r="AG270" s="492"/>
      <c r="AH270" s="492"/>
      <c r="AI270" s="492"/>
      <c r="AJ270" s="492">
        <f t="shared" si="53"/>
        <v>18.158779157413413</v>
      </c>
      <c r="AK270" s="492" t="s">
        <v>442</v>
      </c>
    </row>
    <row r="271" spans="1:37">
      <c r="A271" s="492">
        <f t="shared" si="54"/>
        <v>253</v>
      </c>
      <c r="B271" s="492">
        <f t="shared" si="60"/>
        <v>10</v>
      </c>
      <c r="C271" s="492">
        <f t="shared" si="60"/>
        <v>2</v>
      </c>
      <c r="D271" s="492">
        <f t="shared" si="60"/>
        <v>1</v>
      </c>
      <c r="E271" s="492">
        <f t="shared" si="46"/>
        <v>1</v>
      </c>
      <c r="F271" s="499" t="s">
        <v>645</v>
      </c>
      <c r="G271" s="499" t="str">
        <f t="shared" si="47"/>
        <v>1_60 to 1_69 gpm</v>
      </c>
      <c r="H271" s="492" t="str">
        <f t="shared" si="48"/>
        <v>Direct Install</v>
      </c>
      <c r="I271" s="492" t="str">
        <f t="shared" si="48"/>
        <v>2_00</v>
      </c>
      <c r="J271" s="492" t="str">
        <f t="shared" si="48"/>
        <v>Electric Water Heating</v>
      </c>
      <c r="K271" s="492" t="str">
        <f t="shared" si="49"/>
        <v>Commercial Showerhead Replacement_Fitness Center_precondition 1_60 to 1_69 gpm_efficient 2_00 gpm_Direct Install_Electric Water Heating</v>
      </c>
      <c r="L271" s="493">
        <f>INDEX(InstallRatesCostAndLifetime!$A$2:$D$6,MATCH(InputForProCost_FitnessCenter!H271,InstallRatesCostAndLifetime!$A$2:$A$6,0),MATCH(InputForProCost_FitnessCenter!I271,InstallRatesCostAndLifetime!$A$2:$D$2,0))</f>
        <v>0.9</v>
      </c>
      <c r="M271" s="493">
        <f t="shared" si="50"/>
        <v>1</v>
      </c>
      <c r="N271" s="492"/>
      <c r="O271" s="492" t="str">
        <f t="shared" si="51"/>
        <v>Fitness Center1_60 to 1_69 gpm2_00</v>
      </c>
      <c r="P271" s="494">
        <f>VLOOKUP($O271,Impacts!$F$27:$Z$59,16,FALSE)</f>
        <v>-1121.5417567215791</v>
      </c>
      <c r="Q271" s="494">
        <f>VLOOKUP($O271,Impacts!$F$27:$Z$59,17,FALSE)*L271</f>
        <v>-40.629920837369241</v>
      </c>
      <c r="R271" s="495">
        <f>VLOOKUP($O271,Impacts!$F$27:$Z$59,19,FALSE)*L271</f>
        <v>-45.014781771487201</v>
      </c>
      <c r="S271" s="496">
        <f>VLOOKUP($O271,Impacts!$F$27:$Z$59,20,FALSE)*L271</f>
        <v>-7680.5143359866242</v>
      </c>
      <c r="T271" s="497">
        <f>VLOOKUP($O271,Impacts!$F$27:$Z$59,21,FALSE)*L271</f>
        <v>-101.09618109633958</v>
      </c>
      <c r="U271" s="492"/>
      <c r="V271" s="492" t="str">
        <f t="shared" si="52"/>
        <v>Commercial Showerhead Replacement_Fitness Center_precondition 1_60 to 1_69 gpm_efficient 2_00 gpm_Direct Install_Electric Water Heating</v>
      </c>
      <c r="W271" s="492" t="s">
        <v>440</v>
      </c>
      <c r="X271" s="494">
        <f t="shared" si="55"/>
        <v>-1009.3875810494212</v>
      </c>
      <c r="Y271" s="492">
        <v>10</v>
      </c>
      <c r="Z271" s="498">
        <f t="shared" si="56"/>
        <v>11.336666666666666</v>
      </c>
      <c r="AA271" s="492"/>
      <c r="AB271" s="499" t="s">
        <v>441</v>
      </c>
      <c r="AC271" s="497">
        <f t="shared" si="57"/>
        <v>-101.09618109633958</v>
      </c>
      <c r="AD271" s="492"/>
      <c r="AE271" s="492"/>
      <c r="AF271" s="492"/>
      <c r="AG271" s="492"/>
      <c r="AH271" s="492"/>
      <c r="AI271" s="492"/>
      <c r="AJ271" s="492">
        <f t="shared" si="53"/>
        <v>0</v>
      </c>
      <c r="AK271" s="492" t="s">
        <v>442</v>
      </c>
    </row>
    <row r="272" spans="1:37">
      <c r="A272" s="492">
        <f t="shared" si="54"/>
        <v>254</v>
      </c>
      <c r="B272" s="492">
        <f t="shared" si="60"/>
        <v>10</v>
      </c>
      <c r="C272" s="492">
        <f t="shared" si="60"/>
        <v>2</v>
      </c>
      <c r="D272" s="492">
        <f t="shared" si="60"/>
        <v>1</v>
      </c>
      <c r="E272" s="492">
        <f t="shared" si="46"/>
        <v>2</v>
      </c>
      <c r="F272" s="499" t="s">
        <v>645</v>
      </c>
      <c r="G272" s="499" t="str">
        <f t="shared" si="47"/>
        <v>1_60 to 1_69 gpm</v>
      </c>
      <c r="H272" s="492" t="str">
        <f t="shared" si="48"/>
        <v>Direct Install</v>
      </c>
      <c r="I272" s="492" t="str">
        <f t="shared" si="48"/>
        <v>2_00</v>
      </c>
      <c r="J272" s="492" t="str">
        <f t="shared" si="48"/>
        <v>Gas Water Heating</v>
      </c>
      <c r="K272" s="492" t="str">
        <f t="shared" si="49"/>
        <v>Commercial Showerhead Replacement_Fitness Center_precondition 1_60 to 1_69 gpm_efficient 2_00 gpm_Direct Install_Gas Water Heating</v>
      </c>
      <c r="L272" s="493">
        <f>INDEX(InstallRatesCostAndLifetime!$A$2:$D$6,MATCH(InputForProCost_FitnessCenter!H272,InstallRatesCostAndLifetime!$A$2:$A$6,0),MATCH(InputForProCost_FitnessCenter!I272,InstallRatesCostAndLifetime!$A$2:$D$2,0))</f>
        <v>0.9</v>
      </c>
      <c r="M272" s="493">
        <f t="shared" si="50"/>
        <v>0</v>
      </c>
      <c r="N272" s="492"/>
      <c r="O272" s="492" t="str">
        <f t="shared" si="51"/>
        <v>Fitness Center1_60 to 1_69 gpm2_00</v>
      </c>
      <c r="P272" s="494">
        <f>VLOOKUP($O272,Impacts!$F$27:$Z$59,16,FALSE)</f>
        <v>-1121.5417567215791</v>
      </c>
      <c r="Q272" s="494">
        <f>VLOOKUP($O272,Impacts!$F$27:$Z$59,17,FALSE)*L272</f>
        <v>-40.629920837369241</v>
      </c>
      <c r="R272" s="495">
        <f>VLOOKUP($O272,Impacts!$F$27:$Z$59,19,FALSE)*L272</f>
        <v>-45.014781771487201</v>
      </c>
      <c r="S272" s="496">
        <f>VLOOKUP($O272,Impacts!$F$27:$Z$59,20,FALSE)*L272</f>
        <v>-7680.5143359866242</v>
      </c>
      <c r="T272" s="497">
        <f>VLOOKUP($O272,Impacts!$F$27:$Z$59,21,FALSE)*L272</f>
        <v>-101.09618109633958</v>
      </c>
      <c r="U272" s="492"/>
      <c r="V272" s="492" t="str">
        <f t="shared" si="52"/>
        <v>Commercial Showerhead Replacement_Fitness Center_precondition 1_60 to 1_69 gpm_efficient 2_00 gpm_Direct Install_Gas Water Heating</v>
      </c>
      <c r="W272" s="492" t="s">
        <v>440</v>
      </c>
      <c r="X272" s="494">
        <f t="shared" si="55"/>
        <v>0</v>
      </c>
      <c r="Y272" s="492">
        <v>10</v>
      </c>
      <c r="Z272" s="498">
        <f t="shared" si="56"/>
        <v>11.336666666666666</v>
      </c>
      <c r="AA272" s="492"/>
      <c r="AB272" s="499" t="s">
        <v>441</v>
      </c>
      <c r="AC272" s="497">
        <f t="shared" si="57"/>
        <v>-101.09618109633958</v>
      </c>
      <c r="AD272" s="492"/>
      <c r="AE272" s="492"/>
      <c r="AF272" s="492"/>
      <c r="AG272" s="492"/>
      <c r="AH272" s="492"/>
      <c r="AI272" s="492"/>
      <c r="AJ272" s="492">
        <f t="shared" si="53"/>
        <v>0</v>
      </c>
      <c r="AK272" s="492" t="s">
        <v>442</v>
      </c>
    </row>
    <row r="273" spans="1:37">
      <c r="A273" s="492">
        <f t="shared" si="54"/>
        <v>255</v>
      </c>
      <c r="B273" s="492">
        <f t="shared" si="60"/>
        <v>10</v>
      </c>
      <c r="C273" s="492">
        <f t="shared" si="60"/>
        <v>2</v>
      </c>
      <c r="D273" s="492">
        <f t="shared" si="60"/>
        <v>1</v>
      </c>
      <c r="E273" s="492">
        <f t="shared" si="46"/>
        <v>3</v>
      </c>
      <c r="F273" s="499" t="s">
        <v>645</v>
      </c>
      <c r="G273" s="499" t="str">
        <f t="shared" si="47"/>
        <v>1_60 to 1_69 gpm</v>
      </c>
      <c r="H273" s="492" t="str">
        <f t="shared" si="48"/>
        <v>Direct Install</v>
      </c>
      <c r="I273" s="492" t="str">
        <f t="shared" si="48"/>
        <v>2_00</v>
      </c>
      <c r="J273" s="492" t="str">
        <f t="shared" si="48"/>
        <v>Any Water Heating</v>
      </c>
      <c r="K273" s="492" t="str">
        <f t="shared" si="49"/>
        <v>Commercial Showerhead Replacement_Fitness Center_precondition 1_60 to 1_69 gpm_efficient 2_00 gpm_Direct Install_Any Water Heating</v>
      </c>
      <c r="L273" s="493">
        <f>INDEX(InstallRatesCostAndLifetime!$A$2:$D$6,MATCH(InputForProCost_FitnessCenter!H273,InstallRatesCostAndLifetime!$A$2:$A$6,0),MATCH(InputForProCost_FitnessCenter!I273,InstallRatesCostAndLifetime!$A$2:$D$2,0))</f>
        <v>0.9</v>
      </c>
      <c r="M273" s="493">
        <f t="shared" si="50"/>
        <v>0.31666666666666665</v>
      </c>
      <c r="N273" s="492"/>
      <c r="O273" s="492" t="str">
        <f t="shared" si="51"/>
        <v>Fitness Center1_60 to 1_69 gpm2_00</v>
      </c>
      <c r="P273" s="494">
        <f>VLOOKUP($O273,Impacts!$F$27:$Z$59,16,FALSE)</f>
        <v>-1121.5417567215791</v>
      </c>
      <c r="Q273" s="494">
        <f>VLOOKUP($O273,Impacts!$F$27:$Z$59,17,FALSE)*L273</f>
        <v>-40.629920837369241</v>
      </c>
      <c r="R273" s="495">
        <f>VLOOKUP($O273,Impacts!$F$27:$Z$59,19,FALSE)*L273</f>
        <v>-45.014781771487201</v>
      </c>
      <c r="S273" s="496">
        <f>VLOOKUP($O273,Impacts!$F$27:$Z$59,20,FALSE)*L273</f>
        <v>-7680.5143359866242</v>
      </c>
      <c r="T273" s="497">
        <f>VLOOKUP($O273,Impacts!$F$27:$Z$59,21,FALSE)*L273</f>
        <v>-101.09618109633958</v>
      </c>
      <c r="U273" s="492"/>
      <c r="V273" s="492" t="str">
        <f t="shared" si="52"/>
        <v>Commercial Showerhead Replacement_Fitness Center_precondition 1_60 to 1_69 gpm_efficient 2_00 gpm_Direct Install_Any Water Heating</v>
      </c>
      <c r="W273" s="492" t="s">
        <v>440</v>
      </c>
      <c r="X273" s="494">
        <f t="shared" si="55"/>
        <v>-319.63940066565004</v>
      </c>
      <c r="Y273" s="492">
        <v>10</v>
      </c>
      <c r="Z273" s="498">
        <f t="shared" si="56"/>
        <v>11.336666666666666</v>
      </c>
      <c r="AA273" s="492"/>
      <c r="AB273" s="499" t="s">
        <v>441</v>
      </c>
      <c r="AC273" s="497">
        <f t="shared" si="57"/>
        <v>-101.09618109633958</v>
      </c>
      <c r="AD273" s="492"/>
      <c r="AE273" s="492"/>
      <c r="AF273" s="492"/>
      <c r="AG273" s="492"/>
      <c r="AH273" s="492"/>
      <c r="AI273" s="492"/>
      <c r="AJ273" s="492">
        <f t="shared" si="53"/>
        <v>0</v>
      </c>
      <c r="AK273" s="492" t="s">
        <v>442</v>
      </c>
    </row>
    <row r="274" spans="1:37">
      <c r="A274" s="492">
        <f t="shared" si="54"/>
        <v>256</v>
      </c>
      <c r="B274" s="492">
        <f t="shared" si="60"/>
        <v>10</v>
      </c>
      <c r="C274" s="492">
        <f t="shared" si="60"/>
        <v>2</v>
      </c>
      <c r="D274" s="492">
        <f t="shared" si="60"/>
        <v>2</v>
      </c>
      <c r="E274" s="492">
        <f t="shared" si="46"/>
        <v>1</v>
      </c>
      <c r="F274" s="499" t="s">
        <v>645</v>
      </c>
      <c r="G274" s="499" t="str">
        <f t="shared" si="47"/>
        <v>1_60 to 1_69 gpm</v>
      </c>
      <c r="H274" s="492" t="str">
        <f t="shared" si="48"/>
        <v>Direct Install</v>
      </c>
      <c r="I274" s="492" t="str">
        <f t="shared" si="48"/>
        <v>1_75</v>
      </c>
      <c r="J274" s="492" t="str">
        <f t="shared" si="48"/>
        <v>Electric Water Heating</v>
      </c>
      <c r="K274" s="492" t="str">
        <f t="shared" si="49"/>
        <v>Commercial Showerhead Replacement_Fitness Center_precondition 1_60 to 1_69 gpm_efficient 1_75 gpm_Direct Install_Electric Water Heating</v>
      </c>
      <c r="L274" s="493">
        <f>INDEX(InstallRatesCostAndLifetime!$A$2:$D$6,MATCH(InputForProCost_FitnessCenter!H274,InstallRatesCostAndLifetime!$A$2:$A$6,0),MATCH(InputForProCost_FitnessCenter!I274,InstallRatesCostAndLifetime!$A$2:$D$2,0))</f>
        <v>0.9</v>
      </c>
      <c r="M274" s="493">
        <f t="shared" si="50"/>
        <v>1</v>
      </c>
      <c r="N274" s="492"/>
      <c r="O274" s="492" t="str">
        <f t="shared" si="51"/>
        <v>Fitness Center1_60 to 1_69 gpm1_75</v>
      </c>
      <c r="P274" s="494">
        <f>VLOOKUP($O274,Impacts!$F$27:$Z$59,16,FALSE)</f>
        <v>-948.0807740338023</v>
      </c>
      <c r="Q274" s="494">
        <f>VLOOKUP($O274,Impacts!$F$27:$Z$59,17,FALSE)*L274</f>
        <v>-27.086613891579564</v>
      </c>
      <c r="R274" s="495">
        <f>VLOOKUP($O274,Impacts!$F$27:$Z$59,19,FALSE)*L274</f>
        <v>-38.052661783745783</v>
      </c>
      <c r="S274" s="496">
        <f>VLOOKUP($O274,Impacts!$F$27:$Z$59,20,FALSE)*L274</f>
        <v>-5120.3428906577628</v>
      </c>
      <c r="T274" s="497">
        <f>VLOOKUP($O274,Impacts!$F$27:$Z$59,21,FALSE)*L274</f>
        <v>-67.397454064226551</v>
      </c>
      <c r="U274" s="492"/>
      <c r="V274" s="492" t="str">
        <f t="shared" si="52"/>
        <v>Commercial Showerhead Replacement_Fitness Center_precondition 1_60 to 1_69 gpm_efficient 1_75 gpm_Direct Install_Electric Water Heating</v>
      </c>
      <c r="W274" s="492" t="s">
        <v>440</v>
      </c>
      <c r="X274" s="494">
        <f t="shared" si="55"/>
        <v>-853.27269663042205</v>
      </c>
      <c r="Y274" s="492">
        <v>10</v>
      </c>
      <c r="Z274" s="498">
        <f t="shared" si="56"/>
        <v>11.336666666666666</v>
      </c>
      <c r="AA274" s="492"/>
      <c r="AB274" s="499" t="s">
        <v>441</v>
      </c>
      <c r="AC274" s="497">
        <f t="shared" si="57"/>
        <v>-67.397454064226551</v>
      </c>
      <c r="AD274" s="492"/>
      <c r="AE274" s="492"/>
      <c r="AF274" s="492"/>
      <c r="AG274" s="492"/>
      <c r="AH274" s="492"/>
      <c r="AI274" s="492"/>
      <c r="AJ274" s="492">
        <f t="shared" si="53"/>
        <v>0</v>
      </c>
      <c r="AK274" s="492" t="s">
        <v>442</v>
      </c>
    </row>
    <row r="275" spans="1:37">
      <c r="A275" s="492">
        <f t="shared" si="54"/>
        <v>257</v>
      </c>
      <c r="B275" s="492">
        <f t="shared" si="60"/>
        <v>10</v>
      </c>
      <c r="C275" s="492">
        <f t="shared" si="60"/>
        <v>2</v>
      </c>
      <c r="D275" s="492">
        <f t="shared" si="60"/>
        <v>2</v>
      </c>
      <c r="E275" s="492">
        <f t="shared" ref="E275:E315" si="61">MOD($A275-1,E$17)+1</f>
        <v>2</v>
      </c>
      <c r="F275" s="499" t="s">
        <v>645</v>
      </c>
      <c r="G275" s="499" t="str">
        <f t="shared" ref="G275:G315" si="62">INDEX($G$3:$G$13,B275)</f>
        <v>1_60 to 1_69 gpm</v>
      </c>
      <c r="H275" s="492" t="str">
        <f t="shared" ref="H275:J315" si="63">INDEX(H$3:H$5,C275)</f>
        <v>Direct Install</v>
      </c>
      <c r="I275" s="492" t="str">
        <f t="shared" si="63"/>
        <v>1_75</v>
      </c>
      <c r="J275" s="492" t="str">
        <f t="shared" si="63"/>
        <v>Gas Water Heating</v>
      </c>
      <c r="K275" s="492" t="str">
        <f t="shared" ref="K275:K315" si="64">CONCATENATE("Commercial Showerhead Replacement_",F275,"_precondition ",G275,"_efficient ",I275," gpm_", H275,"_",J275)</f>
        <v>Commercial Showerhead Replacement_Fitness Center_precondition 1_60 to 1_69 gpm_efficient 1_75 gpm_Direct Install_Gas Water Heating</v>
      </c>
      <c r="L275" s="493">
        <f>INDEX(InstallRatesCostAndLifetime!$A$2:$D$6,MATCH(InputForProCost_FitnessCenter!H275,InstallRatesCostAndLifetime!$A$2:$A$6,0),MATCH(InputForProCost_FitnessCenter!I275,InstallRatesCostAndLifetime!$A$2:$D$2,0))</f>
        <v>0.9</v>
      </c>
      <c r="M275" s="493">
        <f t="shared" ref="M275:M315" si="65">IF(J275="Electric Water Heating",1,IF(J275 = "Gas Water Heating",0,VLOOKUP(F275,table_ElectricSaturation,2,FALSE)))</f>
        <v>0</v>
      </c>
      <c r="N275" s="492"/>
      <c r="O275" s="492" t="str">
        <f t="shared" ref="O275:O315" si="66">F275&amp;G275&amp;I275</f>
        <v>Fitness Center1_60 to 1_69 gpm1_75</v>
      </c>
      <c r="P275" s="494">
        <f>VLOOKUP($O275,Impacts!$F$27:$Z$59,16,FALSE)</f>
        <v>-948.0807740338023</v>
      </c>
      <c r="Q275" s="494">
        <f>VLOOKUP($O275,Impacts!$F$27:$Z$59,17,FALSE)*L275</f>
        <v>-27.086613891579564</v>
      </c>
      <c r="R275" s="495">
        <f>VLOOKUP($O275,Impacts!$F$27:$Z$59,19,FALSE)*L275</f>
        <v>-38.052661783745783</v>
      </c>
      <c r="S275" s="496">
        <f>VLOOKUP($O275,Impacts!$F$27:$Z$59,20,FALSE)*L275</f>
        <v>-5120.3428906577628</v>
      </c>
      <c r="T275" s="497">
        <f>VLOOKUP($O275,Impacts!$F$27:$Z$59,21,FALSE)*L275</f>
        <v>-67.397454064226551</v>
      </c>
      <c r="U275" s="492"/>
      <c r="V275" s="492" t="str">
        <f t="shared" ref="V275:V315" si="67">K275</f>
        <v>Commercial Showerhead Replacement_Fitness Center_precondition 1_60 to 1_69 gpm_efficient 1_75 gpm_Direct Install_Gas Water Heating</v>
      </c>
      <c r="W275" s="492" t="s">
        <v>440</v>
      </c>
      <c r="X275" s="494">
        <f t="shared" si="55"/>
        <v>0</v>
      </c>
      <c r="Y275" s="492">
        <v>10</v>
      </c>
      <c r="Z275" s="498">
        <f t="shared" si="56"/>
        <v>11.336666666666666</v>
      </c>
      <c r="AA275" s="492"/>
      <c r="AB275" s="499" t="s">
        <v>441</v>
      </c>
      <c r="AC275" s="497">
        <f t="shared" si="57"/>
        <v>-67.397454064226551</v>
      </c>
      <c r="AD275" s="492"/>
      <c r="AE275" s="492"/>
      <c r="AF275" s="492"/>
      <c r="AG275" s="492"/>
      <c r="AH275" s="492"/>
      <c r="AI275" s="492"/>
      <c r="AJ275" s="492">
        <f t="shared" ref="AJ275:AJ315" si="68">IF(S275&gt;0,R275*(1-M275),0)</f>
        <v>0</v>
      </c>
      <c r="AK275" s="492" t="s">
        <v>442</v>
      </c>
    </row>
    <row r="276" spans="1:37">
      <c r="A276" s="492">
        <f t="shared" ref="A276:A315" si="69">A275+1</f>
        <v>258</v>
      </c>
      <c r="B276" s="492">
        <f t="shared" si="60"/>
        <v>10</v>
      </c>
      <c r="C276" s="492">
        <f t="shared" si="60"/>
        <v>2</v>
      </c>
      <c r="D276" s="492">
        <f t="shared" si="60"/>
        <v>2</v>
      </c>
      <c r="E276" s="492">
        <f t="shared" si="61"/>
        <v>3</v>
      </c>
      <c r="F276" s="499" t="s">
        <v>645</v>
      </c>
      <c r="G276" s="499" t="str">
        <f t="shared" si="62"/>
        <v>1_60 to 1_69 gpm</v>
      </c>
      <c r="H276" s="492" t="str">
        <f t="shared" si="63"/>
        <v>Direct Install</v>
      </c>
      <c r="I276" s="492" t="str">
        <f t="shared" si="63"/>
        <v>1_75</v>
      </c>
      <c r="J276" s="492" t="str">
        <f t="shared" si="63"/>
        <v>Any Water Heating</v>
      </c>
      <c r="K276" s="492" t="str">
        <f t="shared" si="64"/>
        <v>Commercial Showerhead Replacement_Fitness Center_precondition 1_60 to 1_69 gpm_efficient 1_75 gpm_Direct Install_Any Water Heating</v>
      </c>
      <c r="L276" s="493">
        <f>INDEX(InstallRatesCostAndLifetime!$A$2:$D$6,MATCH(InputForProCost_FitnessCenter!H276,InstallRatesCostAndLifetime!$A$2:$A$6,0),MATCH(InputForProCost_FitnessCenter!I276,InstallRatesCostAndLifetime!$A$2:$D$2,0))</f>
        <v>0.9</v>
      </c>
      <c r="M276" s="493">
        <f t="shared" si="65"/>
        <v>0.31666666666666665</v>
      </c>
      <c r="N276" s="492"/>
      <c r="O276" s="492" t="str">
        <f t="shared" si="66"/>
        <v>Fitness Center1_60 to 1_69 gpm1_75</v>
      </c>
      <c r="P276" s="494">
        <f>VLOOKUP($O276,Impacts!$F$27:$Z$59,16,FALSE)</f>
        <v>-948.0807740338023</v>
      </c>
      <c r="Q276" s="494">
        <f>VLOOKUP($O276,Impacts!$F$27:$Z$59,17,FALSE)*L276</f>
        <v>-27.086613891579564</v>
      </c>
      <c r="R276" s="495">
        <f>VLOOKUP($O276,Impacts!$F$27:$Z$59,19,FALSE)*L276</f>
        <v>-38.052661783745783</v>
      </c>
      <c r="S276" s="496">
        <f>VLOOKUP($O276,Impacts!$F$27:$Z$59,20,FALSE)*L276</f>
        <v>-5120.3428906577628</v>
      </c>
      <c r="T276" s="497">
        <f>VLOOKUP($O276,Impacts!$F$27:$Z$59,21,FALSE)*L276</f>
        <v>-67.397454064226551</v>
      </c>
      <c r="U276" s="492"/>
      <c r="V276" s="492" t="str">
        <f t="shared" si="67"/>
        <v>Commercial Showerhead Replacement_Fitness Center_precondition 1_60 to 1_69 gpm_efficient 1_75 gpm_Direct Install_Any Water Heating</v>
      </c>
      <c r="W276" s="492" t="s">
        <v>440</v>
      </c>
      <c r="X276" s="494">
        <f t="shared" ref="X276:X315" si="70">(P276*M276*L276)</f>
        <v>-270.20302059963365</v>
      </c>
      <c r="Y276" s="492">
        <v>10</v>
      </c>
      <c r="Z276" s="498">
        <f t="shared" ref="Z276:Z315" si="71">VLOOKUP(H276,table_MeasureCosts,2,FALSE)</f>
        <v>11.336666666666666</v>
      </c>
      <c r="AA276" s="492"/>
      <c r="AB276" s="499" t="s">
        <v>441</v>
      </c>
      <c r="AC276" s="497">
        <f t="shared" ref="AC276:AC315" si="72">T276</f>
        <v>-67.397454064226551</v>
      </c>
      <c r="AD276" s="492"/>
      <c r="AE276" s="492"/>
      <c r="AF276" s="492"/>
      <c r="AG276" s="492"/>
      <c r="AH276" s="492"/>
      <c r="AI276" s="492"/>
      <c r="AJ276" s="492">
        <f t="shared" si="68"/>
        <v>0</v>
      </c>
      <c r="AK276" s="492" t="s">
        <v>442</v>
      </c>
    </row>
    <row r="277" spans="1:37">
      <c r="A277" s="492">
        <f t="shared" si="69"/>
        <v>259</v>
      </c>
      <c r="B277" s="492">
        <f t="shared" si="60"/>
        <v>10</v>
      </c>
      <c r="C277" s="492">
        <f t="shared" si="60"/>
        <v>2</v>
      </c>
      <c r="D277" s="492">
        <f t="shared" si="60"/>
        <v>3</v>
      </c>
      <c r="E277" s="492">
        <f t="shared" si="61"/>
        <v>1</v>
      </c>
      <c r="F277" s="499" t="s">
        <v>645</v>
      </c>
      <c r="G277" s="499" t="str">
        <f t="shared" si="62"/>
        <v>1_60 to 1_69 gpm</v>
      </c>
      <c r="H277" s="492" t="str">
        <f t="shared" si="63"/>
        <v>Direct Install</v>
      </c>
      <c r="I277" s="492" t="str">
        <f t="shared" si="63"/>
        <v>1_50</v>
      </c>
      <c r="J277" s="492" t="str">
        <f t="shared" si="63"/>
        <v>Electric Water Heating</v>
      </c>
      <c r="K277" s="492" t="str">
        <f t="shared" si="64"/>
        <v>Commercial Showerhead Replacement_Fitness Center_precondition 1_60 to 1_69 gpm_efficient 1_50 gpm_Direct Install_Electric Water Heating</v>
      </c>
      <c r="L277" s="493">
        <f>INDEX(InstallRatesCostAndLifetime!$A$2:$D$6,MATCH(InputForProCost_FitnessCenter!H277,InstallRatesCostAndLifetime!$A$2:$A$6,0),MATCH(InputForProCost_FitnessCenter!I277,InstallRatesCostAndLifetime!$A$2:$D$2,0))</f>
        <v>0.9</v>
      </c>
      <c r="M277" s="493">
        <f t="shared" si="65"/>
        <v>1</v>
      </c>
      <c r="N277" s="492"/>
      <c r="O277" s="492" t="str">
        <f t="shared" si="66"/>
        <v>Fitness Center1_60 to 1_69 gpm1_50</v>
      </c>
      <c r="P277" s="494">
        <f>VLOOKUP($O277,Impacts!$F$27:$Z$59,16,FALSE)</f>
        <v>851.25330011553524</v>
      </c>
      <c r="Q277" s="494">
        <f>VLOOKUP($O277,Impacts!$F$27:$Z$59,17,FALSE)*L277</f>
        <v>40.629920837368893</v>
      </c>
      <c r="R277" s="495">
        <f>VLOOKUP($O277,Impacts!$F$27:$Z$59,19,FALSE)*L277</f>
        <v>34.16634405924475</v>
      </c>
      <c r="S277" s="496">
        <f>VLOOKUP($O277,Impacts!$F$27:$Z$59,20,FALSE)*L277</f>
        <v>7680.5143359865588</v>
      </c>
      <c r="T277" s="497">
        <f>VLOOKUP($O277,Impacts!$F$27:$Z$59,21,FALSE)*L277</f>
        <v>101.09618109633871</v>
      </c>
      <c r="U277" s="492"/>
      <c r="V277" s="492" t="str">
        <f t="shared" si="67"/>
        <v>Commercial Showerhead Replacement_Fitness Center_precondition 1_60 to 1_69 gpm_efficient 1_50 gpm_Direct Install_Electric Water Heating</v>
      </c>
      <c r="W277" s="492" t="s">
        <v>440</v>
      </c>
      <c r="X277" s="494">
        <f t="shared" si="70"/>
        <v>766.12797010398174</v>
      </c>
      <c r="Y277" s="492">
        <v>10</v>
      </c>
      <c r="Z277" s="498">
        <f t="shared" si="71"/>
        <v>11.336666666666666</v>
      </c>
      <c r="AA277" s="492"/>
      <c r="AB277" s="499" t="s">
        <v>441</v>
      </c>
      <c r="AC277" s="497">
        <f t="shared" si="72"/>
        <v>101.09618109633871</v>
      </c>
      <c r="AD277" s="492"/>
      <c r="AE277" s="492"/>
      <c r="AF277" s="492"/>
      <c r="AG277" s="492"/>
      <c r="AH277" s="492"/>
      <c r="AI277" s="492"/>
      <c r="AJ277" s="492">
        <f t="shared" si="68"/>
        <v>0</v>
      </c>
      <c r="AK277" s="492" t="s">
        <v>442</v>
      </c>
    </row>
    <row r="278" spans="1:37">
      <c r="A278" s="492">
        <f t="shared" si="69"/>
        <v>260</v>
      </c>
      <c r="B278" s="492">
        <f t="shared" si="60"/>
        <v>10</v>
      </c>
      <c r="C278" s="492">
        <f t="shared" si="60"/>
        <v>2</v>
      </c>
      <c r="D278" s="492">
        <f t="shared" si="60"/>
        <v>3</v>
      </c>
      <c r="E278" s="492">
        <f t="shared" si="61"/>
        <v>2</v>
      </c>
      <c r="F278" s="499" t="s">
        <v>645</v>
      </c>
      <c r="G278" s="499" t="str">
        <f t="shared" si="62"/>
        <v>1_60 to 1_69 gpm</v>
      </c>
      <c r="H278" s="492" t="str">
        <f t="shared" si="63"/>
        <v>Direct Install</v>
      </c>
      <c r="I278" s="492" t="str">
        <f t="shared" si="63"/>
        <v>1_50</v>
      </c>
      <c r="J278" s="492" t="str">
        <f t="shared" si="63"/>
        <v>Gas Water Heating</v>
      </c>
      <c r="K278" s="492" t="str">
        <f t="shared" si="64"/>
        <v>Commercial Showerhead Replacement_Fitness Center_precondition 1_60 to 1_69 gpm_efficient 1_50 gpm_Direct Install_Gas Water Heating</v>
      </c>
      <c r="L278" s="493">
        <f>INDEX(InstallRatesCostAndLifetime!$A$2:$D$6,MATCH(InputForProCost_FitnessCenter!H278,InstallRatesCostAndLifetime!$A$2:$A$6,0),MATCH(InputForProCost_FitnessCenter!I278,InstallRatesCostAndLifetime!$A$2:$D$2,0))</f>
        <v>0.9</v>
      </c>
      <c r="M278" s="493">
        <f t="shared" si="65"/>
        <v>0</v>
      </c>
      <c r="N278" s="492"/>
      <c r="O278" s="492" t="str">
        <f t="shared" si="66"/>
        <v>Fitness Center1_60 to 1_69 gpm1_50</v>
      </c>
      <c r="P278" s="494">
        <f>VLOOKUP($O278,Impacts!$F$27:$Z$59,16,FALSE)</f>
        <v>851.25330011553524</v>
      </c>
      <c r="Q278" s="494">
        <f>VLOOKUP($O278,Impacts!$F$27:$Z$59,17,FALSE)*L278</f>
        <v>40.629920837368893</v>
      </c>
      <c r="R278" s="495">
        <f>VLOOKUP($O278,Impacts!$F$27:$Z$59,19,FALSE)*L278</f>
        <v>34.16634405924475</v>
      </c>
      <c r="S278" s="496">
        <f>VLOOKUP($O278,Impacts!$F$27:$Z$59,20,FALSE)*L278</f>
        <v>7680.5143359865588</v>
      </c>
      <c r="T278" s="497">
        <f>VLOOKUP($O278,Impacts!$F$27:$Z$59,21,FALSE)*L278</f>
        <v>101.09618109633871</v>
      </c>
      <c r="U278" s="492"/>
      <c r="V278" s="492" t="str">
        <f t="shared" si="67"/>
        <v>Commercial Showerhead Replacement_Fitness Center_precondition 1_60 to 1_69 gpm_efficient 1_50 gpm_Direct Install_Gas Water Heating</v>
      </c>
      <c r="W278" s="492" t="s">
        <v>440</v>
      </c>
      <c r="X278" s="494">
        <f t="shared" si="70"/>
        <v>0</v>
      </c>
      <c r="Y278" s="492">
        <v>10</v>
      </c>
      <c r="Z278" s="498">
        <f t="shared" si="71"/>
        <v>11.336666666666666</v>
      </c>
      <c r="AA278" s="492"/>
      <c r="AB278" s="499" t="s">
        <v>441</v>
      </c>
      <c r="AC278" s="497">
        <f t="shared" si="72"/>
        <v>101.09618109633871</v>
      </c>
      <c r="AD278" s="492"/>
      <c r="AE278" s="492"/>
      <c r="AF278" s="492"/>
      <c r="AG278" s="492"/>
      <c r="AH278" s="492"/>
      <c r="AI278" s="492"/>
      <c r="AJ278" s="492">
        <f t="shared" si="68"/>
        <v>34.16634405924475</v>
      </c>
      <c r="AK278" s="492" t="s">
        <v>442</v>
      </c>
    </row>
    <row r="279" spans="1:37">
      <c r="A279" s="492">
        <f t="shared" si="69"/>
        <v>261</v>
      </c>
      <c r="B279" s="492">
        <f t="shared" ref="B279:D298" si="73">CEILING((MOD($A279-1,B$17)+1)/C$17,1)</f>
        <v>10</v>
      </c>
      <c r="C279" s="492">
        <f t="shared" si="73"/>
        <v>2</v>
      </c>
      <c r="D279" s="492">
        <f t="shared" si="73"/>
        <v>3</v>
      </c>
      <c r="E279" s="492">
        <f t="shared" si="61"/>
        <v>3</v>
      </c>
      <c r="F279" s="499" t="s">
        <v>645</v>
      </c>
      <c r="G279" s="499" t="str">
        <f t="shared" si="62"/>
        <v>1_60 to 1_69 gpm</v>
      </c>
      <c r="H279" s="492" t="str">
        <f t="shared" si="63"/>
        <v>Direct Install</v>
      </c>
      <c r="I279" s="492" t="str">
        <f t="shared" si="63"/>
        <v>1_50</v>
      </c>
      <c r="J279" s="492" t="str">
        <f t="shared" si="63"/>
        <v>Any Water Heating</v>
      </c>
      <c r="K279" s="492" t="str">
        <f t="shared" si="64"/>
        <v>Commercial Showerhead Replacement_Fitness Center_precondition 1_60 to 1_69 gpm_efficient 1_50 gpm_Direct Install_Any Water Heating</v>
      </c>
      <c r="L279" s="493">
        <f>INDEX(InstallRatesCostAndLifetime!$A$2:$D$6,MATCH(InputForProCost_FitnessCenter!H279,InstallRatesCostAndLifetime!$A$2:$A$6,0),MATCH(InputForProCost_FitnessCenter!I279,InstallRatesCostAndLifetime!$A$2:$D$2,0))</f>
        <v>0.9</v>
      </c>
      <c r="M279" s="493">
        <f t="shared" si="65"/>
        <v>0.31666666666666665</v>
      </c>
      <c r="N279" s="492"/>
      <c r="O279" s="492" t="str">
        <f t="shared" si="66"/>
        <v>Fitness Center1_60 to 1_69 gpm1_50</v>
      </c>
      <c r="P279" s="494">
        <f>VLOOKUP($O279,Impacts!$F$27:$Z$59,16,FALSE)</f>
        <v>851.25330011553524</v>
      </c>
      <c r="Q279" s="494">
        <f>VLOOKUP($O279,Impacts!$F$27:$Z$59,17,FALSE)*L279</f>
        <v>40.629920837368893</v>
      </c>
      <c r="R279" s="495">
        <f>VLOOKUP($O279,Impacts!$F$27:$Z$59,19,FALSE)*L279</f>
        <v>34.16634405924475</v>
      </c>
      <c r="S279" s="496">
        <f>VLOOKUP($O279,Impacts!$F$27:$Z$59,20,FALSE)*L279</f>
        <v>7680.5143359865588</v>
      </c>
      <c r="T279" s="497">
        <f>VLOOKUP($O279,Impacts!$F$27:$Z$59,21,FALSE)*L279</f>
        <v>101.09618109633871</v>
      </c>
      <c r="U279" s="492"/>
      <c r="V279" s="492" t="str">
        <f t="shared" si="67"/>
        <v>Commercial Showerhead Replacement_Fitness Center_precondition 1_60 to 1_69 gpm_efficient 1_50 gpm_Direct Install_Any Water Heating</v>
      </c>
      <c r="W279" s="492" t="s">
        <v>440</v>
      </c>
      <c r="X279" s="494">
        <f t="shared" si="70"/>
        <v>242.60719053292755</v>
      </c>
      <c r="Y279" s="492">
        <v>10</v>
      </c>
      <c r="Z279" s="498">
        <f t="shared" si="71"/>
        <v>11.336666666666666</v>
      </c>
      <c r="AA279" s="492"/>
      <c r="AB279" s="499" t="s">
        <v>441</v>
      </c>
      <c r="AC279" s="497">
        <f t="shared" si="72"/>
        <v>101.09618109633871</v>
      </c>
      <c r="AD279" s="492"/>
      <c r="AE279" s="492"/>
      <c r="AF279" s="492"/>
      <c r="AG279" s="492"/>
      <c r="AH279" s="492"/>
      <c r="AI279" s="492"/>
      <c r="AJ279" s="492">
        <f t="shared" si="68"/>
        <v>23.347001773817247</v>
      </c>
      <c r="AK279" s="492" t="s">
        <v>442</v>
      </c>
    </row>
    <row r="280" spans="1:37">
      <c r="A280" s="492">
        <f t="shared" si="69"/>
        <v>262</v>
      </c>
      <c r="B280" s="492">
        <f t="shared" si="73"/>
        <v>10</v>
      </c>
      <c r="C280" s="492">
        <f t="shared" si="73"/>
        <v>3</v>
      </c>
      <c r="D280" s="492">
        <f t="shared" si="73"/>
        <v>1</v>
      </c>
      <c r="E280" s="492">
        <f t="shared" si="61"/>
        <v>1</v>
      </c>
      <c r="F280" s="499" t="s">
        <v>645</v>
      </c>
      <c r="G280" s="499" t="str">
        <f t="shared" si="62"/>
        <v>1_60 to 1_69 gpm</v>
      </c>
      <c r="H280" s="492" t="str">
        <f t="shared" si="63"/>
        <v>Mail-by-Request</v>
      </c>
      <c r="I280" s="492" t="str">
        <f t="shared" si="63"/>
        <v>2_00</v>
      </c>
      <c r="J280" s="492" t="str">
        <f t="shared" si="63"/>
        <v>Electric Water Heating</v>
      </c>
      <c r="K280" s="492" t="str">
        <f t="shared" si="64"/>
        <v>Commercial Showerhead Replacement_Fitness Center_precondition 1_60 to 1_69 gpm_efficient 2_00 gpm_Mail-by-Request_Electric Water Heating</v>
      </c>
      <c r="L280" s="493">
        <f>INDEX(InstallRatesCostAndLifetime!$A$2:$D$6,MATCH(InputForProCost_FitnessCenter!H280,InstallRatesCostAndLifetime!$A$2:$A$6,0),MATCH(InputForProCost_FitnessCenter!I280,InstallRatesCostAndLifetime!$A$2:$D$2,0))</f>
        <v>0.6</v>
      </c>
      <c r="M280" s="493">
        <f t="shared" si="65"/>
        <v>1</v>
      </c>
      <c r="N280" s="492"/>
      <c r="O280" s="492" t="str">
        <f t="shared" si="66"/>
        <v>Fitness Center1_60 to 1_69 gpm2_00</v>
      </c>
      <c r="P280" s="494">
        <f>VLOOKUP($O280,Impacts!$F$27:$Z$59,16,FALSE)</f>
        <v>-1121.5417567215791</v>
      </c>
      <c r="Q280" s="494">
        <f>VLOOKUP($O280,Impacts!$F$27:$Z$59,17,FALSE)*L280</f>
        <v>-27.086613891579493</v>
      </c>
      <c r="R280" s="495">
        <f>VLOOKUP($O280,Impacts!$F$27:$Z$59,19,FALSE)*L280</f>
        <v>-30.009854514324797</v>
      </c>
      <c r="S280" s="496">
        <f>VLOOKUP($O280,Impacts!$F$27:$Z$59,20,FALSE)*L280</f>
        <v>-5120.3428906577492</v>
      </c>
      <c r="T280" s="497">
        <f>VLOOKUP($O280,Impacts!$F$27:$Z$59,21,FALSE)*L280</f>
        <v>-67.39745406422638</v>
      </c>
      <c r="U280" s="492"/>
      <c r="V280" s="492" t="str">
        <f t="shared" si="67"/>
        <v>Commercial Showerhead Replacement_Fitness Center_precondition 1_60 to 1_69 gpm_efficient 2_00 gpm_Mail-by-Request_Electric Water Heating</v>
      </c>
      <c r="W280" s="492" t="s">
        <v>440</v>
      </c>
      <c r="X280" s="494">
        <f t="shared" si="70"/>
        <v>-672.9250540329474</v>
      </c>
      <c r="Y280" s="492">
        <v>10</v>
      </c>
      <c r="Z280" s="498">
        <f t="shared" si="71"/>
        <v>8.1096944444444432</v>
      </c>
      <c r="AA280" s="492"/>
      <c r="AB280" s="499" t="s">
        <v>441</v>
      </c>
      <c r="AC280" s="497">
        <f t="shared" si="72"/>
        <v>-67.39745406422638</v>
      </c>
      <c r="AD280" s="492"/>
      <c r="AE280" s="492"/>
      <c r="AF280" s="492"/>
      <c r="AG280" s="492"/>
      <c r="AH280" s="492"/>
      <c r="AI280" s="492"/>
      <c r="AJ280" s="492">
        <f t="shared" si="68"/>
        <v>0</v>
      </c>
      <c r="AK280" s="492" t="s">
        <v>442</v>
      </c>
    </row>
    <row r="281" spans="1:37">
      <c r="A281" s="492">
        <f t="shared" si="69"/>
        <v>263</v>
      </c>
      <c r="B281" s="492">
        <f t="shared" si="73"/>
        <v>10</v>
      </c>
      <c r="C281" s="492">
        <f t="shared" si="73"/>
        <v>3</v>
      </c>
      <c r="D281" s="492">
        <f t="shared" si="73"/>
        <v>1</v>
      </c>
      <c r="E281" s="492">
        <f t="shared" si="61"/>
        <v>2</v>
      </c>
      <c r="F281" s="499" t="s">
        <v>645</v>
      </c>
      <c r="G281" s="499" t="str">
        <f t="shared" si="62"/>
        <v>1_60 to 1_69 gpm</v>
      </c>
      <c r="H281" s="492" t="str">
        <f t="shared" si="63"/>
        <v>Mail-by-Request</v>
      </c>
      <c r="I281" s="492" t="str">
        <f t="shared" si="63"/>
        <v>2_00</v>
      </c>
      <c r="J281" s="492" t="str">
        <f t="shared" si="63"/>
        <v>Gas Water Heating</v>
      </c>
      <c r="K281" s="492" t="str">
        <f t="shared" si="64"/>
        <v>Commercial Showerhead Replacement_Fitness Center_precondition 1_60 to 1_69 gpm_efficient 2_00 gpm_Mail-by-Request_Gas Water Heating</v>
      </c>
      <c r="L281" s="493">
        <f>INDEX(InstallRatesCostAndLifetime!$A$2:$D$6,MATCH(InputForProCost_FitnessCenter!H281,InstallRatesCostAndLifetime!$A$2:$A$6,0),MATCH(InputForProCost_FitnessCenter!I281,InstallRatesCostAndLifetime!$A$2:$D$2,0))</f>
        <v>0.6</v>
      </c>
      <c r="M281" s="493">
        <f t="shared" si="65"/>
        <v>0</v>
      </c>
      <c r="N281" s="492"/>
      <c r="O281" s="492" t="str">
        <f t="shared" si="66"/>
        <v>Fitness Center1_60 to 1_69 gpm2_00</v>
      </c>
      <c r="P281" s="494">
        <f>VLOOKUP($O281,Impacts!$F$27:$Z$59,16,FALSE)</f>
        <v>-1121.5417567215791</v>
      </c>
      <c r="Q281" s="494">
        <f>VLOOKUP($O281,Impacts!$F$27:$Z$59,17,FALSE)*L281</f>
        <v>-27.086613891579493</v>
      </c>
      <c r="R281" s="495">
        <f>VLOOKUP($O281,Impacts!$F$27:$Z$59,19,FALSE)*L281</f>
        <v>-30.009854514324797</v>
      </c>
      <c r="S281" s="496">
        <f>VLOOKUP($O281,Impacts!$F$27:$Z$59,20,FALSE)*L281</f>
        <v>-5120.3428906577492</v>
      </c>
      <c r="T281" s="497">
        <f>VLOOKUP($O281,Impacts!$F$27:$Z$59,21,FALSE)*L281</f>
        <v>-67.39745406422638</v>
      </c>
      <c r="U281" s="492"/>
      <c r="V281" s="492" t="str">
        <f t="shared" si="67"/>
        <v>Commercial Showerhead Replacement_Fitness Center_precondition 1_60 to 1_69 gpm_efficient 2_00 gpm_Mail-by-Request_Gas Water Heating</v>
      </c>
      <c r="W281" s="492" t="s">
        <v>440</v>
      </c>
      <c r="X281" s="494">
        <f t="shared" si="70"/>
        <v>0</v>
      </c>
      <c r="Y281" s="492">
        <v>10</v>
      </c>
      <c r="Z281" s="498">
        <f t="shared" si="71"/>
        <v>8.1096944444444432</v>
      </c>
      <c r="AA281" s="492"/>
      <c r="AB281" s="499" t="s">
        <v>441</v>
      </c>
      <c r="AC281" s="497">
        <f t="shared" si="72"/>
        <v>-67.39745406422638</v>
      </c>
      <c r="AD281" s="492"/>
      <c r="AE281" s="492"/>
      <c r="AF281" s="492"/>
      <c r="AG281" s="492"/>
      <c r="AH281" s="492"/>
      <c r="AI281" s="492"/>
      <c r="AJ281" s="492">
        <f t="shared" si="68"/>
        <v>0</v>
      </c>
      <c r="AK281" s="492" t="s">
        <v>442</v>
      </c>
    </row>
    <row r="282" spans="1:37">
      <c r="A282" s="492">
        <f t="shared" si="69"/>
        <v>264</v>
      </c>
      <c r="B282" s="492">
        <f t="shared" si="73"/>
        <v>10</v>
      </c>
      <c r="C282" s="492">
        <f t="shared" si="73"/>
        <v>3</v>
      </c>
      <c r="D282" s="492">
        <f t="shared" si="73"/>
        <v>1</v>
      </c>
      <c r="E282" s="492">
        <f t="shared" si="61"/>
        <v>3</v>
      </c>
      <c r="F282" s="499" t="s">
        <v>645</v>
      </c>
      <c r="G282" s="499" t="str">
        <f t="shared" si="62"/>
        <v>1_60 to 1_69 gpm</v>
      </c>
      <c r="H282" s="492" t="str">
        <f t="shared" si="63"/>
        <v>Mail-by-Request</v>
      </c>
      <c r="I282" s="492" t="str">
        <f t="shared" si="63"/>
        <v>2_00</v>
      </c>
      <c r="J282" s="492" t="str">
        <f t="shared" si="63"/>
        <v>Any Water Heating</v>
      </c>
      <c r="K282" s="492" t="str">
        <f t="shared" si="64"/>
        <v>Commercial Showerhead Replacement_Fitness Center_precondition 1_60 to 1_69 gpm_efficient 2_00 gpm_Mail-by-Request_Any Water Heating</v>
      </c>
      <c r="L282" s="493">
        <f>INDEX(InstallRatesCostAndLifetime!$A$2:$D$6,MATCH(InputForProCost_FitnessCenter!H282,InstallRatesCostAndLifetime!$A$2:$A$6,0),MATCH(InputForProCost_FitnessCenter!I282,InstallRatesCostAndLifetime!$A$2:$D$2,0))</f>
        <v>0.6</v>
      </c>
      <c r="M282" s="493">
        <f t="shared" si="65"/>
        <v>0.31666666666666665</v>
      </c>
      <c r="N282" s="492"/>
      <c r="O282" s="492" t="str">
        <f t="shared" si="66"/>
        <v>Fitness Center1_60 to 1_69 gpm2_00</v>
      </c>
      <c r="P282" s="494">
        <f>VLOOKUP($O282,Impacts!$F$27:$Z$59,16,FALSE)</f>
        <v>-1121.5417567215791</v>
      </c>
      <c r="Q282" s="494">
        <f>VLOOKUP($O282,Impacts!$F$27:$Z$59,17,FALSE)*L282</f>
        <v>-27.086613891579493</v>
      </c>
      <c r="R282" s="495">
        <f>VLOOKUP($O282,Impacts!$F$27:$Z$59,19,FALSE)*L282</f>
        <v>-30.009854514324797</v>
      </c>
      <c r="S282" s="496">
        <f>VLOOKUP($O282,Impacts!$F$27:$Z$59,20,FALSE)*L282</f>
        <v>-5120.3428906577492</v>
      </c>
      <c r="T282" s="497">
        <f>VLOOKUP($O282,Impacts!$F$27:$Z$59,21,FALSE)*L282</f>
        <v>-67.39745406422638</v>
      </c>
      <c r="U282" s="492"/>
      <c r="V282" s="492" t="str">
        <f t="shared" si="67"/>
        <v>Commercial Showerhead Replacement_Fitness Center_precondition 1_60 to 1_69 gpm_efficient 2_00 gpm_Mail-by-Request_Any Water Heating</v>
      </c>
      <c r="W282" s="492" t="s">
        <v>440</v>
      </c>
      <c r="X282" s="494">
        <f t="shared" si="70"/>
        <v>-213.0929337771</v>
      </c>
      <c r="Y282" s="492">
        <v>10</v>
      </c>
      <c r="Z282" s="498">
        <f t="shared" si="71"/>
        <v>8.1096944444444432</v>
      </c>
      <c r="AA282" s="492"/>
      <c r="AB282" s="499" t="s">
        <v>441</v>
      </c>
      <c r="AC282" s="497">
        <f t="shared" si="72"/>
        <v>-67.39745406422638</v>
      </c>
      <c r="AD282" s="492"/>
      <c r="AE282" s="492"/>
      <c r="AF282" s="492"/>
      <c r="AG282" s="492"/>
      <c r="AH282" s="492"/>
      <c r="AI282" s="492"/>
      <c r="AJ282" s="492">
        <f t="shared" si="68"/>
        <v>0</v>
      </c>
      <c r="AK282" s="492" t="s">
        <v>442</v>
      </c>
    </row>
    <row r="283" spans="1:37">
      <c r="A283" s="492">
        <f t="shared" si="69"/>
        <v>265</v>
      </c>
      <c r="B283" s="492">
        <f t="shared" si="73"/>
        <v>10</v>
      </c>
      <c r="C283" s="492">
        <f t="shared" si="73"/>
        <v>3</v>
      </c>
      <c r="D283" s="492">
        <f t="shared" si="73"/>
        <v>2</v>
      </c>
      <c r="E283" s="492">
        <f t="shared" si="61"/>
        <v>1</v>
      </c>
      <c r="F283" s="499" t="s">
        <v>645</v>
      </c>
      <c r="G283" s="499" t="str">
        <f t="shared" si="62"/>
        <v>1_60 to 1_69 gpm</v>
      </c>
      <c r="H283" s="492" t="str">
        <f t="shared" si="63"/>
        <v>Mail-by-Request</v>
      </c>
      <c r="I283" s="492" t="str">
        <f t="shared" si="63"/>
        <v>1_75</v>
      </c>
      <c r="J283" s="492" t="str">
        <f t="shared" si="63"/>
        <v>Electric Water Heating</v>
      </c>
      <c r="K283" s="492" t="str">
        <f t="shared" si="64"/>
        <v>Commercial Showerhead Replacement_Fitness Center_precondition 1_60 to 1_69 gpm_efficient 1_75 gpm_Mail-by-Request_Electric Water Heating</v>
      </c>
      <c r="L283" s="493">
        <f>INDEX(InstallRatesCostAndLifetime!$A$2:$D$6,MATCH(InputForProCost_FitnessCenter!H283,InstallRatesCostAndLifetime!$A$2:$A$6,0),MATCH(InputForProCost_FitnessCenter!I283,InstallRatesCostAndLifetime!$A$2:$D$2,0))</f>
        <v>0.6</v>
      </c>
      <c r="M283" s="493">
        <f t="shared" si="65"/>
        <v>1</v>
      </c>
      <c r="N283" s="492"/>
      <c r="O283" s="492" t="str">
        <f t="shared" si="66"/>
        <v>Fitness Center1_60 to 1_69 gpm1_75</v>
      </c>
      <c r="P283" s="494">
        <f>VLOOKUP($O283,Impacts!$F$27:$Z$59,16,FALSE)</f>
        <v>-948.0807740338023</v>
      </c>
      <c r="Q283" s="494">
        <f>VLOOKUP($O283,Impacts!$F$27:$Z$59,17,FALSE)*L283</f>
        <v>-18.057742594386376</v>
      </c>
      <c r="R283" s="495">
        <f>VLOOKUP($O283,Impacts!$F$27:$Z$59,19,FALSE)*L283</f>
        <v>-25.368441189163853</v>
      </c>
      <c r="S283" s="496">
        <f>VLOOKUP($O283,Impacts!$F$27:$Z$59,20,FALSE)*L283</f>
        <v>-3413.5619271051751</v>
      </c>
      <c r="T283" s="497">
        <f>VLOOKUP($O283,Impacts!$F$27:$Z$59,21,FALSE)*L283</f>
        <v>-44.931636042817701</v>
      </c>
      <c r="U283" s="492"/>
      <c r="V283" s="492" t="str">
        <f t="shared" si="67"/>
        <v>Commercial Showerhead Replacement_Fitness Center_precondition 1_60 to 1_69 gpm_efficient 1_75 gpm_Mail-by-Request_Electric Water Heating</v>
      </c>
      <c r="W283" s="492" t="s">
        <v>440</v>
      </c>
      <c r="X283" s="494">
        <f t="shared" si="70"/>
        <v>-568.8484644202814</v>
      </c>
      <c r="Y283" s="492">
        <v>10</v>
      </c>
      <c r="Z283" s="498">
        <f t="shared" si="71"/>
        <v>8.1096944444444432</v>
      </c>
      <c r="AA283" s="492"/>
      <c r="AB283" s="499" t="s">
        <v>441</v>
      </c>
      <c r="AC283" s="497">
        <f t="shared" si="72"/>
        <v>-44.931636042817701</v>
      </c>
      <c r="AD283" s="492"/>
      <c r="AE283" s="492"/>
      <c r="AF283" s="492"/>
      <c r="AG283" s="492"/>
      <c r="AH283" s="492"/>
      <c r="AI283" s="492"/>
      <c r="AJ283" s="492">
        <f t="shared" si="68"/>
        <v>0</v>
      </c>
      <c r="AK283" s="492" t="s">
        <v>442</v>
      </c>
    </row>
    <row r="284" spans="1:37">
      <c r="A284" s="492">
        <f t="shared" si="69"/>
        <v>266</v>
      </c>
      <c r="B284" s="492">
        <f t="shared" si="73"/>
        <v>10</v>
      </c>
      <c r="C284" s="492">
        <f t="shared" si="73"/>
        <v>3</v>
      </c>
      <c r="D284" s="492">
        <f t="shared" si="73"/>
        <v>2</v>
      </c>
      <c r="E284" s="492">
        <f t="shared" si="61"/>
        <v>2</v>
      </c>
      <c r="F284" s="499" t="s">
        <v>645</v>
      </c>
      <c r="G284" s="499" t="str">
        <f t="shared" si="62"/>
        <v>1_60 to 1_69 gpm</v>
      </c>
      <c r="H284" s="492" t="str">
        <f t="shared" si="63"/>
        <v>Mail-by-Request</v>
      </c>
      <c r="I284" s="492" t="str">
        <f t="shared" si="63"/>
        <v>1_75</v>
      </c>
      <c r="J284" s="492" t="str">
        <f t="shared" si="63"/>
        <v>Gas Water Heating</v>
      </c>
      <c r="K284" s="492" t="str">
        <f t="shared" si="64"/>
        <v>Commercial Showerhead Replacement_Fitness Center_precondition 1_60 to 1_69 gpm_efficient 1_75 gpm_Mail-by-Request_Gas Water Heating</v>
      </c>
      <c r="L284" s="493">
        <f>INDEX(InstallRatesCostAndLifetime!$A$2:$D$6,MATCH(InputForProCost_FitnessCenter!H284,InstallRatesCostAndLifetime!$A$2:$A$6,0),MATCH(InputForProCost_FitnessCenter!I284,InstallRatesCostAndLifetime!$A$2:$D$2,0))</f>
        <v>0.6</v>
      </c>
      <c r="M284" s="493">
        <f t="shared" si="65"/>
        <v>0</v>
      </c>
      <c r="N284" s="492"/>
      <c r="O284" s="492" t="str">
        <f t="shared" si="66"/>
        <v>Fitness Center1_60 to 1_69 gpm1_75</v>
      </c>
      <c r="P284" s="494">
        <f>VLOOKUP($O284,Impacts!$F$27:$Z$59,16,FALSE)</f>
        <v>-948.0807740338023</v>
      </c>
      <c r="Q284" s="494">
        <f>VLOOKUP($O284,Impacts!$F$27:$Z$59,17,FALSE)*L284</f>
        <v>-18.057742594386376</v>
      </c>
      <c r="R284" s="495">
        <f>VLOOKUP($O284,Impacts!$F$27:$Z$59,19,FALSE)*L284</f>
        <v>-25.368441189163853</v>
      </c>
      <c r="S284" s="496">
        <f>VLOOKUP($O284,Impacts!$F$27:$Z$59,20,FALSE)*L284</f>
        <v>-3413.5619271051751</v>
      </c>
      <c r="T284" s="497">
        <f>VLOOKUP($O284,Impacts!$F$27:$Z$59,21,FALSE)*L284</f>
        <v>-44.931636042817701</v>
      </c>
      <c r="U284" s="492"/>
      <c r="V284" s="492" t="str">
        <f t="shared" si="67"/>
        <v>Commercial Showerhead Replacement_Fitness Center_precondition 1_60 to 1_69 gpm_efficient 1_75 gpm_Mail-by-Request_Gas Water Heating</v>
      </c>
      <c r="W284" s="492" t="s">
        <v>440</v>
      </c>
      <c r="X284" s="494">
        <f t="shared" si="70"/>
        <v>0</v>
      </c>
      <c r="Y284" s="492">
        <v>10</v>
      </c>
      <c r="Z284" s="498">
        <f t="shared" si="71"/>
        <v>8.1096944444444432</v>
      </c>
      <c r="AA284" s="492"/>
      <c r="AB284" s="499" t="s">
        <v>441</v>
      </c>
      <c r="AC284" s="497">
        <f t="shared" si="72"/>
        <v>-44.931636042817701</v>
      </c>
      <c r="AD284" s="492"/>
      <c r="AE284" s="492"/>
      <c r="AF284" s="492"/>
      <c r="AG284" s="492"/>
      <c r="AH284" s="492"/>
      <c r="AI284" s="492"/>
      <c r="AJ284" s="492">
        <f t="shared" si="68"/>
        <v>0</v>
      </c>
      <c r="AK284" s="492" t="s">
        <v>442</v>
      </c>
    </row>
    <row r="285" spans="1:37">
      <c r="A285" s="492">
        <f t="shared" si="69"/>
        <v>267</v>
      </c>
      <c r="B285" s="492">
        <f t="shared" si="73"/>
        <v>10</v>
      </c>
      <c r="C285" s="492">
        <f t="shared" si="73"/>
        <v>3</v>
      </c>
      <c r="D285" s="492">
        <f t="shared" si="73"/>
        <v>2</v>
      </c>
      <c r="E285" s="492">
        <f t="shared" si="61"/>
        <v>3</v>
      </c>
      <c r="F285" s="499" t="s">
        <v>645</v>
      </c>
      <c r="G285" s="499" t="str">
        <f t="shared" si="62"/>
        <v>1_60 to 1_69 gpm</v>
      </c>
      <c r="H285" s="492" t="str">
        <f t="shared" si="63"/>
        <v>Mail-by-Request</v>
      </c>
      <c r="I285" s="492" t="str">
        <f t="shared" si="63"/>
        <v>1_75</v>
      </c>
      <c r="J285" s="492" t="str">
        <f t="shared" si="63"/>
        <v>Any Water Heating</v>
      </c>
      <c r="K285" s="492" t="str">
        <f t="shared" si="64"/>
        <v>Commercial Showerhead Replacement_Fitness Center_precondition 1_60 to 1_69 gpm_efficient 1_75 gpm_Mail-by-Request_Any Water Heating</v>
      </c>
      <c r="L285" s="493">
        <f>INDEX(InstallRatesCostAndLifetime!$A$2:$D$6,MATCH(InputForProCost_FitnessCenter!H285,InstallRatesCostAndLifetime!$A$2:$A$6,0),MATCH(InputForProCost_FitnessCenter!I285,InstallRatesCostAndLifetime!$A$2:$D$2,0))</f>
        <v>0.6</v>
      </c>
      <c r="M285" s="493">
        <f t="shared" si="65"/>
        <v>0.31666666666666665</v>
      </c>
      <c r="N285" s="492"/>
      <c r="O285" s="492" t="str">
        <f t="shared" si="66"/>
        <v>Fitness Center1_60 to 1_69 gpm1_75</v>
      </c>
      <c r="P285" s="494">
        <f>VLOOKUP($O285,Impacts!$F$27:$Z$59,16,FALSE)</f>
        <v>-948.0807740338023</v>
      </c>
      <c r="Q285" s="494">
        <f>VLOOKUP($O285,Impacts!$F$27:$Z$59,17,FALSE)*L285</f>
        <v>-18.057742594386376</v>
      </c>
      <c r="R285" s="495">
        <f>VLOOKUP($O285,Impacts!$F$27:$Z$59,19,FALSE)*L285</f>
        <v>-25.368441189163853</v>
      </c>
      <c r="S285" s="496">
        <f>VLOOKUP($O285,Impacts!$F$27:$Z$59,20,FALSE)*L285</f>
        <v>-3413.5619271051751</v>
      </c>
      <c r="T285" s="497">
        <f>VLOOKUP($O285,Impacts!$F$27:$Z$59,21,FALSE)*L285</f>
        <v>-44.931636042817701</v>
      </c>
      <c r="U285" s="492"/>
      <c r="V285" s="492" t="str">
        <f t="shared" si="67"/>
        <v>Commercial Showerhead Replacement_Fitness Center_precondition 1_60 to 1_69 gpm_efficient 1_75 gpm_Mail-by-Request_Any Water Heating</v>
      </c>
      <c r="W285" s="492" t="s">
        <v>440</v>
      </c>
      <c r="X285" s="494">
        <f t="shared" si="70"/>
        <v>-180.13534706642241</v>
      </c>
      <c r="Y285" s="492">
        <v>10</v>
      </c>
      <c r="Z285" s="498">
        <f t="shared" si="71"/>
        <v>8.1096944444444432</v>
      </c>
      <c r="AA285" s="492"/>
      <c r="AB285" s="499" t="s">
        <v>441</v>
      </c>
      <c r="AC285" s="497">
        <f t="shared" si="72"/>
        <v>-44.931636042817701</v>
      </c>
      <c r="AD285" s="492"/>
      <c r="AE285" s="492"/>
      <c r="AF285" s="492"/>
      <c r="AG285" s="492"/>
      <c r="AH285" s="492"/>
      <c r="AI285" s="492"/>
      <c r="AJ285" s="492">
        <f t="shared" si="68"/>
        <v>0</v>
      </c>
      <c r="AK285" s="492" t="s">
        <v>442</v>
      </c>
    </row>
    <row r="286" spans="1:37">
      <c r="A286" s="492">
        <f t="shared" si="69"/>
        <v>268</v>
      </c>
      <c r="B286" s="492">
        <f t="shared" si="73"/>
        <v>10</v>
      </c>
      <c r="C286" s="492">
        <f t="shared" si="73"/>
        <v>3</v>
      </c>
      <c r="D286" s="492">
        <f t="shared" si="73"/>
        <v>3</v>
      </c>
      <c r="E286" s="492">
        <f t="shared" si="61"/>
        <v>1</v>
      </c>
      <c r="F286" s="499" t="s">
        <v>645</v>
      </c>
      <c r="G286" s="499" t="str">
        <f t="shared" si="62"/>
        <v>1_60 to 1_69 gpm</v>
      </c>
      <c r="H286" s="492" t="str">
        <f t="shared" si="63"/>
        <v>Mail-by-Request</v>
      </c>
      <c r="I286" s="492" t="str">
        <f t="shared" si="63"/>
        <v>1_50</v>
      </c>
      <c r="J286" s="492" t="str">
        <f t="shared" si="63"/>
        <v>Electric Water Heating</v>
      </c>
      <c r="K286" s="492" t="str">
        <f t="shared" si="64"/>
        <v>Commercial Showerhead Replacement_Fitness Center_precondition 1_60 to 1_69 gpm_efficient 1_50 gpm_Mail-by-Request_Electric Water Heating</v>
      </c>
      <c r="L286" s="493">
        <f>INDEX(InstallRatesCostAndLifetime!$A$2:$D$6,MATCH(InputForProCost_FitnessCenter!H286,InstallRatesCostAndLifetime!$A$2:$A$6,0),MATCH(InputForProCost_FitnessCenter!I286,InstallRatesCostAndLifetime!$A$2:$D$2,0))</f>
        <v>0.6</v>
      </c>
      <c r="M286" s="493">
        <f t="shared" si="65"/>
        <v>1</v>
      </c>
      <c r="N286" s="492"/>
      <c r="O286" s="492" t="str">
        <f t="shared" si="66"/>
        <v>Fitness Center1_60 to 1_69 gpm1_50</v>
      </c>
      <c r="P286" s="494">
        <f>VLOOKUP($O286,Impacts!$F$27:$Z$59,16,FALSE)</f>
        <v>851.25330011553524</v>
      </c>
      <c r="Q286" s="494">
        <f>VLOOKUP($O286,Impacts!$F$27:$Z$59,17,FALSE)*L286</f>
        <v>27.086613891579262</v>
      </c>
      <c r="R286" s="495">
        <f>VLOOKUP($O286,Impacts!$F$27:$Z$59,19,FALSE)*L286</f>
        <v>22.777562706163167</v>
      </c>
      <c r="S286" s="496">
        <f>VLOOKUP($O286,Impacts!$F$27:$Z$59,20,FALSE)*L286</f>
        <v>5120.3428906577055</v>
      </c>
      <c r="T286" s="497">
        <f>VLOOKUP($O286,Impacts!$F$27:$Z$59,21,FALSE)*L286</f>
        <v>67.397454064225812</v>
      </c>
      <c r="U286" s="492"/>
      <c r="V286" s="492" t="str">
        <f t="shared" si="67"/>
        <v>Commercial Showerhead Replacement_Fitness Center_precondition 1_60 to 1_69 gpm_efficient 1_50 gpm_Mail-by-Request_Electric Water Heating</v>
      </c>
      <c r="W286" s="492" t="s">
        <v>440</v>
      </c>
      <c r="X286" s="494">
        <f t="shared" si="70"/>
        <v>510.75198006932112</v>
      </c>
      <c r="Y286" s="492">
        <v>10</v>
      </c>
      <c r="Z286" s="498">
        <f t="shared" si="71"/>
        <v>8.1096944444444432</v>
      </c>
      <c r="AA286" s="492"/>
      <c r="AB286" s="499" t="s">
        <v>441</v>
      </c>
      <c r="AC286" s="497">
        <f t="shared" si="72"/>
        <v>67.397454064225812</v>
      </c>
      <c r="AD286" s="492"/>
      <c r="AE286" s="492"/>
      <c r="AF286" s="492"/>
      <c r="AG286" s="492"/>
      <c r="AH286" s="492"/>
      <c r="AI286" s="492"/>
      <c r="AJ286" s="492">
        <f t="shared" si="68"/>
        <v>0</v>
      </c>
      <c r="AK286" s="492" t="s">
        <v>442</v>
      </c>
    </row>
    <row r="287" spans="1:37">
      <c r="A287" s="492">
        <f t="shared" si="69"/>
        <v>269</v>
      </c>
      <c r="B287" s="492">
        <f t="shared" si="73"/>
        <v>10</v>
      </c>
      <c r="C287" s="492">
        <f t="shared" si="73"/>
        <v>3</v>
      </c>
      <c r="D287" s="492">
        <f t="shared" si="73"/>
        <v>3</v>
      </c>
      <c r="E287" s="492">
        <f t="shared" si="61"/>
        <v>2</v>
      </c>
      <c r="F287" s="499" t="s">
        <v>645</v>
      </c>
      <c r="G287" s="499" t="str">
        <f t="shared" si="62"/>
        <v>1_60 to 1_69 gpm</v>
      </c>
      <c r="H287" s="492" t="str">
        <f t="shared" si="63"/>
        <v>Mail-by-Request</v>
      </c>
      <c r="I287" s="492" t="str">
        <f t="shared" si="63"/>
        <v>1_50</v>
      </c>
      <c r="J287" s="492" t="str">
        <f t="shared" si="63"/>
        <v>Gas Water Heating</v>
      </c>
      <c r="K287" s="492" t="str">
        <f t="shared" si="64"/>
        <v>Commercial Showerhead Replacement_Fitness Center_precondition 1_60 to 1_69 gpm_efficient 1_50 gpm_Mail-by-Request_Gas Water Heating</v>
      </c>
      <c r="L287" s="493">
        <f>INDEX(InstallRatesCostAndLifetime!$A$2:$D$6,MATCH(InputForProCost_FitnessCenter!H287,InstallRatesCostAndLifetime!$A$2:$A$6,0),MATCH(InputForProCost_FitnessCenter!I287,InstallRatesCostAndLifetime!$A$2:$D$2,0))</f>
        <v>0.6</v>
      </c>
      <c r="M287" s="493">
        <f t="shared" si="65"/>
        <v>0</v>
      </c>
      <c r="N287" s="492"/>
      <c r="O287" s="492" t="str">
        <f t="shared" si="66"/>
        <v>Fitness Center1_60 to 1_69 gpm1_50</v>
      </c>
      <c r="P287" s="494">
        <f>VLOOKUP($O287,Impacts!$F$27:$Z$59,16,FALSE)</f>
        <v>851.25330011553524</v>
      </c>
      <c r="Q287" s="494">
        <f>VLOOKUP($O287,Impacts!$F$27:$Z$59,17,FALSE)*L287</f>
        <v>27.086613891579262</v>
      </c>
      <c r="R287" s="495">
        <f>VLOOKUP($O287,Impacts!$F$27:$Z$59,19,FALSE)*L287</f>
        <v>22.777562706163167</v>
      </c>
      <c r="S287" s="496">
        <f>VLOOKUP($O287,Impacts!$F$27:$Z$59,20,FALSE)*L287</f>
        <v>5120.3428906577055</v>
      </c>
      <c r="T287" s="497">
        <f>VLOOKUP($O287,Impacts!$F$27:$Z$59,21,FALSE)*L287</f>
        <v>67.397454064225812</v>
      </c>
      <c r="U287" s="492"/>
      <c r="V287" s="492" t="str">
        <f t="shared" si="67"/>
        <v>Commercial Showerhead Replacement_Fitness Center_precondition 1_60 to 1_69 gpm_efficient 1_50 gpm_Mail-by-Request_Gas Water Heating</v>
      </c>
      <c r="W287" s="492" t="s">
        <v>440</v>
      </c>
      <c r="X287" s="494">
        <f t="shared" si="70"/>
        <v>0</v>
      </c>
      <c r="Y287" s="492">
        <v>10</v>
      </c>
      <c r="Z287" s="498">
        <f t="shared" si="71"/>
        <v>8.1096944444444432</v>
      </c>
      <c r="AA287" s="492"/>
      <c r="AB287" s="499" t="s">
        <v>441</v>
      </c>
      <c r="AC287" s="497">
        <f t="shared" si="72"/>
        <v>67.397454064225812</v>
      </c>
      <c r="AD287" s="492"/>
      <c r="AE287" s="492"/>
      <c r="AF287" s="492"/>
      <c r="AG287" s="492"/>
      <c r="AH287" s="492"/>
      <c r="AI287" s="492"/>
      <c r="AJ287" s="492">
        <f t="shared" si="68"/>
        <v>22.777562706163167</v>
      </c>
      <c r="AK287" s="492" t="s">
        <v>442</v>
      </c>
    </row>
    <row r="288" spans="1:37">
      <c r="A288" s="492">
        <f t="shared" si="69"/>
        <v>270</v>
      </c>
      <c r="B288" s="492">
        <f t="shared" si="73"/>
        <v>10</v>
      </c>
      <c r="C288" s="492">
        <f t="shared" si="73"/>
        <v>3</v>
      </c>
      <c r="D288" s="492">
        <f t="shared" si="73"/>
        <v>3</v>
      </c>
      <c r="E288" s="492">
        <f t="shared" si="61"/>
        <v>3</v>
      </c>
      <c r="F288" s="499" t="s">
        <v>645</v>
      </c>
      <c r="G288" s="499" t="str">
        <f t="shared" si="62"/>
        <v>1_60 to 1_69 gpm</v>
      </c>
      <c r="H288" s="492" t="str">
        <f t="shared" si="63"/>
        <v>Mail-by-Request</v>
      </c>
      <c r="I288" s="492" t="str">
        <f t="shared" si="63"/>
        <v>1_50</v>
      </c>
      <c r="J288" s="492" t="str">
        <f t="shared" si="63"/>
        <v>Any Water Heating</v>
      </c>
      <c r="K288" s="492" t="str">
        <f t="shared" si="64"/>
        <v>Commercial Showerhead Replacement_Fitness Center_precondition 1_60 to 1_69 gpm_efficient 1_50 gpm_Mail-by-Request_Any Water Heating</v>
      </c>
      <c r="L288" s="493">
        <f>INDEX(InstallRatesCostAndLifetime!$A$2:$D$6,MATCH(InputForProCost_FitnessCenter!H288,InstallRatesCostAndLifetime!$A$2:$A$6,0),MATCH(InputForProCost_FitnessCenter!I288,InstallRatesCostAndLifetime!$A$2:$D$2,0))</f>
        <v>0.6</v>
      </c>
      <c r="M288" s="493">
        <f t="shared" si="65"/>
        <v>0.31666666666666665</v>
      </c>
      <c r="N288" s="492"/>
      <c r="O288" s="492" t="str">
        <f t="shared" si="66"/>
        <v>Fitness Center1_60 to 1_69 gpm1_50</v>
      </c>
      <c r="P288" s="494">
        <f>VLOOKUP($O288,Impacts!$F$27:$Z$59,16,FALSE)</f>
        <v>851.25330011553524</v>
      </c>
      <c r="Q288" s="494">
        <f>VLOOKUP($O288,Impacts!$F$27:$Z$59,17,FALSE)*L288</f>
        <v>27.086613891579262</v>
      </c>
      <c r="R288" s="495">
        <f>VLOOKUP($O288,Impacts!$F$27:$Z$59,19,FALSE)*L288</f>
        <v>22.777562706163167</v>
      </c>
      <c r="S288" s="496">
        <f>VLOOKUP($O288,Impacts!$F$27:$Z$59,20,FALSE)*L288</f>
        <v>5120.3428906577055</v>
      </c>
      <c r="T288" s="497">
        <f>VLOOKUP($O288,Impacts!$F$27:$Z$59,21,FALSE)*L288</f>
        <v>67.397454064225812</v>
      </c>
      <c r="U288" s="492"/>
      <c r="V288" s="492" t="str">
        <f t="shared" si="67"/>
        <v>Commercial Showerhead Replacement_Fitness Center_precondition 1_60 to 1_69 gpm_efficient 1_50 gpm_Mail-by-Request_Any Water Heating</v>
      </c>
      <c r="W288" s="492" t="s">
        <v>440</v>
      </c>
      <c r="X288" s="494">
        <f t="shared" si="70"/>
        <v>161.7381270219517</v>
      </c>
      <c r="Y288" s="492">
        <v>10</v>
      </c>
      <c r="Z288" s="498">
        <f t="shared" si="71"/>
        <v>8.1096944444444432</v>
      </c>
      <c r="AA288" s="492"/>
      <c r="AB288" s="499" t="s">
        <v>441</v>
      </c>
      <c r="AC288" s="497">
        <f t="shared" si="72"/>
        <v>67.397454064225812</v>
      </c>
      <c r="AD288" s="492"/>
      <c r="AE288" s="492"/>
      <c r="AF288" s="492"/>
      <c r="AG288" s="492"/>
      <c r="AH288" s="492"/>
      <c r="AI288" s="492"/>
      <c r="AJ288" s="492">
        <f t="shared" si="68"/>
        <v>15.564667849211498</v>
      </c>
      <c r="AK288" s="492" t="s">
        <v>442</v>
      </c>
    </row>
    <row r="289" spans="1:37">
      <c r="A289" s="492">
        <f t="shared" si="69"/>
        <v>271</v>
      </c>
      <c r="B289" s="492">
        <f t="shared" si="73"/>
        <v>11</v>
      </c>
      <c r="C289" s="492">
        <f t="shared" si="73"/>
        <v>1</v>
      </c>
      <c r="D289" s="492">
        <f t="shared" si="73"/>
        <v>1</v>
      </c>
      <c r="E289" s="492">
        <f t="shared" si="61"/>
        <v>1</v>
      </c>
      <c r="F289" s="499" t="s">
        <v>645</v>
      </c>
      <c r="G289" s="499" t="str">
        <f t="shared" si="62"/>
        <v>1_50 to 1_59 gpm</v>
      </c>
      <c r="H289" s="492" t="str">
        <f t="shared" si="63"/>
        <v>Retail</v>
      </c>
      <c r="I289" s="492" t="str">
        <f t="shared" si="63"/>
        <v>2_00</v>
      </c>
      <c r="J289" s="492" t="str">
        <f t="shared" si="63"/>
        <v>Electric Water Heating</v>
      </c>
      <c r="K289" s="492" t="str">
        <f t="shared" si="64"/>
        <v>Commercial Showerhead Replacement_Fitness Center_precondition 1_50 to 1_59 gpm_efficient 2_00 gpm_Retail_Electric Water Heating</v>
      </c>
      <c r="L289" s="493">
        <f>INDEX(InstallRatesCostAndLifetime!$A$2:$D$6,MATCH(InputForProCost_FitnessCenter!H289,InstallRatesCostAndLifetime!$A$2:$A$6,0),MATCH(InputForProCost_FitnessCenter!I289,InstallRatesCostAndLifetime!$A$2:$D$2,0))</f>
        <v>0.8</v>
      </c>
      <c r="M289" s="493">
        <f t="shared" si="65"/>
        <v>1</v>
      </c>
      <c r="N289" s="492"/>
      <c r="O289" s="492" t="str">
        <f t="shared" si="66"/>
        <v>Fitness Center1_50 to 1_59 gpm2_00</v>
      </c>
      <c r="P289" s="494">
        <f>VLOOKUP($O289,Impacts!$F$27:$Z$59,16,FALSE)</f>
        <v>-1906.5174276310463</v>
      </c>
      <c r="Q289" s="494">
        <f>VLOOKUP($O289,Impacts!$F$27:$Z$59,17,FALSE)*L289</f>
        <v>-60.192475314621042</v>
      </c>
      <c r="R289" s="495">
        <f>VLOOKUP($O289,Impacts!$F$27:$Z$59,19,FALSE)*L289</f>
        <v>-68.01864224176289</v>
      </c>
      <c r="S289" s="496">
        <f>VLOOKUP($O289,Impacts!$F$27:$Z$59,20,FALSE)*L289</f>
        <v>-11378.53975701721</v>
      </c>
      <c r="T289" s="497">
        <f>VLOOKUP($O289,Impacts!$F$27:$Z$59,21,FALSE)*L289</f>
        <v>-149.77212014272513</v>
      </c>
      <c r="U289" s="492"/>
      <c r="V289" s="492" t="str">
        <f t="shared" si="67"/>
        <v>Commercial Showerhead Replacement_Fitness Center_precondition 1_50 to 1_59 gpm_efficient 2_00 gpm_Retail_Electric Water Heating</v>
      </c>
      <c r="W289" s="492" t="s">
        <v>440</v>
      </c>
      <c r="X289" s="494">
        <f t="shared" si="70"/>
        <v>-1525.2139421048371</v>
      </c>
      <c r="Y289" s="492">
        <v>10</v>
      </c>
      <c r="Z289" s="498">
        <f t="shared" si="71"/>
        <v>3.2966774171383419</v>
      </c>
      <c r="AA289" s="492"/>
      <c r="AB289" s="499" t="s">
        <v>441</v>
      </c>
      <c r="AC289" s="497">
        <f t="shared" si="72"/>
        <v>-149.77212014272513</v>
      </c>
      <c r="AD289" s="492"/>
      <c r="AE289" s="492"/>
      <c r="AF289" s="492"/>
      <c r="AG289" s="492"/>
      <c r="AH289" s="492"/>
      <c r="AI289" s="492"/>
      <c r="AJ289" s="492">
        <f t="shared" si="68"/>
        <v>0</v>
      </c>
      <c r="AK289" s="492" t="s">
        <v>442</v>
      </c>
    </row>
    <row r="290" spans="1:37">
      <c r="A290" s="492">
        <f t="shared" si="69"/>
        <v>272</v>
      </c>
      <c r="B290" s="492">
        <f t="shared" si="73"/>
        <v>11</v>
      </c>
      <c r="C290" s="492">
        <f t="shared" si="73"/>
        <v>1</v>
      </c>
      <c r="D290" s="492">
        <f t="shared" si="73"/>
        <v>1</v>
      </c>
      <c r="E290" s="492">
        <f t="shared" si="61"/>
        <v>2</v>
      </c>
      <c r="F290" s="499" t="s">
        <v>645</v>
      </c>
      <c r="G290" s="499" t="str">
        <f t="shared" si="62"/>
        <v>1_50 to 1_59 gpm</v>
      </c>
      <c r="H290" s="492" t="str">
        <f t="shared" si="63"/>
        <v>Retail</v>
      </c>
      <c r="I290" s="492" t="str">
        <f t="shared" si="63"/>
        <v>2_00</v>
      </c>
      <c r="J290" s="492" t="str">
        <f t="shared" si="63"/>
        <v>Gas Water Heating</v>
      </c>
      <c r="K290" s="492" t="str">
        <f t="shared" si="64"/>
        <v>Commercial Showerhead Replacement_Fitness Center_precondition 1_50 to 1_59 gpm_efficient 2_00 gpm_Retail_Gas Water Heating</v>
      </c>
      <c r="L290" s="493">
        <f>INDEX(InstallRatesCostAndLifetime!$A$2:$D$6,MATCH(InputForProCost_FitnessCenter!H290,InstallRatesCostAndLifetime!$A$2:$A$6,0),MATCH(InputForProCost_FitnessCenter!I290,InstallRatesCostAndLifetime!$A$2:$D$2,0))</f>
        <v>0.8</v>
      </c>
      <c r="M290" s="493">
        <f t="shared" si="65"/>
        <v>0</v>
      </c>
      <c r="N290" s="492"/>
      <c r="O290" s="492" t="str">
        <f t="shared" si="66"/>
        <v>Fitness Center1_50 to 1_59 gpm2_00</v>
      </c>
      <c r="P290" s="494">
        <f>VLOOKUP($O290,Impacts!$F$27:$Z$59,16,FALSE)</f>
        <v>-1906.5174276310463</v>
      </c>
      <c r="Q290" s="494">
        <f>VLOOKUP($O290,Impacts!$F$27:$Z$59,17,FALSE)*L290</f>
        <v>-60.192475314621042</v>
      </c>
      <c r="R290" s="495">
        <f>VLOOKUP($O290,Impacts!$F$27:$Z$59,19,FALSE)*L290</f>
        <v>-68.01864224176289</v>
      </c>
      <c r="S290" s="496">
        <f>VLOOKUP($O290,Impacts!$F$27:$Z$59,20,FALSE)*L290</f>
        <v>-11378.53975701721</v>
      </c>
      <c r="T290" s="497">
        <f>VLOOKUP($O290,Impacts!$F$27:$Z$59,21,FALSE)*L290</f>
        <v>-149.77212014272513</v>
      </c>
      <c r="U290" s="492"/>
      <c r="V290" s="492" t="str">
        <f t="shared" si="67"/>
        <v>Commercial Showerhead Replacement_Fitness Center_precondition 1_50 to 1_59 gpm_efficient 2_00 gpm_Retail_Gas Water Heating</v>
      </c>
      <c r="W290" s="492" t="s">
        <v>440</v>
      </c>
      <c r="X290" s="494">
        <f t="shared" si="70"/>
        <v>0</v>
      </c>
      <c r="Y290" s="492">
        <v>10</v>
      </c>
      <c r="Z290" s="498">
        <f t="shared" si="71"/>
        <v>3.2966774171383419</v>
      </c>
      <c r="AA290" s="492"/>
      <c r="AB290" s="499" t="s">
        <v>441</v>
      </c>
      <c r="AC290" s="497">
        <f t="shared" si="72"/>
        <v>-149.77212014272513</v>
      </c>
      <c r="AD290" s="492"/>
      <c r="AE290" s="492"/>
      <c r="AF290" s="492"/>
      <c r="AG290" s="492"/>
      <c r="AH290" s="492"/>
      <c r="AI290" s="492"/>
      <c r="AJ290" s="492">
        <f t="shared" si="68"/>
        <v>0</v>
      </c>
      <c r="AK290" s="492" t="s">
        <v>442</v>
      </c>
    </row>
    <row r="291" spans="1:37">
      <c r="A291" s="492">
        <f t="shared" si="69"/>
        <v>273</v>
      </c>
      <c r="B291" s="492">
        <f t="shared" si="73"/>
        <v>11</v>
      </c>
      <c r="C291" s="492">
        <f t="shared" si="73"/>
        <v>1</v>
      </c>
      <c r="D291" s="492">
        <f t="shared" si="73"/>
        <v>1</v>
      </c>
      <c r="E291" s="492">
        <f t="shared" si="61"/>
        <v>3</v>
      </c>
      <c r="F291" s="499" t="s">
        <v>645</v>
      </c>
      <c r="G291" s="499" t="str">
        <f t="shared" si="62"/>
        <v>1_50 to 1_59 gpm</v>
      </c>
      <c r="H291" s="492" t="str">
        <f t="shared" si="63"/>
        <v>Retail</v>
      </c>
      <c r="I291" s="492" t="str">
        <f t="shared" si="63"/>
        <v>2_00</v>
      </c>
      <c r="J291" s="492" t="str">
        <f t="shared" si="63"/>
        <v>Any Water Heating</v>
      </c>
      <c r="K291" s="492" t="str">
        <f t="shared" si="64"/>
        <v>Commercial Showerhead Replacement_Fitness Center_precondition 1_50 to 1_59 gpm_efficient 2_00 gpm_Retail_Any Water Heating</v>
      </c>
      <c r="L291" s="493">
        <f>INDEX(InstallRatesCostAndLifetime!$A$2:$D$6,MATCH(InputForProCost_FitnessCenter!H291,InstallRatesCostAndLifetime!$A$2:$A$6,0),MATCH(InputForProCost_FitnessCenter!I291,InstallRatesCostAndLifetime!$A$2:$D$2,0))</f>
        <v>0.8</v>
      </c>
      <c r="M291" s="493">
        <f t="shared" si="65"/>
        <v>0.31666666666666665</v>
      </c>
      <c r="N291" s="492"/>
      <c r="O291" s="492" t="str">
        <f t="shared" si="66"/>
        <v>Fitness Center1_50 to 1_59 gpm2_00</v>
      </c>
      <c r="P291" s="494">
        <f>VLOOKUP($O291,Impacts!$F$27:$Z$59,16,FALSE)</f>
        <v>-1906.5174276310463</v>
      </c>
      <c r="Q291" s="494">
        <f>VLOOKUP($O291,Impacts!$F$27:$Z$59,17,FALSE)*L291</f>
        <v>-60.192475314621042</v>
      </c>
      <c r="R291" s="495">
        <f>VLOOKUP($O291,Impacts!$F$27:$Z$59,19,FALSE)*L291</f>
        <v>-68.01864224176289</v>
      </c>
      <c r="S291" s="496">
        <f>VLOOKUP($O291,Impacts!$F$27:$Z$59,20,FALSE)*L291</f>
        <v>-11378.53975701721</v>
      </c>
      <c r="T291" s="497">
        <f>VLOOKUP($O291,Impacts!$F$27:$Z$59,21,FALSE)*L291</f>
        <v>-149.77212014272513</v>
      </c>
      <c r="U291" s="492"/>
      <c r="V291" s="492" t="str">
        <f t="shared" si="67"/>
        <v>Commercial Showerhead Replacement_Fitness Center_precondition 1_50 to 1_59 gpm_efficient 2_00 gpm_Retail_Any Water Heating</v>
      </c>
      <c r="W291" s="492" t="s">
        <v>440</v>
      </c>
      <c r="X291" s="494">
        <f t="shared" si="70"/>
        <v>-482.98441499986507</v>
      </c>
      <c r="Y291" s="492">
        <v>10</v>
      </c>
      <c r="Z291" s="498">
        <f t="shared" si="71"/>
        <v>3.2966774171383419</v>
      </c>
      <c r="AA291" s="492"/>
      <c r="AB291" s="499" t="s">
        <v>441</v>
      </c>
      <c r="AC291" s="497">
        <f t="shared" si="72"/>
        <v>-149.77212014272513</v>
      </c>
      <c r="AD291" s="492"/>
      <c r="AE291" s="492"/>
      <c r="AF291" s="492"/>
      <c r="AG291" s="492"/>
      <c r="AH291" s="492"/>
      <c r="AI291" s="492"/>
      <c r="AJ291" s="492">
        <f t="shared" si="68"/>
        <v>0</v>
      </c>
      <c r="AK291" s="492" t="s">
        <v>442</v>
      </c>
    </row>
    <row r="292" spans="1:37">
      <c r="A292" s="492">
        <f t="shared" si="69"/>
        <v>274</v>
      </c>
      <c r="B292" s="492">
        <f t="shared" si="73"/>
        <v>11</v>
      </c>
      <c r="C292" s="492">
        <f t="shared" si="73"/>
        <v>1</v>
      </c>
      <c r="D292" s="492">
        <f t="shared" si="73"/>
        <v>2</v>
      </c>
      <c r="E292" s="492">
        <f t="shared" si="61"/>
        <v>1</v>
      </c>
      <c r="F292" s="499" t="s">
        <v>645</v>
      </c>
      <c r="G292" s="499" t="str">
        <f t="shared" si="62"/>
        <v>1_50 to 1_59 gpm</v>
      </c>
      <c r="H292" s="492" t="str">
        <f t="shared" si="63"/>
        <v>Retail</v>
      </c>
      <c r="I292" s="492" t="str">
        <f t="shared" si="63"/>
        <v>1_75</v>
      </c>
      <c r="J292" s="492" t="str">
        <f t="shared" si="63"/>
        <v>Electric Water Heating</v>
      </c>
      <c r="K292" s="492" t="str">
        <f t="shared" si="64"/>
        <v>Commercial Showerhead Replacement_Fitness Center_precondition 1_50 to 1_59 gpm_efficient 1_75 gpm_Retail_Electric Water Heating</v>
      </c>
      <c r="L292" s="493">
        <f>INDEX(InstallRatesCostAndLifetime!$A$2:$D$6,MATCH(InputForProCost_FitnessCenter!H292,InstallRatesCostAndLifetime!$A$2:$A$6,0),MATCH(InputForProCost_FitnessCenter!I292,InstallRatesCostAndLifetime!$A$2:$D$2,0))</f>
        <v>0.75</v>
      </c>
      <c r="M292" s="493">
        <f t="shared" si="65"/>
        <v>1</v>
      </c>
      <c r="N292" s="492"/>
      <c r="O292" s="492" t="str">
        <f t="shared" si="66"/>
        <v>Fitness Center1_50 to 1_59 gpm1_75</v>
      </c>
      <c r="P292" s="494">
        <f>VLOOKUP($O292,Impacts!$F$27:$Z$59,16,FALSE)</f>
        <v>-1733.0564449432695</v>
      </c>
      <c r="Q292" s="494">
        <f>VLOOKUP($O292,Impacts!$F$27:$Z$59,17,FALSE)*L292</f>
        <v>-45.144356485965822</v>
      </c>
      <c r="R292" s="495">
        <f>VLOOKUP($O292,Impacts!$F$27:$Z$59,19,FALSE)*L292</f>
        <v>-57.965710445201523</v>
      </c>
      <c r="S292" s="496">
        <f>VLOOKUP($O292,Impacts!$F$27:$Z$59,20,FALSE)*L292</f>
        <v>-8533.9048177629156</v>
      </c>
      <c r="T292" s="497">
        <f>VLOOKUP($O292,Impacts!$F$27:$Z$59,21,FALSE)*L292</f>
        <v>-112.32909010704398</v>
      </c>
      <c r="U292" s="492"/>
      <c r="V292" s="492" t="str">
        <f t="shared" si="67"/>
        <v>Commercial Showerhead Replacement_Fitness Center_precondition 1_50 to 1_59 gpm_efficient 1_75 gpm_Retail_Electric Water Heating</v>
      </c>
      <c r="W292" s="492" t="s">
        <v>440</v>
      </c>
      <c r="X292" s="494">
        <f t="shared" si="70"/>
        <v>-1299.7923337074521</v>
      </c>
      <c r="Y292" s="492">
        <v>10</v>
      </c>
      <c r="Z292" s="498">
        <f t="shared" si="71"/>
        <v>3.2966774171383419</v>
      </c>
      <c r="AA292" s="492"/>
      <c r="AB292" s="499" t="s">
        <v>441</v>
      </c>
      <c r="AC292" s="497">
        <f t="shared" si="72"/>
        <v>-112.32909010704398</v>
      </c>
      <c r="AD292" s="492"/>
      <c r="AE292" s="492"/>
      <c r="AF292" s="492"/>
      <c r="AG292" s="492"/>
      <c r="AH292" s="492"/>
      <c r="AI292" s="492"/>
      <c r="AJ292" s="492">
        <f t="shared" si="68"/>
        <v>0</v>
      </c>
      <c r="AK292" s="492" t="s">
        <v>442</v>
      </c>
    </row>
    <row r="293" spans="1:37">
      <c r="A293" s="492">
        <f t="shared" si="69"/>
        <v>275</v>
      </c>
      <c r="B293" s="492">
        <f t="shared" si="73"/>
        <v>11</v>
      </c>
      <c r="C293" s="492">
        <f t="shared" si="73"/>
        <v>1</v>
      </c>
      <c r="D293" s="492">
        <f t="shared" si="73"/>
        <v>2</v>
      </c>
      <c r="E293" s="492">
        <f t="shared" si="61"/>
        <v>2</v>
      </c>
      <c r="F293" s="499" t="s">
        <v>645</v>
      </c>
      <c r="G293" s="499" t="str">
        <f t="shared" si="62"/>
        <v>1_50 to 1_59 gpm</v>
      </c>
      <c r="H293" s="492" t="str">
        <f t="shared" si="63"/>
        <v>Retail</v>
      </c>
      <c r="I293" s="492" t="str">
        <f t="shared" si="63"/>
        <v>1_75</v>
      </c>
      <c r="J293" s="492" t="str">
        <f t="shared" si="63"/>
        <v>Gas Water Heating</v>
      </c>
      <c r="K293" s="492" t="str">
        <f t="shared" si="64"/>
        <v>Commercial Showerhead Replacement_Fitness Center_precondition 1_50 to 1_59 gpm_efficient 1_75 gpm_Retail_Gas Water Heating</v>
      </c>
      <c r="L293" s="493">
        <f>INDEX(InstallRatesCostAndLifetime!$A$2:$D$6,MATCH(InputForProCost_FitnessCenter!H293,InstallRatesCostAndLifetime!$A$2:$A$6,0),MATCH(InputForProCost_FitnessCenter!I293,InstallRatesCostAndLifetime!$A$2:$D$2,0))</f>
        <v>0.75</v>
      </c>
      <c r="M293" s="493">
        <f t="shared" si="65"/>
        <v>0</v>
      </c>
      <c r="N293" s="492"/>
      <c r="O293" s="492" t="str">
        <f t="shared" si="66"/>
        <v>Fitness Center1_50 to 1_59 gpm1_75</v>
      </c>
      <c r="P293" s="494">
        <f>VLOOKUP($O293,Impacts!$F$27:$Z$59,16,FALSE)</f>
        <v>-1733.0564449432695</v>
      </c>
      <c r="Q293" s="494">
        <f>VLOOKUP($O293,Impacts!$F$27:$Z$59,17,FALSE)*L293</f>
        <v>-45.144356485965822</v>
      </c>
      <c r="R293" s="495">
        <f>VLOOKUP($O293,Impacts!$F$27:$Z$59,19,FALSE)*L293</f>
        <v>-57.965710445201523</v>
      </c>
      <c r="S293" s="496">
        <f>VLOOKUP($O293,Impacts!$F$27:$Z$59,20,FALSE)*L293</f>
        <v>-8533.9048177629156</v>
      </c>
      <c r="T293" s="497">
        <f>VLOOKUP($O293,Impacts!$F$27:$Z$59,21,FALSE)*L293</f>
        <v>-112.32909010704398</v>
      </c>
      <c r="U293" s="492"/>
      <c r="V293" s="492" t="str">
        <f t="shared" si="67"/>
        <v>Commercial Showerhead Replacement_Fitness Center_precondition 1_50 to 1_59 gpm_efficient 1_75 gpm_Retail_Gas Water Heating</v>
      </c>
      <c r="W293" s="492" t="s">
        <v>440</v>
      </c>
      <c r="X293" s="494">
        <f t="shared" si="70"/>
        <v>0</v>
      </c>
      <c r="Y293" s="492">
        <v>10</v>
      </c>
      <c r="Z293" s="498">
        <f t="shared" si="71"/>
        <v>3.2966774171383419</v>
      </c>
      <c r="AA293" s="492"/>
      <c r="AB293" s="499" t="s">
        <v>441</v>
      </c>
      <c r="AC293" s="497">
        <f t="shared" si="72"/>
        <v>-112.32909010704398</v>
      </c>
      <c r="AD293" s="492"/>
      <c r="AE293" s="492"/>
      <c r="AF293" s="492"/>
      <c r="AG293" s="492"/>
      <c r="AH293" s="492"/>
      <c r="AI293" s="492"/>
      <c r="AJ293" s="492">
        <f t="shared" si="68"/>
        <v>0</v>
      </c>
      <c r="AK293" s="492" t="s">
        <v>442</v>
      </c>
    </row>
    <row r="294" spans="1:37">
      <c r="A294" s="492">
        <f t="shared" si="69"/>
        <v>276</v>
      </c>
      <c r="B294" s="492">
        <f t="shared" si="73"/>
        <v>11</v>
      </c>
      <c r="C294" s="492">
        <f t="shared" si="73"/>
        <v>1</v>
      </c>
      <c r="D294" s="492">
        <f t="shared" si="73"/>
        <v>2</v>
      </c>
      <c r="E294" s="492">
        <f t="shared" si="61"/>
        <v>3</v>
      </c>
      <c r="F294" s="499" t="s">
        <v>645</v>
      </c>
      <c r="G294" s="499" t="str">
        <f t="shared" si="62"/>
        <v>1_50 to 1_59 gpm</v>
      </c>
      <c r="H294" s="492" t="str">
        <f t="shared" si="63"/>
        <v>Retail</v>
      </c>
      <c r="I294" s="492" t="str">
        <f t="shared" si="63"/>
        <v>1_75</v>
      </c>
      <c r="J294" s="492" t="str">
        <f t="shared" si="63"/>
        <v>Any Water Heating</v>
      </c>
      <c r="K294" s="492" t="str">
        <f t="shared" si="64"/>
        <v>Commercial Showerhead Replacement_Fitness Center_precondition 1_50 to 1_59 gpm_efficient 1_75 gpm_Retail_Any Water Heating</v>
      </c>
      <c r="L294" s="493">
        <f>INDEX(InstallRatesCostAndLifetime!$A$2:$D$6,MATCH(InputForProCost_FitnessCenter!H294,InstallRatesCostAndLifetime!$A$2:$A$6,0),MATCH(InputForProCost_FitnessCenter!I294,InstallRatesCostAndLifetime!$A$2:$D$2,0))</f>
        <v>0.75</v>
      </c>
      <c r="M294" s="493">
        <f t="shared" si="65"/>
        <v>0.31666666666666665</v>
      </c>
      <c r="N294" s="492"/>
      <c r="O294" s="492" t="str">
        <f t="shared" si="66"/>
        <v>Fitness Center1_50 to 1_59 gpm1_75</v>
      </c>
      <c r="P294" s="494">
        <f>VLOOKUP($O294,Impacts!$F$27:$Z$59,16,FALSE)</f>
        <v>-1733.0564449432695</v>
      </c>
      <c r="Q294" s="494">
        <f>VLOOKUP($O294,Impacts!$F$27:$Z$59,17,FALSE)*L294</f>
        <v>-45.144356485965822</v>
      </c>
      <c r="R294" s="495">
        <f>VLOOKUP($O294,Impacts!$F$27:$Z$59,19,FALSE)*L294</f>
        <v>-57.965710445201523</v>
      </c>
      <c r="S294" s="496">
        <f>VLOOKUP($O294,Impacts!$F$27:$Z$59,20,FALSE)*L294</f>
        <v>-8533.9048177629156</v>
      </c>
      <c r="T294" s="497">
        <f>VLOOKUP($O294,Impacts!$F$27:$Z$59,21,FALSE)*L294</f>
        <v>-112.32909010704398</v>
      </c>
      <c r="U294" s="492"/>
      <c r="V294" s="492" t="str">
        <f t="shared" si="67"/>
        <v>Commercial Showerhead Replacement_Fitness Center_precondition 1_50 to 1_59 gpm_efficient 1_75 gpm_Retail_Any Water Heating</v>
      </c>
      <c r="W294" s="492" t="s">
        <v>440</v>
      </c>
      <c r="X294" s="494">
        <f t="shared" si="70"/>
        <v>-411.60090567402654</v>
      </c>
      <c r="Y294" s="492">
        <v>10</v>
      </c>
      <c r="Z294" s="498">
        <f t="shared" si="71"/>
        <v>3.2966774171383419</v>
      </c>
      <c r="AA294" s="492"/>
      <c r="AB294" s="499" t="s">
        <v>441</v>
      </c>
      <c r="AC294" s="497">
        <f t="shared" si="72"/>
        <v>-112.32909010704398</v>
      </c>
      <c r="AD294" s="492"/>
      <c r="AE294" s="492"/>
      <c r="AF294" s="492"/>
      <c r="AG294" s="492"/>
      <c r="AH294" s="492"/>
      <c r="AI294" s="492"/>
      <c r="AJ294" s="492">
        <f t="shared" si="68"/>
        <v>0</v>
      </c>
      <c r="AK294" s="492" t="s">
        <v>442</v>
      </c>
    </row>
    <row r="295" spans="1:37">
      <c r="A295" s="492">
        <f t="shared" si="69"/>
        <v>277</v>
      </c>
      <c r="B295" s="492">
        <f t="shared" si="73"/>
        <v>11</v>
      </c>
      <c r="C295" s="492">
        <f t="shared" si="73"/>
        <v>1</v>
      </c>
      <c r="D295" s="492">
        <f t="shared" si="73"/>
        <v>3</v>
      </c>
      <c r="E295" s="492">
        <f t="shared" si="61"/>
        <v>1</v>
      </c>
      <c r="F295" s="499" t="s">
        <v>645</v>
      </c>
      <c r="G295" s="499" t="str">
        <f t="shared" si="62"/>
        <v>1_50 to 1_59 gpm</v>
      </c>
      <c r="H295" s="492" t="str">
        <f t="shared" si="63"/>
        <v>Retail</v>
      </c>
      <c r="I295" s="492" t="str">
        <f t="shared" si="63"/>
        <v>1_50</v>
      </c>
      <c r="J295" s="492" t="str">
        <f t="shared" si="63"/>
        <v>Electric Water Heating</v>
      </c>
      <c r="K295" s="492" t="str">
        <f t="shared" si="64"/>
        <v>Commercial Showerhead Replacement_Fitness Center_precondition 1_50 to 1_59 gpm_efficient 1_50 gpm_Retail_Electric Water Heating</v>
      </c>
      <c r="L295" s="493">
        <f>INDEX(InstallRatesCostAndLifetime!$A$2:$D$6,MATCH(InputForProCost_FitnessCenter!H295,InstallRatesCostAndLifetime!$A$2:$A$6,0),MATCH(InputForProCost_FitnessCenter!I295,InstallRatesCostAndLifetime!$A$2:$D$2,0))</f>
        <v>0.7</v>
      </c>
      <c r="M295" s="493">
        <f t="shared" si="65"/>
        <v>1</v>
      </c>
      <c r="N295" s="492"/>
      <c r="O295" s="492" t="str">
        <f t="shared" si="66"/>
        <v>Fitness Center1_50 to 1_59 gpm1_50</v>
      </c>
      <c r="P295" s="494">
        <f>VLOOKUP($O295,Impacts!$F$27:$Z$59,16,FALSE)</f>
        <v>66.277629206068013</v>
      </c>
      <c r="Q295" s="494">
        <f>VLOOKUP($O295,Impacts!$F$27:$Z$59,17,FALSE)*L295</f>
        <v>10.533683180058475</v>
      </c>
      <c r="R295" s="495">
        <f>VLOOKUP($O295,Impacts!$F$27:$Z$59,19,FALSE)*L295</f>
        <v>2.0690081290267699</v>
      </c>
      <c r="S295" s="496">
        <f>VLOOKUP($O295,Impacts!$F$27:$Z$59,20,FALSE)*L295</f>
        <v>1991.2444574779727</v>
      </c>
      <c r="T295" s="497">
        <f>VLOOKUP($O295,Impacts!$F$27:$Z$59,21,FALSE)*L295</f>
        <v>26.210121024976388</v>
      </c>
      <c r="U295" s="492"/>
      <c r="V295" s="492" t="str">
        <f t="shared" si="67"/>
        <v>Commercial Showerhead Replacement_Fitness Center_precondition 1_50 to 1_59 gpm_efficient 1_50 gpm_Retail_Electric Water Heating</v>
      </c>
      <c r="W295" s="492" t="s">
        <v>440</v>
      </c>
      <c r="X295" s="494">
        <f t="shared" si="70"/>
        <v>46.394340444247604</v>
      </c>
      <c r="Y295" s="492">
        <v>10</v>
      </c>
      <c r="Z295" s="498">
        <f t="shared" si="71"/>
        <v>3.2966774171383419</v>
      </c>
      <c r="AA295" s="492"/>
      <c r="AB295" s="499" t="s">
        <v>441</v>
      </c>
      <c r="AC295" s="497">
        <f t="shared" si="72"/>
        <v>26.210121024976388</v>
      </c>
      <c r="AD295" s="492"/>
      <c r="AE295" s="492"/>
      <c r="AF295" s="492"/>
      <c r="AG295" s="492"/>
      <c r="AH295" s="492"/>
      <c r="AI295" s="492"/>
      <c r="AJ295" s="492">
        <f t="shared" si="68"/>
        <v>0</v>
      </c>
      <c r="AK295" s="492" t="s">
        <v>442</v>
      </c>
    </row>
    <row r="296" spans="1:37">
      <c r="A296" s="492">
        <f t="shared" si="69"/>
        <v>278</v>
      </c>
      <c r="B296" s="492">
        <f t="shared" si="73"/>
        <v>11</v>
      </c>
      <c r="C296" s="492">
        <f t="shared" si="73"/>
        <v>1</v>
      </c>
      <c r="D296" s="492">
        <f t="shared" si="73"/>
        <v>3</v>
      </c>
      <c r="E296" s="492">
        <f t="shared" si="61"/>
        <v>2</v>
      </c>
      <c r="F296" s="499" t="s">
        <v>645</v>
      </c>
      <c r="G296" s="499" t="str">
        <f t="shared" si="62"/>
        <v>1_50 to 1_59 gpm</v>
      </c>
      <c r="H296" s="492" t="str">
        <f t="shared" si="63"/>
        <v>Retail</v>
      </c>
      <c r="I296" s="492" t="str">
        <f t="shared" si="63"/>
        <v>1_50</v>
      </c>
      <c r="J296" s="492" t="str">
        <f t="shared" si="63"/>
        <v>Gas Water Heating</v>
      </c>
      <c r="K296" s="492" t="str">
        <f t="shared" si="64"/>
        <v>Commercial Showerhead Replacement_Fitness Center_precondition 1_50 to 1_59 gpm_efficient 1_50 gpm_Retail_Gas Water Heating</v>
      </c>
      <c r="L296" s="493">
        <f>INDEX(InstallRatesCostAndLifetime!$A$2:$D$6,MATCH(InputForProCost_FitnessCenter!H296,InstallRatesCostAndLifetime!$A$2:$A$6,0),MATCH(InputForProCost_FitnessCenter!I296,InstallRatesCostAndLifetime!$A$2:$D$2,0))</f>
        <v>0.7</v>
      </c>
      <c r="M296" s="493">
        <f t="shared" si="65"/>
        <v>0</v>
      </c>
      <c r="N296" s="492"/>
      <c r="O296" s="492" t="str">
        <f t="shared" si="66"/>
        <v>Fitness Center1_50 to 1_59 gpm1_50</v>
      </c>
      <c r="P296" s="494">
        <f>VLOOKUP($O296,Impacts!$F$27:$Z$59,16,FALSE)</f>
        <v>66.277629206068013</v>
      </c>
      <c r="Q296" s="494">
        <f>VLOOKUP($O296,Impacts!$F$27:$Z$59,17,FALSE)*L296</f>
        <v>10.533683180058475</v>
      </c>
      <c r="R296" s="495">
        <f>VLOOKUP($O296,Impacts!$F$27:$Z$59,19,FALSE)*L296</f>
        <v>2.0690081290267699</v>
      </c>
      <c r="S296" s="496">
        <f>VLOOKUP($O296,Impacts!$F$27:$Z$59,20,FALSE)*L296</f>
        <v>1991.2444574779727</v>
      </c>
      <c r="T296" s="497">
        <f>VLOOKUP($O296,Impacts!$F$27:$Z$59,21,FALSE)*L296</f>
        <v>26.210121024976388</v>
      </c>
      <c r="U296" s="492"/>
      <c r="V296" s="492" t="str">
        <f t="shared" si="67"/>
        <v>Commercial Showerhead Replacement_Fitness Center_precondition 1_50 to 1_59 gpm_efficient 1_50 gpm_Retail_Gas Water Heating</v>
      </c>
      <c r="W296" s="492" t="s">
        <v>440</v>
      </c>
      <c r="X296" s="494">
        <f t="shared" si="70"/>
        <v>0</v>
      </c>
      <c r="Y296" s="492">
        <v>10</v>
      </c>
      <c r="Z296" s="498">
        <f t="shared" si="71"/>
        <v>3.2966774171383419</v>
      </c>
      <c r="AA296" s="492"/>
      <c r="AB296" s="499" t="s">
        <v>441</v>
      </c>
      <c r="AC296" s="497">
        <f t="shared" si="72"/>
        <v>26.210121024976388</v>
      </c>
      <c r="AD296" s="492"/>
      <c r="AE296" s="492"/>
      <c r="AF296" s="492"/>
      <c r="AG296" s="492"/>
      <c r="AH296" s="492"/>
      <c r="AI296" s="492"/>
      <c r="AJ296" s="492">
        <f t="shared" si="68"/>
        <v>2.0690081290267699</v>
      </c>
      <c r="AK296" s="492" t="s">
        <v>442</v>
      </c>
    </row>
    <row r="297" spans="1:37">
      <c r="A297" s="492">
        <f t="shared" si="69"/>
        <v>279</v>
      </c>
      <c r="B297" s="492">
        <f t="shared" si="73"/>
        <v>11</v>
      </c>
      <c r="C297" s="492">
        <f t="shared" si="73"/>
        <v>1</v>
      </c>
      <c r="D297" s="492">
        <f t="shared" si="73"/>
        <v>3</v>
      </c>
      <c r="E297" s="492">
        <f t="shared" si="61"/>
        <v>3</v>
      </c>
      <c r="F297" s="499" t="s">
        <v>645</v>
      </c>
      <c r="G297" s="499" t="str">
        <f t="shared" si="62"/>
        <v>1_50 to 1_59 gpm</v>
      </c>
      <c r="H297" s="492" t="str">
        <f t="shared" si="63"/>
        <v>Retail</v>
      </c>
      <c r="I297" s="492" t="str">
        <f t="shared" si="63"/>
        <v>1_50</v>
      </c>
      <c r="J297" s="492" t="str">
        <f t="shared" si="63"/>
        <v>Any Water Heating</v>
      </c>
      <c r="K297" s="492" t="str">
        <f t="shared" si="64"/>
        <v>Commercial Showerhead Replacement_Fitness Center_precondition 1_50 to 1_59 gpm_efficient 1_50 gpm_Retail_Any Water Heating</v>
      </c>
      <c r="L297" s="493">
        <f>INDEX(InstallRatesCostAndLifetime!$A$2:$D$6,MATCH(InputForProCost_FitnessCenter!H297,InstallRatesCostAndLifetime!$A$2:$A$6,0),MATCH(InputForProCost_FitnessCenter!I297,InstallRatesCostAndLifetime!$A$2:$D$2,0))</f>
        <v>0.7</v>
      </c>
      <c r="M297" s="493">
        <f t="shared" si="65"/>
        <v>0.31666666666666665</v>
      </c>
      <c r="N297" s="492"/>
      <c r="O297" s="492" t="str">
        <f t="shared" si="66"/>
        <v>Fitness Center1_50 to 1_59 gpm1_50</v>
      </c>
      <c r="P297" s="494">
        <f>VLOOKUP($O297,Impacts!$F$27:$Z$59,16,FALSE)</f>
        <v>66.277629206068013</v>
      </c>
      <c r="Q297" s="494">
        <f>VLOOKUP($O297,Impacts!$F$27:$Z$59,17,FALSE)*L297</f>
        <v>10.533683180058475</v>
      </c>
      <c r="R297" s="495">
        <f>VLOOKUP($O297,Impacts!$F$27:$Z$59,19,FALSE)*L297</f>
        <v>2.0690081290267699</v>
      </c>
      <c r="S297" s="496">
        <f>VLOOKUP($O297,Impacts!$F$27:$Z$59,20,FALSE)*L297</f>
        <v>1991.2444574779727</v>
      </c>
      <c r="T297" s="497">
        <f>VLOOKUP($O297,Impacts!$F$27:$Z$59,21,FALSE)*L297</f>
        <v>26.210121024976388</v>
      </c>
      <c r="U297" s="492"/>
      <c r="V297" s="492" t="str">
        <f t="shared" si="67"/>
        <v>Commercial Showerhead Replacement_Fitness Center_precondition 1_50 to 1_59 gpm_efficient 1_50 gpm_Retail_Any Water Heating</v>
      </c>
      <c r="W297" s="492" t="s">
        <v>440</v>
      </c>
      <c r="X297" s="494">
        <f t="shared" si="70"/>
        <v>14.691541140678408</v>
      </c>
      <c r="Y297" s="492">
        <v>10</v>
      </c>
      <c r="Z297" s="498">
        <f t="shared" si="71"/>
        <v>3.2966774171383419</v>
      </c>
      <c r="AA297" s="492"/>
      <c r="AB297" s="499" t="s">
        <v>441</v>
      </c>
      <c r="AC297" s="497">
        <f t="shared" si="72"/>
        <v>26.210121024976388</v>
      </c>
      <c r="AD297" s="492"/>
      <c r="AE297" s="492"/>
      <c r="AF297" s="492"/>
      <c r="AG297" s="492"/>
      <c r="AH297" s="492"/>
      <c r="AI297" s="492"/>
      <c r="AJ297" s="492">
        <f t="shared" si="68"/>
        <v>1.4138222215016261</v>
      </c>
      <c r="AK297" s="492" t="s">
        <v>442</v>
      </c>
    </row>
    <row r="298" spans="1:37">
      <c r="A298" s="492">
        <f t="shared" si="69"/>
        <v>280</v>
      </c>
      <c r="B298" s="492">
        <f t="shared" si="73"/>
        <v>11</v>
      </c>
      <c r="C298" s="492">
        <f t="shared" si="73"/>
        <v>2</v>
      </c>
      <c r="D298" s="492">
        <f t="shared" si="73"/>
        <v>1</v>
      </c>
      <c r="E298" s="492">
        <f t="shared" si="61"/>
        <v>1</v>
      </c>
      <c r="F298" s="499" t="s">
        <v>645</v>
      </c>
      <c r="G298" s="499" t="str">
        <f t="shared" si="62"/>
        <v>1_50 to 1_59 gpm</v>
      </c>
      <c r="H298" s="492" t="str">
        <f t="shared" si="63"/>
        <v>Direct Install</v>
      </c>
      <c r="I298" s="492" t="str">
        <f t="shared" si="63"/>
        <v>2_00</v>
      </c>
      <c r="J298" s="492" t="str">
        <f t="shared" si="63"/>
        <v>Electric Water Heating</v>
      </c>
      <c r="K298" s="492" t="str">
        <f t="shared" si="64"/>
        <v>Commercial Showerhead Replacement_Fitness Center_precondition 1_50 to 1_59 gpm_efficient 2_00 gpm_Direct Install_Electric Water Heating</v>
      </c>
      <c r="L298" s="493">
        <f>INDEX(InstallRatesCostAndLifetime!$A$2:$D$6,MATCH(InputForProCost_FitnessCenter!H298,InstallRatesCostAndLifetime!$A$2:$A$6,0),MATCH(InputForProCost_FitnessCenter!I298,InstallRatesCostAndLifetime!$A$2:$D$2,0))</f>
        <v>0.9</v>
      </c>
      <c r="M298" s="493">
        <f t="shared" si="65"/>
        <v>1</v>
      </c>
      <c r="N298" s="492"/>
      <c r="O298" s="492" t="str">
        <f t="shared" si="66"/>
        <v>Fitness Center1_50 to 1_59 gpm2_00</v>
      </c>
      <c r="P298" s="494">
        <f>VLOOKUP($O298,Impacts!$F$27:$Z$59,16,FALSE)</f>
        <v>-1906.5174276310463</v>
      </c>
      <c r="Q298" s="494">
        <f>VLOOKUP($O298,Impacts!$F$27:$Z$59,17,FALSE)*L298</f>
        <v>-67.716534728948673</v>
      </c>
      <c r="R298" s="495">
        <f>VLOOKUP($O298,Impacts!$F$27:$Z$59,19,FALSE)*L298</f>
        <v>-76.520972521983239</v>
      </c>
      <c r="S298" s="496">
        <f>VLOOKUP($O298,Impacts!$F$27:$Z$59,20,FALSE)*L298</f>
        <v>-12800.857226644361</v>
      </c>
      <c r="T298" s="497">
        <f>VLOOKUP($O298,Impacts!$F$27:$Z$59,21,FALSE)*L298</f>
        <v>-168.49363516056579</v>
      </c>
      <c r="U298" s="492"/>
      <c r="V298" s="492" t="str">
        <f t="shared" si="67"/>
        <v>Commercial Showerhead Replacement_Fitness Center_precondition 1_50 to 1_59 gpm_efficient 2_00 gpm_Direct Install_Electric Water Heating</v>
      </c>
      <c r="W298" s="492" t="s">
        <v>440</v>
      </c>
      <c r="X298" s="494">
        <f t="shared" si="70"/>
        <v>-1715.8656848679418</v>
      </c>
      <c r="Y298" s="492">
        <v>10</v>
      </c>
      <c r="Z298" s="498">
        <f t="shared" si="71"/>
        <v>11.336666666666666</v>
      </c>
      <c r="AA298" s="492"/>
      <c r="AB298" s="499" t="s">
        <v>441</v>
      </c>
      <c r="AC298" s="497">
        <f t="shared" si="72"/>
        <v>-168.49363516056579</v>
      </c>
      <c r="AD298" s="492"/>
      <c r="AE298" s="492"/>
      <c r="AF298" s="492"/>
      <c r="AG298" s="492"/>
      <c r="AH298" s="492"/>
      <c r="AI298" s="492"/>
      <c r="AJ298" s="492">
        <f t="shared" si="68"/>
        <v>0</v>
      </c>
      <c r="AK298" s="492" t="s">
        <v>442</v>
      </c>
    </row>
    <row r="299" spans="1:37">
      <c r="A299" s="492">
        <f t="shared" si="69"/>
        <v>281</v>
      </c>
      <c r="B299" s="492">
        <f t="shared" ref="B299:D315" si="74">CEILING((MOD($A299-1,B$17)+1)/C$17,1)</f>
        <v>11</v>
      </c>
      <c r="C299" s="492">
        <f t="shared" si="74"/>
        <v>2</v>
      </c>
      <c r="D299" s="492">
        <f t="shared" si="74"/>
        <v>1</v>
      </c>
      <c r="E299" s="492">
        <f t="shared" si="61"/>
        <v>2</v>
      </c>
      <c r="F299" s="499" t="s">
        <v>645</v>
      </c>
      <c r="G299" s="499" t="str">
        <f t="shared" si="62"/>
        <v>1_50 to 1_59 gpm</v>
      </c>
      <c r="H299" s="492" t="str">
        <f t="shared" si="63"/>
        <v>Direct Install</v>
      </c>
      <c r="I299" s="492" t="str">
        <f t="shared" si="63"/>
        <v>2_00</v>
      </c>
      <c r="J299" s="492" t="str">
        <f t="shared" si="63"/>
        <v>Gas Water Heating</v>
      </c>
      <c r="K299" s="492" t="str">
        <f t="shared" si="64"/>
        <v>Commercial Showerhead Replacement_Fitness Center_precondition 1_50 to 1_59 gpm_efficient 2_00 gpm_Direct Install_Gas Water Heating</v>
      </c>
      <c r="L299" s="493">
        <f>INDEX(InstallRatesCostAndLifetime!$A$2:$D$6,MATCH(InputForProCost_FitnessCenter!H299,InstallRatesCostAndLifetime!$A$2:$A$6,0),MATCH(InputForProCost_FitnessCenter!I299,InstallRatesCostAndLifetime!$A$2:$D$2,0))</f>
        <v>0.9</v>
      </c>
      <c r="M299" s="493">
        <f t="shared" si="65"/>
        <v>0</v>
      </c>
      <c r="N299" s="492"/>
      <c r="O299" s="492" t="str">
        <f t="shared" si="66"/>
        <v>Fitness Center1_50 to 1_59 gpm2_00</v>
      </c>
      <c r="P299" s="494">
        <f>VLOOKUP($O299,Impacts!$F$27:$Z$59,16,FALSE)</f>
        <v>-1906.5174276310463</v>
      </c>
      <c r="Q299" s="494">
        <f>VLOOKUP($O299,Impacts!$F$27:$Z$59,17,FALSE)*L299</f>
        <v>-67.716534728948673</v>
      </c>
      <c r="R299" s="495">
        <f>VLOOKUP($O299,Impacts!$F$27:$Z$59,19,FALSE)*L299</f>
        <v>-76.520972521983239</v>
      </c>
      <c r="S299" s="496">
        <f>VLOOKUP($O299,Impacts!$F$27:$Z$59,20,FALSE)*L299</f>
        <v>-12800.857226644361</v>
      </c>
      <c r="T299" s="497">
        <f>VLOOKUP($O299,Impacts!$F$27:$Z$59,21,FALSE)*L299</f>
        <v>-168.49363516056579</v>
      </c>
      <c r="U299" s="492"/>
      <c r="V299" s="492" t="str">
        <f t="shared" si="67"/>
        <v>Commercial Showerhead Replacement_Fitness Center_precondition 1_50 to 1_59 gpm_efficient 2_00 gpm_Direct Install_Gas Water Heating</v>
      </c>
      <c r="W299" s="492" t="s">
        <v>440</v>
      </c>
      <c r="X299" s="494">
        <f t="shared" si="70"/>
        <v>0</v>
      </c>
      <c r="Y299" s="492">
        <v>10</v>
      </c>
      <c r="Z299" s="498">
        <f t="shared" si="71"/>
        <v>11.336666666666666</v>
      </c>
      <c r="AA299" s="492"/>
      <c r="AB299" s="499" t="s">
        <v>441</v>
      </c>
      <c r="AC299" s="497">
        <f t="shared" si="72"/>
        <v>-168.49363516056579</v>
      </c>
      <c r="AD299" s="492"/>
      <c r="AE299" s="492"/>
      <c r="AF299" s="492"/>
      <c r="AG299" s="492"/>
      <c r="AH299" s="492"/>
      <c r="AI299" s="492"/>
      <c r="AJ299" s="492">
        <f t="shared" si="68"/>
        <v>0</v>
      </c>
      <c r="AK299" s="492" t="s">
        <v>442</v>
      </c>
    </row>
    <row r="300" spans="1:37">
      <c r="A300" s="492">
        <f t="shared" si="69"/>
        <v>282</v>
      </c>
      <c r="B300" s="492">
        <f t="shared" si="74"/>
        <v>11</v>
      </c>
      <c r="C300" s="492">
        <f t="shared" si="74"/>
        <v>2</v>
      </c>
      <c r="D300" s="492">
        <f t="shared" si="74"/>
        <v>1</v>
      </c>
      <c r="E300" s="492">
        <f t="shared" si="61"/>
        <v>3</v>
      </c>
      <c r="F300" s="499" t="s">
        <v>645</v>
      </c>
      <c r="G300" s="499" t="str">
        <f t="shared" si="62"/>
        <v>1_50 to 1_59 gpm</v>
      </c>
      <c r="H300" s="492" t="str">
        <f t="shared" si="63"/>
        <v>Direct Install</v>
      </c>
      <c r="I300" s="492" t="str">
        <f t="shared" si="63"/>
        <v>2_00</v>
      </c>
      <c r="J300" s="492" t="str">
        <f t="shared" si="63"/>
        <v>Any Water Heating</v>
      </c>
      <c r="K300" s="492" t="str">
        <f t="shared" si="64"/>
        <v>Commercial Showerhead Replacement_Fitness Center_precondition 1_50 to 1_59 gpm_efficient 2_00 gpm_Direct Install_Any Water Heating</v>
      </c>
      <c r="L300" s="493">
        <f>INDEX(InstallRatesCostAndLifetime!$A$2:$D$6,MATCH(InputForProCost_FitnessCenter!H300,InstallRatesCostAndLifetime!$A$2:$A$6,0),MATCH(InputForProCost_FitnessCenter!I300,InstallRatesCostAndLifetime!$A$2:$D$2,0))</f>
        <v>0.9</v>
      </c>
      <c r="M300" s="493">
        <f t="shared" si="65"/>
        <v>0.31666666666666665</v>
      </c>
      <c r="N300" s="492"/>
      <c r="O300" s="492" t="str">
        <f t="shared" si="66"/>
        <v>Fitness Center1_50 to 1_59 gpm2_00</v>
      </c>
      <c r="P300" s="494">
        <f>VLOOKUP($O300,Impacts!$F$27:$Z$59,16,FALSE)</f>
        <v>-1906.5174276310463</v>
      </c>
      <c r="Q300" s="494">
        <f>VLOOKUP($O300,Impacts!$F$27:$Z$59,17,FALSE)*L300</f>
        <v>-67.716534728948673</v>
      </c>
      <c r="R300" s="495">
        <f>VLOOKUP($O300,Impacts!$F$27:$Z$59,19,FALSE)*L300</f>
        <v>-76.520972521983239</v>
      </c>
      <c r="S300" s="496">
        <f>VLOOKUP($O300,Impacts!$F$27:$Z$59,20,FALSE)*L300</f>
        <v>-12800.857226644361</v>
      </c>
      <c r="T300" s="497">
        <f>VLOOKUP($O300,Impacts!$F$27:$Z$59,21,FALSE)*L300</f>
        <v>-168.49363516056579</v>
      </c>
      <c r="U300" s="492"/>
      <c r="V300" s="492" t="str">
        <f t="shared" si="67"/>
        <v>Commercial Showerhead Replacement_Fitness Center_precondition 1_50 to 1_59 gpm_efficient 2_00 gpm_Direct Install_Any Water Heating</v>
      </c>
      <c r="W300" s="492" t="s">
        <v>440</v>
      </c>
      <c r="X300" s="494">
        <f t="shared" si="70"/>
        <v>-543.35746687484811</v>
      </c>
      <c r="Y300" s="492">
        <v>10</v>
      </c>
      <c r="Z300" s="498">
        <f t="shared" si="71"/>
        <v>11.336666666666666</v>
      </c>
      <c r="AA300" s="492"/>
      <c r="AB300" s="499" t="s">
        <v>441</v>
      </c>
      <c r="AC300" s="497">
        <f t="shared" si="72"/>
        <v>-168.49363516056579</v>
      </c>
      <c r="AD300" s="492"/>
      <c r="AE300" s="492"/>
      <c r="AF300" s="492"/>
      <c r="AG300" s="492"/>
      <c r="AH300" s="492"/>
      <c r="AI300" s="492"/>
      <c r="AJ300" s="492">
        <f t="shared" si="68"/>
        <v>0</v>
      </c>
      <c r="AK300" s="492" t="s">
        <v>442</v>
      </c>
    </row>
    <row r="301" spans="1:37">
      <c r="A301" s="492">
        <f t="shared" si="69"/>
        <v>283</v>
      </c>
      <c r="B301" s="492">
        <f t="shared" si="74"/>
        <v>11</v>
      </c>
      <c r="C301" s="492">
        <f t="shared" si="74"/>
        <v>2</v>
      </c>
      <c r="D301" s="492">
        <f t="shared" si="74"/>
        <v>2</v>
      </c>
      <c r="E301" s="492">
        <f t="shared" si="61"/>
        <v>1</v>
      </c>
      <c r="F301" s="499" t="s">
        <v>645</v>
      </c>
      <c r="G301" s="499" t="str">
        <f t="shared" si="62"/>
        <v>1_50 to 1_59 gpm</v>
      </c>
      <c r="H301" s="492" t="str">
        <f t="shared" si="63"/>
        <v>Direct Install</v>
      </c>
      <c r="I301" s="492" t="str">
        <f t="shared" si="63"/>
        <v>1_75</v>
      </c>
      <c r="J301" s="492" t="str">
        <f t="shared" si="63"/>
        <v>Electric Water Heating</v>
      </c>
      <c r="K301" s="492" t="str">
        <f t="shared" si="64"/>
        <v>Commercial Showerhead Replacement_Fitness Center_precondition 1_50 to 1_59 gpm_efficient 1_75 gpm_Direct Install_Electric Water Heating</v>
      </c>
      <c r="L301" s="493">
        <f>INDEX(InstallRatesCostAndLifetime!$A$2:$D$6,MATCH(InputForProCost_FitnessCenter!H301,InstallRatesCostAndLifetime!$A$2:$A$6,0),MATCH(InputForProCost_FitnessCenter!I301,InstallRatesCostAndLifetime!$A$2:$D$2,0))</f>
        <v>0.9</v>
      </c>
      <c r="M301" s="493">
        <f t="shared" si="65"/>
        <v>1</v>
      </c>
      <c r="N301" s="492"/>
      <c r="O301" s="492" t="str">
        <f t="shared" si="66"/>
        <v>Fitness Center1_50 to 1_59 gpm1_75</v>
      </c>
      <c r="P301" s="494">
        <f>VLOOKUP($O301,Impacts!$F$27:$Z$59,16,FALSE)</f>
        <v>-1733.0564449432695</v>
      </c>
      <c r="Q301" s="494">
        <f>VLOOKUP($O301,Impacts!$F$27:$Z$59,17,FALSE)*L301</f>
        <v>-54.173227783158993</v>
      </c>
      <c r="R301" s="495">
        <f>VLOOKUP($O301,Impacts!$F$27:$Z$59,19,FALSE)*L301</f>
        <v>-69.558852534241836</v>
      </c>
      <c r="S301" s="496">
        <f>VLOOKUP($O301,Impacts!$F$27:$Z$59,20,FALSE)*L301</f>
        <v>-10240.685781315498</v>
      </c>
      <c r="T301" s="497">
        <f>VLOOKUP($O301,Impacts!$F$27:$Z$59,21,FALSE)*L301</f>
        <v>-134.79490812845276</v>
      </c>
      <c r="U301" s="492"/>
      <c r="V301" s="492" t="str">
        <f t="shared" si="67"/>
        <v>Commercial Showerhead Replacement_Fitness Center_precondition 1_50 to 1_59 gpm_efficient 1_75 gpm_Direct Install_Electric Water Heating</v>
      </c>
      <c r="W301" s="492" t="s">
        <v>440</v>
      </c>
      <c r="X301" s="494">
        <f t="shared" si="70"/>
        <v>-1559.7508004489425</v>
      </c>
      <c r="Y301" s="492">
        <v>10</v>
      </c>
      <c r="Z301" s="498">
        <f t="shared" si="71"/>
        <v>11.336666666666666</v>
      </c>
      <c r="AA301" s="492"/>
      <c r="AB301" s="499" t="s">
        <v>441</v>
      </c>
      <c r="AC301" s="497">
        <f t="shared" si="72"/>
        <v>-134.79490812845276</v>
      </c>
      <c r="AD301" s="492"/>
      <c r="AE301" s="492"/>
      <c r="AF301" s="492"/>
      <c r="AG301" s="492"/>
      <c r="AH301" s="492"/>
      <c r="AI301" s="492"/>
      <c r="AJ301" s="492">
        <f t="shared" si="68"/>
        <v>0</v>
      </c>
      <c r="AK301" s="492" t="s">
        <v>442</v>
      </c>
    </row>
    <row r="302" spans="1:37">
      <c r="A302" s="492">
        <f t="shared" si="69"/>
        <v>284</v>
      </c>
      <c r="B302" s="492">
        <f t="shared" si="74"/>
        <v>11</v>
      </c>
      <c r="C302" s="492">
        <f t="shared" si="74"/>
        <v>2</v>
      </c>
      <c r="D302" s="492">
        <f t="shared" si="74"/>
        <v>2</v>
      </c>
      <c r="E302" s="492">
        <f t="shared" si="61"/>
        <v>2</v>
      </c>
      <c r="F302" s="499" t="s">
        <v>645</v>
      </c>
      <c r="G302" s="499" t="str">
        <f t="shared" si="62"/>
        <v>1_50 to 1_59 gpm</v>
      </c>
      <c r="H302" s="492" t="str">
        <f t="shared" si="63"/>
        <v>Direct Install</v>
      </c>
      <c r="I302" s="492" t="str">
        <f t="shared" si="63"/>
        <v>1_75</v>
      </c>
      <c r="J302" s="492" t="str">
        <f t="shared" si="63"/>
        <v>Gas Water Heating</v>
      </c>
      <c r="K302" s="492" t="str">
        <f t="shared" si="64"/>
        <v>Commercial Showerhead Replacement_Fitness Center_precondition 1_50 to 1_59 gpm_efficient 1_75 gpm_Direct Install_Gas Water Heating</v>
      </c>
      <c r="L302" s="493">
        <f>INDEX(InstallRatesCostAndLifetime!$A$2:$D$6,MATCH(InputForProCost_FitnessCenter!H302,InstallRatesCostAndLifetime!$A$2:$A$6,0),MATCH(InputForProCost_FitnessCenter!I302,InstallRatesCostAndLifetime!$A$2:$D$2,0))</f>
        <v>0.9</v>
      </c>
      <c r="M302" s="493">
        <f t="shared" si="65"/>
        <v>0</v>
      </c>
      <c r="N302" s="492"/>
      <c r="O302" s="492" t="str">
        <f t="shared" si="66"/>
        <v>Fitness Center1_50 to 1_59 gpm1_75</v>
      </c>
      <c r="P302" s="494">
        <f>VLOOKUP($O302,Impacts!$F$27:$Z$59,16,FALSE)</f>
        <v>-1733.0564449432695</v>
      </c>
      <c r="Q302" s="494">
        <f>VLOOKUP($O302,Impacts!$F$27:$Z$59,17,FALSE)*L302</f>
        <v>-54.173227783158993</v>
      </c>
      <c r="R302" s="495">
        <f>VLOOKUP($O302,Impacts!$F$27:$Z$59,19,FALSE)*L302</f>
        <v>-69.558852534241836</v>
      </c>
      <c r="S302" s="496">
        <f>VLOOKUP($O302,Impacts!$F$27:$Z$59,20,FALSE)*L302</f>
        <v>-10240.685781315498</v>
      </c>
      <c r="T302" s="497">
        <f>VLOOKUP($O302,Impacts!$F$27:$Z$59,21,FALSE)*L302</f>
        <v>-134.79490812845276</v>
      </c>
      <c r="U302" s="492"/>
      <c r="V302" s="492" t="str">
        <f t="shared" si="67"/>
        <v>Commercial Showerhead Replacement_Fitness Center_precondition 1_50 to 1_59 gpm_efficient 1_75 gpm_Direct Install_Gas Water Heating</v>
      </c>
      <c r="W302" s="492" t="s">
        <v>440</v>
      </c>
      <c r="X302" s="494">
        <f t="shared" si="70"/>
        <v>0</v>
      </c>
      <c r="Y302" s="492">
        <v>10</v>
      </c>
      <c r="Z302" s="498">
        <f t="shared" si="71"/>
        <v>11.336666666666666</v>
      </c>
      <c r="AA302" s="492"/>
      <c r="AB302" s="499" t="s">
        <v>441</v>
      </c>
      <c r="AC302" s="497">
        <f t="shared" si="72"/>
        <v>-134.79490812845276</v>
      </c>
      <c r="AD302" s="492"/>
      <c r="AE302" s="492"/>
      <c r="AF302" s="492"/>
      <c r="AG302" s="492"/>
      <c r="AH302" s="492"/>
      <c r="AI302" s="492"/>
      <c r="AJ302" s="492">
        <f t="shared" si="68"/>
        <v>0</v>
      </c>
      <c r="AK302" s="492" t="s">
        <v>442</v>
      </c>
    </row>
    <row r="303" spans="1:37">
      <c r="A303" s="492">
        <f t="shared" si="69"/>
        <v>285</v>
      </c>
      <c r="B303" s="492">
        <f t="shared" si="74"/>
        <v>11</v>
      </c>
      <c r="C303" s="492">
        <f t="shared" si="74"/>
        <v>2</v>
      </c>
      <c r="D303" s="492">
        <f t="shared" si="74"/>
        <v>2</v>
      </c>
      <c r="E303" s="492">
        <f t="shared" si="61"/>
        <v>3</v>
      </c>
      <c r="F303" s="499" t="s">
        <v>645</v>
      </c>
      <c r="G303" s="499" t="str">
        <f t="shared" si="62"/>
        <v>1_50 to 1_59 gpm</v>
      </c>
      <c r="H303" s="492" t="str">
        <f t="shared" si="63"/>
        <v>Direct Install</v>
      </c>
      <c r="I303" s="492" t="str">
        <f t="shared" si="63"/>
        <v>1_75</v>
      </c>
      <c r="J303" s="492" t="str">
        <f t="shared" si="63"/>
        <v>Any Water Heating</v>
      </c>
      <c r="K303" s="492" t="str">
        <f t="shared" si="64"/>
        <v>Commercial Showerhead Replacement_Fitness Center_precondition 1_50 to 1_59 gpm_efficient 1_75 gpm_Direct Install_Any Water Heating</v>
      </c>
      <c r="L303" s="493">
        <f>INDEX(InstallRatesCostAndLifetime!$A$2:$D$6,MATCH(InputForProCost_FitnessCenter!H303,InstallRatesCostAndLifetime!$A$2:$A$6,0),MATCH(InputForProCost_FitnessCenter!I303,InstallRatesCostAndLifetime!$A$2:$D$2,0))</f>
        <v>0.9</v>
      </c>
      <c r="M303" s="493">
        <f t="shared" si="65"/>
        <v>0.31666666666666665</v>
      </c>
      <c r="N303" s="492"/>
      <c r="O303" s="492" t="str">
        <f t="shared" si="66"/>
        <v>Fitness Center1_50 to 1_59 gpm1_75</v>
      </c>
      <c r="P303" s="494">
        <f>VLOOKUP($O303,Impacts!$F$27:$Z$59,16,FALSE)</f>
        <v>-1733.0564449432695</v>
      </c>
      <c r="Q303" s="494">
        <f>VLOOKUP($O303,Impacts!$F$27:$Z$59,17,FALSE)*L303</f>
        <v>-54.173227783158993</v>
      </c>
      <c r="R303" s="495">
        <f>VLOOKUP($O303,Impacts!$F$27:$Z$59,19,FALSE)*L303</f>
        <v>-69.558852534241836</v>
      </c>
      <c r="S303" s="496">
        <f>VLOOKUP($O303,Impacts!$F$27:$Z$59,20,FALSE)*L303</f>
        <v>-10240.685781315498</v>
      </c>
      <c r="T303" s="497">
        <f>VLOOKUP($O303,Impacts!$F$27:$Z$59,21,FALSE)*L303</f>
        <v>-134.79490812845276</v>
      </c>
      <c r="U303" s="492"/>
      <c r="V303" s="492" t="str">
        <f t="shared" si="67"/>
        <v>Commercial Showerhead Replacement_Fitness Center_precondition 1_50 to 1_59 gpm_efficient 1_75 gpm_Direct Install_Any Water Heating</v>
      </c>
      <c r="W303" s="492" t="s">
        <v>440</v>
      </c>
      <c r="X303" s="494">
        <f t="shared" si="70"/>
        <v>-493.92108680883183</v>
      </c>
      <c r="Y303" s="492">
        <v>10</v>
      </c>
      <c r="Z303" s="498">
        <f t="shared" si="71"/>
        <v>11.336666666666666</v>
      </c>
      <c r="AA303" s="492"/>
      <c r="AB303" s="499" t="s">
        <v>441</v>
      </c>
      <c r="AC303" s="497">
        <f t="shared" si="72"/>
        <v>-134.79490812845276</v>
      </c>
      <c r="AD303" s="492"/>
      <c r="AE303" s="492"/>
      <c r="AF303" s="492"/>
      <c r="AG303" s="492"/>
      <c r="AH303" s="492"/>
      <c r="AI303" s="492"/>
      <c r="AJ303" s="492">
        <f t="shared" si="68"/>
        <v>0</v>
      </c>
      <c r="AK303" s="492" t="s">
        <v>442</v>
      </c>
    </row>
    <row r="304" spans="1:37">
      <c r="A304" s="492">
        <f t="shared" si="69"/>
        <v>286</v>
      </c>
      <c r="B304" s="492">
        <f t="shared" si="74"/>
        <v>11</v>
      </c>
      <c r="C304" s="492">
        <f t="shared" si="74"/>
        <v>2</v>
      </c>
      <c r="D304" s="492">
        <f t="shared" si="74"/>
        <v>3</v>
      </c>
      <c r="E304" s="492">
        <f t="shared" si="61"/>
        <v>1</v>
      </c>
      <c r="F304" s="499" t="s">
        <v>645</v>
      </c>
      <c r="G304" s="499" t="str">
        <f t="shared" si="62"/>
        <v>1_50 to 1_59 gpm</v>
      </c>
      <c r="H304" s="492" t="str">
        <f t="shared" si="63"/>
        <v>Direct Install</v>
      </c>
      <c r="I304" s="492" t="str">
        <f t="shared" si="63"/>
        <v>1_50</v>
      </c>
      <c r="J304" s="492" t="str">
        <f t="shared" si="63"/>
        <v>Electric Water Heating</v>
      </c>
      <c r="K304" s="492" t="str">
        <f t="shared" si="64"/>
        <v>Commercial Showerhead Replacement_Fitness Center_precondition 1_50 to 1_59 gpm_efficient 1_50 gpm_Direct Install_Electric Water Heating</v>
      </c>
      <c r="L304" s="493">
        <f>INDEX(InstallRatesCostAndLifetime!$A$2:$D$6,MATCH(InputForProCost_FitnessCenter!H304,InstallRatesCostAndLifetime!$A$2:$A$6,0),MATCH(InputForProCost_FitnessCenter!I304,InstallRatesCostAndLifetime!$A$2:$D$2,0))</f>
        <v>0.9</v>
      </c>
      <c r="M304" s="493">
        <f t="shared" si="65"/>
        <v>1</v>
      </c>
      <c r="N304" s="492"/>
      <c r="O304" s="492" t="str">
        <f t="shared" si="66"/>
        <v>Fitness Center1_50 to 1_59 gpm1_50</v>
      </c>
      <c r="P304" s="494">
        <f>VLOOKUP($O304,Impacts!$F$27:$Z$59,16,FALSE)</f>
        <v>66.277629206068013</v>
      </c>
      <c r="Q304" s="494">
        <f>VLOOKUP($O304,Impacts!$F$27:$Z$59,17,FALSE)*L304</f>
        <v>13.543306945789469</v>
      </c>
      <c r="R304" s="495">
        <f>VLOOKUP($O304,Impacts!$F$27:$Z$59,19,FALSE)*L304</f>
        <v>2.6601533087487041</v>
      </c>
      <c r="S304" s="496">
        <f>VLOOKUP($O304,Impacts!$F$27:$Z$59,20,FALSE)*L304</f>
        <v>2560.1714453288223</v>
      </c>
      <c r="T304" s="497">
        <f>VLOOKUP($O304,Impacts!$F$27:$Z$59,21,FALSE)*L304</f>
        <v>33.698727032112501</v>
      </c>
      <c r="U304" s="492"/>
      <c r="V304" s="492" t="str">
        <f t="shared" si="67"/>
        <v>Commercial Showerhead Replacement_Fitness Center_precondition 1_50 to 1_59 gpm_efficient 1_50 gpm_Direct Install_Electric Water Heating</v>
      </c>
      <c r="W304" s="492" t="s">
        <v>440</v>
      </c>
      <c r="X304" s="494">
        <f t="shared" si="70"/>
        <v>59.649866285461215</v>
      </c>
      <c r="Y304" s="492">
        <v>10</v>
      </c>
      <c r="Z304" s="498">
        <f t="shared" si="71"/>
        <v>11.336666666666666</v>
      </c>
      <c r="AA304" s="492"/>
      <c r="AB304" s="499" t="s">
        <v>441</v>
      </c>
      <c r="AC304" s="497">
        <f t="shared" si="72"/>
        <v>33.698727032112501</v>
      </c>
      <c r="AD304" s="492"/>
      <c r="AE304" s="492"/>
      <c r="AF304" s="492"/>
      <c r="AG304" s="492"/>
      <c r="AH304" s="492"/>
      <c r="AI304" s="492"/>
      <c r="AJ304" s="492">
        <f t="shared" si="68"/>
        <v>0</v>
      </c>
      <c r="AK304" s="492" t="s">
        <v>442</v>
      </c>
    </row>
    <row r="305" spans="1:37">
      <c r="A305" s="492">
        <f t="shared" si="69"/>
        <v>287</v>
      </c>
      <c r="B305" s="492">
        <f t="shared" si="74"/>
        <v>11</v>
      </c>
      <c r="C305" s="492">
        <f t="shared" si="74"/>
        <v>2</v>
      </c>
      <c r="D305" s="492">
        <f t="shared" si="74"/>
        <v>3</v>
      </c>
      <c r="E305" s="492">
        <f t="shared" si="61"/>
        <v>2</v>
      </c>
      <c r="F305" s="499" t="s">
        <v>645</v>
      </c>
      <c r="G305" s="499" t="str">
        <f t="shared" si="62"/>
        <v>1_50 to 1_59 gpm</v>
      </c>
      <c r="H305" s="492" t="str">
        <f t="shared" si="63"/>
        <v>Direct Install</v>
      </c>
      <c r="I305" s="492" t="str">
        <f t="shared" si="63"/>
        <v>1_50</v>
      </c>
      <c r="J305" s="492" t="str">
        <f t="shared" si="63"/>
        <v>Gas Water Heating</v>
      </c>
      <c r="K305" s="492" t="str">
        <f t="shared" si="64"/>
        <v>Commercial Showerhead Replacement_Fitness Center_precondition 1_50 to 1_59 gpm_efficient 1_50 gpm_Direct Install_Gas Water Heating</v>
      </c>
      <c r="L305" s="493">
        <f>INDEX(InstallRatesCostAndLifetime!$A$2:$D$6,MATCH(InputForProCost_FitnessCenter!H305,InstallRatesCostAndLifetime!$A$2:$A$6,0),MATCH(InputForProCost_FitnessCenter!I305,InstallRatesCostAndLifetime!$A$2:$D$2,0))</f>
        <v>0.9</v>
      </c>
      <c r="M305" s="493">
        <f t="shared" si="65"/>
        <v>0</v>
      </c>
      <c r="N305" s="492"/>
      <c r="O305" s="492" t="str">
        <f t="shared" si="66"/>
        <v>Fitness Center1_50 to 1_59 gpm1_50</v>
      </c>
      <c r="P305" s="494">
        <f>VLOOKUP($O305,Impacts!$F$27:$Z$59,16,FALSE)</f>
        <v>66.277629206068013</v>
      </c>
      <c r="Q305" s="494">
        <f>VLOOKUP($O305,Impacts!$F$27:$Z$59,17,FALSE)*L305</f>
        <v>13.543306945789469</v>
      </c>
      <c r="R305" s="495">
        <f>VLOOKUP($O305,Impacts!$F$27:$Z$59,19,FALSE)*L305</f>
        <v>2.6601533087487041</v>
      </c>
      <c r="S305" s="496">
        <f>VLOOKUP($O305,Impacts!$F$27:$Z$59,20,FALSE)*L305</f>
        <v>2560.1714453288223</v>
      </c>
      <c r="T305" s="497">
        <f>VLOOKUP($O305,Impacts!$F$27:$Z$59,21,FALSE)*L305</f>
        <v>33.698727032112501</v>
      </c>
      <c r="U305" s="492"/>
      <c r="V305" s="492" t="str">
        <f t="shared" si="67"/>
        <v>Commercial Showerhead Replacement_Fitness Center_precondition 1_50 to 1_59 gpm_efficient 1_50 gpm_Direct Install_Gas Water Heating</v>
      </c>
      <c r="W305" s="492" t="s">
        <v>440</v>
      </c>
      <c r="X305" s="494">
        <f t="shared" si="70"/>
        <v>0</v>
      </c>
      <c r="Y305" s="492">
        <v>10</v>
      </c>
      <c r="Z305" s="498">
        <f t="shared" si="71"/>
        <v>11.336666666666666</v>
      </c>
      <c r="AA305" s="492"/>
      <c r="AB305" s="499" t="s">
        <v>441</v>
      </c>
      <c r="AC305" s="497">
        <f t="shared" si="72"/>
        <v>33.698727032112501</v>
      </c>
      <c r="AD305" s="492"/>
      <c r="AE305" s="492"/>
      <c r="AF305" s="492"/>
      <c r="AG305" s="492"/>
      <c r="AH305" s="492"/>
      <c r="AI305" s="492"/>
      <c r="AJ305" s="492">
        <f t="shared" si="68"/>
        <v>2.6601533087487041</v>
      </c>
      <c r="AK305" s="492" t="s">
        <v>442</v>
      </c>
    </row>
    <row r="306" spans="1:37">
      <c r="A306" s="492">
        <f t="shared" si="69"/>
        <v>288</v>
      </c>
      <c r="B306" s="492">
        <f t="shared" si="74"/>
        <v>11</v>
      </c>
      <c r="C306" s="492">
        <f t="shared" si="74"/>
        <v>2</v>
      </c>
      <c r="D306" s="492">
        <f t="shared" si="74"/>
        <v>3</v>
      </c>
      <c r="E306" s="492">
        <f t="shared" si="61"/>
        <v>3</v>
      </c>
      <c r="F306" s="499" t="s">
        <v>645</v>
      </c>
      <c r="G306" s="499" t="str">
        <f t="shared" si="62"/>
        <v>1_50 to 1_59 gpm</v>
      </c>
      <c r="H306" s="492" t="str">
        <f t="shared" si="63"/>
        <v>Direct Install</v>
      </c>
      <c r="I306" s="492" t="str">
        <f t="shared" si="63"/>
        <v>1_50</v>
      </c>
      <c r="J306" s="492" t="str">
        <f t="shared" si="63"/>
        <v>Any Water Heating</v>
      </c>
      <c r="K306" s="492" t="str">
        <f t="shared" si="64"/>
        <v>Commercial Showerhead Replacement_Fitness Center_precondition 1_50 to 1_59 gpm_efficient 1_50 gpm_Direct Install_Any Water Heating</v>
      </c>
      <c r="L306" s="493">
        <f>INDEX(InstallRatesCostAndLifetime!$A$2:$D$6,MATCH(InputForProCost_FitnessCenter!H306,InstallRatesCostAndLifetime!$A$2:$A$6,0),MATCH(InputForProCost_FitnessCenter!I306,InstallRatesCostAndLifetime!$A$2:$D$2,0))</f>
        <v>0.9</v>
      </c>
      <c r="M306" s="493">
        <f t="shared" si="65"/>
        <v>0.31666666666666665</v>
      </c>
      <c r="N306" s="492"/>
      <c r="O306" s="492" t="str">
        <f t="shared" si="66"/>
        <v>Fitness Center1_50 to 1_59 gpm1_50</v>
      </c>
      <c r="P306" s="494">
        <f>VLOOKUP($O306,Impacts!$F$27:$Z$59,16,FALSE)</f>
        <v>66.277629206068013</v>
      </c>
      <c r="Q306" s="494">
        <f>VLOOKUP($O306,Impacts!$F$27:$Z$59,17,FALSE)*L306</f>
        <v>13.543306945789469</v>
      </c>
      <c r="R306" s="495">
        <f>VLOOKUP($O306,Impacts!$F$27:$Z$59,19,FALSE)*L306</f>
        <v>2.6601533087487041</v>
      </c>
      <c r="S306" s="496">
        <f>VLOOKUP($O306,Impacts!$F$27:$Z$59,20,FALSE)*L306</f>
        <v>2560.1714453288223</v>
      </c>
      <c r="T306" s="497">
        <f>VLOOKUP($O306,Impacts!$F$27:$Z$59,21,FALSE)*L306</f>
        <v>33.698727032112501</v>
      </c>
      <c r="U306" s="492"/>
      <c r="V306" s="492" t="str">
        <f t="shared" si="67"/>
        <v>Commercial Showerhead Replacement_Fitness Center_precondition 1_50 to 1_59 gpm_efficient 1_50 gpm_Direct Install_Any Water Heating</v>
      </c>
      <c r="W306" s="492" t="s">
        <v>440</v>
      </c>
      <c r="X306" s="494">
        <f t="shared" si="70"/>
        <v>18.889124323729384</v>
      </c>
      <c r="Y306" s="492">
        <v>10</v>
      </c>
      <c r="Z306" s="498">
        <f t="shared" si="71"/>
        <v>11.336666666666666</v>
      </c>
      <c r="AA306" s="492"/>
      <c r="AB306" s="499" t="s">
        <v>441</v>
      </c>
      <c r="AC306" s="497">
        <f t="shared" si="72"/>
        <v>33.698727032112501</v>
      </c>
      <c r="AD306" s="492"/>
      <c r="AE306" s="492"/>
      <c r="AF306" s="492"/>
      <c r="AG306" s="492"/>
      <c r="AH306" s="492"/>
      <c r="AI306" s="492"/>
      <c r="AJ306" s="492">
        <f t="shared" si="68"/>
        <v>1.8177714276449479</v>
      </c>
      <c r="AK306" s="492" t="s">
        <v>442</v>
      </c>
    </row>
    <row r="307" spans="1:37">
      <c r="A307" s="492">
        <f t="shared" si="69"/>
        <v>289</v>
      </c>
      <c r="B307" s="492">
        <f t="shared" si="74"/>
        <v>11</v>
      </c>
      <c r="C307" s="492">
        <f t="shared" si="74"/>
        <v>3</v>
      </c>
      <c r="D307" s="492">
        <f t="shared" si="74"/>
        <v>1</v>
      </c>
      <c r="E307" s="492">
        <f t="shared" si="61"/>
        <v>1</v>
      </c>
      <c r="F307" s="499" t="s">
        <v>645</v>
      </c>
      <c r="G307" s="499" t="str">
        <f t="shared" si="62"/>
        <v>1_50 to 1_59 gpm</v>
      </c>
      <c r="H307" s="492" t="str">
        <f t="shared" si="63"/>
        <v>Mail-by-Request</v>
      </c>
      <c r="I307" s="492" t="str">
        <f t="shared" si="63"/>
        <v>2_00</v>
      </c>
      <c r="J307" s="492" t="str">
        <f t="shared" si="63"/>
        <v>Electric Water Heating</v>
      </c>
      <c r="K307" s="492" t="str">
        <f t="shared" si="64"/>
        <v>Commercial Showerhead Replacement_Fitness Center_precondition 1_50 to 1_59 gpm_efficient 2_00 gpm_Mail-by-Request_Electric Water Heating</v>
      </c>
      <c r="L307" s="493">
        <f>INDEX(InstallRatesCostAndLifetime!$A$2:$D$6,MATCH(InputForProCost_FitnessCenter!H307,InstallRatesCostAndLifetime!$A$2:$A$6,0),MATCH(InputForProCost_FitnessCenter!I307,InstallRatesCostAndLifetime!$A$2:$D$2,0))</f>
        <v>0.6</v>
      </c>
      <c r="M307" s="493">
        <f t="shared" si="65"/>
        <v>1</v>
      </c>
      <c r="N307" s="492"/>
      <c r="O307" s="492" t="str">
        <f t="shared" si="66"/>
        <v>Fitness Center1_50 to 1_59 gpm2_00</v>
      </c>
      <c r="P307" s="494">
        <f>VLOOKUP($O307,Impacts!$F$27:$Z$59,16,FALSE)</f>
        <v>-1906.5174276310463</v>
      </c>
      <c r="Q307" s="494">
        <f>VLOOKUP($O307,Impacts!$F$27:$Z$59,17,FALSE)*L307</f>
        <v>-45.14435648596578</v>
      </c>
      <c r="R307" s="495">
        <f>VLOOKUP($O307,Impacts!$F$27:$Z$59,19,FALSE)*L307</f>
        <v>-51.013981681322157</v>
      </c>
      <c r="S307" s="496">
        <f>VLOOKUP($O307,Impacts!$F$27:$Z$59,20,FALSE)*L307</f>
        <v>-8533.9048177629065</v>
      </c>
      <c r="T307" s="497">
        <f>VLOOKUP($O307,Impacts!$F$27:$Z$59,21,FALSE)*L307</f>
        <v>-112.32909010704385</v>
      </c>
      <c r="U307" s="492"/>
      <c r="V307" s="492" t="str">
        <f t="shared" si="67"/>
        <v>Commercial Showerhead Replacement_Fitness Center_precondition 1_50 to 1_59 gpm_efficient 2_00 gpm_Mail-by-Request_Electric Water Heating</v>
      </c>
      <c r="W307" s="492" t="s">
        <v>440</v>
      </c>
      <c r="X307" s="494">
        <f t="shared" si="70"/>
        <v>-1143.9104565786276</v>
      </c>
      <c r="Y307" s="492">
        <v>10</v>
      </c>
      <c r="Z307" s="498">
        <f t="shared" si="71"/>
        <v>8.1096944444444432</v>
      </c>
      <c r="AA307" s="492"/>
      <c r="AB307" s="499" t="s">
        <v>441</v>
      </c>
      <c r="AC307" s="497">
        <f t="shared" si="72"/>
        <v>-112.32909010704385</v>
      </c>
      <c r="AD307" s="492"/>
      <c r="AE307" s="492"/>
      <c r="AF307" s="492"/>
      <c r="AG307" s="492"/>
      <c r="AH307" s="492"/>
      <c r="AI307" s="492"/>
      <c r="AJ307" s="492">
        <f t="shared" si="68"/>
        <v>0</v>
      </c>
      <c r="AK307" s="492" t="s">
        <v>442</v>
      </c>
    </row>
    <row r="308" spans="1:37">
      <c r="A308" s="492">
        <f t="shared" si="69"/>
        <v>290</v>
      </c>
      <c r="B308" s="492">
        <f t="shared" si="74"/>
        <v>11</v>
      </c>
      <c r="C308" s="492">
        <f t="shared" si="74"/>
        <v>3</v>
      </c>
      <c r="D308" s="492">
        <f t="shared" si="74"/>
        <v>1</v>
      </c>
      <c r="E308" s="492">
        <f t="shared" si="61"/>
        <v>2</v>
      </c>
      <c r="F308" s="499" t="s">
        <v>645</v>
      </c>
      <c r="G308" s="499" t="str">
        <f t="shared" si="62"/>
        <v>1_50 to 1_59 gpm</v>
      </c>
      <c r="H308" s="492" t="str">
        <f t="shared" si="63"/>
        <v>Mail-by-Request</v>
      </c>
      <c r="I308" s="492" t="str">
        <f t="shared" si="63"/>
        <v>2_00</v>
      </c>
      <c r="J308" s="492" t="str">
        <f t="shared" si="63"/>
        <v>Gas Water Heating</v>
      </c>
      <c r="K308" s="492" t="str">
        <f t="shared" si="64"/>
        <v>Commercial Showerhead Replacement_Fitness Center_precondition 1_50 to 1_59 gpm_efficient 2_00 gpm_Mail-by-Request_Gas Water Heating</v>
      </c>
      <c r="L308" s="493">
        <f>INDEX(InstallRatesCostAndLifetime!$A$2:$D$6,MATCH(InputForProCost_FitnessCenter!H308,InstallRatesCostAndLifetime!$A$2:$A$6,0),MATCH(InputForProCost_FitnessCenter!I308,InstallRatesCostAndLifetime!$A$2:$D$2,0))</f>
        <v>0.6</v>
      </c>
      <c r="M308" s="493">
        <f t="shared" si="65"/>
        <v>0</v>
      </c>
      <c r="N308" s="492"/>
      <c r="O308" s="492" t="str">
        <f t="shared" si="66"/>
        <v>Fitness Center1_50 to 1_59 gpm2_00</v>
      </c>
      <c r="P308" s="494">
        <f>VLOOKUP($O308,Impacts!$F$27:$Z$59,16,FALSE)</f>
        <v>-1906.5174276310463</v>
      </c>
      <c r="Q308" s="494">
        <f>VLOOKUP($O308,Impacts!$F$27:$Z$59,17,FALSE)*L308</f>
        <v>-45.14435648596578</v>
      </c>
      <c r="R308" s="495">
        <f>VLOOKUP($O308,Impacts!$F$27:$Z$59,19,FALSE)*L308</f>
        <v>-51.013981681322157</v>
      </c>
      <c r="S308" s="496">
        <f>VLOOKUP($O308,Impacts!$F$27:$Z$59,20,FALSE)*L308</f>
        <v>-8533.9048177629065</v>
      </c>
      <c r="T308" s="497">
        <f>VLOOKUP($O308,Impacts!$F$27:$Z$59,21,FALSE)*L308</f>
        <v>-112.32909010704385</v>
      </c>
      <c r="U308" s="492"/>
      <c r="V308" s="492" t="str">
        <f t="shared" si="67"/>
        <v>Commercial Showerhead Replacement_Fitness Center_precondition 1_50 to 1_59 gpm_efficient 2_00 gpm_Mail-by-Request_Gas Water Heating</v>
      </c>
      <c r="W308" s="492" t="s">
        <v>440</v>
      </c>
      <c r="X308" s="494">
        <f t="shared" si="70"/>
        <v>0</v>
      </c>
      <c r="Y308" s="492">
        <v>10</v>
      </c>
      <c r="Z308" s="498">
        <f t="shared" si="71"/>
        <v>8.1096944444444432</v>
      </c>
      <c r="AA308" s="492"/>
      <c r="AB308" s="499" t="s">
        <v>441</v>
      </c>
      <c r="AC308" s="497">
        <f t="shared" si="72"/>
        <v>-112.32909010704385</v>
      </c>
      <c r="AD308" s="492"/>
      <c r="AE308" s="492"/>
      <c r="AF308" s="492"/>
      <c r="AG308" s="492"/>
      <c r="AH308" s="492"/>
      <c r="AI308" s="492"/>
      <c r="AJ308" s="492">
        <f t="shared" si="68"/>
        <v>0</v>
      </c>
      <c r="AK308" s="492" t="s">
        <v>442</v>
      </c>
    </row>
    <row r="309" spans="1:37">
      <c r="A309" s="492">
        <f t="shared" si="69"/>
        <v>291</v>
      </c>
      <c r="B309" s="492">
        <f t="shared" si="74"/>
        <v>11</v>
      </c>
      <c r="C309" s="492">
        <f t="shared" si="74"/>
        <v>3</v>
      </c>
      <c r="D309" s="492">
        <f t="shared" si="74"/>
        <v>1</v>
      </c>
      <c r="E309" s="492">
        <f t="shared" si="61"/>
        <v>3</v>
      </c>
      <c r="F309" s="499" t="s">
        <v>645</v>
      </c>
      <c r="G309" s="499" t="str">
        <f t="shared" si="62"/>
        <v>1_50 to 1_59 gpm</v>
      </c>
      <c r="H309" s="492" t="str">
        <f t="shared" si="63"/>
        <v>Mail-by-Request</v>
      </c>
      <c r="I309" s="492" t="str">
        <f t="shared" si="63"/>
        <v>2_00</v>
      </c>
      <c r="J309" s="492" t="str">
        <f t="shared" si="63"/>
        <v>Any Water Heating</v>
      </c>
      <c r="K309" s="492" t="str">
        <f t="shared" si="64"/>
        <v>Commercial Showerhead Replacement_Fitness Center_precondition 1_50 to 1_59 gpm_efficient 2_00 gpm_Mail-by-Request_Any Water Heating</v>
      </c>
      <c r="L309" s="493">
        <f>INDEX(InstallRatesCostAndLifetime!$A$2:$D$6,MATCH(InputForProCost_FitnessCenter!H309,InstallRatesCostAndLifetime!$A$2:$A$6,0),MATCH(InputForProCost_FitnessCenter!I309,InstallRatesCostAndLifetime!$A$2:$D$2,0))</f>
        <v>0.6</v>
      </c>
      <c r="M309" s="493">
        <f t="shared" si="65"/>
        <v>0.31666666666666665</v>
      </c>
      <c r="N309" s="492"/>
      <c r="O309" s="492" t="str">
        <f t="shared" si="66"/>
        <v>Fitness Center1_50 to 1_59 gpm2_00</v>
      </c>
      <c r="P309" s="494">
        <f>VLOOKUP($O309,Impacts!$F$27:$Z$59,16,FALSE)</f>
        <v>-1906.5174276310463</v>
      </c>
      <c r="Q309" s="494">
        <f>VLOOKUP($O309,Impacts!$F$27:$Z$59,17,FALSE)*L309</f>
        <v>-45.14435648596578</v>
      </c>
      <c r="R309" s="495">
        <f>VLOOKUP($O309,Impacts!$F$27:$Z$59,19,FALSE)*L309</f>
        <v>-51.013981681322157</v>
      </c>
      <c r="S309" s="496">
        <f>VLOOKUP($O309,Impacts!$F$27:$Z$59,20,FALSE)*L309</f>
        <v>-8533.9048177629065</v>
      </c>
      <c r="T309" s="497">
        <f>VLOOKUP($O309,Impacts!$F$27:$Z$59,21,FALSE)*L309</f>
        <v>-112.32909010704385</v>
      </c>
      <c r="U309" s="492"/>
      <c r="V309" s="492" t="str">
        <f t="shared" si="67"/>
        <v>Commercial Showerhead Replacement_Fitness Center_precondition 1_50 to 1_59 gpm_efficient 2_00 gpm_Mail-by-Request_Any Water Heating</v>
      </c>
      <c r="W309" s="492" t="s">
        <v>440</v>
      </c>
      <c r="X309" s="494">
        <f t="shared" si="70"/>
        <v>-362.23831124989874</v>
      </c>
      <c r="Y309" s="492">
        <v>10</v>
      </c>
      <c r="Z309" s="498">
        <f t="shared" si="71"/>
        <v>8.1096944444444432</v>
      </c>
      <c r="AA309" s="492"/>
      <c r="AB309" s="499" t="s">
        <v>441</v>
      </c>
      <c r="AC309" s="497">
        <f t="shared" si="72"/>
        <v>-112.32909010704385</v>
      </c>
      <c r="AD309" s="492"/>
      <c r="AE309" s="492"/>
      <c r="AF309" s="492"/>
      <c r="AG309" s="492"/>
      <c r="AH309" s="492"/>
      <c r="AI309" s="492"/>
      <c r="AJ309" s="492">
        <f t="shared" si="68"/>
        <v>0</v>
      </c>
      <c r="AK309" s="492" t="s">
        <v>442</v>
      </c>
    </row>
    <row r="310" spans="1:37">
      <c r="A310" s="492">
        <f t="shared" si="69"/>
        <v>292</v>
      </c>
      <c r="B310" s="492">
        <f t="shared" si="74"/>
        <v>11</v>
      </c>
      <c r="C310" s="492">
        <f t="shared" si="74"/>
        <v>3</v>
      </c>
      <c r="D310" s="492">
        <f t="shared" si="74"/>
        <v>2</v>
      </c>
      <c r="E310" s="492">
        <f t="shared" si="61"/>
        <v>1</v>
      </c>
      <c r="F310" s="499" t="s">
        <v>645</v>
      </c>
      <c r="G310" s="499" t="str">
        <f t="shared" si="62"/>
        <v>1_50 to 1_59 gpm</v>
      </c>
      <c r="H310" s="492" t="str">
        <f t="shared" si="63"/>
        <v>Mail-by-Request</v>
      </c>
      <c r="I310" s="492" t="str">
        <f t="shared" si="63"/>
        <v>1_75</v>
      </c>
      <c r="J310" s="492" t="str">
        <f t="shared" si="63"/>
        <v>Electric Water Heating</v>
      </c>
      <c r="K310" s="492" t="str">
        <f t="shared" si="64"/>
        <v>Commercial Showerhead Replacement_Fitness Center_precondition 1_50 to 1_59 gpm_efficient 1_75 gpm_Mail-by-Request_Electric Water Heating</v>
      </c>
      <c r="L310" s="493">
        <f>INDEX(InstallRatesCostAndLifetime!$A$2:$D$6,MATCH(InputForProCost_FitnessCenter!H310,InstallRatesCostAndLifetime!$A$2:$A$6,0),MATCH(InputForProCost_FitnessCenter!I310,InstallRatesCostAndLifetime!$A$2:$D$2,0))</f>
        <v>0.6</v>
      </c>
      <c r="M310" s="493">
        <f t="shared" si="65"/>
        <v>1</v>
      </c>
      <c r="N310" s="492"/>
      <c r="O310" s="492" t="str">
        <f t="shared" si="66"/>
        <v>Fitness Center1_50 to 1_59 gpm1_75</v>
      </c>
      <c r="P310" s="494">
        <f>VLOOKUP($O310,Impacts!$F$27:$Z$59,16,FALSE)</f>
        <v>-1733.0564449432695</v>
      </c>
      <c r="Q310" s="494">
        <f>VLOOKUP($O310,Impacts!$F$27:$Z$59,17,FALSE)*L310</f>
        <v>-36.115485188772659</v>
      </c>
      <c r="R310" s="495">
        <f>VLOOKUP($O310,Impacts!$F$27:$Z$59,19,FALSE)*L310</f>
        <v>-46.372568356161217</v>
      </c>
      <c r="S310" s="496">
        <f>VLOOKUP($O310,Impacts!$F$27:$Z$59,20,FALSE)*L310</f>
        <v>-6827.123854210332</v>
      </c>
      <c r="T310" s="497">
        <f>VLOOKUP($O310,Impacts!$F$27:$Z$59,21,FALSE)*L310</f>
        <v>-89.863272085635174</v>
      </c>
      <c r="U310" s="492"/>
      <c r="V310" s="492" t="str">
        <f t="shared" si="67"/>
        <v>Commercial Showerhead Replacement_Fitness Center_precondition 1_50 to 1_59 gpm_efficient 1_75 gpm_Mail-by-Request_Electric Water Heating</v>
      </c>
      <c r="W310" s="492" t="s">
        <v>440</v>
      </c>
      <c r="X310" s="494">
        <f t="shared" si="70"/>
        <v>-1039.8338669659618</v>
      </c>
      <c r="Y310" s="492">
        <v>10</v>
      </c>
      <c r="Z310" s="498">
        <f t="shared" si="71"/>
        <v>8.1096944444444432</v>
      </c>
      <c r="AA310" s="492"/>
      <c r="AB310" s="499" t="s">
        <v>441</v>
      </c>
      <c r="AC310" s="497">
        <f t="shared" si="72"/>
        <v>-89.863272085635174</v>
      </c>
      <c r="AD310" s="492"/>
      <c r="AE310" s="492"/>
      <c r="AF310" s="492"/>
      <c r="AG310" s="492"/>
      <c r="AH310" s="492"/>
      <c r="AI310" s="492"/>
      <c r="AJ310" s="492">
        <f t="shared" si="68"/>
        <v>0</v>
      </c>
      <c r="AK310" s="492" t="s">
        <v>442</v>
      </c>
    </row>
    <row r="311" spans="1:37">
      <c r="A311" s="492">
        <f t="shared" si="69"/>
        <v>293</v>
      </c>
      <c r="B311" s="492">
        <f t="shared" si="74"/>
        <v>11</v>
      </c>
      <c r="C311" s="492">
        <f t="shared" si="74"/>
        <v>3</v>
      </c>
      <c r="D311" s="492">
        <f t="shared" si="74"/>
        <v>2</v>
      </c>
      <c r="E311" s="492">
        <f t="shared" si="61"/>
        <v>2</v>
      </c>
      <c r="F311" s="499" t="s">
        <v>645</v>
      </c>
      <c r="G311" s="499" t="str">
        <f t="shared" si="62"/>
        <v>1_50 to 1_59 gpm</v>
      </c>
      <c r="H311" s="492" t="str">
        <f t="shared" si="63"/>
        <v>Mail-by-Request</v>
      </c>
      <c r="I311" s="492" t="str">
        <f t="shared" si="63"/>
        <v>1_75</v>
      </c>
      <c r="J311" s="492" t="str">
        <f t="shared" si="63"/>
        <v>Gas Water Heating</v>
      </c>
      <c r="K311" s="492" t="str">
        <f t="shared" si="64"/>
        <v>Commercial Showerhead Replacement_Fitness Center_precondition 1_50 to 1_59 gpm_efficient 1_75 gpm_Mail-by-Request_Gas Water Heating</v>
      </c>
      <c r="L311" s="493">
        <f>INDEX(InstallRatesCostAndLifetime!$A$2:$D$6,MATCH(InputForProCost_FitnessCenter!H311,InstallRatesCostAndLifetime!$A$2:$A$6,0),MATCH(InputForProCost_FitnessCenter!I311,InstallRatesCostAndLifetime!$A$2:$D$2,0))</f>
        <v>0.6</v>
      </c>
      <c r="M311" s="493">
        <f t="shared" si="65"/>
        <v>0</v>
      </c>
      <c r="N311" s="492"/>
      <c r="O311" s="492" t="str">
        <f t="shared" si="66"/>
        <v>Fitness Center1_50 to 1_59 gpm1_75</v>
      </c>
      <c r="P311" s="494">
        <f>VLOOKUP($O311,Impacts!$F$27:$Z$59,16,FALSE)</f>
        <v>-1733.0564449432695</v>
      </c>
      <c r="Q311" s="494">
        <f>VLOOKUP($O311,Impacts!$F$27:$Z$59,17,FALSE)*L311</f>
        <v>-36.115485188772659</v>
      </c>
      <c r="R311" s="495">
        <f>VLOOKUP($O311,Impacts!$F$27:$Z$59,19,FALSE)*L311</f>
        <v>-46.372568356161217</v>
      </c>
      <c r="S311" s="496">
        <f>VLOOKUP($O311,Impacts!$F$27:$Z$59,20,FALSE)*L311</f>
        <v>-6827.123854210332</v>
      </c>
      <c r="T311" s="497">
        <f>VLOOKUP($O311,Impacts!$F$27:$Z$59,21,FALSE)*L311</f>
        <v>-89.863272085635174</v>
      </c>
      <c r="U311" s="492"/>
      <c r="V311" s="492" t="str">
        <f t="shared" si="67"/>
        <v>Commercial Showerhead Replacement_Fitness Center_precondition 1_50 to 1_59 gpm_efficient 1_75 gpm_Mail-by-Request_Gas Water Heating</v>
      </c>
      <c r="W311" s="492" t="s">
        <v>440</v>
      </c>
      <c r="X311" s="494">
        <f t="shared" si="70"/>
        <v>0</v>
      </c>
      <c r="Y311" s="492">
        <v>10</v>
      </c>
      <c r="Z311" s="498">
        <f t="shared" si="71"/>
        <v>8.1096944444444432</v>
      </c>
      <c r="AA311" s="492"/>
      <c r="AB311" s="499" t="s">
        <v>441</v>
      </c>
      <c r="AC311" s="497">
        <f t="shared" si="72"/>
        <v>-89.863272085635174</v>
      </c>
      <c r="AD311" s="492"/>
      <c r="AE311" s="492"/>
      <c r="AF311" s="492"/>
      <c r="AG311" s="492"/>
      <c r="AH311" s="492"/>
      <c r="AI311" s="492"/>
      <c r="AJ311" s="492">
        <f t="shared" si="68"/>
        <v>0</v>
      </c>
      <c r="AK311" s="492" t="s">
        <v>442</v>
      </c>
    </row>
    <row r="312" spans="1:37">
      <c r="A312" s="492">
        <f t="shared" si="69"/>
        <v>294</v>
      </c>
      <c r="B312" s="492">
        <f t="shared" si="74"/>
        <v>11</v>
      </c>
      <c r="C312" s="492">
        <f t="shared" si="74"/>
        <v>3</v>
      </c>
      <c r="D312" s="492">
        <f t="shared" si="74"/>
        <v>2</v>
      </c>
      <c r="E312" s="492">
        <f t="shared" si="61"/>
        <v>3</v>
      </c>
      <c r="F312" s="499" t="s">
        <v>645</v>
      </c>
      <c r="G312" s="499" t="str">
        <f t="shared" si="62"/>
        <v>1_50 to 1_59 gpm</v>
      </c>
      <c r="H312" s="492" t="str">
        <f t="shared" si="63"/>
        <v>Mail-by-Request</v>
      </c>
      <c r="I312" s="492" t="str">
        <f t="shared" si="63"/>
        <v>1_75</v>
      </c>
      <c r="J312" s="492" t="str">
        <f t="shared" si="63"/>
        <v>Any Water Heating</v>
      </c>
      <c r="K312" s="492" t="str">
        <f t="shared" si="64"/>
        <v>Commercial Showerhead Replacement_Fitness Center_precondition 1_50 to 1_59 gpm_efficient 1_75 gpm_Mail-by-Request_Any Water Heating</v>
      </c>
      <c r="L312" s="493">
        <f>INDEX(InstallRatesCostAndLifetime!$A$2:$D$6,MATCH(InputForProCost_FitnessCenter!H312,InstallRatesCostAndLifetime!$A$2:$A$6,0),MATCH(InputForProCost_FitnessCenter!I312,InstallRatesCostAndLifetime!$A$2:$D$2,0))</f>
        <v>0.6</v>
      </c>
      <c r="M312" s="493">
        <f t="shared" si="65"/>
        <v>0.31666666666666665</v>
      </c>
      <c r="N312" s="492"/>
      <c r="O312" s="492" t="str">
        <f t="shared" si="66"/>
        <v>Fitness Center1_50 to 1_59 gpm1_75</v>
      </c>
      <c r="P312" s="494">
        <f>VLOOKUP($O312,Impacts!$F$27:$Z$59,16,FALSE)</f>
        <v>-1733.0564449432695</v>
      </c>
      <c r="Q312" s="494">
        <f>VLOOKUP($O312,Impacts!$F$27:$Z$59,17,FALSE)*L312</f>
        <v>-36.115485188772659</v>
      </c>
      <c r="R312" s="495">
        <f>VLOOKUP($O312,Impacts!$F$27:$Z$59,19,FALSE)*L312</f>
        <v>-46.372568356161217</v>
      </c>
      <c r="S312" s="496">
        <f>VLOOKUP($O312,Impacts!$F$27:$Z$59,20,FALSE)*L312</f>
        <v>-6827.123854210332</v>
      </c>
      <c r="T312" s="497">
        <f>VLOOKUP($O312,Impacts!$F$27:$Z$59,21,FALSE)*L312</f>
        <v>-89.863272085635174</v>
      </c>
      <c r="U312" s="492"/>
      <c r="V312" s="492" t="str">
        <f t="shared" si="67"/>
        <v>Commercial Showerhead Replacement_Fitness Center_precondition 1_50 to 1_59 gpm_efficient 1_75 gpm_Mail-by-Request_Any Water Heating</v>
      </c>
      <c r="W312" s="492" t="s">
        <v>440</v>
      </c>
      <c r="X312" s="494">
        <f t="shared" si="70"/>
        <v>-329.28072453922124</v>
      </c>
      <c r="Y312" s="492">
        <v>10</v>
      </c>
      <c r="Z312" s="498">
        <f t="shared" si="71"/>
        <v>8.1096944444444432</v>
      </c>
      <c r="AA312" s="492"/>
      <c r="AB312" s="499" t="s">
        <v>441</v>
      </c>
      <c r="AC312" s="497">
        <f t="shared" si="72"/>
        <v>-89.863272085635174</v>
      </c>
      <c r="AD312" s="492"/>
      <c r="AE312" s="492"/>
      <c r="AF312" s="492"/>
      <c r="AG312" s="492"/>
      <c r="AH312" s="492"/>
      <c r="AI312" s="492"/>
      <c r="AJ312" s="492">
        <f t="shared" si="68"/>
        <v>0</v>
      </c>
      <c r="AK312" s="492" t="s">
        <v>442</v>
      </c>
    </row>
    <row r="313" spans="1:37">
      <c r="A313" s="492">
        <f t="shared" si="69"/>
        <v>295</v>
      </c>
      <c r="B313" s="492">
        <f t="shared" si="74"/>
        <v>11</v>
      </c>
      <c r="C313" s="492">
        <f t="shared" si="74"/>
        <v>3</v>
      </c>
      <c r="D313" s="492">
        <f t="shared" si="74"/>
        <v>3</v>
      </c>
      <c r="E313" s="492">
        <f t="shared" si="61"/>
        <v>1</v>
      </c>
      <c r="F313" s="499" t="s">
        <v>645</v>
      </c>
      <c r="G313" s="499" t="str">
        <f t="shared" si="62"/>
        <v>1_50 to 1_59 gpm</v>
      </c>
      <c r="H313" s="492" t="str">
        <f t="shared" si="63"/>
        <v>Mail-by-Request</v>
      </c>
      <c r="I313" s="492" t="str">
        <f t="shared" si="63"/>
        <v>1_50</v>
      </c>
      <c r="J313" s="492" t="str">
        <f t="shared" si="63"/>
        <v>Electric Water Heating</v>
      </c>
      <c r="K313" s="492" t="str">
        <f t="shared" si="64"/>
        <v>Commercial Showerhead Replacement_Fitness Center_precondition 1_50 to 1_59 gpm_efficient 1_50 gpm_Mail-by-Request_Electric Water Heating</v>
      </c>
      <c r="L313" s="493">
        <f>INDEX(InstallRatesCostAndLifetime!$A$2:$D$6,MATCH(InputForProCost_FitnessCenter!H313,InstallRatesCostAndLifetime!$A$2:$A$6,0),MATCH(InputForProCost_FitnessCenter!I313,InstallRatesCostAndLifetime!$A$2:$D$2,0))</f>
        <v>0.6</v>
      </c>
      <c r="M313" s="493">
        <f t="shared" si="65"/>
        <v>1</v>
      </c>
      <c r="N313" s="492"/>
      <c r="O313" s="492" t="str">
        <f t="shared" si="66"/>
        <v>Fitness Center1_50 to 1_59 gpm1_50</v>
      </c>
      <c r="P313" s="494">
        <f>VLOOKUP($O313,Impacts!$F$27:$Z$59,16,FALSE)</f>
        <v>66.277629206068013</v>
      </c>
      <c r="Q313" s="494">
        <f>VLOOKUP($O313,Impacts!$F$27:$Z$59,17,FALSE)*L313</f>
        <v>9.0288712971929783</v>
      </c>
      <c r="R313" s="495">
        <f>VLOOKUP($O313,Impacts!$F$27:$Z$59,19,FALSE)*L313</f>
        <v>1.7734355391658028</v>
      </c>
      <c r="S313" s="496">
        <f>VLOOKUP($O313,Impacts!$F$27:$Z$59,20,FALSE)*L313</f>
        <v>1706.7809635525482</v>
      </c>
      <c r="T313" s="497">
        <f>VLOOKUP($O313,Impacts!$F$27:$Z$59,21,FALSE)*L313</f>
        <v>22.465818021408335</v>
      </c>
      <c r="U313" s="492"/>
      <c r="V313" s="492" t="str">
        <f t="shared" si="67"/>
        <v>Commercial Showerhead Replacement_Fitness Center_precondition 1_50 to 1_59 gpm_efficient 1_50 gpm_Mail-by-Request_Electric Water Heating</v>
      </c>
      <c r="W313" s="492" t="s">
        <v>440</v>
      </c>
      <c r="X313" s="494">
        <f t="shared" si="70"/>
        <v>39.766577523640805</v>
      </c>
      <c r="Y313" s="492">
        <v>10</v>
      </c>
      <c r="Z313" s="498">
        <f t="shared" si="71"/>
        <v>8.1096944444444432</v>
      </c>
      <c r="AA313" s="492"/>
      <c r="AB313" s="499" t="s">
        <v>441</v>
      </c>
      <c r="AC313" s="497">
        <f t="shared" si="72"/>
        <v>22.465818021408335</v>
      </c>
      <c r="AD313" s="492"/>
      <c r="AE313" s="492"/>
      <c r="AF313" s="492"/>
      <c r="AG313" s="492"/>
      <c r="AH313" s="492"/>
      <c r="AI313" s="492"/>
      <c r="AJ313" s="492">
        <f t="shared" si="68"/>
        <v>0</v>
      </c>
      <c r="AK313" s="492" t="s">
        <v>442</v>
      </c>
    </row>
    <row r="314" spans="1:37">
      <c r="A314" s="492">
        <f t="shared" si="69"/>
        <v>296</v>
      </c>
      <c r="B314" s="492">
        <f t="shared" si="74"/>
        <v>11</v>
      </c>
      <c r="C314" s="492">
        <f t="shared" si="74"/>
        <v>3</v>
      </c>
      <c r="D314" s="492">
        <f t="shared" si="74"/>
        <v>3</v>
      </c>
      <c r="E314" s="492">
        <f t="shared" si="61"/>
        <v>2</v>
      </c>
      <c r="F314" s="499" t="s">
        <v>645</v>
      </c>
      <c r="G314" s="499" t="str">
        <f t="shared" si="62"/>
        <v>1_50 to 1_59 gpm</v>
      </c>
      <c r="H314" s="492" t="str">
        <f t="shared" si="63"/>
        <v>Mail-by-Request</v>
      </c>
      <c r="I314" s="492" t="str">
        <f t="shared" si="63"/>
        <v>1_50</v>
      </c>
      <c r="J314" s="492" t="str">
        <f t="shared" si="63"/>
        <v>Gas Water Heating</v>
      </c>
      <c r="K314" s="492" t="str">
        <f t="shared" si="64"/>
        <v>Commercial Showerhead Replacement_Fitness Center_precondition 1_50 to 1_59 gpm_efficient 1_50 gpm_Mail-by-Request_Gas Water Heating</v>
      </c>
      <c r="L314" s="493">
        <f>INDEX(InstallRatesCostAndLifetime!$A$2:$D$6,MATCH(InputForProCost_FitnessCenter!H314,InstallRatesCostAndLifetime!$A$2:$A$6,0),MATCH(InputForProCost_FitnessCenter!I314,InstallRatesCostAndLifetime!$A$2:$D$2,0))</f>
        <v>0.6</v>
      </c>
      <c r="M314" s="493">
        <f t="shared" si="65"/>
        <v>0</v>
      </c>
      <c r="N314" s="492"/>
      <c r="O314" s="492" t="str">
        <f t="shared" si="66"/>
        <v>Fitness Center1_50 to 1_59 gpm1_50</v>
      </c>
      <c r="P314" s="494">
        <f>VLOOKUP($O314,Impacts!$F$27:$Z$59,16,FALSE)</f>
        <v>66.277629206068013</v>
      </c>
      <c r="Q314" s="494">
        <f>VLOOKUP($O314,Impacts!$F$27:$Z$59,17,FALSE)*L314</f>
        <v>9.0288712971929783</v>
      </c>
      <c r="R314" s="495">
        <f>VLOOKUP($O314,Impacts!$F$27:$Z$59,19,FALSE)*L314</f>
        <v>1.7734355391658028</v>
      </c>
      <c r="S314" s="496">
        <f>VLOOKUP($O314,Impacts!$F$27:$Z$59,20,FALSE)*L314</f>
        <v>1706.7809635525482</v>
      </c>
      <c r="T314" s="497">
        <f>VLOOKUP($O314,Impacts!$F$27:$Z$59,21,FALSE)*L314</f>
        <v>22.465818021408335</v>
      </c>
      <c r="U314" s="492"/>
      <c r="V314" s="492" t="str">
        <f t="shared" si="67"/>
        <v>Commercial Showerhead Replacement_Fitness Center_precondition 1_50 to 1_59 gpm_efficient 1_50 gpm_Mail-by-Request_Gas Water Heating</v>
      </c>
      <c r="W314" s="492" t="s">
        <v>440</v>
      </c>
      <c r="X314" s="494">
        <f t="shared" si="70"/>
        <v>0</v>
      </c>
      <c r="Y314" s="492">
        <v>10</v>
      </c>
      <c r="Z314" s="498">
        <f t="shared" si="71"/>
        <v>8.1096944444444432</v>
      </c>
      <c r="AA314" s="492"/>
      <c r="AB314" s="499" t="s">
        <v>441</v>
      </c>
      <c r="AC314" s="497">
        <f t="shared" si="72"/>
        <v>22.465818021408335</v>
      </c>
      <c r="AD314" s="492"/>
      <c r="AE314" s="492"/>
      <c r="AF314" s="492"/>
      <c r="AG314" s="492"/>
      <c r="AH314" s="492"/>
      <c r="AI314" s="492"/>
      <c r="AJ314" s="492">
        <f t="shared" si="68"/>
        <v>1.7734355391658028</v>
      </c>
      <c r="AK314" s="492" t="s">
        <v>442</v>
      </c>
    </row>
    <row r="315" spans="1:37">
      <c r="A315" s="492">
        <f t="shared" si="69"/>
        <v>297</v>
      </c>
      <c r="B315" s="492">
        <f t="shared" si="74"/>
        <v>11</v>
      </c>
      <c r="C315" s="492">
        <f t="shared" si="74"/>
        <v>3</v>
      </c>
      <c r="D315" s="492">
        <f t="shared" si="74"/>
        <v>3</v>
      </c>
      <c r="E315" s="492">
        <f t="shared" si="61"/>
        <v>3</v>
      </c>
      <c r="F315" s="499" t="s">
        <v>645</v>
      </c>
      <c r="G315" s="499" t="str">
        <f t="shared" si="62"/>
        <v>1_50 to 1_59 gpm</v>
      </c>
      <c r="H315" s="492" t="str">
        <f t="shared" si="63"/>
        <v>Mail-by-Request</v>
      </c>
      <c r="I315" s="492" t="str">
        <f t="shared" si="63"/>
        <v>1_50</v>
      </c>
      <c r="J315" s="492" t="str">
        <f t="shared" si="63"/>
        <v>Any Water Heating</v>
      </c>
      <c r="K315" s="492" t="str">
        <f t="shared" si="64"/>
        <v>Commercial Showerhead Replacement_Fitness Center_precondition 1_50 to 1_59 gpm_efficient 1_50 gpm_Mail-by-Request_Any Water Heating</v>
      </c>
      <c r="L315" s="493">
        <f>INDEX(InstallRatesCostAndLifetime!$A$2:$D$6,MATCH(InputForProCost_FitnessCenter!H315,InstallRatesCostAndLifetime!$A$2:$A$6,0),MATCH(InputForProCost_FitnessCenter!I315,InstallRatesCostAndLifetime!$A$2:$D$2,0))</f>
        <v>0.6</v>
      </c>
      <c r="M315" s="493">
        <f t="shared" si="65"/>
        <v>0.31666666666666665</v>
      </c>
      <c r="N315" s="492"/>
      <c r="O315" s="492" t="str">
        <f t="shared" si="66"/>
        <v>Fitness Center1_50 to 1_59 gpm1_50</v>
      </c>
      <c r="P315" s="494">
        <f>VLOOKUP($O315,Impacts!$F$27:$Z$59,16,FALSE)</f>
        <v>66.277629206068013</v>
      </c>
      <c r="Q315" s="494">
        <f>VLOOKUP($O315,Impacts!$F$27:$Z$59,17,FALSE)*L315</f>
        <v>9.0288712971929783</v>
      </c>
      <c r="R315" s="495">
        <f>VLOOKUP($O315,Impacts!$F$27:$Z$59,19,FALSE)*L315</f>
        <v>1.7734355391658028</v>
      </c>
      <c r="S315" s="496">
        <f>VLOOKUP($O315,Impacts!$F$27:$Z$59,20,FALSE)*L315</f>
        <v>1706.7809635525482</v>
      </c>
      <c r="T315" s="497">
        <f>VLOOKUP($O315,Impacts!$F$27:$Z$59,21,FALSE)*L315</f>
        <v>22.465818021408335</v>
      </c>
      <c r="U315" s="492"/>
      <c r="V315" s="492" t="str">
        <f t="shared" si="67"/>
        <v>Commercial Showerhead Replacement_Fitness Center_precondition 1_50 to 1_59 gpm_efficient 1_50 gpm_Mail-by-Request_Any Water Heating</v>
      </c>
      <c r="W315" s="492" t="s">
        <v>440</v>
      </c>
      <c r="X315" s="494">
        <f t="shared" si="70"/>
        <v>12.592749549152922</v>
      </c>
      <c r="Y315" s="492">
        <v>10</v>
      </c>
      <c r="Z315" s="498">
        <f t="shared" si="71"/>
        <v>8.1096944444444432</v>
      </c>
      <c r="AA315" s="492"/>
      <c r="AB315" s="499" t="s">
        <v>441</v>
      </c>
      <c r="AC315" s="497">
        <f t="shared" si="72"/>
        <v>22.465818021408335</v>
      </c>
      <c r="AD315" s="492"/>
      <c r="AE315" s="492"/>
      <c r="AF315" s="492"/>
      <c r="AG315" s="492"/>
      <c r="AH315" s="492"/>
      <c r="AI315" s="492"/>
      <c r="AJ315" s="492">
        <f t="shared" si="68"/>
        <v>1.2118476184299654</v>
      </c>
      <c r="AK315" s="492" t="s">
        <v>442</v>
      </c>
    </row>
    <row r="316" spans="1:37">
      <c r="F316" s="500" t="str">
        <f t="shared" ref="F316:J331" si="75">F19</f>
        <v>Fitness Center</v>
      </c>
      <c r="G316" s="500" t="str">
        <f t="shared" si="75"/>
        <v>2_5 gpm or higher</v>
      </c>
      <c r="H316" s="500" t="str">
        <f t="shared" si="75"/>
        <v>Retail</v>
      </c>
      <c r="I316" s="500" t="str">
        <f t="shared" si="75"/>
        <v>2_00</v>
      </c>
      <c r="J316" s="500" t="str">
        <f t="shared" si="75"/>
        <v>Electric Water Heating</v>
      </c>
      <c r="K316" s="500" t="str">
        <f t="shared" ref="K316:K379" si="76">K19 &amp; " - Embedded Water Energy"</f>
        <v>Commercial Showerhead Replacement_Fitness Center_precondition 2_5 gpm or higher_efficient 2_00 gpm_Retail_Electric Water Heating - Embedded Water Energy</v>
      </c>
      <c r="L316" s="500"/>
      <c r="M316" s="501"/>
      <c r="N316" s="500"/>
      <c r="O316" s="500"/>
      <c r="P316" s="500"/>
      <c r="Q316" s="502"/>
      <c r="R316" s="503"/>
      <c r="S316" s="504"/>
      <c r="T316" s="505"/>
      <c r="U316" s="500"/>
      <c r="V316" s="500" t="str">
        <f t="shared" ref="V316:V379" si="77">V19</f>
        <v>Commercial Showerhead Replacement_Fitness Center_precondition 2_5 gpm or higher_efficient 2_00 gpm_Retail_Electric Water Heating</v>
      </c>
      <c r="W316" s="506" t="s">
        <v>604</v>
      </c>
      <c r="X316" s="502">
        <f t="shared" ref="X316:X379" si="78">IF(S19&gt;0,Q19,0)</f>
        <v>168.53893088093841</v>
      </c>
      <c r="Y316" s="500">
        <v>10</v>
      </c>
      <c r="Z316" s="507">
        <v>0</v>
      </c>
      <c r="AA316" s="500"/>
      <c r="AB316" s="506" t="s">
        <v>605</v>
      </c>
      <c r="AC316" s="505">
        <v>0</v>
      </c>
      <c r="AD316" s="500"/>
      <c r="AE316" s="500"/>
      <c r="AF316" s="500"/>
      <c r="AG316" s="500"/>
      <c r="AH316" s="500"/>
      <c r="AI316" s="500"/>
      <c r="AJ316" s="500">
        <v>0</v>
      </c>
      <c r="AK316" s="506" t="s">
        <v>605</v>
      </c>
    </row>
    <row r="317" spans="1:37">
      <c r="F317" s="500" t="str">
        <f t="shared" si="75"/>
        <v>Fitness Center</v>
      </c>
      <c r="G317" s="500" t="str">
        <f t="shared" si="75"/>
        <v>2_5 gpm or higher</v>
      </c>
      <c r="H317" s="500" t="str">
        <f t="shared" si="75"/>
        <v>Retail</v>
      </c>
      <c r="I317" s="500" t="str">
        <f t="shared" si="75"/>
        <v>2_00</v>
      </c>
      <c r="J317" s="500" t="str">
        <f t="shared" si="75"/>
        <v>Gas Water Heating</v>
      </c>
      <c r="K317" s="500" t="str">
        <f t="shared" si="76"/>
        <v>Commercial Showerhead Replacement_Fitness Center_precondition 2_5 gpm or higher_efficient 2_00 gpm_Retail_Gas Water Heating - Embedded Water Energy</v>
      </c>
      <c r="L317" s="500"/>
      <c r="M317" s="501"/>
      <c r="N317" s="500"/>
      <c r="O317" s="500"/>
      <c r="P317" s="500"/>
      <c r="Q317" s="502"/>
      <c r="R317" s="503"/>
      <c r="S317" s="504"/>
      <c r="T317" s="505"/>
      <c r="U317" s="500"/>
      <c r="V317" s="500" t="str">
        <f t="shared" si="77"/>
        <v>Commercial Showerhead Replacement_Fitness Center_precondition 2_5 gpm or higher_efficient 2_00 gpm_Retail_Gas Water Heating</v>
      </c>
      <c r="W317" s="506" t="s">
        <v>604</v>
      </c>
      <c r="X317" s="502">
        <f t="shared" si="78"/>
        <v>168.53893088093841</v>
      </c>
      <c r="Y317" s="500">
        <v>10</v>
      </c>
      <c r="Z317" s="507">
        <v>0</v>
      </c>
      <c r="AA317" s="500"/>
      <c r="AB317" s="506" t="s">
        <v>605</v>
      </c>
      <c r="AC317" s="505">
        <v>0</v>
      </c>
      <c r="AD317" s="500"/>
      <c r="AE317" s="500"/>
      <c r="AF317" s="500"/>
      <c r="AG317" s="500"/>
      <c r="AH317" s="500"/>
      <c r="AI317" s="500"/>
      <c r="AJ317" s="500">
        <v>0</v>
      </c>
      <c r="AK317" s="506" t="s">
        <v>605</v>
      </c>
    </row>
    <row r="318" spans="1:37">
      <c r="F318" s="500" t="str">
        <f t="shared" si="75"/>
        <v>Fitness Center</v>
      </c>
      <c r="G318" s="500" t="str">
        <f t="shared" si="75"/>
        <v>2_5 gpm or higher</v>
      </c>
      <c r="H318" s="500" t="str">
        <f t="shared" si="75"/>
        <v>Retail</v>
      </c>
      <c r="I318" s="500" t="str">
        <f t="shared" si="75"/>
        <v>2_00</v>
      </c>
      <c r="J318" s="500" t="str">
        <f t="shared" si="75"/>
        <v>Any Water Heating</v>
      </c>
      <c r="K318" s="500" t="str">
        <f t="shared" si="76"/>
        <v>Commercial Showerhead Replacement_Fitness Center_precondition 2_5 gpm or higher_efficient 2_00 gpm_Retail_Any Water Heating - Embedded Water Energy</v>
      </c>
      <c r="L318" s="500"/>
      <c r="M318" s="501"/>
      <c r="N318" s="500"/>
      <c r="O318" s="500"/>
      <c r="P318" s="500"/>
      <c r="Q318" s="502"/>
      <c r="R318" s="503"/>
      <c r="S318" s="504"/>
      <c r="T318" s="505"/>
      <c r="U318" s="500"/>
      <c r="V318" s="500" t="str">
        <f t="shared" si="77"/>
        <v>Commercial Showerhead Replacement_Fitness Center_precondition 2_5 gpm or higher_efficient 2_00 gpm_Retail_Any Water Heating</v>
      </c>
      <c r="W318" s="506" t="s">
        <v>604</v>
      </c>
      <c r="X318" s="502">
        <f t="shared" si="78"/>
        <v>168.53893088093841</v>
      </c>
      <c r="Y318" s="500">
        <v>10</v>
      </c>
      <c r="Z318" s="507">
        <v>0</v>
      </c>
      <c r="AA318" s="500"/>
      <c r="AB318" s="506" t="s">
        <v>605</v>
      </c>
      <c r="AC318" s="505">
        <v>0</v>
      </c>
      <c r="AD318" s="500"/>
      <c r="AE318" s="500"/>
      <c r="AF318" s="500"/>
      <c r="AG318" s="500"/>
      <c r="AH318" s="500"/>
      <c r="AI318" s="500"/>
      <c r="AJ318" s="500">
        <v>0</v>
      </c>
      <c r="AK318" s="506" t="s">
        <v>605</v>
      </c>
    </row>
    <row r="319" spans="1:37">
      <c r="F319" s="500" t="str">
        <f t="shared" si="75"/>
        <v>Fitness Center</v>
      </c>
      <c r="G319" s="500" t="str">
        <f t="shared" si="75"/>
        <v>2_5 gpm or higher</v>
      </c>
      <c r="H319" s="500" t="str">
        <f t="shared" si="75"/>
        <v>Retail</v>
      </c>
      <c r="I319" s="500" t="str">
        <f t="shared" si="75"/>
        <v>1_75</v>
      </c>
      <c r="J319" s="500" t="str">
        <f t="shared" si="75"/>
        <v>Electric Water Heating</v>
      </c>
      <c r="K319" s="500" t="str">
        <f t="shared" si="76"/>
        <v>Commercial Showerhead Replacement_Fitness Center_precondition 2_5 gpm or higher_efficient 1_75 gpm_Retail_Electric Water Heating - Embedded Water Energy</v>
      </c>
      <c r="L319" s="500"/>
      <c r="M319" s="501"/>
      <c r="N319" s="500"/>
      <c r="O319" s="500"/>
      <c r="P319" s="500"/>
      <c r="Q319" s="502"/>
      <c r="R319" s="503"/>
      <c r="S319" s="504"/>
      <c r="T319" s="505"/>
      <c r="U319" s="500"/>
      <c r="V319" s="500" t="str">
        <f t="shared" si="77"/>
        <v>Commercial Showerhead Replacement_Fitness Center_precondition 2_5 gpm or higher_efficient 1_75 gpm_Retail_Electric Water Heating</v>
      </c>
      <c r="W319" s="506" t="s">
        <v>604</v>
      </c>
      <c r="X319" s="502">
        <f t="shared" si="78"/>
        <v>169.29133682237114</v>
      </c>
      <c r="Y319" s="500">
        <v>10</v>
      </c>
      <c r="Z319" s="507">
        <v>0</v>
      </c>
      <c r="AA319" s="500"/>
      <c r="AB319" s="506" t="s">
        <v>605</v>
      </c>
      <c r="AC319" s="505">
        <v>0</v>
      </c>
      <c r="AD319" s="500"/>
      <c r="AE319" s="500"/>
      <c r="AF319" s="500"/>
      <c r="AG319" s="500"/>
      <c r="AH319" s="500"/>
      <c r="AI319" s="500"/>
      <c r="AJ319" s="500">
        <v>0</v>
      </c>
      <c r="AK319" s="506" t="s">
        <v>605</v>
      </c>
    </row>
    <row r="320" spans="1:37">
      <c r="F320" s="500" t="str">
        <f t="shared" si="75"/>
        <v>Fitness Center</v>
      </c>
      <c r="G320" s="500" t="str">
        <f t="shared" si="75"/>
        <v>2_5 gpm or higher</v>
      </c>
      <c r="H320" s="500" t="str">
        <f t="shared" si="75"/>
        <v>Retail</v>
      </c>
      <c r="I320" s="500" t="str">
        <f t="shared" si="75"/>
        <v>1_75</v>
      </c>
      <c r="J320" s="500" t="str">
        <f t="shared" si="75"/>
        <v>Gas Water Heating</v>
      </c>
      <c r="K320" s="500" t="str">
        <f t="shared" si="76"/>
        <v>Commercial Showerhead Replacement_Fitness Center_precondition 2_5 gpm or higher_efficient 1_75 gpm_Retail_Gas Water Heating - Embedded Water Energy</v>
      </c>
      <c r="L320" s="500"/>
      <c r="M320" s="501"/>
      <c r="N320" s="500"/>
      <c r="O320" s="500"/>
      <c r="P320" s="500"/>
      <c r="Q320" s="502"/>
      <c r="R320" s="503"/>
      <c r="S320" s="504"/>
      <c r="T320" s="505"/>
      <c r="U320" s="500"/>
      <c r="V320" s="500" t="str">
        <f t="shared" si="77"/>
        <v>Commercial Showerhead Replacement_Fitness Center_precondition 2_5 gpm or higher_efficient 1_75 gpm_Retail_Gas Water Heating</v>
      </c>
      <c r="W320" s="506" t="s">
        <v>604</v>
      </c>
      <c r="X320" s="502">
        <f t="shared" si="78"/>
        <v>169.29133682237114</v>
      </c>
      <c r="Y320" s="500">
        <v>10</v>
      </c>
      <c r="Z320" s="507">
        <v>0</v>
      </c>
      <c r="AA320" s="500"/>
      <c r="AB320" s="506" t="s">
        <v>605</v>
      </c>
      <c r="AC320" s="505">
        <v>0</v>
      </c>
      <c r="AD320" s="500"/>
      <c r="AE320" s="500"/>
      <c r="AF320" s="500"/>
      <c r="AG320" s="500"/>
      <c r="AH320" s="500"/>
      <c r="AI320" s="500"/>
      <c r="AJ320" s="500">
        <v>0</v>
      </c>
      <c r="AK320" s="506" t="s">
        <v>605</v>
      </c>
    </row>
    <row r="321" spans="6:37">
      <c r="F321" s="500" t="str">
        <f t="shared" si="75"/>
        <v>Fitness Center</v>
      </c>
      <c r="G321" s="500" t="str">
        <f t="shared" si="75"/>
        <v>2_5 gpm or higher</v>
      </c>
      <c r="H321" s="500" t="str">
        <f t="shared" si="75"/>
        <v>Retail</v>
      </c>
      <c r="I321" s="500" t="str">
        <f t="shared" si="75"/>
        <v>1_75</v>
      </c>
      <c r="J321" s="500" t="str">
        <f t="shared" si="75"/>
        <v>Any Water Heating</v>
      </c>
      <c r="K321" s="500" t="str">
        <f t="shared" si="76"/>
        <v>Commercial Showerhead Replacement_Fitness Center_precondition 2_5 gpm or higher_efficient 1_75 gpm_Retail_Any Water Heating - Embedded Water Energy</v>
      </c>
      <c r="L321" s="500"/>
      <c r="M321" s="501"/>
      <c r="N321" s="500"/>
      <c r="O321" s="500"/>
      <c r="P321" s="500"/>
      <c r="Q321" s="502"/>
      <c r="R321" s="503"/>
      <c r="S321" s="504"/>
      <c r="T321" s="505"/>
      <c r="U321" s="500"/>
      <c r="V321" s="500" t="str">
        <f t="shared" si="77"/>
        <v>Commercial Showerhead Replacement_Fitness Center_precondition 2_5 gpm or higher_efficient 1_75 gpm_Retail_Any Water Heating</v>
      </c>
      <c r="W321" s="506" t="s">
        <v>604</v>
      </c>
      <c r="X321" s="502">
        <f t="shared" si="78"/>
        <v>169.29133682237114</v>
      </c>
      <c r="Y321" s="500">
        <v>10</v>
      </c>
      <c r="Z321" s="507">
        <v>0</v>
      </c>
      <c r="AA321" s="500"/>
      <c r="AB321" s="506" t="s">
        <v>605</v>
      </c>
      <c r="AC321" s="505">
        <v>0</v>
      </c>
      <c r="AD321" s="500"/>
      <c r="AE321" s="500"/>
      <c r="AF321" s="500"/>
      <c r="AG321" s="500"/>
      <c r="AH321" s="500"/>
      <c r="AI321" s="500"/>
      <c r="AJ321" s="500">
        <v>0</v>
      </c>
      <c r="AK321" s="506" t="s">
        <v>605</v>
      </c>
    </row>
    <row r="322" spans="6:37">
      <c r="F322" s="500" t="str">
        <f t="shared" si="75"/>
        <v>Fitness Center</v>
      </c>
      <c r="G322" s="500" t="str">
        <f t="shared" si="75"/>
        <v>2_5 gpm or higher</v>
      </c>
      <c r="H322" s="500" t="str">
        <f t="shared" si="75"/>
        <v>Retail</v>
      </c>
      <c r="I322" s="500" t="str">
        <f t="shared" si="75"/>
        <v>1_50</v>
      </c>
      <c r="J322" s="500" t="str">
        <f t="shared" si="75"/>
        <v>Electric Water Heating</v>
      </c>
      <c r="K322" s="500" t="str">
        <f t="shared" si="76"/>
        <v>Commercial Showerhead Replacement_Fitness Center_precondition 2_5 gpm or higher_efficient 1_50 gpm_Retail_Electric Water Heating - Embedded Water Energy</v>
      </c>
      <c r="L322" s="500"/>
      <c r="M322" s="501"/>
      <c r="N322" s="500"/>
      <c r="O322" s="500"/>
      <c r="P322" s="500"/>
      <c r="Q322" s="502"/>
      <c r="R322" s="503"/>
      <c r="S322" s="504"/>
      <c r="T322" s="505"/>
      <c r="U322" s="500"/>
      <c r="V322" s="500" t="str">
        <f t="shared" si="77"/>
        <v>Commercial Showerhead Replacement_Fitness Center_precondition 2_5 gpm or higher_efficient 1_50 gpm_Retail_Electric Water Heating</v>
      </c>
      <c r="W322" s="506" t="s">
        <v>604</v>
      </c>
      <c r="X322" s="502">
        <f t="shared" si="78"/>
        <v>210.67366360117293</v>
      </c>
      <c r="Y322" s="500">
        <v>10</v>
      </c>
      <c r="Z322" s="507">
        <v>0</v>
      </c>
      <c r="AA322" s="500"/>
      <c r="AB322" s="506" t="s">
        <v>605</v>
      </c>
      <c r="AC322" s="505">
        <v>0</v>
      </c>
      <c r="AD322" s="500"/>
      <c r="AE322" s="500"/>
      <c r="AF322" s="500"/>
      <c r="AG322" s="500"/>
      <c r="AH322" s="500"/>
      <c r="AI322" s="500"/>
      <c r="AJ322" s="500">
        <v>0</v>
      </c>
      <c r="AK322" s="506" t="s">
        <v>605</v>
      </c>
    </row>
    <row r="323" spans="6:37">
      <c r="F323" s="500" t="str">
        <f t="shared" si="75"/>
        <v>Fitness Center</v>
      </c>
      <c r="G323" s="500" t="str">
        <f t="shared" si="75"/>
        <v>2_5 gpm or higher</v>
      </c>
      <c r="H323" s="500" t="str">
        <f t="shared" si="75"/>
        <v>Retail</v>
      </c>
      <c r="I323" s="500" t="str">
        <f t="shared" si="75"/>
        <v>1_50</v>
      </c>
      <c r="J323" s="500" t="str">
        <f t="shared" si="75"/>
        <v>Gas Water Heating</v>
      </c>
      <c r="K323" s="500" t="str">
        <f t="shared" si="76"/>
        <v>Commercial Showerhead Replacement_Fitness Center_precondition 2_5 gpm or higher_efficient 1_50 gpm_Retail_Gas Water Heating - Embedded Water Energy</v>
      </c>
      <c r="L323" s="500"/>
      <c r="M323" s="501"/>
      <c r="N323" s="500"/>
      <c r="O323" s="500"/>
      <c r="P323" s="500"/>
      <c r="Q323" s="502"/>
      <c r="R323" s="503"/>
      <c r="S323" s="504"/>
      <c r="T323" s="505"/>
      <c r="U323" s="500"/>
      <c r="V323" s="500" t="str">
        <f t="shared" si="77"/>
        <v>Commercial Showerhead Replacement_Fitness Center_precondition 2_5 gpm or higher_efficient 1_50 gpm_Retail_Gas Water Heating</v>
      </c>
      <c r="W323" s="506" t="s">
        <v>604</v>
      </c>
      <c r="X323" s="502">
        <f t="shared" si="78"/>
        <v>210.67366360117293</v>
      </c>
      <c r="Y323" s="500">
        <v>10</v>
      </c>
      <c r="Z323" s="507">
        <v>0</v>
      </c>
      <c r="AA323" s="500"/>
      <c r="AB323" s="506" t="s">
        <v>605</v>
      </c>
      <c r="AC323" s="505">
        <v>0</v>
      </c>
      <c r="AD323" s="500"/>
      <c r="AE323" s="500"/>
      <c r="AF323" s="500"/>
      <c r="AG323" s="500"/>
      <c r="AH323" s="500"/>
      <c r="AI323" s="500"/>
      <c r="AJ323" s="500">
        <v>0</v>
      </c>
      <c r="AK323" s="506" t="s">
        <v>605</v>
      </c>
    </row>
    <row r="324" spans="6:37">
      <c r="F324" s="500" t="str">
        <f t="shared" si="75"/>
        <v>Fitness Center</v>
      </c>
      <c r="G324" s="500" t="str">
        <f t="shared" si="75"/>
        <v>2_5 gpm or higher</v>
      </c>
      <c r="H324" s="500" t="str">
        <f t="shared" si="75"/>
        <v>Retail</v>
      </c>
      <c r="I324" s="500" t="str">
        <f t="shared" si="75"/>
        <v>1_50</v>
      </c>
      <c r="J324" s="500" t="str">
        <f t="shared" si="75"/>
        <v>Any Water Heating</v>
      </c>
      <c r="K324" s="500" t="str">
        <f t="shared" si="76"/>
        <v>Commercial Showerhead Replacement_Fitness Center_precondition 2_5 gpm or higher_efficient 1_50 gpm_Retail_Any Water Heating - Embedded Water Energy</v>
      </c>
      <c r="L324" s="500"/>
      <c r="M324" s="501"/>
      <c r="N324" s="500"/>
      <c r="O324" s="500"/>
      <c r="P324" s="500"/>
      <c r="Q324" s="502"/>
      <c r="R324" s="503"/>
      <c r="S324" s="504"/>
      <c r="T324" s="505"/>
      <c r="U324" s="500"/>
      <c r="V324" s="500" t="str">
        <f t="shared" si="77"/>
        <v>Commercial Showerhead Replacement_Fitness Center_precondition 2_5 gpm or higher_efficient 1_50 gpm_Retail_Any Water Heating</v>
      </c>
      <c r="W324" s="506" t="s">
        <v>604</v>
      </c>
      <c r="X324" s="502">
        <f t="shared" si="78"/>
        <v>210.67366360117293</v>
      </c>
      <c r="Y324" s="500">
        <v>10</v>
      </c>
      <c r="Z324" s="507">
        <v>0</v>
      </c>
      <c r="AA324" s="500"/>
      <c r="AB324" s="506" t="s">
        <v>605</v>
      </c>
      <c r="AC324" s="505">
        <v>0</v>
      </c>
      <c r="AD324" s="500"/>
      <c r="AE324" s="500"/>
      <c r="AF324" s="500"/>
      <c r="AG324" s="500"/>
      <c r="AH324" s="500"/>
      <c r="AI324" s="500"/>
      <c r="AJ324" s="500">
        <v>0</v>
      </c>
      <c r="AK324" s="506" t="s">
        <v>605</v>
      </c>
    </row>
    <row r="325" spans="6:37">
      <c r="F325" s="500" t="str">
        <f t="shared" si="75"/>
        <v>Fitness Center</v>
      </c>
      <c r="G325" s="500" t="str">
        <f t="shared" si="75"/>
        <v>2_5 gpm or higher</v>
      </c>
      <c r="H325" s="500" t="str">
        <f t="shared" si="75"/>
        <v>Direct Install</v>
      </c>
      <c r="I325" s="500" t="str">
        <f t="shared" si="75"/>
        <v>2_00</v>
      </c>
      <c r="J325" s="500" t="str">
        <f t="shared" si="75"/>
        <v>Electric Water Heating</v>
      </c>
      <c r="K325" s="500" t="str">
        <f t="shared" si="76"/>
        <v>Commercial Showerhead Replacement_Fitness Center_precondition 2_5 gpm or higher_efficient 2_00 gpm_Direct Install_Electric Water Heating - Embedded Water Energy</v>
      </c>
      <c r="L325" s="500"/>
      <c r="M325" s="501"/>
      <c r="N325" s="500"/>
      <c r="O325" s="500"/>
      <c r="P325" s="500"/>
      <c r="Q325" s="502"/>
      <c r="R325" s="503"/>
      <c r="S325" s="504"/>
      <c r="T325" s="505"/>
      <c r="U325" s="500"/>
      <c r="V325" s="500" t="str">
        <f t="shared" si="77"/>
        <v>Commercial Showerhead Replacement_Fitness Center_precondition 2_5 gpm or higher_efficient 2_00 gpm_Direct Install_Electric Water Heating</v>
      </c>
      <c r="W325" s="506" t="s">
        <v>604</v>
      </c>
      <c r="X325" s="502">
        <f t="shared" si="78"/>
        <v>189.6062972410557</v>
      </c>
      <c r="Y325" s="500">
        <v>10</v>
      </c>
      <c r="Z325" s="507">
        <v>0</v>
      </c>
      <c r="AA325" s="500"/>
      <c r="AB325" s="506" t="s">
        <v>605</v>
      </c>
      <c r="AC325" s="505">
        <v>0</v>
      </c>
      <c r="AD325" s="500"/>
      <c r="AE325" s="500"/>
      <c r="AF325" s="500"/>
      <c r="AG325" s="500"/>
      <c r="AH325" s="500"/>
      <c r="AI325" s="500"/>
      <c r="AJ325" s="500">
        <v>0</v>
      </c>
      <c r="AK325" s="506" t="s">
        <v>605</v>
      </c>
    </row>
    <row r="326" spans="6:37">
      <c r="F326" s="500" t="str">
        <f t="shared" si="75"/>
        <v>Fitness Center</v>
      </c>
      <c r="G326" s="500" t="str">
        <f t="shared" si="75"/>
        <v>2_5 gpm or higher</v>
      </c>
      <c r="H326" s="500" t="str">
        <f t="shared" si="75"/>
        <v>Direct Install</v>
      </c>
      <c r="I326" s="500" t="str">
        <f t="shared" si="75"/>
        <v>2_00</v>
      </c>
      <c r="J326" s="500" t="str">
        <f t="shared" si="75"/>
        <v>Gas Water Heating</v>
      </c>
      <c r="K326" s="500" t="str">
        <f t="shared" si="76"/>
        <v>Commercial Showerhead Replacement_Fitness Center_precondition 2_5 gpm or higher_efficient 2_00 gpm_Direct Install_Gas Water Heating - Embedded Water Energy</v>
      </c>
      <c r="L326" s="500"/>
      <c r="M326" s="501"/>
      <c r="N326" s="500"/>
      <c r="O326" s="500"/>
      <c r="P326" s="500"/>
      <c r="Q326" s="502"/>
      <c r="R326" s="503"/>
      <c r="S326" s="504"/>
      <c r="T326" s="505"/>
      <c r="U326" s="500"/>
      <c r="V326" s="500" t="str">
        <f t="shared" si="77"/>
        <v>Commercial Showerhead Replacement_Fitness Center_precondition 2_5 gpm or higher_efficient 2_00 gpm_Direct Install_Gas Water Heating</v>
      </c>
      <c r="W326" s="506" t="s">
        <v>604</v>
      </c>
      <c r="X326" s="502">
        <f t="shared" si="78"/>
        <v>189.6062972410557</v>
      </c>
      <c r="Y326" s="500">
        <v>10</v>
      </c>
      <c r="Z326" s="507">
        <v>0</v>
      </c>
      <c r="AA326" s="500"/>
      <c r="AB326" s="506" t="s">
        <v>605</v>
      </c>
      <c r="AC326" s="505">
        <v>0</v>
      </c>
      <c r="AD326" s="500"/>
      <c r="AE326" s="500"/>
      <c r="AF326" s="500"/>
      <c r="AG326" s="500"/>
      <c r="AH326" s="500"/>
      <c r="AI326" s="500"/>
      <c r="AJ326" s="500">
        <v>0</v>
      </c>
      <c r="AK326" s="506" t="s">
        <v>605</v>
      </c>
    </row>
    <row r="327" spans="6:37">
      <c r="F327" s="500" t="str">
        <f t="shared" si="75"/>
        <v>Fitness Center</v>
      </c>
      <c r="G327" s="500" t="str">
        <f t="shared" si="75"/>
        <v>2_5 gpm or higher</v>
      </c>
      <c r="H327" s="500" t="str">
        <f t="shared" si="75"/>
        <v>Direct Install</v>
      </c>
      <c r="I327" s="500" t="str">
        <f t="shared" si="75"/>
        <v>2_00</v>
      </c>
      <c r="J327" s="500" t="str">
        <f t="shared" si="75"/>
        <v>Any Water Heating</v>
      </c>
      <c r="K327" s="500" t="str">
        <f t="shared" si="76"/>
        <v>Commercial Showerhead Replacement_Fitness Center_precondition 2_5 gpm or higher_efficient 2_00 gpm_Direct Install_Any Water Heating - Embedded Water Energy</v>
      </c>
      <c r="L327" s="500"/>
      <c r="M327" s="501"/>
      <c r="N327" s="500"/>
      <c r="O327" s="500"/>
      <c r="P327" s="500"/>
      <c r="Q327" s="502"/>
      <c r="R327" s="503"/>
      <c r="S327" s="504"/>
      <c r="T327" s="505"/>
      <c r="U327" s="500"/>
      <c r="V327" s="500" t="str">
        <f t="shared" si="77"/>
        <v>Commercial Showerhead Replacement_Fitness Center_precondition 2_5 gpm or higher_efficient 2_00 gpm_Direct Install_Any Water Heating</v>
      </c>
      <c r="W327" s="506" t="s">
        <v>604</v>
      </c>
      <c r="X327" s="502">
        <f t="shared" si="78"/>
        <v>189.6062972410557</v>
      </c>
      <c r="Y327" s="500">
        <v>10</v>
      </c>
      <c r="Z327" s="507">
        <v>0</v>
      </c>
      <c r="AA327" s="500"/>
      <c r="AB327" s="506" t="s">
        <v>605</v>
      </c>
      <c r="AC327" s="505">
        <v>0</v>
      </c>
      <c r="AD327" s="500"/>
      <c r="AE327" s="500"/>
      <c r="AF327" s="500"/>
      <c r="AG327" s="500"/>
      <c r="AH327" s="500"/>
      <c r="AI327" s="500"/>
      <c r="AJ327" s="500">
        <v>0</v>
      </c>
      <c r="AK327" s="506" t="s">
        <v>605</v>
      </c>
    </row>
    <row r="328" spans="6:37">
      <c r="F328" s="500" t="str">
        <f t="shared" si="75"/>
        <v>Fitness Center</v>
      </c>
      <c r="G328" s="500" t="str">
        <f t="shared" si="75"/>
        <v>2_5 gpm or higher</v>
      </c>
      <c r="H328" s="500" t="str">
        <f t="shared" si="75"/>
        <v>Direct Install</v>
      </c>
      <c r="I328" s="500" t="str">
        <f t="shared" si="75"/>
        <v>1_75</v>
      </c>
      <c r="J328" s="500" t="str">
        <f t="shared" si="75"/>
        <v>Electric Water Heating</v>
      </c>
      <c r="K328" s="500" t="str">
        <f t="shared" si="76"/>
        <v>Commercial Showerhead Replacement_Fitness Center_precondition 2_5 gpm or higher_efficient 1_75 gpm_Direct Install_Electric Water Heating - Embedded Water Energy</v>
      </c>
      <c r="L328" s="500"/>
      <c r="M328" s="501"/>
      <c r="N328" s="500"/>
      <c r="O328" s="500"/>
      <c r="P328" s="500"/>
      <c r="Q328" s="502"/>
      <c r="R328" s="503"/>
      <c r="S328" s="504"/>
      <c r="T328" s="505"/>
      <c r="U328" s="500"/>
      <c r="V328" s="500" t="str">
        <f t="shared" si="77"/>
        <v>Commercial Showerhead Replacement_Fitness Center_precondition 2_5 gpm or higher_efficient 1_75 gpm_Direct Install_Electric Water Heating</v>
      </c>
      <c r="W328" s="506" t="s">
        <v>604</v>
      </c>
      <c r="X328" s="502">
        <f t="shared" si="78"/>
        <v>203.14960418684538</v>
      </c>
      <c r="Y328" s="500">
        <v>10</v>
      </c>
      <c r="Z328" s="507">
        <v>0</v>
      </c>
      <c r="AA328" s="500"/>
      <c r="AB328" s="506" t="s">
        <v>605</v>
      </c>
      <c r="AC328" s="505">
        <v>0</v>
      </c>
      <c r="AD328" s="500"/>
      <c r="AE328" s="500"/>
      <c r="AF328" s="500"/>
      <c r="AG328" s="500"/>
      <c r="AH328" s="500"/>
      <c r="AI328" s="500"/>
      <c r="AJ328" s="500">
        <v>0</v>
      </c>
      <c r="AK328" s="506" t="s">
        <v>605</v>
      </c>
    </row>
    <row r="329" spans="6:37">
      <c r="F329" s="500" t="str">
        <f t="shared" si="75"/>
        <v>Fitness Center</v>
      </c>
      <c r="G329" s="500" t="str">
        <f t="shared" si="75"/>
        <v>2_5 gpm or higher</v>
      </c>
      <c r="H329" s="500" t="str">
        <f t="shared" si="75"/>
        <v>Direct Install</v>
      </c>
      <c r="I329" s="500" t="str">
        <f t="shared" si="75"/>
        <v>1_75</v>
      </c>
      <c r="J329" s="500" t="str">
        <f t="shared" si="75"/>
        <v>Gas Water Heating</v>
      </c>
      <c r="K329" s="500" t="str">
        <f t="shared" si="76"/>
        <v>Commercial Showerhead Replacement_Fitness Center_precondition 2_5 gpm or higher_efficient 1_75 gpm_Direct Install_Gas Water Heating - Embedded Water Energy</v>
      </c>
      <c r="L329" s="500"/>
      <c r="M329" s="501"/>
      <c r="N329" s="500"/>
      <c r="O329" s="500"/>
      <c r="P329" s="500"/>
      <c r="Q329" s="502"/>
      <c r="R329" s="503"/>
      <c r="S329" s="504"/>
      <c r="T329" s="505"/>
      <c r="U329" s="500"/>
      <c r="V329" s="500" t="str">
        <f t="shared" si="77"/>
        <v>Commercial Showerhead Replacement_Fitness Center_precondition 2_5 gpm or higher_efficient 1_75 gpm_Direct Install_Gas Water Heating</v>
      </c>
      <c r="W329" s="506" t="s">
        <v>604</v>
      </c>
      <c r="X329" s="502">
        <f t="shared" si="78"/>
        <v>203.14960418684538</v>
      </c>
      <c r="Y329" s="500">
        <v>10</v>
      </c>
      <c r="Z329" s="507">
        <v>0</v>
      </c>
      <c r="AA329" s="500"/>
      <c r="AB329" s="506" t="s">
        <v>605</v>
      </c>
      <c r="AC329" s="505">
        <v>0</v>
      </c>
      <c r="AD329" s="500"/>
      <c r="AE329" s="500"/>
      <c r="AF329" s="500"/>
      <c r="AG329" s="500"/>
      <c r="AH329" s="500"/>
      <c r="AI329" s="500"/>
      <c r="AJ329" s="500">
        <v>0</v>
      </c>
      <c r="AK329" s="506" t="s">
        <v>605</v>
      </c>
    </row>
    <row r="330" spans="6:37">
      <c r="F330" s="500" t="str">
        <f t="shared" si="75"/>
        <v>Fitness Center</v>
      </c>
      <c r="G330" s="500" t="str">
        <f t="shared" si="75"/>
        <v>2_5 gpm or higher</v>
      </c>
      <c r="H330" s="500" t="str">
        <f t="shared" si="75"/>
        <v>Direct Install</v>
      </c>
      <c r="I330" s="500" t="str">
        <f t="shared" si="75"/>
        <v>1_75</v>
      </c>
      <c r="J330" s="500" t="str">
        <f t="shared" si="75"/>
        <v>Any Water Heating</v>
      </c>
      <c r="K330" s="500" t="str">
        <f t="shared" si="76"/>
        <v>Commercial Showerhead Replacement_Fitness Center_precondition 2_5 gpm or higher_efficient 1_75 gpm_Direct Install_Any Water Heating - Embedded Water Energy</v>
      </c>
      <c r="L330" s="500"/>
      <c r="M330" s="501"/>
      <c r="N330" s="500"/>
      <c r="O330" s="500"/>
      <c r="P330" s="500"/>
      <c r="Q330" s="502"/>
      <c r="R330" s="503"/>
      <c r="S330" s="504"/>
      <c r="T330" s="505"/>
      <c r="U330" s="500"/>
      <c r="V330" s="500" t="str">
        <f t="shared" si="77"/>
        <v>Commercial Showerhead Replacement_Fitness Center_precondition 2_5 gpm or higher_efficient 1_75 gpm_Direct Install_Any Water Heating</v>
      </c>
      <c r="W330" s="506" t="s">
        <v>604</v>
      </c>
      <c r="X330" s="502">
        <f t="shared" si="78"/>
        <v>203.14960418684538</v>
      </c>
      <c r="Y330" s="500">
        <v>10</v>
      </c>
      <c r="Z330" s="507">
        <v>0</v>
      </c>
      <c r="AA330" s="500"/>
      <c r="AB330" s="506" t="s">
        <v>605</v>
      </c>
      <c r="AC330" s="505">
        <v>0</v>
      </c>
      <c r="AD330" s="500"/>
      <c r="AE330" s="500"/>
      <c r="AF330" s="500"/>
      <c r="AG330" s="500"/>
      <c r="AH330" s="500"/>
      <c r="AI330" s="500"/>
      <c r="AJ330" s="500">
        <v>0</v>
      </c>
      <c r="AK330" s="506" t="s">
        <v>605</v>
      </c>
    </row>
    <row r="331" spans="6:37">
      <c r="F331" s="500" t="str">
        <f t="shared" si="75"/>
        <v>Fitness Center</v>
      </c>
      <c r="G331" s="500" t="str">
        <f t="shared" si="75"/>
        <v>2_5 gpm or higher</v>
      </c>
      <c r="H331" s="500" t="str">
        <f t="shared" si="75"/>
        <v>Direct Install</v>
      </c>
      <c r="I331" s="500" t="str">
        <f t="shared" si="75"/>
        <v>1_50</v>
      </c>
      <c r="J331" s="500" t="str">
        <f t="shared" si="75"/>
        <v>Electric Water Heating</v>
      </c>
      <c r="K331" s="500" t="str">
        <f t="shared" si="76"/>
        <v>Commercial Showerhead Replacement_Fitness Center_precondition 2_5 gpm or higher_efficient 1_50 gpm_Direct Install_Electric Water Heating - Embedded Water Energy</v>
      </c>
      <c r="L331" s="500"/>
      <c r="M331" s="501"/>
      <c r="N331" s="500"/>
      <c r="O331" s="500"/>
      <c r="P331" s="500"/>
      <c r="Q331" s="502"/>
      <c r="R331" s="503"/>
      <c r="S331" s="504"/>
      <c r="T331" s="505"/>
      <c r="U331" s="500"/>
      <c r="V331" s="500" t="str">
        <f t="shared" si="77"/>
        <v>Commercial Showerhead Replacement_Fitness Center_precondition 2_5 gpm or higher_efficient 1_50 gpm_Direct Install_Electric Water Heating</v>
      </c>
      <c r="W331" s="506" t="s">
        <v>604</v>
      </c>
      <c r="X331" s="502">
        <f t="shared" si="78"/>
        <v>270.86613891579378</v>
      </c>
      <c r="Y331" s="500">
        <v>10</v>
      </c>
      <c r="Z331" s="507">
        <v>0</v>
      </c>
      <c r="AA331" s="500"/>
      <c r="AB331" s="506" t="s">
        <v>605</v>
      </c>
      <c r="AC331" s="505">
        <v>0</v>
      </c>
      <c r="AD331" s="500"/>
      <c r="AE331" s="500"/>
      <c r="AF331" s="500"/>
      <c r="AG331" s="500"/>
      <c r="AH331" s="500"/>
      <c r="AI331" s="500"/>
      <c r="AJ331" s="500">
        <v>0</v>
      </c>
      <c r="AK331" s="506" t="s">
        <v>605</v>
      </c>
    </row>
    <row r="332" spans="6:37">
      <c r="F332" s="500" t="str">
        <f t="shared" ref="F332:J347" si="79">F35</f>
        <v>Fitness Center</v>
      </c>
      <c r="G332" s="500" t="str">
        <f t="shared" si="79"/>
        <v>2_5 gpm or higher</v>
      </c>
      <c r="H332" s="500" t="str">
        <f t="shared" si="79"/>
        <v>Direct Install</v>
      </c>
      <c r="I332" s="500" t="str">
        <f t="shared" si="79"/>
        <v>1_50</v>
      </c>
      <c r="J332" s="500" t="str">
        <f t="shared" si="79"/>
        <v>Gas Water Heating</v>
      </c>
      <c r="K332" s="500" t="str">
        <f t="shared" si="76"/>
        <v>Commercial Showerhead Replacement_Fitness Center_precondition 2_5 gpm or higher_efficient 1_50 gpm_Direct Install_Gas Water Heating - Embedded Water Energy</v>
      </c>
      <c r="L332" s="500"/>
      <c r="M332" s="501"/>
      <c r="N332" s="500"/>
      <c r="O332" s="500"/>
      <c r="P332" s="500"/>
      <c r="Q332" s="502"/>
      <c r="R332" s="503"/>
      <c r="S332" s="504"/>
      <c r="T332" s="505"/>
      <c r="U332" s="500"/>
      <c r="V332" s="500" t="str">
        <f t="shared" si="77"/>
        <v>Commercial Showerhead Replacement_Fitness Center_precondition 2_5 gpm or higher_efficient 1_50 gpm_Direct Install_Gas Water Heating</v>
      </c>
      <c r="W332" s="506" t="s">
        <v>604</v>
      </c>
      <c r="X332" s="502">
        <f t="shared" si="78"/>
        <v>270.86613891579378</v>
      </c>
      <c r="Y332" s="500">
        <v>10</v>
      </c>
      <c r="Z332" s="507">
        <v>0</v>
      </c>
      <c r="AA332" s="500"/>
      <c r="AB332" s="506" t="s">
        <v>605</v>
      </c>
      <c r="AC332" s="505">
        <v>0</v>
      </c>
      <c r="AD332" s="500"/>
      <c r="AE332" s="500"/>
      <c r="AF332" s="500"/>
      <c r="AG332" s="500"/>
      <c r="AH332" s="500"/>
      <c r="AI332" s="500"/>
      <c r="AJ332" s="500">
        <v>0</v>
      </c>
      <c r="AK332" s="506" t="s">
        <v>605</v>
      </c>
    </row>
    <row r="333" spans="6:37">
      <c r="F333" s="500" t="str">
        <f t="shared" si="79"/>
        <v>Fitness Center</v>
      </c>
      <c r="G333" s="500" t="str">
        <f t="shared" si="79"/>
        <v>2_5 gpm or higher</v>
      </c>
      <c r="H333" s="500" t="str">
        <f t="shared" si="79"/>
        <v>Direct Install</v>
      </c>
      <c r="I333" s="500" t="str">
        <f t="shared" si="79"/>
        <v>1_50</v>
      </c>
      <c r="J333" s="500" t="str">
        <f t="shared" si="79"/>
        <v>Any Water Heating</v>
      </c>
      <c r="K333" s="500" t="str">
        <f t="shared" si="76"/>
        <v>Commercial Showerhead Replacement_Fitness Center_precondition 2_5 gpm or higher_efficient 1_50 gpm_Direct Install_Any Water Heating - Embedded Water Energy</v>
      </c>
      <c r="L333" s="500"/>
      <c r="M333" s="501"/>
      <c r="N333" s="500"/>
      <c r="O333" s="500"/>
      <c r="P333" s="500"/>
      <c r="Q333" s="502"/>
      <c r="R333" s="503"/>
      <c r="S333" s="504"/>
      <c r="T333" s="505"/>
      <c r="U333" s="500"/>
      <c r="V333" s="500" t="str">
        <f t="shared" si="77"/>
        <v>Commercial Showerhead Replacement_Fitness Center_precondition 2_5 gpm or higher_efficient 1_50 gpm_Direct Install_Any Water Heating</v>
      </c>
      <c r="W333" s="506" t="s">
        <v>604</v>
      </c>
      <c r="X333" s="502">
        <f t="shared" si="78"/>
        <v>270.86613891579378</v>
      </c>
      <c r="Y333" s="500">
        <v>10</v>
      </c>
      <c r="Z333" s="507">
        <v>0</v>
      </c>
      <c r="AA333" s="500"/>
      <c r="AB333" s="506" t="s">
        <v>605</v>
      </c>
      <c r="AC333" s="505">
        <v>0</v>
      </c>
      <c r="AD333" s="500"/>
      <c r="AE333" s="500"/>
      <c r="AF333" s="500"/>
      <c r="AG333" s="500"/>
      <c r="AH333" s="500"/>
      <c r="AI333" s="500"/>
      <c r="AJ333" s="500">
        <v>0</v>
      </c>
      <c r="AK333" s="506" t="s">
        <v>605</v>
      </c>
    </row>
    <row r="334" spans="6:37">
      <c r="F334" s="500" t="str">
        <f t="shared" si="79"/>
        <v>Fitness Center</v>
      </c>
      <c r="G334" s="500" t="str">
        <f t="shared" si="79"/>
        <v>2_5 gpm or higher</v>
      </c>
      <c r="H334" s="500" t="str">
        <f t="shared" si="79"/>
        <v>Mail-by-Request</v>
      </c>
      <c r="I334" s="500" t="str">
        <f t="shared" si="79"/>
        <v>2_00</v>
      </c>
      <c r="J334" s="500" t="str">
        <f t="shared" si="79"/>
        <v>Electric Water Heating</v>
      </c>
      <c r="K334" s="500" t="str">
        <f t="shared" si="76"/>
        <v>Commercial Showerhead Replacement_Fitness Center_precondition 2_5 gpm or higher_efficient 2_00 gpm_Mail-by-Request_Electric Water Heating - Embedded Water Energy</v>
      </c>
      <c r="L334" s="500"/>
      <c r="M334" s="501"/>
      <c r="N334" s="500"/>
      <c r="O334" s="500"/>
      <c r="P334" s="500"/>
      <c r="Q334" s="502"/>
      <c r="R334" s="503"/>
      <c r="S334" s="504"/>
      <c r="T334" s="505"/>
      <c r="U334" s="500"/>
      <c r="V334" s="500" t="str">
        <f t="shared" si="77"/>
        <v>Commercial Showerhead Replacement_Fitness Center_precondition 2_5 gpm or higher_efficient 2_00 gpm_Mail-by-Request_Electric Water Heating</v>
      </c>
      <c r="W334" s="506" t="s">
        <v>604</v>
      </c>
      <c r="X334" s="502">
        <f t="shared" si="78"/>
        <v>126.40419816070379</v>
      </c>
      <c r="Y334" s="500">
        <v>10</v>
      </c>
      <c r="Z334" s="507">
        <v>0</v>
      </c>
      <c r="AA334" s="500"/>
      <c r="AB334" s="506" t="s">
        <v>605</v>
      </c>
      <c r="AC334" s="505">
        <v>0</v>
      </c>
      <c r="AD334" s="500"/>
      <c r="AE334" s="500"/>
      <c r="AF334" s="500"/>
      <c r="AG334" s="500"/>
      <c r="AH334" s="500"/>
      <c r="AI334" s="500"/>
      <c r="AJ334" s="500">
        <v>0</v>
      </c>
      <c r="AK334" s="506" t="s">
        <v>605</v>
      </c>
    </row>
    <row r="335" spans="6:37">
      <c r="F335" s="500" t="str">
        <f t="shared" si="79"/>
        <v>Fitness Center</v>
      </c>
      <c r="G335" s="500" t="str">
        <f t="shared" si="79"/>
        <v>2_5 gpm or higher</v>
      </c>
      <c r="H335" s="500" t="str">
        <f t="shared" si="79"/>
        <v>Mail-by-Request</v>
      </c>
      <c r="I335" s="500" t="str">
        <f t="shared" si="79"/>
        <v>2_00</v>
      </c>
      <c r="J335" s="500" t="str">
        <f t="shared" si="79"/>
        <v>Gas Water Heating</v>
      </c>
      <c r="K335" s="500" t="str">
        <f t="shared" si="76"/>
        <v>Commercial Showerhead Replacement_Fitness Center_precondition 2_5 gpm or higher_efficient 2_00 gpm_Mail-by-Request_Gas Water Heating - Embedded Water Energy</v>
      </c>
      <c r="L335" s="500"/>
      <c r="M335" s="501"/>
      <c r="N335" s="500"/>
      <c r="O335" s="500"/>
      <c r="P335" s="500"/>
      <c r="Q335" s="502"/>
      <c r="R335" s="503"/>
      <c r="S335" s="504"/>
      <c r="T335" s="505"/>
      <c r="U335" s="500"/>
      <c r="V335" s="500" t="str">
        <f t="shared" si="77"/>
        <v>Commercial Showerhead Replacement_Fitness Center_precondition 2_5 gpm or higher_efficient 2_00 gpm_Mail-by-Request_Gas Water Heating</v>
      </c>
      <c r="W335" s="506" t="s">
        <v>604</v>
      </c>
      <c r="X335" s="502">
        <f t="shared" si="78"/>
        <v>126.40419816070379</v>
      </c>
      <c r="Y335" s="500">
        <v>10</v>
      </c>
      <c r="Z335" s="507">
        <v>0</v>
      </c>
      <c r="AA335" s="500"/>
      <c r="AB335" s="506" t="s">
        <v>605</v>
      </c>
      <c r="AC335" s="505">
        <v>0</v>
      </c>
      <c r="AD335" s="500"/>
      <c r="AE335" s="500"/>
      <c r="AF335" s="500"/>
      <c r="AG335" s="500"/>
      <c r="AH335" s="500"/>
      <c r="AI335" s="500"/>
      <c r="AJ335" s="500">
        <v>0</v>
      </c>
      <c r="AK335" s="506" t="s">
        <v>605</v>
      </c>
    </row>
    <row r="336" spans="6:37">
      <c r="F336" s="500" t="str">
        <f t="shared" si="79"/>
        <v>Fitness Center</v>
      </c>
      <c r="G336" s="500" t="str">
        <f t="shared" si="79"/>
        <v>2_5 gpm or higher</v>
      </c>
      <c r="H336" s="500" t="str">
        <f t="shared" si="79"/>
        <v>Mail-by-Request</v>
      </c>
      <c r="I336" s="500" t="str">
        <f t="shared" si="79"/>
        <v>2_00</v>
      </c>
      <c r="J336" s="500" t="str">
        <f t="shared" si="79"/>
        <v>Any Water Heating</v>
      </c>
      <c r="K336" s="500" t="str">
        <f t="shared" si="76"/>
        <v>Commercial Showerhead Replacement_Fitness Center_precondition 2_5 gpm or higher_efficient 2_00 gpm_Mail-by-Request_Any Water Heating - Embedded Water Energy</v>
      </c>
      <c r="L336" s="500"/>
      <c r="M336" s="501"/>
      <c r="N336" s="500"/>
      <c r="O336" s="500"/>
      <c r="P336" s="500"/>
      <c r="Q336" s="502"/>
      <c r="R336" s="503"/>
      <c r="S336" s="504"/>
      <c r="T336" s="505"/>
      <c r="U336" s="500"/>
      <c r="V336" s="500" t="str">
        <f t="shared" si="77"/>
        <v>Commercial Showerhead Replacement_Fitness Center_precondition 2_5 gpm or higher_efficient 2_00 gpm_Mail-by-Request_Any Water Heating</v>
      </c>
      <c r="W336" s="506" t="s">
        <v>604</v>
      </c>
      <c r="X336" s="502">
        <f t="shared" si="78"/>
        <v>126.40419816070379</v>
      </c>
      <c r="Y336" s="500">
        <v>10</v>
      </c>
      <c r="Z336" s="507">
        <v>0</v>
      </c>
      <c r="AA336" s="500"/>
      <c r="AB336" s="506" t="s">
        <v>605</v>
      </c>
      <c r="AC336" s="505">
        <v>0</v>
      </c>
      <c r="AD336" s="500"/>
      <c r="AE336" s="500"/>
      <c r="AF336" s="500"/>
      <c r="AG336" s="500"/>
      <c r="AH336" s="500"/>
      <c r="AI336" s="500"/>
      <c r="AJ336" s="500">
        <v>0</v>
      </c>
      <c r="AK336" s="506" t="s">
        <v>605</v>
      </c>
    </row>
    <row r="337" spans="6:37">
      <c r="F337" s="500" t="str">
        <f t="shared" si="79"/>
        <v>Fitness Center</v>
      </c>
      <c r="G337" s="500" t="str">
        <f t="shared" si="79"/>
        <v>2_5 gpm or higher</v>
      </c>
      <c r="H337" s="500" t="str">
        <f t="shared" si="79"/>
        <v>Mail-by-Request</v>
      </c>
      <c r="I337" s="500" t="str">
        <f t="shared" si="79"/>
        <v>1_75</v>
      </c>
      <c r="J337" s="500" t="str">
        <f t="shared" si="79"/>
        <v>Electric Water Heating</v>
      </c>
      <c r="K337" s="500" t="str">
        <f t="shared" si="76"/>
        <v>Commercial Showerhead Replacement_Fitness Center_precondition 2_5 gpm or higher_efficient 1_75 gpm_Mail-by-Request_Electric Water Heating - Embedded Water Energy</v>
      </c>
      <c r="L337" s="500"/>
      <c r="M337" s="501"/>
      <c r="N337" s="500"/>
      <c r="O337" s="500"/>
      <c r="P337" s="500"/>
      <c r="Q337" s="502"/>
      <c r="R337" s="503"/>
      <c r="S337" s="504"/>
      <c r="T337" s="505"/>
      <c r="U337" s="500"/>
      <c r="V337" s="500" t="str">
        <f t="shared" si="77"/>
        <v>Commercial Showerhead Replacement_Fitness Center_precondition 2_5 gpm or higher_efficient 1_75 gpm_Mail-by-Request_Electric Water Heating</v>
      </c>
      <c r="W337" s="506" t="s">
        <v>604</v>
      </c>
      <c r="X337" s="502">
        <f t="shared" si="78"/>
        <v>135.43306945789689</v>
      </c>
      <c r="Y337" s="500">
        <v>10</v>
      </c>
      <c r="Z337" s="507">
        <v>0</v>
      </c>
      <c r="AA337" s="500"/>
      <c r="AB337" s="506" t="s">
        <v>605</v>
      </c>
      <c r="AC337" s="505">
        <v>0</v>
      </c>
      <c r="AD337" s="500"/>
      <c r="AE337" s="500"/>
      <c r="AF337" s="500"/>
      <c r="AG337" s="500"/>
      <c r="AH337" s="500"/>
      <c r="AI337" s="500"/>
      <c r="AJ337" s="500">
        <v>0</v>
      </c>
      <c r="AK337" s="506" t="s">
        <v>605</v>
      </c>
    </row>
    <row r="338" spans="6:37">
      <c r="F338" s="500" t="str">
        <f t="shared" si="79"/>
        <v>Fitness Center</v>
      </c>
      <c r="G338" s="500" t="str">
        <f t="shared" si="79"/>
        <v>2_5 gpm or higher</v>
      </c>
      <c r="H338" s="500" t="str">
        <f t="shared" si="79"/>
        <v>Mail-by-Request</v>
      </c>
      <c r="I338" s="500" t="str">
        <f t="shared" si="79"/>
        <v>1_75</v>
      </c>
      <c r="J338" s="500" t="str">
        <f t="shared" si="79"/>
        <v>Gas Water Heating</v>
      </c>
      <c r="K338" s="500" t="str">
        <f t="shared" si="76"/>
        <v>Commercial Showerhead Replacement_Fitness Center_precondition 2_5 gpm or higher_efficient 1_75 gpm_Mail-by-Request_Gas Water Heating - Embedded Water Energy</v>
      </c>
      <c r="L338" s="500"/>
      <c r="M338" s="501"/>
      <c r="N338" s="500"/>
      <c r="O338" s="500"/>
      <c r="P338" s="500"/>
      <c r="Q338" s="502"/>
      <c r="R338" s="503"/>
      <c r="S338" s="504"/>
      <c r="T338" s="505"/>
      <c r="U338" s="500"/>
      <c r="V338" s="500" t="str">
        <f t="shared" si="77"/>
        <v>Commercial Showerhead Replacement_Fitness Center_precondition 2_5 gpm or higher_efficient 1_75 gpm_Mail-by-Request_Gas Water Heating</v>
      </c>
      <c r="W338" s="506" t="s">
        <v>604</v>
      </c>
      <c r="X338" s="502">
        <f t="shared" si="78"/>
        <v>135.43306945789689</v>
      </c>
      <c r="Y338" s="500">
        <v>10</v>
      </c>
      <c r="Z338" s="507">
        <v>0</v>
      </c>
      <c r="AA338" s="500"/>
      <c r="AB338" s="506" t="s">
        <v>605</v>
      </c>
      <c r="AC338" s="505">
        <v>0</v>
      </c>
      <c r="AD338" s="500"/>
      <c r="AE338" s="500"/>
      <c r="AF338" s="500"/>
      <c r="AG338" s="500"/>
      <c r="AH338" s="500"/>
      <c r="AI338" s="500"/>
      <c r="AJ338" s="500">
        <v>0</v>
      </c>
      <c r="AK338" s="506" t="s">
        <v>605</v>
      </c>
    </row>
    <row r="339" spans="6:37">
      <c r="F339" s="500" t="str">
        <f t="shared" si="79"/>
        <v>Fitness Center</v>
      </c>
      <c r="G339" s="500" t="str">
        <f t="shared" si="79"/>
        <v>2_5 gpm or higher</v>
      </c>
      <c r="H339" s="500" t="str">
        <f t="shared" si="79"/>
        <v>Mail-by-Request</v>
      </c>
      <c r="I339" s="500" t="str">
        <f t="shared" si="79"/>
        <v>1_75</v>
      </c>
      <c r="J339" s="500" t="str">
        <f t="shared" si="79"/>
        <v>Any Water Heating</v>
      </c>
      <c r="K339" s="500" t="str">
        <f t="shared" si="76"/>
        <v>Commercial Showerhead Replacement_Fitness Center_precondition 2_5 gpm or higher_efficient 1_75 gpm_Mail-by-Request_Any Water Heating - Embedded Water Energy</v>
      </c>
      <c r="L339" s="500"/>
      <c r="M339" s="501"/>
      <c r="N339" s="500"/>
      <c r="O339" s="500"/>
      <c r="P339" s="500"/>
      <c r="Q339" s="502"/>
      <c r="R339" s="503"/>
      <c r="S339" s="504"/>
      <c r="T339" s="505"/>
      <c r="U339" s="500"/>
      <c r="V339" s="500" t="str">
        <f t="shared" si="77"/>
        <v>Commercial Showerhead Replacement_Fitness Center_precondition 2_5 gpm or higher_efficient 1_75 gpm_Mail-by-Request_Any Water Heating</v>
      </c>
      <c r="W339" s="506" t="s">
        <v>604</v>
      </c>
      <c r="X339" s="502">
        <f t="shared" si="78"/>
        <v>135.43306945789689</v>
      </c>
      <c r="Y339" s="500">
        <v>10</v>
      </c>
      <c r="Z339" s="507">
        <v>0</v>
      </c>
      <c r="AA339" s="500"/>
      <c r="AB339" s="506" t="s">
        <v>605</v>
      </c>
      <c r="AC339" s="505">
        <v>0</v>
      </c>
      <c r="AD339" s="500"/>
      <c r="AE339" s="500"/>
      <c r="AF339" s="500"/>
      <c r="AG339" s="500"/>
      <c r="AH339" s="500"/>
      <c r="AI339" s="500"/>
      <c r="AJ339" s="500">
        <v>0</v>
      </c>
      <c r="AK339" s="506" t="s">
        <v>605</v>
      </c>
    </row>
    <row r="340" spans="6:37">
      <c r="F340" s="500" t="str">
        <f t="shared" si="79"/>
        <v>Fitness Center</v>
      </c>
      <c r="G340" s="500" t="str">
        <f t="shared" si="79"/>
        <v>2_5 gpm or higher</v>
      </c>
      <c r="H340" s="500" t="str">
        <f t="shared" si="79"/>
        <v>Mail-by-Request</v>
      </c>
      <c r="I340" s="500" t="str">
        <f t="shared" si="79"/>
        <v>1_50</v>
      </c>
      <c r="J340" s="500" t="str">
        <f t="shared" si="79"/>
        <v>Electric Water Heating</v>
      </c>
      <c r="K340" s="500" t="str">
        <f t="shared" si="76"/>
        <v>Commercial Showerhead Replacement_Fitness Center_precondition 2_5 gpm or higher_efficient 1_50 gpm_Mail-by-Request_Electric Water Heating - Embedded Water Energy</v>
      </c>
      <c r="L340" s="500"/>
      <c r="M340" s="501"/>
      <c r="N340" s="500"/>
      <c r="O340" s="500"/>
      <c r="P340" s="500"/>
      <c r="Q340" s="502"/>
      <c r="R340" s="503"/>
      <c r="S340" s="504"/>
      <c r="T340" s="505"/>
      <c r="U340" s="500"/>
      <c r="V340" s="500" t="str">
        <f t="shared" si="77"/>
        <v>Commercial Showerhead Replacement_Fitness Center_precondition 2_5 gpm or higher_efficient 1_50 gpm_Mail-by-Request_Electric Water Heating</v>
      </c>
      <c r="W340" s="506" t="s">
        <v>604</v>
      </c>
      <c r="X340" s="502">
        <f t="shared" si="78"/>
        <v>180.57742594386252</v>
      </c>
      <c r="Y340" s="500">
        <v>10</v>
      </c>
      <c r="Z340" s="507">
        <v>0</v>
      </c>
      <c r="AA340" s="500"/>
      <c r="AB340" s="506" t="s">
        <v>605</v>
      </c>
      <c r="AC340" s="505">
        <v>0</v>
      </c>
      <c r="AD340" s="500"/>
      <c r="AE340" s="500"/>
      <c r="AF340" s="500"/>
      <c r="AG340" s="500"/>
      <c r="AH340" s="500"/>
      <c r="AI340" s="500"/>
      <c r="AJ340" s="500">
        <v>0</v>
      </c>
      <c r="AK340" s="506" t="s">
        <v>605</v>
      </c>
    </row>
    <row r="341" spans="6:37">
      <c r="F341" s="500" t="str">
        <f t="shared" si="79"/>
        <v>Fitness Center</v>
      </c>
      <c r="G341" s="500" t="str">
        <f t="shared" si="79"/>
        <v>2_5 gpm or higher</v>
      </c>
      <c r="H341" s="500" t="str">
        <f t="shared" si="79"/>
        <v>Mail-by-Request</v>
      </c>
      <c r="I341" s="500" t="str">
        <f t="shared" si="79"/>
        <v>1_50</v>
      </c>
      <c r="J341" s="500" t="str">
        <f t="shared" si="79"/>
        <v>Gas Water Heating</v>
      </c>
      <c r="K341" s="500" t="str">
        <f t="shared" si="76"/>
        <v>Commercial Showerhead Replacement_Fitness Center_precondition 2_5 gpm or higher_efficient 1_50 gpm_Mail-by-Request_Gas Water Heating - Embedded Water Energy</v>
      </c>
      <c r="L341" s="500"/>
      <c r="M341" s="501"/>
      <c r="N341" s="500"/>
      <c r="O341" s="500"/>
      <c r="P341" s="500"/>
      <c r="Q341" s="502"/>
      <c r="R341" s="503"/>
      <c r="S341" s="504"/>
      <c r="T341" s="505"/>
      <c r="U341" s="500"/>
      <c r="V341" s="500" t="str">
        <f t="shared" si="77"/>
        <v>Commercial Showerhead Replacement_Fitness Center_precondition 2_5 gpm or higher_efficient 1_50 gpm_Mail-by-Request_Gas Water Heating</v>
      </c>
      <c r="W341" s="506" t="s">
        <v>604</v>
      </c>
      <c r="X341" s="502">
        <f t="shared" si="78"/>
        <v>180.57742594386252</v>
      </c>
      <c r="Y341" s="500">
        <v>10</v>
      </c>
      <c r="Z341" s="507">
        <v>0</v>
      </c>
      <c r="AA341" s="500"/>
      <c r="AB341" s="506" t="s">
        <v>605</v>
      </c>
      <c r="AC341" s="505">
        <v>0</v>
      </c>
      <c r="AD341" s="500"/>
      <c r="AE341" s="500"/>
      <c r="AF341" s="500"/>
      <c r="AG341" s="500"/>
      <c r="AH341" s="500"/>
      <c r="AI341" s="500"/>
      <c r="AJ341" s="500">
        <v>0</v>
      </c>
      <c r="AK341" s="506" t="s">
        <v>605</v>
      </c>
    </row>
    <row r="342" spans="6:37">
      <c r="F342" s="500" t="str">
        <f t="shared" si="79"/>
        <v>Fitness Center</v>
      </c>
      <c r="G342" s="500" t="str">
        <f t="shared" si="79"/>
        <v>2_5 gpm or higher</v>
      </c>
      <c r="H342" s="500" t="str">
        <f t="shared" si="79"/>
        <v>Mail-by-Request</v>
      </c>
      <c r="I342" s="500" t="str">
        <f t="shared" si="79"/>
        <v>1_50</v>
      </c>
      <c r="J342" s="500" t="str">
        <f t="shared" si="79"/>
        <v>Any Water Heating</v>
      </c>
      <c r="K342" s="500" t="str">
        <f t="shared" si="76"/>
        <v>Commercial Showerhead Replacement_Fitness Center_precondition 2_5 gpm or higher_efficient 1_50 gpm_Mail-by-Request_Any Water Heating - Embedded Water Energy</v>
      </c>
      <c r="L342" s="500"/>
      <c r="M342" s="501"/>
      <c r="N342" s="500"/>
      <c r="O342" s="500"/>
      <c r="P342" s="500"/>
      <c r="Q342" s="502"/>
      <c r="R342" s="503"/>
      <c r="S342" s="504"/>
      <c r="T342" s="505"/>
      <c r="U342" s="500"/>
      <c r="V342" s="500" t="str">
        <f t="shared" si="77"/>
        <v>Commercial Showerhead Replacement_Fitness Center_precondition 2_5 gpm or higher_efficient 1_50 gpm_Mail-by-Request_Any Water Heating</v>
      </c>
      <c r="W342" s="506" t="s">
        <v>604</v>
      </c>
      <c r="X342" s="502">
        <f t="shared" si="78"/>
        <v>180.57742594386252</v>
      </c>
      <c r="Y342" s="500">
        <v>10</v>
      </c>
      <c r="Z342" s="507">
        <v>0</v>
      </c>
      <c r="AA342" s="500"/>
      <c r="AB342" s="506" t="s">
        <v>605</v>
      </c>
      <c r="AC342" s="505">
        <v>0</v>
      </c>
      <c r="AD342" s="500"/>
      <c r="AE342" s="500"/>
      <c r="AF342" s="500"/>
      <c r="AG342" s="500"/>
      <c r="AH342" s="500"/>
      <c r="AI342" s="500"/>
      <c r="AJ342" s="500">
        <v>0</v>
      </c>
      <c r="AK342" s="506" t="s">
        <v>605</v>
      </c>
    </row>
    <row r="343" spans="6:37">
      <c r="F343" s="500" t="str">
        <f t="shared" si="79"/>
        <v>Fitness Center</v>
      </c>
      <c r="G343" s="500" t="str">
        <f t="shared" si="79"/>
        <v>2_4 to 2_49 gpm</v>
      </c>
      <c r="H343" s="500" t="str">
        <f t="shared" si="79"/>
        <v>Retail</v>
      </c>
      <c r="I343" s="500" t="str">
        <f t="shared" si="79"/>
        <v>2_00</v>
      </c>
      <c r="J343" s="500" t="str">
        <f t="shared" si="79"/>
        <v>Electric Water Heating</v>
      </c>
      <c r="K343" s="500" t="str">
        <f t="shared" si="76"/>
        <v>Commercial Showerhead Replacement_Fitness Center_precondition 2_4 to 2_49 gpm_efficient 2_00 gpm_Retail_Electric Water Heating - Embedded Water Energy</v>
      </c>
      <c r="L343" s="500"/>
      <c r="M343" s="501"/>
      <c r="N343" s="500"/>
      <c r="O343" s="500"/>
      <c r="P343" s="500"/>
      <c r="Q343" s="502"/>
      <c r="R343" s="503"/>
      <c r="S343" s="504"/>
      <c r="T343" s="505"/>
      <c r="U343" s="500"/>
      <c r="V343" s="500" t="str">
        <f t="shared" si="77"/>
        <v>Commercial Showerhead Replacement_Fitness Center_precondition 2_4 to 2_49 gpm_efficient 2_00 gpm_Retail_Electric Water Heating</v>
      </c>
      <c r="W343" s="506" t="s">
        <v>604</v>
      </c>
      <c r="X343" s="502">
        <f t="shared" si="78"/>
        <v>156.50043581801424</v>
      </c>
      <c r="Y343" s="500">
        <v>10</v>
      </c>
      <c r="Z343" s="507">
        <v>0</v>
      </c>
      <c r="AA343" s="500"/>
      <c r="AB343" s="506" t="s">
        <v>605</v>
      </c>
      <c r="AC343" s="505">
        <v>0</v>
      </c>
      <c r="AD343" s="500"/>
      <c r="AE343" s="500"/>
      <c r="AF343" s="500"/>
      <c r="AG343" s="500"/>
      <c r="AH343" s="500"/>
      <c r="AI343" s="500"/>
      <c r="AJ343" s="500">
        <v>0</v>
      </c>
      <c r="AK343" s="506" t="s">
        <v>605</v>
      </c>
    </row>
    <row r="344" spans="6:37">
      <c r="F344" s="500" t="str">
        <f t="shared" si="79"/>
        <v>Fitness Center</v>
      </c>
      <c r="G344" s="500" t="str">
        <f t="shared" si="79"/>
        <v>2_4 to 2_49 gpm</v>
      </c>
      <c r="H344" s="500" t="str">
        <f t="shared" si="79"/>
        <v>Retail</v>
      </c>
      <c r="I344" s="500" t="str">
        <f t="shared" si="79"/>
        <v>2_00</v>
      </c>
      <c r="J344" s="500" t="str">
        <f t="shared" si="79"/>
        <v>Gas Water Heating</v>
      </c>
      <c r="K344" s="500" t="str">
        <f t="shared" si="76"/>
        <v>Commercial Showerhead Replacement_Fitness Center_precondition 2_4 to 2_49 gpm_efficient 2_00 gpm_Retail_Gas Water Heating - Embedded Water Energy</v>
      </c>
      <c r="L344" s="500"/>
      <c r="M344" s="501"/>
      <c r="N344" s="500"/>
      <c r="O344" s="500"/>
      <c r="P344" s="500"/>
      <c r="Q344" s="502"/>
      <c r="R344" s="503"/>
      <c r="S344" s="504"/>
      <c r="T344" s="505"/>
      <c r="U344" s="500"/>
      <c r="V344" s="500" t="str">
        <f t="shared" si="77"/>
        <v>Commercial Showerhead Replacement_Fitness Center_precondition 2_4 to 2_49 gpm_efficient 2_00 gpm_Retail_Gas Water Heating</v>
      </c>
      <c r="W344" s="506" t="s">
        <v>604</v>
      </c>
      <c r="X344" s="502">
        <f t="shared" si="78"/>
        <v>156.50043581801424</v>
      </c>
      <c r="Y344" s="500">
        <v>10</v>
      </c>
      <c r="Z344" s="507">
        <v>0</v>
      </c>
      <c r="AA344" s="500"/>
      <c r="AB344" s="506" t="s">
        <v>605</v>
      </c>
      <c r="AC344" s="505">
        <v>0</v>
      </c>
      <c r="AD344" s="500"/>
      <c r="AE344" s="500"/>
      <c r="AF344" s="500"/>
      <c r="AG344" s="500"/>
      <c r="AH344" s="500"/>
      <c r="AI344" s="500"/>
      <c r="AJ344" s="500">
        <v>0</v>
      </c>
      <c r="AK344" s="506" t="s">
        <v>605</v>
      </c>
    </row>
    <row r="345" spans="6:37">
      <c r="F345" s="500" t="str">
        <f t="shared" si="79"/>
        <v>Fitness Center</v>
      </c>
      <c r="G345" s="500" t="str">
        <f t="shared" si="79"/>
        <v>2_4 to 2_49 gpm</v>
      </c>
      <c r="H345" s="500" t="str">
        <f t="shared" si="79"/>
        <v>Retail</v>
      </c>
      <c r="I345" s="500" t="str">
        <f t="shared" si="79"/>
        <v>2_00</v>
      </c>
      <c r="J345" s="500" t="str">
        <f t="shared" si="79"/>
        <v>Any Water Heating</v>
      </c>
      <c r="K345" s="500" t="str">
        <f t="shared" si="76"/>
        <v>Commercial Showerhead Replacement_Fitness Center_precondition 2_4 to 2_49 gpm_efficient 2_00 gpm_Retail_Any Water Heating - Embedded Water Energy</v>
      </c>
      <c r="L345" s="500"/>
      <c r="M345" s="501"/>
      <c r="N345" s="500"/>
      <c r="O345" s="500"/>
      <c r="P345" s="500"/>
      <c r="Q345" s="502"/>
      <c r="R345" s="503"/>
      <c r="S345" s="504"/>
      <c r="T345" s="505"/>
      <c r="U345" s="500"/>
      <c r="V345" s="500" t="str">
        <f t="shared" si="77"/>
        <v>Commercial Showerhead Replacement_Fitness Center_precondition 2_4 to 2_49 gpm_efficient 2_00 gpm_Retail_Any Water Heating</v>
      </c>
      <c r="W345" s="506" t="s">
        <v>604</v>
      </c>
      <c r="X345" s="502">
        <f t="shared" si="78"/>
        <v>156.50043581801424</v>
      </c>
      <c r="Y345" s="500">
        <v>10</v>
      </c>
      <c r="Z345" s="507">
        <v>0</v>
      </c>
      <c r="AA345" s="500"/>
      <c r="AB345" s="506" t="s">
        <v>605</v>
      </c>
      <c r="AC345" s="505">
        <v>0</v>
      </c>
      <c r="AD345" s="500"/>
      <c r="AE345" s="500"/>
      <c r="AF345" s="500"/>
      <c r="AG345" s="500"/>
      <c r="AH345" s="500"/>
      <c r="AI345" s="500"/>
      <c r="AJ345" s="500">
        <v>0</v>
      </c>
      <c r="AK345" s="506" t="s">
        <v>605</v>
      </c>
    </row>
    <row r="346" spans="6:37">
      <c r="F346" s="500" t="str">
        <f t="shared" si="79"/>
        <v>Fitness Center</v>
      </c>
      <c r="G346" s="500" t="str">
        <f t="shared" si="79"/>
        <v>2_4 to 2_49 gpm</v>
      </c>
      <c r="H346" s="500" t="str">
        <f t="shared" si="79"/>
        <v>Retail</v>
      </c>
      <c r="I346" s="500" t="str">
        <f t="shared" si="79"/>
        <v>1_75</v>
      </c>
      <c r="J346" s="500" t="str">
        <f t="shared" si="79"/>
        <v>Electric Water Heating</v>
      </c>
      <c r="K346" s="500" t="str">
        <f t="shared" si="76"/>
        <v>Commercial Showerhead Replacement_Fitness Center_precondition 2_4 to 2_49 gpm_efficient 1_75 gpm_Retail_Electric Water Heating - Embedded Water Energy</v>
      </c>
      <c r="L346" s="500"/>
      <c r="M346" s="501"/>
      <c r="N346" s="500"/>
      <c r="O346" s="500"/>
      <c r="P346" s="500"/>
      <c r="Q346" s="502"/>
      <c r="R346" s="503"/>
      <c r="S346" s="504"/>
      <c r="T346" s="505"/>
      <c r="U346" s="500"/>
      <c r="V346" s="500" t="str">
        <f t="shared" si="77"/>
        <v>Commercial Showerhead Replacement_Fitness Center_precondition 2_4 to 2_49 gpm_efficient 1_75 gpm_Retail_Electric Water Heating</v>
      </c>
      <c r="W346" s="506" t="s">
        <v>604</v>
      </c>
      <c r="X346" s="502">
        <f t="shared" si="78"/>
        <v>158.00524770087975</v>
      </c>
      <c r="Y346" s="500">
        <v>10</v>
      </c>
      <c r="Z346" s="507">
        <v>0</v>
      </c>
      <c r="AA346" s="500"/>
      <c r="AB346" s="506" t="s">
        <v>605</v>
      </c>
      <c r="AC346" s="505">
        <v>0</v>
      </c>
      <c r="AD346" s="500"/>
      <c r="AE346" s="500"/>
      <c r="AF346" s="500"/>
      <c r="AG346" s="500"/>
      <c r="AH346" s="500"/>
      <c r="AI346" s="500"/>
      <c r="AJ346" s="500">
        <v>0</v>
      </c>
      <c r="AK346" s="506" t="s">
        <v>605</v>
      </c>
    </row>
    <row r="347" spans="6:37">
      <c r="F347" s="500" t="str">
        <f t="shared" si="79"/>
        <v>Fitness Center</v>
      </c>
      <c r="G347" s="500" t="str">
        <f t="shared" si="79"/>
        <v>2_4 to 2_49 gpm</v>
      </c>
      <c r="H347" s="500" t="str">
        <f t="shared" si="79"/>
        <v>Retail</v>
      </c>
      <c r="I347" s="500" t="str">
        <f t="shared" si="79"/>
        <v>1_75</v>
      </c>
      <c r="J347" s="500" t="str">
        <f t="shared" si="79"/>
        <v>Gas Water Heating</v>
      </c>
      <c r="K347" s="500" t="str">
        <f t="shared" si="76"/>
        <v>Commercial Showerhead Replacement_Fitness Center_precondition 2_4 to 2_49 gpm_efficient 1_75 gpm_Retail_Gas Water Heating - Embedded Water Energy</v>
      </c>
      <c r="L347" s="500"/>
      <c r="M347" s="501"/>
      <c r="N347" s="500"/>
      <c r="O347" s="500"/>
      <c r="P347" s="500"/>
      <c r="Q347" s="502"/>
      <c r="R347" s="503"/>
      <c r="S347" s="504"/>
      <c r="T347" s="505"/>
      <c r="U347" s="500"/>
      <c r="V347" s="500" t="str">
        <f t="shared" si="77"/>
        <v>Commercial Showerhead Replacement_Fitness Center_precondition 2_4 to 2_49 gpm_efficient 1_75 gpm_Retail_Gas Water Heating</v>
      </c>
      <c r="W347" s="506" t="s">
        <v>604</v>
      </c>
      <c r="X347" s="502">
        <f t="shared" si="78"/>
        <v>158.00524770087975</v>
      </c>
      <c r="Y347" s="500">
        <v>10</v>
      </c>
      <c r="Z347" s="507">
        <v>0</v>
      </c>
      <c r="AA347" s="500"/>
      <c r="AB347" s="506" t="s">
        <v>605</v>
      </c>
      <c r="AC347" s="505">
        <v>0</v>
      </c>
      <c r="AD347" s="500"/>
      <c r="AE347" s="500"/>
      <c r="AF347" s="500"/>
      <c r="AG347" s="500"/>
      <c r="AH347" s="500"/>
      <c r="AI347" s="500"/>
      <c r="AJ347" s="500">
        <v>0</v>
      </c>
      <c r="AK347" s="506" t="s">
        <v>605</v>
      </c>
    </row>
    <row r="348" spans="6:37">
      <c r="F348" s="500" t="str">
        <f t="shared" ref="F348:J363" si="80">F51</f>
        <v>Fitness Center</v>
      </c>
      <c r="G348" s="500" t="str">
        <f t="shared" si="80"/>
        <v>2_4 to 2_49 gpm</v>
      </c>
      <c r="H348" s="500" t="str">
        <f t="shared" si="80"/>
        <v>Retail</v>
      </c>
      <c r="I348" s="500" t="str">
        <f t="shared" si="80"/>
        <v>1_75</v>
      </c>
      <c r="J348" s="500" t="str">
        <f t="shared" si="80"/>
        <v>Any Water Heating</v>
      </c>
      <c r="K348" s="500" t="str">
        <f t="shared" si="76"/>
        <v>Commercial Showerhead Replacement_Fitness Center_precondition 2_4 to 2_49 gpm_efficient 1_75 gpm_Retail_Any Water Heating - Embedded Water Energy</v>
      </c>
      <c r="L348" s="500"/>
      <c r="M348" s="501"/>
      <c r="N348" s="500"/>
      <c r="O348" s="500"/>
      <c r="P348" s="500"/>
      <c r="Q348" s="502"/>
      <c r="R348" s="503"/>
      <c r="S348" s="504"/>
      <c r="T348" s="505"/>
      <c r="U348" s="500"/>
      <c r="V348" s="500" t="str">
        <f t="shared" si="77"/>
        <v>Commercial Showerhead Replacement_Fitness Center_precondition 2_4 to 2_49 gpm_efficient 1_75 gpm_Retail_Any Water Heating</v>
      </c>
      <c r="W348" s="506" t="s">
        <v>604</v>
      </c>
      <c r="X348" s="502">
        <f t="shared" si="78"/>
        <v>158.00524770087975</v>
      </c>
      <c r="Y348" s="500">
        <v>10</v>
      </c>
      <c r="Z348" s="507">
        <v>0</v>
      </c>
      <c r="AA348" s="500"/>
      <c r="AB348" s="506" t="s">
        <v>605</v>
      </c>
      <c r="AC348" s="505">
        <v>0</v>
      </c>
      <c r="AD348" s="500"/>
      <c r="AE348" s="500"/>
      <c r="AF348" s="500"/>
      <c r="AG348" s="500"/>
      <c r="AH348" s="500"/>
      <c r="AI348" s="500"/>
      <c r="AJ348" s="500">
        <v>0</v>
      </c>
      <c r="AK348" s="506" t="s">
        <v>605</v>
      </c>
    </row>
    <row r="349" spans="6:37">
      <c r="F349" s="500" t="str">
        <f t="shared" si="80"/>
        <v>Fitness Center</v>
      </c>
      <c r="G349" s="500" t="str">
        <f t="shared" si="80"/>
        <v>2_4 to 2_49 gpm</v>
      </c>
      <c r="H349" s="500" t="str">
        <f t="shared" si="80"/>
        <v>Retail</v>
      </c>
      <c r="I349" s="500" t="str">
        <f t="shared" si="80"/>
        <v>1_50</v>
      </c>
      <c r="J349" s="500" t="str">
        <f t="shared" si="80"/>
        <v>Electric Water Heating</v>
      </c>
      <c r="K349" s="500" t="str">
        <f t="shared" si="76"/>
        <v>Commercial Showerhead Replacement_Fitness Center_precondition 2_4 to 2_49 gpm_efficient 1_50 gpm_Retail_Electric Water Heating - Embedded Water Energy</v>
      </c>
      <c r="L349" s="500"/>
      <c r="M349" s="501"/>
      <c r="N349" s="500"/>
      <c r="O349" s="500"/>
      <c r="P349" s="500"/>
      <c r="Q349" s="502"/>
      <c r="R349" s="503"/>
      <c r="S349" s="504"/>
      <c r="T349" s="505"/>
      <c r="U349" s="500"/>
      <c r="V349" s="500" t="str">
        <f t="shared" si="77"/>
        <v>Commercial Showerhead Replacement_Fitness Center_precondition 2_4 to 2_49 gpm_efficient 1_50 gpm_Retail_Electric Water Heating</v>
      </c>
      <c r="W349" s="506" t="s">
        <v>604</v>
      </c>
      <c r="X349" s="502">
        <f t="shared" si="78"/>
        <v>200.13998042111433</v>
      </c>
      <c r="Y349" s="500">
        <v>10</v>
      </c>
      <c r="Z349" s="507">
        <v>0</v>
      </c>
      <c r="AA349" s="500"/>
      <c r="AB349" s="506" t="s">
        <v>605</v>
      </c>
      <c r="AC349" s="505">
        <v>0</v>
      </c>
      <c r="AD349" s="500"/>
      <c r="AE349" s="500"/>
      <c r="AF349" s="500"/>
      <c r="AG349" s="500"/>
      <c r="AH349" s="500"/>
      <c r="AI349" s="500"/>
      <c r="AJ349" s="500">
        <v>0</v>
      </c>
      <c r="AK349" s="506" t="s">
        <v>605</v>
      </c>
    </row>
    <row r="350" spans="6:37">
      <c r="F350" s="500" t="str">
        <f t="shared" si="80"/>
        <v>Fitness Center</v>
      </c>
      <c r="G350" s="500" t="str">
        <f t="shared" si="80"/>
        <v>2_4 to 2_49 gpm</v>
      </c>
      <c r="H350" s="500" t="str">
        <f t="shared" si="80"/>
        <v>Retail</v>
      </c>
      <c r="I350" s="500" t="str">
        <f t="shared" si="80"/>
        <v>1_50</v>
      </c>
      <c r="J350" s="500" t="str">
        <f t="shared" si="80"/>
        <v>Gas Water Heating</v>
      </c>
      <c r="K350" s="500" t="str">
        <f t="shared" si="76"/>
        <v>Commercial Showerhead Replacement_Fitness Center_precondition 2_4 to 2_49 gpm_efficient 1_50 gpm_Retail_Gas Water Heating - Embedded Water Energy</v>
      </c>
      <c r="L350" s="500"/>
      <c r="M350" s="501"/>
      <c r="N350" s="500"/>
      <c r="O350" s="500"/>
      <c r="P350" s="500"/>
      <c r="Q350" s="502"/>
      <c r="R350" s="503"/>
      <c r="S350" s="504"/>
      <c r="T350" s="505"/>
      <c r="U350" s="500"/>
      <c r="V350" s="500" t="str">
        <f t="shared" si="77"/>
        <v>Commercial Showerhead Replacement_Fitness Center_precondition 2_4 to 2_49 gpm_efficient 1_50 gpm_Retail_Gas Water Heating</v>
      </c>
      <c r="W350" s="506" t="s">
        <v>604</v>
      </c>
      <c r="X350" s="502">
        <f t="shared" si="78"/>
        <v>200.13998042111433</v>
      </c>
      <c r="Y350" s="500">
        <v>10</v>
      </c>
      <c r="Z350" s="507">
        <v>0</v>
      </c>
      <c r="AA350" s="500"/>
      <c r="AB350" s="506" t="s">
        <v>605</v>
      </c>
      <c r="AC350" s="505">
        <v>0</v>
      </c>
      <c r="AD350" s="500"/>
      <c r="AE350" s="500"/>
      <c r="AF350" s="500"/>
      <c r="AG350" s="500"/>
      <c r="AH350" s="500"/>
      <c r="AI350" s="500"/>
      <c r="AJ350" s="500">
        <v>0</v>
      </c>
      <c r="AK350" s="506" t="s">
        <v>605</v>
      </c>
    </row>
    <row r="351" spans="6:37">
      <c r="F351" s="500" t="str">
        <f t="shared" si="80"/>
        <v>Fitness Center</v>
      </c>
      <c r="G351" s="500" t="str">
        <f t="shared" si="80"/>
        <v>2_4 to 2_49 gpm</v>
      </c>
      <c r="H351" s="500" t="str">
        <f t="shared" si="80"/>
        <v>Retail</v>
      </c>
      <c r="I351" s="500" t="str">
        <f t="shared" si="80"/>
        <v>1_50</v>
      </c>
      <c r="J351" s="500" t="str">
        <f t="shared" si="80"/>
        <v>Any Water Heating</v>
      </c>
      <c r="K351" s="500" t="str">
        <f t="shared" si="76"/>
        <v>Commercial Showerhead Replacement_Fitness Center_precondition 2_4 to 2_49 gpm_efficient 1_50 gpm_Retail_Any Water Heating - Embedded Water Energy</v>
      </c>
      <c r="L351" s="500"/>
      <c r="M351" s="501"/>
      <c r="N351" s="500"/>
      <c r="O351" s="500"/>
      <c r="P351" s="500"/>
      <c r="Q351" s="502"/>
      <c r="R351" s="503"/>
      <c r="S351" s="504"/>
      <c r="T351" s="505"/>
      <c r="U351" s="500"/>
      <c r="V351" s="500" t="str">
        <f t="shared" si="77"/>
        <v>Commercial Showerhead Replacement_Fitness Center_precondition 2_4 to 2_49 gpm_efficient 1_50 gpm_Retail_Any Water Heating</v>
      </c>
      <c r="W351" s="506" t="s">
        <v>604</v>
      </c>
      <c r="X351" s="502">
        <f t="shared" si="78"/>
        <v>200.13998042111433</v>
      </c>
      <c r="Y351" s="500">
        <v>10</v>
      </c>
      <c r="Z351" s="507">
        <v>0</v>
      </c>
      <c r="AA351" s="500"/>
      <c r="AB351" s="506" t="s">
        <v>605</v>
      </c>
      <c r="AC351" s="505">
        <v>0</v>
      </c>
      <c r="AD351" s="500"/>
      <c r="AE351" s="500"/>
      <c r="AF351" s="500"/>
      <c r="AG351" s="500"/>
      <c r="AH351" s="500"/>
      <c r="AI351" s="500"/>
      <c r="AJ351" s="500">
        <v>0</v>
      </c>
      <c r="AK351" s="506" t="s">
        <v>605</v>
      </c>
    </row>
    <row r="352" spans="6:37">
      <c r="F352" s="500" t="str">
        <f t="shared" si="80"/>
        <v>Fitness Center</v>
      </c>
      <c r="G352" s="500" t="str">
        <f t="shared" si="80"/>
        <v>2_4 to 2_49 gpm</v>
      </c>
      <c r="H352" s="500" t="str">
        <f t="shared" si="80"/>
        <v>Direct Install</v>
      </c>
      <c r="I352" s="500" t="str">
        <f t="shared" si="80"/>
        <v>2_00</v>
      </c>
      <c r="J352" s="500" t="str">
        <f t="shared" si="80"/>
        <v>Electric Water Heating</v>
      </c>
      <c r="K352" s="500" t="str">
        <f t="shared" si="76"/>
        <v>Commercial Showerhead Replacement_Fitness Center_precondition 2_4 to 2_49 gpm_efficient 2_00 gpm_Direct Install_Electric Water Heating - Embedded Water Energy</v>
      </c>
      <c r="L352" s="500"/>
      <c r="M352" s="501"/>
      <c r="N352" s="500"/>
      <c r="O352" s="500"/>
      <c r="P352" s="500"/>
      <c r="Q352" s="502"/>
      <c r="R352" s="503"/>
      <c r="S352" s="504"/>
      <c r="T352" s="505"/>
      <c r="U352" s="500"/>
      <c r="V352" s="500" t="str">
        <f t="shared" si="77"/>
        <v>Commercial Showerhead Replacement_Fitness Center_precondition 2_4 to 2_49 gpm_efficient 2_00 gpm_Direct Install_Electric Water Heating</v>
      </c>
      <c r="W352" s="506" t="s">
        <v>604</v>
      </c>
      <c r="X352" s="502">
        <f t="shared" si="78"/>
        <v>176.06299029526602</v>
      </c>
      <c r="Y352" s="500">
        <v>10</v>
      </c>
      <c r="Z352" s="507">
        <v>0</v>
      </c>
      <c r="AA352" s="500"/>
      <c r="AB352" s="506" t="s">
        <v>605</v>
      </c>
      <c r="AC352" s="505">
        <v>0</v>
      </c>
      <c r="AD352" s="500"/>
      <c r="AE352" s="500"/>
      <c r="AF352" s="500"/>
      <c r="AG352" s="500"/>
      <c r="AH352" s="500"/>
      <c r="AI352" s="500"/>
      <c r="AJ352" s="500">
        <v>0</v>
      </c>
      <c r="AK352" s="506" t="s">
        <v>605</v>
      </c>
    </row>
    <row r="353" spans="6:37">
      <c r="F353" s="500" t="str">
        <f t="shared" si="80"/>
        <v>Fitness Center</v>
      </c>
      <c r="G353" s="500" t="str">
        <f t="shared" si="80"/>
        <v>2_4 to 2_49 gpm</v>
      </c>
      <c r="H353" s="500" t="str">
        <f t="shared" si="80"/>
        <v>Direct Install</v>
      </c>
      <c r="I353" s="500" t="str">
        <f t="shared" si="80"/>
        <v>2_00</v>
      </c>
      <c r="J353" s="500" t="str">
        <f t="shared" si="80"/>
        <v>Gas Water Heating</v>
      </c>
      <c r="K353" s="500" t="str">
        <f t="shared" si="76"/>
        <v>Commercial Showerhead Replacement_Fitness Center_precondition 2_4 to 2_49 gpm_efficient 2_00 gpm_Direct Install_Gas Water Heating - Embedded Water Energy</v>
      </c>
      <c r="L353" s="500"/>
      <c r="M353" s="501"/>
      <c r="N353" s="500"/>
      <c r="O353" s="500"/>
      <c r="P353" s="500"/>
      <c r="Q353" s="502"/>
      <c r="R353" s="503"/>
      <c r="S353" s="504"/>
      <c r="T353" s="505"/>
      <c r="U353" s="500"/>
      <c r="V353" s="500" t="str">
        <f t="shared" si="77"/>
        <v>Commercial Showerhead Replacement_Fitness Center_precondition 2_4 to 2_49 gpm_efficient 2_00 gpm_Direct Install_Gas Water Heating</v>
      </c>
      <c r="W353" s="506" t="s">
        <v>604</v>
      </c>
      <c r="X353" s="502">
        <f t="shared" si="78"/>
        <v>176.06299029526602</v>
      </c>
      <c r="Y353" s="500">
        <v>10</v>
      </c>
      <c r="Z353" s="507">
        <v>0</v>
      </c>
      <c r="AA353" s="500"/>
      <c r="AB353" s="506" t="s">
        <v>605</v>
      </c>
      <c r="AC353" s="505">
        <v>0</v>
      </c>
      <c r="AD353" s="500"/>
      <c r="AE353" s="500"/>
      <c r="AF353" s="500"/>
      <c r="AG353" s="500"/>
      <c r="AH353" s="500"/>
      <c r="AI353" s="500"/>
      <c r="AJ353" s="500">
        <v>0</v>
      </c>
      <c r="AK353" s="506" t="s">
        <v>605</v>
      </c>
    </row>
    <row r="354" spans="6:37">
      <c r="F354" s="500" t="str">
        <f t="shared" si="80"/>
        <v>Fitness Center</v>
      </c>
      <c r="G354" s="500" t="str">
        <f t="shared" si="80"/>
        <v>2_4 to 2_49 gpm</v>
      </c>
      <c r="H354" s="500" t="str">
        <f t="shared" si="80"/>
        <v>Direct Install</v>
      </c>
      <c r="I354" s="500" t="str">
        <f t="shared" si="80"/>
        <v>2_00</v>
      </c>
      <c r="J354" s="500" t="str">
        <f t="shared" si="80"/>
        <v>Any Water Heating</v>
      </c>
      <c r="K354" s="500" t="str">
        <f t="shared" si="76"/>
        <v>Commercial Showerhead Replacement_Fitness Center_precondition 2_4 to 2_49 gpm_efficient 2_00 gpm_Direct Install_Any Water Heating - Embedded Water Energy</v>
      </c>
      <c r="L354" s="500"/>
      <c r="M354" s="501"/>
      <c r="N354" s="500"/>
      <c r="O354" s="500"/>
      <c r="P354" s="500"/>
      <c r="Q354" s="502"/>
      <c r="R354" s="503"/>
      <c r="S354" s="504"/>
      <c r="T354" s="505"/>
      <c r="U354" s="500"/>
      <c r="V354" s="500" t="str">
        <f t="shared" si="77"/>
        <v>Commercial Showerhead Replacement_Fitness Center_precondition 2_4 to 2_49 gpm_efficient 2_00 gpm_Direct Install_Any Water Heating</v>
      </c>
      <c r="W354" s="506" t="s">
        <v>604</v>
      </c>
      <c r="X354" s="502">
        <f t="shared" si="78"/>
        <v>176.06299029526602</v>
      </c>
      <c r="Y354" s="500">
        <v>10</v>
      </c>
      <c r="Z354" s="507">
        <v>0</v>
      </c>
      <c r="AA354" s="500"/>
      <c r="AB354" s="506" t="s">
        <v>605</v>
      </c>
      <c r="AC354" s="505">
        <v>0</v>
      </c>
      <c r="AD354" s="500"/>
      <c r="AE354" s="500"/>
      <c r="AF354" s="500"/>
      <c r="AG354" s="500"/>
      <c r="AH354" s="500"/>
      <c r="AI354" s="500"/>
      <c r="AJ354" s="500">
        <v>0</v>
      </c>
      <c r="AK354" s="506" t="s">
        <v>605</v>
      </c>
    </row>
    <row r="355" spans="6:37">
      <c r="F355" s="500" t="str">
        <f t="shared" si="80"/>
        <v>Fitness Center</v>
      </c>
      <c r="G355" s="500" t="str">
        <f t="shared" si="80"/>
        <v>2_4 to 2_49 gpm</v>
      </c>
      <c r="H355" s="500" t="str">
        <f t="shared" si="80"/>
        <v>Direct Install</v>
      </c>
      <c r="I355" s="500" t="str">
        <f t="shared" si="80"/>
        <v>1_75</v>
      </c>
      <c r="J355" s="500" t="str">
        <f t="shared" si="80"/>
        <v>Electric Water Heating</v>
      </c>
      <c r="K355" s="500" t="str">
        <f t="shared" si="76"/>
        <v>Commercial Showerhead Replacement_Fitness Center_precondition 2_4 to 2_49 gpm_efficient 1_75 gpm_Direct Install_Electric Water Heating - Embedded Water Energy</v>
      </c>
      <c r="L355" s="500"/>
      <c r="M355" s="501"/>
      <c r="N355" s="500"/>
      <c r="O355" s="500"/>
      <c r="P355" s="500"/>
      <c r="Q355" s="502"/>
      <c r="R355" s="503"/>
      <c r="S355" s="504"/>
      <c r="T355" s="505"/>
      <c r="U355" s="500"/>
      <c r="V355" s="500" t="str">
        <f t="shared" si="77"/>
        <v>Commercial Showerhead Replacement_Fitness Center_precondition 2_4 to 2_49 gpm_efficient 1_75 gpm_Direct Install_Electric Water Heating</v>
      </c>
      <c r="W355" s="506" t="s">
        <v>604</v>
      </c>
      <c r="X355" s="502">
        <f t="shared" si="78"/>
        <v>189.6062972410557</v>
      </c>
      <c r="Y355" s="500">
        <v>10</v>
      </c>
      <c r="Z355" s="507">
        <v>0</v>
      </c>
      <c r="AA355" s="500"/>
      <c r="AB355" s="506" t="s">
        <v>605</v>
      </c>
      <c r="AC355" s="505">
        <v>0</v>
      </c>
      <c r="AD355" s="500"/>
      <c r="AE355" s="500"/>
      <c r="AF355" s="500"/>
      <c r="AG355" s="500"/>
      <c r="AH355" s="500"/>
      <c r="AI355" s="500"/>
      <c r="AJ355" s="500">
        <v>0</v>
      </c>
      <c r="AK355" s="506" t="s">
        <v>605</v>
      </c>
    </row>
    <row r="356" spans="6:37">
      <c r="F356" s="500" t="str">
        <f t="shared" si="80"/>
        <v>Fitness Center</v>
      </c>
      <c r="G356" s="500" t="str">
        <f t="shared" si="80"/>
        <v>2_4 to 2_49 gpm</v>
      </c>
      <c r="H356" s="500" t="str">
        <f t="shared" si="80"/>
        <v>Direct Install</v>
      </c>
      <c r="I356" s="500" t="str">
        <f t="shared" si="80"/>
        <v>1_75</v>
      </c>
      <c r="J356" s="500" t="str">
        <f t="shared" si="80"/>
        <v>Gas Water Heating</v>
      </c>
      <c r="K356" s="500" t="str">
        <f t="shared" si="76"/>
        <v>Commercial Showerhead Replacement_Fitness Center_precondition 2_4 to 2_49 gpm_efficient 1_75 gpm_Direct Install_Gas Water Heating - Embedded Water Energy</v>
      </c>
      <c r="L356" s="500"/>
      <c r="M356" s="501"/>
      <c r="N356" s="500"/>
      <c r="O356" s="500"/>
      <c r="P356" s="500"/>
      <c r="Q356" s="502"/>
      <c r="R356" s="503"/>
      <c r="S356" s="504"/>
      <c r="T356" s="505"/>
      <c r="U356" s="500"/>
      <c r="V356" s="500" t="str">
        <f t="shared" si="77"/>
        <v>Commercial Showerhead Replacement_Fitness Center_precondition 2_4 to 2_49 gpm_efficient 1_75 gpm_Direct Install_Gas Water Heating</v>
      </c>
      <c r="W356" s="506" t="s">
        <v>604</v>
      </c>
      <c r="X356" s="502">
        <f t="shared" si="78"/>
        <v>189.6062972410557</v>
      </c>
      <c r="Y356" s="500">
        <v>10</v>
      </c>
      <c r="Z356" s="507">
        <v>0</v>
      </c>
      <c r="AA356" s="500"/>
      <c r="AB356" s="506" t="s">
        <v>605</v>
      </c>
      <c r="AC356" s="505">
        <v>0</v>
      </c>
      <c r="AD356" s="500"/>
      <c r="AE356" s="500"/>
      <c r="AF356" s="500"/>
      <c r="AG356" s="500"/>
      <c r="AH356" s="500"/>
      <c r="AI356" s="500"/>
      <c r="AJ356" s="500">
        <v>0</v>
      </c>
      <c r="AK356" s="506" t="s">
        <v>605</v>
      </c>
    </row>
    <row r="357" spans="6:37">
      <c r="F357" s="500" t="str">
        <f t="shared" si="80"/>
        <v>Fitness Center</v>
      </c>
      <c r="G357" s="500" t="str">
        <f t="shared" si="80"/>
        <v>2_4 to 2_49 gpm</v>
      </c>
      <c r="H357" s="500" t="str">
        <f t="shared" si="80"/>
        <v>Direct Install</v>
      </c>
      <c r="I357" s="500" t="str">
        <f t="shared" si="80"/>
        <v>1_75</v>
      </c>
      <c r="J357" s="500" t="str">
        <f t="shared" si="80"/>
        <v>Any Water Heating</v>
      </c>
      <c r="K357" s="500" t="str">
        <f t="shared" si="76"/>
        <v>Commercial Showerhead Replacement_Fitness Center_precondition 2_4 to 2_49 gpm_efficient 1_75 gpm_Direct Install_Any Water Heating - Embedded Water Energy</v>
      </c>
      <c r="L357" s="500"/>
      <c r="M357" s="501"/>
      <c r="N357" s="500"/>
      <c r="O357" s="500"/>
      <c r="P357" s="500"/>
      <c r="Q357" s="502"/>
      <c r="R357" s="503"/>
      <c r="S357" s="504"/>
      <c r="T357" s="505"/>
      <c r="U357" s="500"/>
      <c r="V357" s="500" t="str">
        <f t="shared" si="77"/>
        <v>Commercial Showerhead Replacement_Fitness Center_precondition 2_4 to 2_49 gpm_efficient 1_75 gpm_Direct Install_Any Water Heating</v>
      </c>
      <c r="W357" s="506" t="s">
        <v>604</v>
      </c>
      <c r="X357" s="502">
        <f t="shared" si="78"/>
        <v>189.6062972410557</v>
      </c>
      <c r="Y357" s="500">
        <v>10</v>
      </c>
      <c r="Z357" s="507">
        <v>0</v>
      </c>
      <c r="AA357" s="500"/>
      <c r="AB357" s="506" t="s">
        <v>605</v>
      </c>
      <c r="AC357" s="505">
        <v>0</v>
      </c>
      <c r="AD357" s="500"/>
      <c r="AE357" s="500"/>
      <c r="AF357" s="500"/>
      <c r="AG357" s="500"/>
      <c r="AH357" s="500"/>
      <c r="AI357" s="500"/>
      <c r="AJ357" s="500">
        <v>0</v>
      </c>
      <c r="AK357" s="506" t="s">
        <v>605</v>
      </c>
    </row>
    <row r="358" spans="6:37">
      <c r="F358" s="500" t="str">
        <f t="shared" si="80"/>
        <v>Fitness Center</v>
      </c>
      <c r="G358" s="500" t="str">
        <f t="shared" si="80"/>
        <v>2_4 to 2_49 gpm</v>
      </c>
      <c r="H358" s="500" t="str">
        <f t="shared" si="80"/>
        <v>Direct Install</v>
      </c>
      <c r="I358" s="500" t="str">
        <f t="shared" si="80"/>
        <v>1_50</v>
      </c>
      <c r="J358" s="500" t="str">
        <f t="shared" si="80"/>
        <v>Electric Water Heating</v>
      </c>
      <c r="K358" s="500" t="str">
        <f t="shared" si="76"/>
        <v>Commercial Showerhead Replacement_Fitness Center_precondition 2_4 to 2_49 gpm_efficient 1_50 gpm_Direct Install_Electric Water Heating - Embedded Water Energy</v>
      </c>
      <c r="L358" s="500"/>
      <c r="M358" s="501"/>
      <c r="N358" s="500"/>
      <c r="O358" s="500"/>
      <c r="P358" s="500"/>
      <c r="Q358" s="502"/>
      <c r="R358" s="503"/>
      <c r="S358" s="504"/>
      <c r="T358" s="505"/>
      <c r="U358" s="500"/>
      <c r="V358" s="500" t="str">
        <f t="shared" si="77"/>
        <v>Commercial Showerhead Replacement_Fitness Center_precondition 2_4 to 2_49 gpm_efficient 1_50 gpm_Direct Install_Electric Water Heating</v>
      </c>
      <c r="W358" s="506" t="s">
        <v>604</v>
      </c>
      <c r="X358" s="502">
        <f t="shared" si="78"/>
        <v>257.32283197000419</v>
      </c>
      <c r="Y358" s="500">
        <v>10</v>
      </c>
      <c r="Z358" s="507">
        <v>0</v>
      </c>
      <c r="AA358" s="500"/>
      <c r="AB358" s="506" t="s">
        <v>605</v>
      </c>
      <c r="AC358" s="505">
        <v>0</v>
      </c>
      <c r="AD358" s="500"/>
      <c r="AE358" s="500"/>
      <c r="AF358" s="500"/>
      <c r="AG358" s="500"/>
      <c r="AH358" s="500"/>
      <c r="AI358" s="500"/>
      <c r="AJ358" s="500">
        <v>0</v>
      </c>
      <c r="AK358" s="506" t="s">
        <v>605</v>
      </c>
    </row>
    <row r="359" spans="6:37">
      <c r="F359" s="500" t="str">
        <f t="shared" si="80"/>
        <v>Fitness Center</v>
      </c>
      <c r="G359" s="500" t="str">
        <f t="shared" si="80"/>
        <v>2_4 to 2_49 gpm</v>
      </c>
      <c r="H359" s="500" t="str">
        <f t="shared" si="80"/>
        <v>Direct Install</v>
      </c>
      <c r="I359" s="500" t="str">
        <f t="shared" si="80"/>
        <v>1_50</v>
      </c>
      <c r="J359" s="500" t="str">
        <f t="shared" si="80"/>
        <v>Gas Water Heating</v>
      </c>
      <c r="K359" s="500" t="str">
        <f t="shared" si="76"/>
        <v>Commercial Showerhead Replacement_Fitness Center_precondition 2_4 to 2_49 gpm_efficient 1_50 gpm_Direct Install_Gas Water Heating - Embedded Water Energy</v>
      </c>
      <c r="L359" s="500"/>
      <c r="M359" s="501"/>
      <c r="N359" s="500"/>
      <c r="O359" s="500"/>
      <c r="P359" s="500"/>
      <c r="Q359" s="502"/>
      <c r="R359" s="503"/>
      <c r="S359" s="504"/>
      <c r="T359" s="505"/>
      <c r="U359" s="500"/>
      <c r="V359" s="500" t="str">
        <f t="shared" si="77"/>
        <v>Commercial Showerhead Replacement_Fitness Center_precondition 2_4 to 2_49 gpm_efficient 1_50 gpm_Direct Install_Gas Water Heating</v>
      </c>
      <c r="W359" s="506" t="s">
        <v>604</v>
      </c>
      <c r="X359" s="502">
        <f t="shared" si="78"/>
        <v>257.32283197000419</v>
      </c>
      <c r="Y359" s="500">
        <v>10</v>
      </c>
      <c r="Z359" s="507">
        <v>0</v>
      </c>
      <c r="AA359" s="500"/>
      <c r="AB359" s="506" t="s">
        <v>605</v>
      </c>
      <c r="AC359" s="505">
        <v>0</v>
      </c>
      <c r="AD359" s="500"/>
      <c r="AE359" s="500"/>
      <c r="AF359" s="500"/>
      <c r="AG359" s="500"/>
      <c r="AH359" s="500"/>
      <c r="AI359" s="500"/>
      <c r="AJ359" s="500">
        <v>0</v>
      </c>
      <c r="AK359" s="506" t="s">
        <v>605</v>
      </c>
    </row>
    <row r="360" spans="6:37">
      <c r="F360" s="500" t="str">
        <f t="shared" si="80"/>
        <v>Fitness Center</v>
      </c>
      <c r="G360" s="500" t="str">
        <f t="shared" si="80"/>
        <v>2_4 to 2_49 gpm</v>
      </c>
      <c r="H360" s="500" t="str">
        <f t="shared" si="80"/>
        <v>Direct Install</v>
      </c>
      <c r="I360" s="500" t="str">
        <f t="shared" si="80"/>
        <v>1_50</v>
      </c>
      <c r="J360" s="500" t="str">
        <f t="shared" si="80"/>
        <v>Any Water Heating</v>
      </c>
      <c r="K360" s="500" t="str">
        <f t="shared" si="76"/>
        <v>Commercial Showerhead Replacement_Fitness Center_precondition 2_4 to 2_49 gpm_efficient 1_50 gpm_Direct Install_Any Water Heating - Embedded Water Energy</v>
      </c>
      <c r="L360" s="500"/>
      <c r="M360" s="501"/>
      <c r="N360" s="500"/>
      <c r="O360" s="500"/>
      <c r="P360" s="500"/>
      <c r="Q360" s="502"/>
      <c r="R360" s="503"/>
      <c r="S360" s="504"/>
      <c r="T360" s="505"/>
      <c r="U360" s="500"/>
      <c r="V360" s="500" t="str">
        <f t="shared" si="77"/>
        <v>Commercial Showerhead Replacement_Fitness Center_precondition 2_4 to 2_49 gpm_efficient 1_50 gpm_Direct Install_Any Water Heating</v>
      </c>
      <c r="W360" s="506" t="s">
        <v>604</v>
      </c>
      <c r="X360" s="502">
        <f t="shared" si="78"/>
        <v>257.32283197000419</v>
      </c>
      <c r="Y360" s="500">
        <v>10</v>
      </c>
      <c r="Z360" s="507">
        <v>0</v>
      </c>
      <c r="AA360" s="500"/>
      <c r="AB360" s="506" t="s">
        <v>605</v>
      </c>
      <c r="AC360" s="505">
        <v>0</v>
      </c>
      <c r="AD360" s="500"/>
      <c r="AE360" s="500"/>
      <c r="AF360" s="500"/>
      <c r="AG360" s="500"/>
      <c r="AH360" s="500"/>
      <c r="AI360" s="500"/>
      <c r="AJ360" s="500">
        <v>0</v>
      </c>
      <c r="AK360" s="506" t="s">
        <v>605</v>
      </c>
    </row>
    <row r="361" spans="6:37">
      <c r="F361" s="500" t="str">
        <f t="shared" si="80"/>
        <v>Fitness Center</v>
      </c>
      <c r="G361" s="500" t="str">
        <f t="shared" si="80"/>
        <v>2_4 to 2_49 gpm</v>
      </c>
      <c r="H361" s="500" t="str">
        <f t="shared" si="80"/>
        <v>Mail-by-Request</v>
      </c>
      <c r="I361" s="500" t="str">
        <f t="shared" si="80"/>
        <v>2_00</v>
      </c>
      <c r="J361" s="500" t="str">
        <f t="shared" si="80"/>
        <v>Electric Water Heating</v>
      </c>
      <c r="K361" s="500" t="str">
        <f t="shared" si="76"/>
        <v>Commercial Showerhead Replacement_Fitness Center_precondition 2_4 to 2_49 gpm_efficient 2_00 gpm_Mail-by-Request_Electric Water Heating - Embedded Water Energy</v>
      </c>
      <c r="L361" s="500"/>
      <c r="M361" s="501"/>
      <c r="N361" s="500"/>
      <c r="O361" s="500"/>
      <c r="P361" s="500"/>
      <c r="Q361" s="502"/>
      <c r="R361" s="503"/>
      <c r="S361" s="504"/>
      <c r="T361" s="505"/>
      <c r="U361" s="500"/>
      <c r="V361" s="500" t="str">
        <f t="shared" si="77"/>
        <v>Commercial Showerhead Replacement_Fitness Center_precondition 2_4 to 2_49 gpm_efficient 2_00 gpm_Mail-by-Request_Electric Water Heating</v>
      </c>
      <c r="W361" s="506" t="s">
        <v>604</v>
      </c>
      <c r="X361" s="502">
        <f t="shared" si="78"/>
        <v>117.37532686351068</v>
      </c>
      <c r="Y361" s="500">
        <v>10</v>
      </c>
      <c r="Z361" s="507">
        <v>0</v>
      </c>
      <c r="AA361" s="500"/>
      <c r="AB361" s="506" t="s">
        <v>605</v>
      </c>
      <c r="AC361" s="505">
        <v>0</v>
      </c>
      <c r="AD361" s="500"/>
      <c r="AE361" s="500"/>
      <c r="AF361" s="500"/>
      <c r="AG361" s="500"/>
      <c r="AH361" s="500"/>
      <c r="AI361" s="500"/>
      <c r="AJ361" s="500">
        <v>0</v>
      </c>
      <c r="AK361" s="506" t="s">
        <v>605</v>
      </c>
    </row>
    <row r="362" spans="6:37">
      <c r="F362" s="500" t="str">
        <f t="shared" si="80"/>
        <v>Fitness Center</v>
      </c>
      <c r="G362" s="500" t="str">
        <f t="shared" si="80"/>
        <v>2_4 to 2_49 gpm</v>
      </c>
      <c r="H362" s="500" t="str">
        <f t="shared" si="80"/>
        <v>Mail-by-Request</v>
      </c>
      <c r="I362" s="500" t="str">
        <f t="shared" si="80"/>
        <v>2_00</v>
      </c>
      <c r="J362" s="500" t="str">
        <f t="shared" si="80"/>
        <v>Gas Water Heating</v>
      </c>
      <c r="K362" s="500" t="str">
        <f t="shared" si="76"/>
        <v>Commercial Showerhead Replacement_Fitness Center_precondition 2_4 to 2_49 gpm_efficient 2_00 gpm_Mail-by-Request_Gas Water Heating - Embedded Water Energy</v>
      </c>
      <c r="L362" s="500"/>
      <c r="M362" s="501"/>
      <c r="N362" s="500"/>
      <c r="O362" s="500"/>
      <c r="P362" s="500"/>
      <c r="Q362" s="502"/>
      <c r="R362" s="503"/>
      <c r="S362" s="504"/>
      <c r="T362" s="505"/>
      <c r="U362" s="500"/>
      <c r="V362" s="500" t="str">
        <f t="shared" si="77"/>
        <v>Commercial Showerhead Replacement_Fitness Center_precondition 2_4 to 2_49 gpm_efficient 2_00 gpm_Mail-by-Request_Gas Water Heating</v>
      </c>
      <c r="W362" s="506" t="s">
        <v>604</v>
      </c>
      <c r="X362" s="502">
        <f t="shared" si="78"/>
        <v>117.37532686351068</v>
      </c>
      <c r="Y362" s="500">
        <v>10</v>
      </c>
      <c r="Z362" s="507">
        <v>0</v>
      </c>
      <c r="AA362" s="500"/>
      <c r="AB362" s="506" t="s">
        <v>605</v>
      </c>
      <c r="AC362" s="505">
        <v>0</v>
      </c>
      <c r="AD362" s="500"/>
      <c r="AE362" s="500"/>
      <c r="AF362" s="500"/>
      <c r="AG362" s="500"/>
      <c r="AH362" s="500"/>
      <c r="AI362" s="500"/>
      <c r="AJ362" s="500">
        <v>0</v>
      </c>
      <c r="AK362" s="506" t="s">
        <v>605</v>
      </c>
    </row>
    <row r="363" spans="6:37">
      <c r="F363" s="500" t="str">
        <f t="shared" si="80"/>
        <v>Fitness Center</v>
      </c>
      <c r="G363" s="500" t="str">
        <f t="shared" si="80"/>
        <v>2_4 to 2_49 gpm</v>
      </c>
      <c r="H363" s="500" t="str">
        <f t="shared" si="80"/>
        <v>Mail-by-Request</v>
      </c>
      <c r="I363" s="500" t="str">
        <f t="shared" si="80"/>
        <v>2_00</v>
      </c>
      <c r="J363" s="500" t="str">
        <f t="shared" si="80"/>
        <v>Any Water Heating</v>
      </c>
      <c r="K363" s="500" t="str">
        <f t="shared" si="76"/>
        <v>Commercial Showerhead Replacement_Fitness Center_precondition 2_4 to 2_49 gpm_efficient 2_00 gpm_Mail-by-Request_Any Water Heating - Embedded Water Energy</v>
      </c>
      <c r="L363" s="500"/>
      <c r="M363" s="501"/>
      <c r="N363" s="500"/>
      <c r="O363" s="500"/>
      <c r="P363" s="500"/>
      <c r="Q363" s="502"/>
      <c r="R363" s="503"/>
      <c r="S363" s="504"/>
      <c r="T363" s="505"/>
      <c r="U363" s="500"/>
      <c r="V363" s="500" t="str">
        <f t="shared" si="77"/>
        <v>Commercial Showerhead Replacement_Fitness Center_precondition 2_4 to 2_49 gpm_efficient 2_00 gpm_Mail-by-Request_Any Water Heating</v>
      </c>
      <c r="W363" s="506" t="s">
        <v>604</v>
      </c>
      <c r="X363" s="502">
        <f t="shared" si="78"/>
        <v>117.37532686351068</v>
      </c>
      <c r="Y363" s="500">
        <v>10</v>
      </c>
      <c r="Z363" s="507">
        <v>0</v>
      </c>
      <c r="AA363" s="500"/>
      <c r="AB363" s="506" t="s">
        <v>605</v>
      </c>
      <c r="AC363" s="505">
        <v>0</v>
      </c>
      <c r="AD363" s="500"/>
      <c r="AE363" s="500"/>
      <c r="AF363" s="500"/>
      <c r="AG363" s="500"/>
      <c r="AH363" s="500"/>
      <c r="AI363" s="500"/>
      <c r="AJ363" s="500">
        <v>0</v>
      </c>
      <c r="AK363" s="506" t="s">
        <v>605</v>
      </c>
    </row>
    <row r="364" spans="6:37">
      <c r="F364" s="500" t="str">
        <f t="shared" ref="F364:J379" si="81">F67</f>
        <v>Fitness Center</v>
      </c>
      <c r="G364" s="500" t="str">
        <f t="shared" si="81"/>
        <v>2_4 to 2_49 gpm</v>
      </c>
      <c r="H364" s="500" t="str">
        <f t="shared" si="81"/>
        <v>Mail-by-Request</v>
      </c>
      <c r="I364" s="500" t="str">
        <f t="shared" si="81"/>
        <v>1_75</v>
      </c>
      <c r="J364" s="500" t="str">
        <f t="shared" si="81"/>
        <v>Electric Water Heating</v>
      </c>
      <c r="K364" s="500" t="str">
        <f t="shared" si="76"/>
        <v>Commercial Showerhead Replacement_Fitness Center_precondition 2_4 to 2_49 gpm_efficient 1_75 gpm_Mail-by-Request_Electric Water Heating - Embedded Water Energy</v>
      </c>
      <c r="L364" s="500"/>
      <c r="M364" s="501"/>
      <c r="N364" s="500"/>
      <c r="O364" s="500"/>
      <c r="P364" s="500"/>
      <c r="Q364" s="502"/>
      <c r="R364" s="503"/>
      <c r="S364" s="504"/>
      <c r="T364" s="505"/>
      <c r="U364" s="500"/>
      <c r="V364" s="500" t="str">
        <f t="shared" si="77"/>
        <v>Commercial Showerhead Replacement_Fitness Center_precondition 2_4 to 2_49 gpm_efficient 1_75 gpm_Mail-by-Request_Electric Water Heating</v>
      </c>
      <c r="W364" s="506" t="s">
        <v>604</v>
      </c>
      <c r="X364" s="502">
        <f t="shared" si="78"/>
        <v>126.40419816070379</v>
      </c>
      <c r="Y364" s="500">
        <v>10</v>
      </c>
      <c r="Z364" s="507">
        <v>0</v>
      </c>
      <c r="AA364" s="500"/>
      <c r="AB364" s="506" t="s">
        <v>605</v>
      </c>
      <c r="AC364" s="505">
        <v>0</v>
      </c>
      <c r="AD364" s="500"/>
      <c r="AE364" s="500"/>
      <c r="AF364" s="500"/>
      <c r="AG364" s="500"/>
      <c r="AH364" s="500"/>
      <c r="AI364" s="500"/>
      <c r="AJ364" s="500">
        <v>0</v>
      </c>
      <c r="AK364" s="506" t="s">
        <v>605</v>
      </c>
    </row>
    <row r="365" spans="6:37">
      <c r="F365" s="500" t="str">
        <f t="shared" si="81"/>
        <v>Fitness Center</v>
      </c>
      <c r="G365" s="500" t="str">
        <f t="shared" si="81"/>
        <v>2_4 to 2_49 gpm</v>
      </c>
      <c r="H365" s="500" t="str">
        <f t="shared" si="81"/>
        <v>Mail-by-Request</v>
      </c>
      <c r="I365" s="500" t="str">
        <f t="shared" si="81"/>
        <v>1_75</v>
      </c>
      <c r="J365" s="500" t="str">
        <f t="shared" si="81"/>
        <v>Gas Water Heating</v>
      </c>
      <c r="K365" s="500" t="str">
        <f t="shared" si="76"/>
        <v>Commercial Showerhead Replacement_Fitness Center_precondition 2_4 to 2_49 gpm_efficient 1_75 gpm_Mail-by-Request_Gas Water Heating - Embedded Water Energy</v>
      </c>
      <c r="L365" s="500"/>
      <c r="M365" s="501"/>
      <c r="N365" s="500"/>
      <c r="O365" s="500"/>
      <c r="P365" s="500"/>
      <c r="Q365" s="502"/>
      <c r="R365" s="503"/>
      <c r="S365" s="504"/>
      <c r="T365" s="505"/>
      <c r="U365" s="500"/>
      <c r="V365" s="500" t="str">
        <f t="shared" si="77"/>
        <v>Commercial Showerhead Replacement_Fitness Center_precondition 2_4 to 2_49 gpm_efficient 1_75 gpm_Mail-by-Request_Gas Water Heating</v>
      </c>
      <c r="W365" s="506" t="s">
        <v>604</v>
      </c>
      <c r="X365" s="502">
        <f t="shared" si="78"/>
        <v>126.40419816070379</v>
      </c>
      <c r="Y365" s="500">
        <v>10</v>
      </c>
      <c r="Z365" s="507">
        <v>0</v>
      </c>
      <c r="AA365" s="500"/>
      <c r="AB365" s="506" t="s">
        <v>605</v>
      </c>
      <c r="AC365" s="505">
        <v>0</v>
      </c>
      <c r="AD365" s="500"/>
      <c r="AE365" s="500"/>
      <c r="AF365" s="500"/>
      <c r="AG365" s="500"/>
      <c r="AH365" s="500"/>
      <c r="AI365" s="500"/>
      <c r="AJ365" s="500">
        <v>0</v>
      </c>
      <c r="AK365" s="506" t="s">
        <v>605</v>
      </c>
    </row>
    <row r="366" spans="6:37">
      <c r="F366" s="500" t="str">
        <f t="shared" si="81"/>
        <v>Fitness Center</v>
      </c>
      <c r="G366" s="500" t="str">
        <f t="shared" si="81"/>
        <v>2_4 to 2_49 gpm</v>
      </c>
      <c r="H366" s="500" t="str">
        <f t="shared" si="81"/>
        <v>Mail-by-Request</v>
      </c>
      <c r="I366" s="500" t="str">
        <f t="shared" si="81"/>
        <v>1_75</v>
      </c>
      <c r="J366" s="500" t="str">
        <f t="shared" si="81"/>
        <v>Any Water Heating</v>
      </c>
      <c r="K366" s="500" t="str">
        <f t="shared" si="76"/>
        <v>Commercial Showerhead Replacement_Fitness Center_precondition 2_4 to 2_49 gpm_efficient 1_75 gpm_Mail-by-Request_Any Water Heating - Embedded Water Energy</v>
      </c>
      <c r="L366" s="500"/>
      <c r="M366" s="501"/>
      <c r="N366" s="500"/>
      <c r="O366" s="500"/>
      <c r="P366" s="500"/>
      <c r="Q366" s="502"/>
      <c r="R366" s="503"/>
      <c r="S366" s="504"/>
      <c r="T366" s="505"/>
      <c r="U366" s="500"/>
      <c r="V366" s="500" t="str">
        <f t="shared" si="77"/>
        <v>Commercial Showerhead Replacement_Fitness Center_precondition 2_4 to 2_49 gpm_efficient 1_75 gpm_Mail-by-Request_Any Water Heating</v>
      </c>
      <c r="W366" s="506" t="s">
        <v>604</v>
      </c>
      <c r="X366" s="502">
        <f t="shared" si="78"/>
        <v>126.40419816070379</v>
      </c>
      <c r="Y366" s="500">
        <v>10</v>
      </c>
      <c r="Z366" s="507">
        <v>0</v>
      </c>
      <c r="AA366" s="500"/>
      <c r="AB366" s="506" t="s">
        <v>605</v>
      </c>
      <c r="AC366" s="505">
        <v>0</v>
      </c>
      <c r="AD366" s="500"/>
      <c r="AE366" s="500"/>
      <c r="AF366" s="500"/>
      <c r="AG366" s="500"/>
      <c r="AH366" s="500"/>
      <c r="AI366" s="500"/>
      <c r="AJ366" s="500">
        <v>0</v>
      </c>
      <c r="AK366" s="506" t="s">
        <v>605</v>
      </c>
    </row>
    <row r="367" spans="6:37">
      <c r="F367" s="500" t="str">
        <f t="shared" si="81"/>
        <v>Fitness Center</v>
      </c>
      <c r="G367" s="500" t="str">
        <f t="shared" si="81"/>
        <v>2_4 to 2_49 gpm</v>
      </c>
      <c r="H367" s="500" t="str">
        <f t="shared" si="81"/>
        <v>Mail-by-Request</v>
      </c>
      <c r="I367" s="500" t="str">
        <f t="shared" si="81"/>
        <v>1_50</v>
      </c>
      <c r="J367" s="500" t="str">
        <f t="shared" si="81"/>
        <v>Electric Water Heating</v>
      </c>
      <c r="K367" s="500" t="str">
        <f t="shared" si="76"/>
        <v>Commercial Showerhead Replacement_Fitness Center_precondition 2_4 to 2_49 gpm_efficient 1_50 gpm_Mail-by-Request_Electric Water Heating - Embedded Water Energy</v>
      </c>
      <c r="L367" s="500"/>
      <c r="M367" s="501"/>
      <c r="N367" s="500"/>
      <c r="O367" s="500"/>
      <c r="P367" s="500"/>
      <c r="Q367" s="502"/>
      <c r="R367" s="503"/>
      <c r="S367" s="504"/>
      <c r="T367" s="505"/>
      <c r="U367" s="500"/>
      <c r="V367" s="500" t="str">
        <f t="shared" si="77"/>
        <v>Commercial Showerhead Replacement_Fitness Center_precondition 2_4 to 2_49 gpm_efficient 1_50 gpm_Mail-by-Request_Electric Water Heating</v>
      </c>
      <c r="W367" s="506" t="s">
        <v>604</v>
      </c>
      <c r="X367" s="502">
        <f t="shared" si="78"/>
        <v>171.54855464666943</v>
      </c>
      <c r="Y367" s="500">
        <v>10</v>
      </c>
      <c r="Z367" s="507">
        <v>0</v>
      </c>
      <c r="AA367" s="500"/>
      <c r="AB367" s="506" t="s">
        <v>605</v>
      </c>
      <c r="AC367" s="505">
        <v>0</v>
      </c>
      <c r="AD367" s="500"/>
      <c r="AE367" s="500"/>
      <c r="AF367" s="500"/>
      <c r="AG367" s="500"/>
      <c r="AH367" s="500"/>
      <c r="AI367" s="500"/>
      <c r="AJ367" s="500">
        <v>0</v>
      </c>
      <c r="AK367" s="506" t="s">
        <v>605</v>
      </c>
    </row>
    <row r="368" spans="6:37">
      <c r="F368" s="500" t="str">
        <f t="shared" si="81"/>
        <v>Fitness Center</v>
      </c>
      <c r="G368" s="500" t="str">
        <f t="shared" si="81"/>
        <v>2_4 to 2_49 gpm</v>
      </c>
      <c r="H368" s="500" t="str">
        <f t="shared" si="81"/>
        <v>Mail-by-Request</v>
      </c>
      <c r="I368" s="500" t="str">
        <f t="shared" si="81"/>
        <v>1_50</v>
      </c>
      <c r="J368" s="500" t="str">
        <f t="shared" si="81"/>
        <v>Gas Water Heating</v>
      </c>
      <c r="K368" s="500" t="str">
        <f t="shared" si="76"/>
        <v>Commercial Showerhead Replacement_Fitness Center_precondition 2_4 to 2_49 gpm_efficient 1_50 gpm_Mail-by-Request_Gas Water Heating - Embedded Water Energy</v>
      </c>
      <c r="L368" s="500"/>
      <c r="M368" s="501"/>
      <c r="N368" s="500"/>
      <c r="O368" s="500"/>
      <c r="P368" s="500"/>
      <c r="Q368" s="502"/>
      <c r="R368" s="503"/>
      <c r="S368" s="504"/>
      <c r="T368" s="505"/>
      <c r="U368" s="500"/>
      <c r="V368" s="500" t="str">
        <f t="shared" si="77"/>
        <v>Commercial Showerhead Replacement_Fitness Center_precondition 2_4 to 2_49 gpm_efficient 1_50 gpm_Mail-by-Request_Gas Water Heating</v>
      </c>
      <c r="W368" s="506" t="s">
        <v>604</v>
      </c>
      <c r="X368" s="502">
        <f t="shared" si="78"/>
        <v>171.54855464666943</v>
      </c>
      <c r="Y368" s="500">
        <v>10</v>
      </c>
      <c r="Z368" s="507">
        <v>0</v>
      </c>
      <c r="AA368" s="500"/>
      <c r="AB368" s="506" t="s">
        <v>605</v>
      </c>
      <c r="AC368" s="505">
        <v>0</v>
      </c>
      <c r="AD368" s="500"/>
      <c r="AE368" s="500"/>
      <c r="AF368" s="500"/>
      <c r="AG368" s="500"/>
      <c r="AH368" s="500"/>
      <c r="AI368" s="500"/>
      <c r="AJ368" s="500">
        <v>0</v>
      </c>
      <c r="AK368" s="506" t="s">
        <v>605</v>
      </c>
    </row>
    <row r="369" spans="6:37">
      <c r="F369" s="500" t="str">
        <f t="shared" si="81"/>
        <v>Fitness Center</v>
      </c>
      <c r="G369" s="500" t="str">
        <f t="shared" si="81"/>
        <v>2_4 to 2_49 gpm</v>
      </c>
      <c r="H369" s="500" t="str">
        <f t="shared" si="81"/>
        <v>Mail-by-Request</v>
      </c>
      <c r="I369" s="500" t="str">
        <f t="shared" si="81"/>
        <v>1_50</v>
      </c>
      <c r="J369" s="500" t="str">
        <f t="shared" si="81"/>
        <v>Any Water Heating</v>
      </c>
      <c r="K369" s="500" t="str">
        <f t="shared" si="76"/>
        <v>Commercial Showerhead Replacement_Fitness Center_precondition 2_4 to 2_49 gpm_efficient 1_50 gpm_Mail-by-Request_Any Water Heating - Embedded Water Energy</v>
      </c>
      <c r="L369" s="500"/>
      <c r="M369" s="501"/>
      <c r="N369" s="500"/>
      <c r="O369" s="500"/>
      <c r="P369" s="500"/>
      <c r="Q369" s="502"/>
      <c r="R369" s="503"/>
      <c r="S369" s="504"/>
      <c r="T369" s="505"/>
      <c r="U369" s="500"/>
      <c r="V369" s="500" t="str">
        <f t="shared" si="77"/>
        <v>Commercial Showerhead Replacement_Fitness Center_precondition 2_4 to 2_49 gpm_efficient 1_50 gpm_Mail-by-Request_Any Water Heating</v>
      </c>
      <c r="W369" s="506" t="s">
        <v>604</v>
      </c>
      <c r="X369" s="502">
        <f t="shared" si="78"/>
        <v>171.54855464666943</v>
      </c>
      <c r="Y369" s="500">
        <v>10</v>
      </c>
      <c r="Z369" s="507">
        <v>0</v>
      </c>
      <c r="AA369" s="500"/>
      <c r="AB369" s="506" t="s">
        <v>605</v>
      </c>
      <c r="AC369" s="505">
        <v>0</v>
      </c>
      <c r="AD369" s="500"/>
      <c r="AE369" s="500"/>
      <c r="AF369" s="500"/>
      <c r="AG369" s="500"/>
      <c r="AH369" s="500"/>
      <c r="AI369" s="500"/>
      <c r="AJ369" s="500">
        <v>0</v>
      </c>
      <c r="AK369" s="506" t="s">
        <v>605</v>
      </c>
    </row>
    <row r="370" spans="6:37">
      <c r="F370" s="500" t="str">
        <f t="shared" si="81"/>
        <v>Fitness Center</v>
      </c>
      <c r="G370" s="500" t="str">
        <f t="shared" si="81"/>
        <v>2_30 to 2_39 gpm</v>
      </c>
      <c r="H370" s="500" t="str">
        <f t="shared" si="81"/>
        <v>Retail</v>
      </c>
      <c r="I370" s="500" t="str">
        <f t="shared" si="81"/>
        <v>2_00</v>
      </c>
      <c r="J370" s="500" t="str">
        <f t="shared" si="81"/>
        <v>Electric Water Heating</v>
      </c>
      <c r="K370" s="500" t="str">
        <f t="shared" si="76"/>
        <v>Commercial Showerhead Replacement_Fitness Center_precondition 2_30 to 2_39 gpm_efficient 2_00 gpm_Retail_Electric Water Heating - Embedded Water Energy</v>
      </c>
      <c r="L370" s="500"/>
      <c r="M370" s="501"/>
      <c r="N370" s="500"/>
      <c r="O370" s="500"/>
      <c r="P370" s="500"/>
      <c r="Q370" s="502"/>
      <c r="R370" s="503"/>
      <c r="S370" s="504"/>
      <c r="T370" s="505"/>
      <c r="U370" s="500"/>
      <c r="V370" s="500" t="str">
        <f t="shared" si="77"/>
        <v>Commercial Showerhead Replacement_Fitness Center_precondition 2_30 to 2_39 gpm_efficient 2_00 gpm_Retail_Electric Water Heating</v>
      </c>
      <c r="W370" s="506" t="s">
        <v>604</v>
      </c>
      <c r="X370" s="502">
        <f t="shared" si="78"/>
        <v>132.42344569216593</v>
      </c>
      <c r="Y370" s="500">
        <v>10</v>
      </c>
      <c r="Z370" s="507">
        <v>0</v>
      </c>
      <c r="AA370" s="500"/>
      <c r="AB370" s="506" t="s">
        <v>605</v>
      </c>
      <c r="AC370" s="505">
        <v>0</v>
      </c>
      <c r="AD370" s="500"/>
      <c r="AE370" s="500"/>
      <c r="AF370" s="500"/>
      <c r="AG370" s="500"/>
      <c r="AH370" s="500"/>
      <c r="AI370" s="500"/>
      <c r="AJ370" s="500">
        <v>0</v>
      </c>
      <c r="AK370" s="506" t="s">
        <v>605</v>
      </c>
    </row>
    <row r="371" spans="6:37">
      <c r="F371" s="500" t="str">
        <f t="shared" si="81"/>
        <v>Fitness Center</v>
      </c>
      <c r="G371" s="500" t="str">
        <f t="shared" si="81"/>
        <v>2_30 to 2_39 gpm</v>
      </c>
      <c r="H371" s="500" t="str">
        <f t="shared" si="81"/>
        <v>Retail</v>
      </c>
      <c r="I371" s="500" t="str">
        <f t="shared" si="81"/>
        <v>2_00</v>
      </c>
      <c r="J371" s="500" t="str">
        <f t="shared" si="81"/>
        <v>Gas Water Heating</v>
      </c>
      <c r="K371" s="500" t="str">
        <f t="shared" si="76"/>
        <v>Commercial Showerhead Replacement_Fitness Center_precondition 2_30 to 2_39 gpm_efficient 2_00 gpm_Retail_Gas Water Heating - Embedded Water Energy</v>
      </c>
      <c r="L371" s="500"/>
      <c r="M371" s="501"/>
      <c r="N371" s="500"/>
      <c r="O371" s="500"/>
      <c r="P371" s="500"/>
      <c r="Q371" s="502"/>
      <c r="R371" s="503"/>
      <c r="S371" s="504"/>
      <c r="T371" s="505"/>
      <c r="U371" s="500"/>
      <c r="V371" s="500" t="str">
        <f t="shared" si="77"/>
        <v>Commercial Showerhead Replacement_Fitness Center_precondition 2_30 to 2_39 gpm_efficient 2_00 gpm_Retail_Gas Water Heating</v>
      </c>
      <c r="W371" s="506" t="s">
        <v>604</v>
      </c>
      <c r="X371" s="502">
        <f t="shared" si="78"/>
        <v>132.42344569216593</v>
      </c>
      <c r="Y371" s="500">
        <v>10</v>
      </c>
      <c r="Z371" s="507">
        <v>0</v>
      </c>
      <c r="AA371" s="500"/>
      <c r="AB371" s="506" t="s">
        <v>605</v>
      </c>
      <c r="AC371" s="505">
        <v>0</v>
      </c>
      <c r="AD371" s="500"/>
      <c r="AE371" s="500"/>
      <c r="AF371" s="500"/>
      <c r="AG371" s="500"/>
      <c r="AH371" s="500"/>
      <c r="AI371" s="500"/>
      <c r="AJ371" s="500">
        <v>0</v>
      </c>
      <c r="AK371" s="506" t="s">
        <v>605</v>
      </c>
    </row>
    <row r="372" spans="6:37">
      <c r="F372" s="500" t="str">
        <f t="shared" si="81"/>
        <v>Fitness Center</v>
      </c>
      <c r="G372" s="500" t="str">
        <f t="shared" si="81"/>
        <v>2_30 to 2_39 gpm</v>
      </c>
      <c r="H372" s="500" t="str">
        <f t="shared" si="81"/>
        <v>Retail</v>
      </c>
      <c r="I372" s="500" t="str">
        <f t="shared" si="81"/>
        <v>2_00</v>
      </c>
      <c r="J372" s="500" t="str">
        <f t="shared" si="81"/>
        <v>Any Water Heating</v>
      </c>
      <c r="K372" s="500" t="str">
        <f t="shared" si="76"/>
        <v>Commercial Showerhead Replacement_Fitness Center_precondition 2_30 to 2_39 gpm_efficient 2_00 gpm_Retail_Any Water Heating - Embedded Water Energy</v>
      </c>
      <c r="L372" s="500"/>
      <c r="M372" s="501"/>
      <c r="N372" s="500"/>
      <c r="O372" s="500"/>
      <c r="P372" s="500"/>
      <c r="Q372" s="502"/>
      <c r="R372" s="503"/>
      <c r="S372" s="504"/>
      <c r="T372" s="505"/>
      <c r="U372" s="500"/>
      <c r="V372" s="500" t="str">
        <f t="shared" si="77"/>
        <v>Commercial Showerhead Replacement_Fitness Center_precondition 2_30 to 2_39 gpm_efficient 2_00 gpm_Retail_Any Water Heating</v>
      </c>
      <c r="W372" s="506" t="s">
        <v>604</v>
      </c>
      <c r="X372" s="502">
        <f t="shared" si="78"/>
        <v>132.42344569216593</v>
      </c>
      <c r="Y372" s="500">
        <v>10</v>
      </c>
      <c r="Z372" s="507">
        <v>0</v>
      </c>
      <c r="AA372" s="500"/>
      <c r="AB372" s="506" t="s">
        <v>605</v>
      </c>
      <c r="AC372" s="505">
        <v>0</v>
      </c>
      <c r="AD372" s="500"/>
      <c r="AE372" s="500"/>
      <c r="AF372" s="500"/>
      <c r="AG372" s="500"/>
      <c r="AH372" s="500"/>
      <c r="AI372" s="500"/>
      <c r="AJ372" s="500">
        <v>0</v>
      </c>
      <c r="AK372" s="506" t="s">
        <v>605</v>
      </c>
    </row>
    <row r="373" spans="6:37">
      <c r="F373" s="500" t="str">
        <f t="shared" si="81"/>
        <v>Fitness Center</v>
      </c>
      <c r="G373" s="500" t="str">
        <f t="shared" si="81"/>
        <v>2_30 to 2_39 gpm</v>
      </c>
      <c r="H373" s="500" t="str">
        <f t="shared" si="81"/>
        <v>Retail</v>
      </c>
      <c r="I373" s="500" t="str">
        <f t="shared" si="81"/>
        <v>1_75</v>
      </c>
      <c r="J373" s="500" t="str">
        <f t="shared" si="81"/>
        <v>Electric Water Heating</v>
      </c>
      <c r="K373" s="500" t="str">
        <f t="shared" si="76"/>
        <v>Commercial Showerhead Replacement_Fitness Center_precondition 2_30 to 2_39 gpm_efficient 1_75 gpm_Retail_Electric Water Heating - Embedded Water Energy</v>
      </c>
      <c r="L373" s="500"/>
      <c r="M373" s="501"/>
      <c r="N373" s="500"/>
      <c r="O373" s="500"/>
      <c r="P373" s="500"/>
      <c r="Q373" s="502"/>
      <c r="R373" s="503"/>
      <c r="S373" s="504"/>
      <c r="T373" s="505"/>
      <c r="U373" s="500"/>
      <c r="V373" s="500" t="str">
        <f t="shared" si="77"/>
        <v>Commercial Showerhead Replacement_Fitness Center_precondition 2_30 to 2_39 gpm_efficient 1_75 gpm_Retail_Electric Water Heating</v>
      </c>
      <c r="W373" s="506" t="s">
        <v>604</v>
      </c>
      <c r="X373" s="502">
        <f t="shared" si="78"/>
        <v>135.43306945789692</v>
      </c>
      <c r="Y373" s="500">
        <v>10</v>
      </c>
      <c r="Z373" s="507">
        <v>0</v>
      </c>
      <c r="AA373" s="500"/>
      <c r="AB373" s="506" t="s">
        <v>605</v>
      </c>
      <c r="AC373" s="505">
        <v>0</v>
      </c>
      <c r="AD373" s="500"/>
      <c r="AE373" s="500"/>
      <c r="AF373" s="500"/>
      <c r="AG373" s="500"/>
      <c r="AH373" s="500"/>
      <c r="AI373" s="500"/>
      <c r="AJ373" s="500">
        <v>0</v>
      </c>
      <c r="AK373" s="506" t="s">
        <v>605</v>
      </c>
    </row>
    <row r="374" spans="6:37">
      <c r="F374" s="500" t="str">
        <f t="shared" si="81"/>
        <v>Fitness Center</v>
      </c>
      <c r="G374" s="500" t="str">
        <f t="shared" si="81"/>
        <v>2_30 to 2_39 gpm</v>
      </c>
      <c r="H374" s="500" t="str">
        <f t="shared" si="81"/>
        <v>Retail</v>
      </c>
      <c r="I374" s="500" t="str">
        <f t="shared" si="81"/>
        <v>1_75</v>
      </c>
      <c r="J374" s="500" t="str">
        <f t="shared" si="81"/>
        <v>Gas Water Heating</v>
      </c>
      <c r="K374" s="500" t="str">
        <f t="shared" si="76"/>
        <v>Commercial Showerhead Replacement_Fitness Center_precondition 2_30 to 2_39 gpm_efficient 1_75 gpm_Retail_Gas Water Heating - Embedded Water Energy</v>
      </c>
      <c r="L374" s="500"/>
      <c r="M374" s="501"/>
      <c r="N374" s="500"/>
      <c r="O374" s="500"/>
      <c r="P374" s="500"/>
      <c r="Q374" s="502"/>
      <c r="R374" s="503"/>
      <c r="S374" s="504"/>
      <c r="T374" s="505"/>
      <c r="U374" s="500"/>
      <c r="V374" s="500" t="str">
        <f t="shared" si="77"/>
        <v>Commercial Showerhead Replacement_Fitness Center_precondition 2_30 to 2_39 gpm_efficient 1_75 gpm_Retail_Gas Water Heating</v>
      </c>
      <c r="W374" s="506" t="s">
        <v>604</v>
      </c>
      <c r="X374" s="502">
        <f t="shared" si="78"/>
        <v>135.43306945789692</v>
      </c>
      <c r="Y374" s="500">
        <v>10</v>
      </c>
      <c r="Z374" s="507">
        <v>0</v>
      </c>
      <c r="AA374" s="500"/>
      <c r="AB374" s="506" t="s">
        <v>605</v>
      </c>
      <c r="AC374" s="505">
        <v>0</v>
      </c>
      <c r="AD374" s="500"/>
      <c r="AE374" s="500"/>
      <c r="AF374" s="500"/>
      <c r="AG374" s="500"/>
      <c r="AH374" s="500"/>
      <c r="AI374" s="500"/>
      <c r="AJ374" s="500">
        <v>0</v>
      </c>
      <c r="AK374" s="506" t="s">
        <v>605</v>
      </c>
    </row>
    <row r="375" spans="6:37">
      <c r="F375" s="500" t="str">
        <f t="shared" si="81"/>
        <v>Fitness Center</v>
      </c>
      <c r="G375" s="500" t="str">
        <f t="shared" si="81"/>
        <v>2_30 to 2_39 gpm</v>
      </c>
      <c r="H375" s="500" t="str">
        <f t="shared" si="81"/>
        <v>Retail</v>
      </c>
      <c r="I375" s="500" t="str">
        <f t="shared" si="81"/>
        <v>1_75</v>
      </c>
      <c r="J375" s="500" t="str">
        <f t="shared" si="81"/>
        <v>Any Water Heating</v>
      </c>
      <c r="K375" s="500" t="str">
        <f t="shared" si="76"/>
        <v>Commercial Showerhead Replacement_Fitness Center_precondition 2_30 to 2_39 gpm_efficient 1_75 gpm_Retail_Any Water Heating - Embedded Water Energy</v>
      </c>
      <c r="L375" s="500"/>
      <c r="M375" s="501"/>
      <c r="N375" s="500"/>
      <c r="O375" s="500"/>
      <c r="P375" s="500"/>
      <c r="Q375" s="502"/>
      <c r="R375" s="503"/>
      <c r="S375" s="504"/>
      <c r="T375" s="505"/>
      <c r="U375" s="500"/>
      <c r="V375" s="500" t="str">
        <f t="shared" si="77"/>
        <v>Commercial Showerhead Replacement_Fitness Center_precondition 2_30 to 2_39 gpm_efficient 1_75 gpm_Retail_Any Water Heating</v>
      </c>
      <c r="W375" s="506" t="s">
        <v>604</v>
      </c>
      <c r="X375" s="502">
        <f t="shared" si="78"/>
        <v>135.43306945789692</v>
      </c>
      <c r="Y375" s="500">
        <v>10</v>
      </c>
      <c r="Z375" s="507">
        <v>0</v>
      </c>
      <c r="AA375" s="500"/>
      <c r="AB375" s="506" t="s">
        <v>605</v>
      </c>
      <c r="AC375" s="505">
        <v>0</v>
      </c>
      <c r="AD375" s="500"/>
      <c r="AE375" s="500"/>
      <c r="AF375" s="500"/>
      <c r="AG375" s="500"/>
      <c r="AH375" s="500"/>
      <c r="AI375" s="500"/>
      <c r="AJ375" s="500">
        <v>0</v>
      </c>
      <c r="AK375" s="506" t="s">
        <v>605</v>
      </c>
    </row>
    <row r="376" spans="6:37">
      <c r="F376" s="500" t="str">
        <f t="shared" si="81"/>
        <v>Fitness Center</v>
      </c>
      <c r="G376" s="500" t="str">
        <f t="shared" si="81"/>
        <v>2_30 to 2_39 gpm</v>
      </c>
      <c r="H376" s="500" t="str">
        <f t="shared" si="81"/>
        <v>Retail</v>
      </c>
      <c r="I376" s="500" t="str">
        <f t="shared" si="81"/>
        <v>1_50</v>
      </c>
      <c r="J376" s="500" t="str">
        <f t="shared" si="81"/>
        <v>Electric Water Heating</v>
      </c>
      <c r="K376" s="500" t="str">
        <f t="shared" si="76"/>
        <v>Commercial Showerhead Replacement_Fitness Center_precondition 2_30 to 2_39 gpm_efficient 1_50 gpm_Retail_Electric Water Heating - Embedded Water Energy</v>
      </c>
      <c r="L376" s="500"/>
      <c r="M376" s="501"/>
      <c r="N376" s="500"/>
      <c r="O376" s="500"/>
      <c r="P376" s="500"/>
      <c r="Q376" s="502"/>
      <c r="R376" s="503"/>
      <c r="S376" s="504"/>
      <c r="T376" s="505"/>
      <c r="U376" s="500"/>
      <c r="V376" s="500" t="str">
        <f t="shared" si="77"/>
        <v>Commercial Showerhead Replacement_Fitness Center_precondition 2_30 to 2_39 gpm_efficient 1_50 gpm_Retail_Electric Water Heating</v>
      </c>
      <c r="W376" s="506" t="s">
        <v>604</v>
      </c>
      <c r="X376" s="502">
        <f t="shared" si="78"/>
        <v>179.07261406099704</v>
      </c>
      <c r="Y376" s="500">
        <v>10</v>
      </c>
      <c r="Z376" s="507">
        <v>0</v>
      </c>
      <c r="AA376" s="500"/>
      <c r="AB376" s="506" t="s">
        <v>605</v>
      </c>
      <c r="AC376" s="505">
        <v>0</v>
      </c>
      <c r="AD376" s="500"/>
      <c r="AE376" s="500"/>
      <c r="AF376" s="500"/>
      <c r="AG376" s="500"/>
      <c r="AH376" s="500"/>
      <c r="AI376" s="500"/>
      <c r="AJ376" s="500">
        <v>0</v>
      </c>
      <c r="AK376" s="506" t="s">
        <v>605</v>
      </c>
    </row>
    <row r="377" spans="6:37">
      <c r="F377" s="500" t="str">
        <f t="shared" si="81"/>
        <v>Fitness Center</v>
      </c>
      <c r="G377" s="500" t="str">
        <f t="shared" si="81"/>
        <v>2_30 to 2_39 gpm</v>
      </c>
      <c r="H377" s="500" t="str">
        <f t="shared" si="81"/>
        <v>Retail</v>
      </c>
      <c r="I377" s="500" t="str">
        <f t="shared" si="81"/>
        <v>1_50</v>
      </c>
      <c r="J377" s="500" t="str">
        <f t="shared" si="81"/>
        <v>Gas Water Heating</v>
      </c>
      <c r="K377" s="500" t="str">
        <f t="shared" si="76"/>
        <v>Commercial Showerhead Replacement_Fitness Center_precondition 2_30 to 2_39 gpm_efficient 1_50 gpm_Retail_Gas Water Heating - Embedded Water Energy</v>
      </c>
      <c r="L377" s="500"/>
      <c r="M377" s="501"/>
      <c r="N377" s="500"/>
      <c r="O377" s="500"/>
      <c r="P377" s="500"/>
      <c r="Q377" s="502"/>
      <c r="R377" s="503"/>
      <c r="S377" s="504"/>
      <c r="T377" s="505"/>
      <c r="U377" s="500"/>
      <c r="V377" s="500" t="str">
        <f t="shared" si="77"/>
        <v>Commercial Showerhead Replacement_Fitness Center_precondition 2_30 to 2_39 gpm_efficient 1_50 gpm_Retail_Gas Water Heating</v>
      </c>
      <c r="W377" s="506" t="s">
        <v>604</v>
      </c>
      <c r="X377" s="502">
        <f t="shared" si="78"/>
        <v>179.07261406099704</v>
      </c>
      <c r="Y377" s="500">
        <v>10</v>
      </c>
      <c r="Z377" s="507">
        <v>0</v>
      </c>
      <c r="AA377" s="500"/>
      <c r="AB377" s="506" t="s">
        <v>605</v>
      </c>
      <c r="AC377" s="505">
        <v>0</v>
      </c>
      <c r="AD377" s="500"/>
      <c r="AE377" s="500"/>
      <c r="AF377" s="500"/>
      <c r="AG377" s="500"/>
      <c r="AH377" s="500"/>
      <c r="AI377" s="500"/>
      <c r="AJ377" s="500">
        <v>0</v>
      </c>
      <c r="AK377" s="506" t="s">
        <v>605</v>
      </c>
    </row>
    <row r="378" spans="6:37">
      <c r="F378" s="500" t="str">
        <f t="shared" si="81"/>
        <v>Fitness Center</v>
      </c>
      <c r="G378" s="500" t="str">
        <f t="shared" si="81"/>
        <v>2_30 to 2_39 gpm</v>
      </c>
      <c r="H378" s="500" t="str">
        <f t="shared" si="81"/>
        <v>Retail</v>
      </c>
      <c r="I378" s="500" t="str">
        <f t="shared" si="81"/>
        <v>1_50</v>
      </c>
      <c r="J378" s="500" t="str">
        <f t="shared" si="81"/>
        <v>Any Water Heating</v>
      </c>
      <c r="K378" s="500" t="str">
        <f t="shared" si="76"/>
        <v>Commercial Showerhead Replacement_Fitness Center_precondition 2_30 to 2_39 gpm_efficient 1_50 gpm_Retail_Any Water Heating - Embedded Water Energy</v>
      </c>
      <c r="L378" s="500"/>
      <c r="M378" s="501"/>
      <c r="N378" s="500"/>
      <c r="O378" s="500"/>
      <c r="P378" s="500"/>
      <c r="Q378" s="502"/>
      <c r="R378" s="503"/>
      <c r="S378" s="504"/>
      <c r="T378" s="505"/>
      <c r="U378" s="500"/>
      <c r="V378" s="500" t="str">
        <f t="shared" si="77"/>
        <v>Commercial Showerhead Replacement_Fitness Center_precondition 2_30 to 2_39 gpm_efficient 1_50 gpm_Retail_Any Water Heating</v>
      </c>
      <c r="W378" s="506" t="s">
        <v>604</v>
      </c>
      <c r="X378" s="502">
        <f t="shared" si="78"/>
        <v>179.07261406099704</v>
      </c>
      <c r="Y378" s="500">
        <v>10</v>
      </c>
      <c r="Z378" s="507">
        <v>0</v>
      </c>
      <c r="AA378" s="500"/>
      <c r="AB378" s="506" t="s">
        <v>605</v>
      </c>
      <c r="AC378" s="505">
        <v>0</v>
      </c>
      <c r="AD378" s="500"/>
      <c r="AE378" s="500"/>
      <c r="AF378" s="500"/>
      <c r="AG378" s="500"/>
      <c r="AH378" s="500"/>
      <c r="AI378" s="500"/>
      <c r="AJ378" s="500">
        <v>0</v>
      </c>
      <c r="AK378" s="506" t="s">
        <v>605</v>
      </c>
    </row>
    <row r="379" spans="6:37">
      <c r="F379" s="500" t="str">
        <f t="shared" si="81"/>
        <v>Fitness Center</v>
      </c>
      <c r="G379" s="500" t="str">
        <f t="shared" si="81"/>
        <v>2_30 to 2_39 gpm</v>
      </c>
      <c r="H379" s="500" t="str">
        <f t="shared" si="81"/>
        <v>Direct Install</v>
      </c>
      <c r="I379" s="500" t="str">
        <f t="shared" si="81"/>
        <v>2_00</v>
      </c>
      <c r="J379" s="500" t="str">
        <f t="shared" si="81"/>
        <v>Electric Water Heating</v>
      </c>
      <c r="K379" s="500" t="str">
        <f t="shared" si="76"/>
        <v>Commercial Showerhead Replacement_Fitness Center_precondition 2_30 to 2_39 gpm_efficient 2_00 gpm_Direct Install_Electric Water Heating - Embedded Water Energy</v>
      </c>
      <c r="L379" s="500"/>
      <c r="M379" s="501"/>
      <c r="N379" s="500"/>
      <c r="O379" s="500"/>
      <c r="P379" s="500"/>
      <c r="Q379" s="502"/>
      <c r="R379" s="503"/>
      <c r="S379" s="504"/>
      <c r="T379" s="505"/>
      <c r="U379" s="500"/>
      <c r="V379" s="500" t="str">
        <f t="shared" si="77"/>
        <v>Commercial Showerhead Replacement_Fitness Center_precondition 2_30 to 2_39 gpm_efficient 2_00 gpm_Direct Install_Electric Water Heating</v>
      </c>
      <c r="W379" s="506" t="s">
        <v>604</v>
      </c>
      <c r="X379" s="502">
        <f t="shared" si="78"/>
        <v>148.97637640368666</v>
      </c>
      <c r="Y379" s="500">
        <v>10</v>
      </c>
      <c r="Z379" s="507">
        <v>0</v>
      </c>
      <c r="AA379" s="500"/>
      <c r="AB379" s="506" t="s">
        <v>605</v>
      </c>
      <c r="AC379" s="505">
        <v>0</v>
      </c>
      <c r="AD379" s="500"/>
      <c r="AE379" s="500"/>
      <c r="AF379" s="500"/>
      <c r="AG379" s="500"/>
      <c r="AH379" s="500"/>
      <c r="AI379" s="500"/>
      <c r="AJ379" s="500">
        <v>0</v>
      </c>
      <c r="AK379" s="506" t="s">
        <v>605</v>
      </c>
    </row>
    <row r="380" spans="6:37">
      <c r="F380" s="500" t="str">
        <f t="shared" ref="F380:J395" si="82">F83</f>
        <v>Fitness Center</v>
      </c>
      <c r="G380" s="500" t="str">
        <f t="shared" si="82"/>
        <v>2_30 to 2_39 gpm</v>
      </c>
      <c r="H380" s="500" t="str">
        <f t="shared" si="82"/>
        <v>Direct Install</v>
      </c>
      <c r="I380" s="500" t="str">
        <f t="shared" si="82"/>
        <v>2_00</v>
      </c>
      <c r="J380" s="500" t="str">
        <f t="shared" si="82"/>
        <v>Gas Water Heating</v>
      </c>
      <c r="K380" s="500" t="str">
        <f t="shared" ref="K380:K443" si="83">K83 &amp; " - Embedded Water Energy"</f>
        <v>Commercial Showerhead Replacement_Fitness Center_precondition 2_30 to 2_39 gpm_efficient 2_00 gpm_Direct Install_Gas Water Heating - Embedded Water Energy</v>
      </c>
      <c r="L380" s="500"/>
      <c r="M380" s="501"/>
      <c r="N380" s="500"/>
      <c r="O380" s="500"/>
      <c r="P380" s="500"/>
      <c r="Q380" s="502"/>
      <c r="R380" s="503"/>
      <c r="S380" s="504"/>
      <c r="T380" s="505"/>
      <c r="U380" s="500"/>
      <c r="V380" s="500" t="str">
        <f t="shared" ref="V380:V443" si="84">V83</f>
        <v>Commercial Showerhead Replacement_Fitness Center_precondition 2_30 to 2_39 gpm_efficient 2_00 gpm_Direct Install_Gas Water Heating</v>
      </c>
      <c r="W380" s="506" t="s">
        <v>604</v>
      </c>
      <c r="X380" s="502">
        <f t="shared" ref="X380:X443" si="85">IF(S83&gt;0,Q83,0)</f>
        <v>148.97637640368666</v>
      </c>
      <c r="Y380" s="500">
        <v>10</v>
      </c>
      <c r="Z380" s="507">
        <v>0</v>
      </c>
      <c r="AA380" s="500"/>
      <c r="AB380" s="506" t="s">
        <v>605</v>
      </c>
      <c r="AC380" s="505">
        <v>0</v>
      </c>
      <c r="AD380" s="500"/>
      <c r="AE380" s="500"/>
      <c r="AF380" s="500"/>
      <c r="AG380" s="500"/>
      <c r="AH380" s="500"/>
      <c r="AI380" s="500"/>
      <c r="AJ380" s="500">
        <v>0</v>
      </c>
      <c r="AK380" s="506" t="s">
        <v>605</v>
      </c>
    </row>
    <row r="381" spans="6:37">
      <c r="F381" s="500" t="str">
        <f t="shared" si="82"/>
        <v>Fitness Center</v>
      </c>
      <c r="G381" s="500" t="str">
        <f t="shared" si="82"/>
        <v>2_30 to 2_39 gpm</v>
      </c>
      <c r="H381" s="500" t="str">
        <f t="shared" si="82"/>
        <v>Direct Install</v>
      </c>
      <c r="I381" s="500" t="str">
        <f t="shared" si="82"/>
        <v>2_00</v>
      </c>
      <c r="J381" s="500" t="str">
        <f t="shared" si="82"/>
        <v>Any Water Heating</v>
      </c>
      <c r="K381" s="500" t="str">
        <f t="shared" si="83"/>
        <v>Commercial Showerhead Replacement_Fitness Center_precondition 2_30 to 2_39 gpm_efficient 2_00 gpm_Direct Install_Any Water Heating - Embedded Water Energy</v>
      </c>
      <c r="L381" s="500"/>
      <c r="M381" s="501"/>
      <c r="N381" s="500"/>
      <c r="O381" s="500"/>
      <c r="P381" s="500"/>
      <c r="Q381" s="502"/>
      <c r="R381" s="503"/>
      <c r="S381" s="504"/>
      <c r="T381" s="505"/>
      <c r="U381" s="500"/>
      <c r="V381" s="500" t="str">
        <f t="shared" si="84"/>
        <v>Commercial Showerhead Replacement_Fitness Center_precondition 2_30 to 2_39 gpm_efficient 2_00 gpm_Direct Install_Any Water Heating</v>
      </c>
      <c r="W381" s="506" t="s">
        <v>604</v>
      </c>
      <c r="X381" s="502">
        <f t="shared" si="85"/>
        <v>148.97637640368666</v>
      </c>
      <c r="Y381" s="500">
        <v>10</v>
      </c>
      <c r="Z381" s="507">
        <v>0</v>
      </c>
      <c r="AA381" s="500"/>
      <c r="AB381" s="506" t="s">
        <v>605</v>
      </c>
      <c r="AC381" s="505">
        <v>0</v>
      </c>
      <c r="AD381" s="500"/>
      <c r="AE381" s="500"/>
      <c r="AF381" s="500"/>
      <c r="AG381" s="500"/>
      <c r="AH381" s="500"/>
      <c r="AI381" s="500"/>
      <c r="AJ381" s="500">
        <v>0</v>
      </c>
      <c r="AK381" s="506" t="s">
        <v>605</v>
      </c>
    </row>
    <row r="382" spans="6:37">
      <c r="F382" s="500" t="str">
        <f t="shared" si="82"/>
        <v>Fitness Center</v>
      </c>
      <c r="G382" s="500" t="str">
        <f t="shared" si="82"/>
        <v>2_30 to 2_39 gpm</v>
      </c>
      <c r="H382" s="500" t="str">
        <f t="shared" si="82"/>
        <v>Direct Install</v>
      </c>
      <c r="I382" s="500" t="str">
        <f t="shared" si="82"/>
        <v>1_75</v>
      </c>
      <c r="J382" s="500" t="str">
        <f t="shared" si="82"/>
        <v>Electric Water Heating</v>
      </c>
      <c r="K382" s="500" t="str">
        <f t="shared" si="83"/>
        <v>Commercial Showerhead Replacement_Fitness Center_precondition 2_30 to 2_39 gpm_efficient 1_75 gpm_Direct Install_Electric Water Heating - Embedded Water Energy</v>
      </c>
      <c r="L382" s="500"/>
      <c r="M382" s="501"/>
      <c r="N382" s="500"/>
      <c r="O382" s="500"/>
      <c r="P382" s="500"/>
      <c r="Q382" s="502"/>
      <c r="R382" s="503"/>
      <c r="S382" s="504"/>
      <c r="T382" s="505"/>
      <c r="U382" s="500"/>
      <c r="V382" s="500" t="str">
        <f t="shared" si="84"/>
        <v>Commercial Showerhead Replacement_Fitness Center_precondition 2_30 to 2_39 gpm_efficient 1_75 gpm_Direct Install_Electric Water Heating</v>
      </c>
      <c r="W382" s="506" t="s">
        <v>604</v>
      </c>
      <c r="X382" s="502">
        <f t="shared" si="85"/>
        <v>162.51968334947634</v>
      </c>
      <c r="Y382" s="500">
        <v>10</v>
      </c>
      <c r="Z382" s="507">
        <v>0</v>
      </c>
      <c r="AA382" s="500"/>
      <c r="AB382" s="506" t="s">
        <v>605</v>
      </c>
      <c r="AC382" s="505">
        <v>0</v>
      </c>
      <c r="AD382" s="500"/>
      <c r="AE382" s="500"/>
      <c r="AF382" s="500"/>
      <c r="AG382" s="500"/>
      <c r="AH382" s="500"/>
      <c r="AI382" s="500"/>
      <c r="AJ382" s="500">
        <v>0</v>
      </c>
      <c r="AK382" s="506" t="s">
        <v>605</v>
      </c>
    </row>
    <row r="383" spans="6:37">
      <c r="F383" s="500" t="str">
        <f t="shared" si="82"/>
        <v>Fitness Center</v>
      </c>
      <c r="G383" s="500" t="str">
        <f t="shared" si="82"/>
        <v>2_30 to 2_39 gpm</v>
      </c>
      <c r="H383" s="500" t="str">
        <f t="shared" si="82"/>
        <v>Direct Install</v>
      </c>
      <c r="I383" s="500" t="str">
        <f t="shared" si="82"/>
        <v>1_75</v>
      </c>
      <c r="J383" s="500" t="str">
        <f t="shared" si="82"/>
        <v>Gas Water Heating</v>
      </c>
      <c r="K383" s="500" t="str">
        <f t="shared" si="83"/>
        <v>Commercial Showerhead Replacement_Fitness Center_precondition 2_30 to 2_39 gpm_efficient 1_75 gpm_Direct Install_Gas Water Heating - Embedded Water Energy</v>
      </c>
      <c r="L383" s="500"/>
      <c r="M383" s="501"/>
      <c r="N383" s="500"/>
      <c r="O383" s="500"/>
      <c r="P383" s="500"/>
      <c r="Q383" s="502"/>
      <c r="R383" s="503"/>
      <c r="S383" s="504"/>
      <c r="T383" s="505"/>
      <c r="U383" s="500"/>
      <c r="V383" s="500" t="str">
        <f t="shared" si="84"/>
        <v>Commercial Showerhead Replacement_Fitness Center_precondition 2_30 to 2_39 gpm_efficient 1_75 gpm_Direct Install_Gas Water Heating</v>
      </c>
      <c r="W383" s="506" t="s">
        <v>604</v>
      </c>
      <c r="X383" s="502">
        <f t="shared" si="85"/>
        <v>162.51968334947634</v>
      </c>
      <c r="Y383" s="500">
        <v>10</v>
      </c>
      <c r="Z383" s="507">
        <v>0</v>
      </c>
      <c r="AA383" s="500"/>
      <c r="AB383" s="506" t="s">
        <v>605</v>
      </c>
      <c r="AC383" s="505">
        <v>0</v>
      </c>
      <c r="AD383" s="500"/>
      <c r="AE383" s="500"/>
      <c r="AF383" s="500"/>
      <c r="AG383" s="500"/>
      <c r="AH383" s="500"/>
      <c r="AI383" s="500"/>
      <c r="AJ383" s="500">
        <v>0</v>
      </c>
      <c r="AK383" s="506" t="s">
        <v>605</v>
      </c>
    </row>
    <row r="384" spans="6:37">
      <c r="F384" s="500" t="str">
        <f t="shared" si="82"/>
        <v>Fitness Center</v>
      </c>
      <c r="G384" s="500" t="str">
        <f t="shared" si="82"/>
        <v>2_30 to 2_39 gpm</v>
      </c>
      <c r="H384" s="500" t="str">
        <f t="shared" si="82"/>
        <v>Direct Install</v>
      </c>
      <c r="I384" s="500" t="str">
        <f t="shared" si="82"/>
        <v>1_75</v>
      </c>
      <c r="J384" s="500" t="str">
        <f t="shared" si="82"/>
        <v>Any Water Heating</v>
      </c>
      <c r="K384" s="500" t="str">
        <f t="shared" si="83"/>
        <v>Commercial Showerhead Replacement_Fitness Center_precondition 2_30 to 2_39 gpm_efficient 1_75 gpm_Direct Install_Any Water Heating - Embedded Water Energy</v>
      </c>
      <c r="L384" s="500"/>
      <c r="M384" s="501"/>
      <c r="N384" s="500"/>
      <c r="O384" s="500"/>
      <c r="P384" s="500"/>
      <c r="Q384" s="502"/>
      <c r="R384" s="503"/>
      <c r="S384" s="504"/>
      <c r="T384" s="505"/>
      <c r="U384" s="500"/>
      <c r="V384" s="500" t="str">
        <f t="shared" si="84"/>
        <v>Commercial Showerhead Replacement_Fitness Center_precondition 2_30 to 2_39 gpm_efficient 1_75 gpm_Direct Install_Any Water Heating</v>
      </c>
      <c r="W384" s="506" t="s">
        <v>604</v>
      </c>
      <c r="X384" s="502">
        <f t="shared" si="85"/>
        <v>162.51968334947634</v>
      </c>
      <c r="Y384" s="500">
        <v>10</v>
      </c>
      <c r="Z384" s="507">
        <v>0</v>
      </c>
      <c r="AA384" s="500"/>
      <c r="AB384" s="506" t="s">
        <v>605</v>
      </c>
      <c r="AC384" s="505">
        <v>0</v>
      </c>
      <c r="AD384" s="500"/>
      <c r="AE384" s="500"/>
      <c r="AF384" s="500"/>
      <c r="AG384" s="500"/>
      <c r="AH384" s="500"/>
      <c r="AI384" s="500"/>
      <c r="AJ384" s="500">
        <v>0</v>
      </c>
      <c r="AK384" s="506" t="s">
        <v>605</v>
      </c>
    </row>
    <row r="385" spans="6:37">
      <c r="F385" s="500" t="str">
        <f t="shared" si="82"/>
        <v>Fitness Center</v>
      </c>
      <c r="G385" s="500" t="str">
        <f t="shared" si="82"/>
        <v>2_30 to 2_39 gpm</v>
      </c>
      <c r="H385" s="500" t="str">
        <f t="shared" si="82"/>
        <v>Direct Install</v>
      </c>
      <c r="I385" s="500" t="str">
        <f t="shared" si="82"/>
        <v>1_50</v>
      </c>
      <c r="J385" s="500" t="str">
        <f t="shared" si="82"/>
        <v>Electric Water Heating</v>
      </c>
      <c r="K385" s="500" t="str">
        <f t="shared" si="83"/>
        <v>Commercial Showerhead Replacement_Fitness Center_precondition 2_30 to 2_39 gpm_efficient 1_50 gpm_Direct Install_Electric Water Heating - Embedded Water Energy</v>
      </c>
      <c r="L385" s="500"/>
      <c r="M385" s="501"/>
      <c r="N385" s="500"/>
      <c r="O385" s="500"/>
      <c r="P385" s="500"/>
      <c r="Q385" s="502"/>
      <c r="R385" s="503"/>
      <c r="S385" s="504"/>
      <c r="T385" s="505"/>
      <c r="U385" s="500"/>
      <c r="V385" s="500" t="str">
        <f t="shared" si="84"/>
        <v>Commercial Showerhead Replacement_Fitness Center_precondition 2_30 to 2_39 gpm_efficient 1_50 gpm_Direct Install_Electric Water Heating</v>
      </c>
      <c r="W385" s="506" t="s">
        <v>604</v>
      </c>
      <c r="X385" s="502">
        <f t="shared" si="85"/>
        <v>230.2362180784248</v>
      </c>
      <c r="Y385" s="500">
        <v>10</v>
      </c>
      <c r="Z385" s="507">
        <v>0</v>
      </c>
      <c r="AA385" s="500"/>
      <c r="AB385" s="506" t="s">
        <v>605</v>
      </c>
      <c r="AC385" s="505">
        <v>0</v>
      </c>
      <c r="AD385" s="500"/>
      <c r="AE385" s="500"/>
      <c r="AF385" s="500"/>
      <c r="AG385" s="500"/>
      <c r="AH385" s="500"/>
      <c r="AI385" s="500"/>
      <c r="AJ385" s="500">
        <v>0</v>
      </c>
      <c r="AK385" s="506" t="s">
        <v>605</v>
      </c>
    </row>
    <row r="386" spans="6:37">
      <c r="F386" s="500" t="str">
        <f t="shared" si="82"/>
        <v>Fitness Center</v>
      </c>
      <c r="G386" s="500" t="str">
        <f t="shared" si="82"/>
        <v>2_30 to 2_39 gpm</v>
      </c>
      <c r="H386" s="500" t="str">
        <f t="shared" si="82"/>
        <v>Direct Install</v>
      </c>
      <c r="I386" s="500" t="str">
        <f t="shared" si="82"/>
        <v>1_50</v>
      </c>
      <c r="J386" s="500" t="str">
        <f t="shared" si="82"/>
        <v>Gas Water Heating</v>
      </c>
      <c r="K386" s="500" t="str">
        <f t="shared" si="83"/>
        <v>Commercial Showerhead Replacement_Fitness Center_precondition 2_30 to 2_39 gpm_efficient 1_50 gpm_Direct Install_Gas Water Heating - Embedded Water Energy</v>
      </c>
      <c r="L386" s="500"/>
      <c r="M386" s="501"/>
      <c r="N386" s="500"/>
      <c r="O386" s="500"/>
      <c r="P386" s="500"/>
      <c r="Q386" s="502"/>
      <c r="R386" s="503"/>
      <c r="S386" s="504"/>
      <c r="T386" s="505"/>
      <c r="U386" s="500"/>
      <c r="V386" s="500" t="str">
        <f t="shared" si="84"/>
        <v>Commercial Showerhead Replacement_Fitness Center_precondition 2_30 to 2_39 gpm_efficient 1_50 gpm_Direct Install_Gas Water Heating</v>
      </c>
      <c r="W386" s="506" t="s">
        <v>604</v>
      </c>
      <c r="X386" s="502">
        <f t="shared" si="85"/>
        <v>230.2362180784248</v>
      </c>
      <c r="Y386" s="500">
        <v>10</v>
      </c>
      <c r="Z386" s="507">
        <v>0</v>
      </c>
      <c r="AA386" s="500"/>
      <c r="AB386" s="506" t="s">
        <v>605</v>
      </c>
      <c r="AC386" s="505">
        <v>0</v>
      </c>
      <c r="AD386" s="500"/>
      <c r="AE386" s="500"/>
      <c r="AF386" s="500"/>
      <c r="AG386" s="500"/>
      <c r="AH386" s="500"/>
      <c r="AI386" s="500"/>
      <c r="AJ386" s="500">
        <v>0</v>
      </c>
      <c r="AK386" s="506" t="s">
        <v>605</v>
      </c>
    </row>
    <row r="387" spans="6:37">
      <c r="F387" s="500" t="str">
        <f t="shared" si="82"/>
        <v>Fitness Center</v>
      </c>
      <c r="G387" s="500" t="str">
        <f t="shared" si="82"/>
        <v>2_30 to 2_39 gpm</v>
      </c>
      <c r="H387" s="500" t="str">
        <f t="shared" si="82"/>
        <v>Direct Install</v>
      </c>
      <c r="I387" s="500" t="str">
        <f t="shared" si="82"/>
        <v>1_50</v>
      </c>
      <c r="J387" s="500" t="str">
        <f t="shared" si="82"/>
        <v>Any Water Heating</v>
      </c>
      <c r="K387" s="500" t="str">
        <f t="shared" si="83"/>
        <v>Commercial Showerhead Replacement_Fitness Center_precondition 2_30 to 2_39 gpm_efficient 1_50 gpm_Direct Install_Any Water Heating - Embedded Water Energy</v>
      </c>
      <c r="L387" s="500"/>
      <c r="M387" s="501"/>
      <c r="N387" s="500"/>
      <c r="O387" s="500"/>
      <c r="P387" s="500"/>
      <c r="Q387" s="502"/>
      <c r="R387" s="503"/>
      <c r="S387" s="504"/>
      <c r="T387" s="505"/>
      <c r="U387" s="500"/>
      <c r="V387" s="500" t="str">
        <f t="shared" si="84"/>
        <v>Commercial Showerhead Replacement_Fitness Center_precondition 2_30 to 2_39 gpm_efficient 1_50 gpm_Direct Install_Any Water Heating</v>
      </c>
      <c r="W387" s="506" t="s">
        <v>604</v>
      </c>
      <c r="X387" s="502">
        <f t="shared" si="85"/>
        <v>230.2362180784248</v>
      </c>
      <c r="Y387" s="500">
        <v>10</v>
      </c>
      <c r="Z387" s="507">
        <v>0</v>
      </c>
      <c r="AA387" s="500"/>
      <c r="AB387" s="506" t="s">
        <v>605</v>
      </c>
      <c r="AC387" s="505">
        <v>0</v>
      </c>
      <c r="AD387" s="500"/>
      <c r="AE387" s="500"/>
      <c r="AF387" s="500"/>
      <c r="AG387" s="500"/>
      <c r="AH387" s="500"/>
      <c r="AI387" s="500"/>
      <c r="AJ387" s="500">
        <v>0</v>
      </c>
      <c r="AK387" s="506" t="s">
        <v>605</v>
      </c>
    </row>
    <row r="388" spans="6:37">
      <c r="F388" s="500" t="str">
        <f t="shared" si="82"/>
        <v>Fitness Center</v>
      </c>
      <c r="G388" s="500" t="str">
        <f t="shared" si="82"/>
        <v>2_30 to 2_39 gpm</v>
      </c>
      <c r="H388" s="500" t="str">
        <f t="shared" si="82"/>
        <v>Mail-by-Request</v>
      </c>
      <c r="I388" s="500" t="str">
        <f t="shared" si="82"/>
        <v>2_00</v>
      </c>
      <c r="J388" s="500" t="str">
        <f t="shared" si="82"/>
        <v>Electric Water Heating</v>
      </c>
      <c r="K388" s="500" t="str">
        <f t="shared" si="83"/>
        <v>Commercial Showerhead Replacement_Fitness Center_precondition 2_30 to 2_39 gpm_efficient 2_00 gpm_Mail-by-Request_Electric Water Heating - Embedded Water Energy</v>
      </c>
      <c r="L388" s="500"/>
      <c r="M388" s="501"/>
      <c r="N388" s="500"/>
      <c r="O388" s="500"/>
      <c r="P388" s="500"/>
      <c r="Q388" s="502"/>
      <c r="R388" s="503"/>
      <c r="S388" s="504"/>
      <c r="T388" s="505"/>
      <c r="U388" s="500"/>
      <c r="V388" s="500" t="str">
        <f t="shared" si="84"/>
        <v>Commercial Showerhead Replacement_Fitness Center_precondition 2_30 to 2_39 gpm_efficient 2_00 gpm_Mail-by-Request_Electric Water Heating</v>
      </c>
      <c r="W388" s="506" t="s">
        <v>604</v>
      </c>
      <c r="X388" s="502">
        <f t="shared" si="85"/>
        <v>99.317584269124424</v>
      </c>
      <c r="Y388" s="500">
        <v>10</v>
      </c>
      <c r="Z388" s="507">
        <v>0</v>
      </c>
      <c r="AA388" s="500"/>
      <c r="AB388" s="506" t="s">
        <v>605</v>
      </c>
      <c r="AC388" s="505">
        <v>0</v>
      </c>
      <c r="AD388" s="500"/>
      <c r="AE388" s="500"/>
      <c r="AF388" s="500"/>
      <c r="AG388" s="500"/>
      <c r="AH388" s="500"/>
      <c r="AI388" s="500"/>
      <c r="AJ388" s="500">
        <v>0</v>
      </c>
      <c r="AK388" s="506" t="s">
        <v>605</v>
      </c>
    </row>
    <row r="389" spans="6:37">
      <c r="F389" s="500" t="str">
        <f t="shared" si="82"/>
        <v>Fitness Center</v>
      </c>
      <c r="G389" s="500" t="str">
        <f t="shared" si="82"/>
        <v>2_30 to 2_39 gpm</v>
      </c>
      <c r="H389" s="500" t="str">
        <f t="shared" si="82"/>
        <v>Mail-by-Request</v>
      </c>
      <c r="I389" s="500" t="str">
        <f t="shared" si="82"/>
        <v>2_00</v>
      </c>
      <c r="J389" s="500" t="str">
        <f t="shared" si="82"/>
        <v>Gas Water Heating</v>
      </c>
      <c r="K389" s="500" t="str">
        <f t="shared" si="83"/>
        <v>Commercial Showerhead Replacement_Fitness Center_precondition 2_30 to 2_39 gpm_efficient 2_00 gpm_Mail-by-Request_Gas Water Heating - Embedded Water Energy</v>
      </c>
      <c r="L389" s="500"/>
      <c r="M389" s="501"/>
      <c r="N389" s="500"/>
      <c r="O389" s="500"/>
      <c r="P389" s="500"/>
      <c r="Q389" s="502"/>
      <c r="R389" s="503"/>
      <c r="S389" s="504"/>
      <c r="T389" s="505"/>
      <c r="U389" s="500"/>
      <c r="V389" s="500" t="str">
        <f t="shared" si="84"/>
        <v>Commercial Showerhead Replacement_Fitness Center_precondition 2_30 to 2_39 gpm_efficient 2_00 gpm_Mail-by-Request_Gas Water Heating</v>
      </c>
      <c r="W389" s="506" t="s">
        <v>604</v>
      </c>
      <c r="X389" s="502">
        <f t="shared" si="85"/>
        <v>99.317584269124424</v>
      </c>
      <c r="Y389" s="500">
        <v>10</v>
      </c>
      <c r="Z389" s="507">
        <v>0</v>
      </c>
      <c r="AA389" s="500"/>
      <c r="AB389" s="506" t="s">
        <v>605</v>
      </c>
      <c r="AC389" s="505">
        <v>0</v>
      </c>
      <c r="AD389" s="500"/>
      <c r="AE389" s="500"/>
      <c r="AF389" s="500"/>
      <c r="AG389" s="500"/>
      <c r="AH389" s="500"/>
      <c r="AI389" s="500"/>
      <c r="AJ389" s="500">
        <v>0</v>
      </c>
      <c r="AK389" s="506" t="s">
        <v>605</v>
      </c>
    </row>
    <row r="390" spans="6:37">
      <c r="F390" s="500" t="str">
        <f t="shared" si="82"/>
        <v>Fitness Center</v>
      </c>
      <c r="G390" s="500" t="str">
        <f t="shared" si="82"/>
        <v>2_30 to 2_39 gpm</v>
      </c>
      <c r="H390" s="500" t="str">
        <f t="shared" si="82"/>
        <v>Mail-by-Request</v>
      </c>
      <c r="I390" s="500" t="str">
        <f t="shared" si="82"/>
        <v>2_00</v>
      </c>
      <c r="J390" s="500" t="str">
        <f t="shared" si="82"/>
        <v>Any Water Heating</v>
      </c>
      <c r="K390" s="500" t="str">
        <f t="shared" si="83"/>
        <v>Commercial Showerhead Replacement_Fitness Center_precondition 2_30 to 2_39 gpm_efficient 2_00 gpm_Mail-by-Request_Any Water Heating - Embedded Water Energy</v>
      </c>
      <c r="L390" s="500"/>
      <c r="M390" s="501"/>
      <c r="N390" s="500"/>
      <c r="O390" s="500"/>
      <c r="P390" s="500"/>
      <c r="Q390" s="502"/>
      <c r="R390" s="503"/>
      <c r="S390" s="504"/>
      <c r="T390" s="505"/>
      <c r="U390" s="500"/>
      <c r="V390" s="500" t="str">
        <f t="shared" si="84"/>
        <v>Commercial Showerhead Replacement_Fitness Center_precondition 2_30 to 2_39 gpm_efficient 2_00 gpm_Mail-by-Request_Any Water Heating</v>
      </c>
      <c r="W390" s="506" t="s">
        <v>604</v>
      </c>
      <c r="X390" s="502">
        <f t="shared" si="85"/>
        <v>99.317584269124424</v>
      </c>
      <c r="Y390" s="500">
        <v>10</v>
      </c>
      <c r="Z390" s="507">
        <v>0</v>
      </c>
      <c r="AA390" s="500"/>
      <c r="AB390" s="506" t="s">
        <v>605</v>
      </c>
      <c r="AC390" s="505">
        <v>0</v>
      </c>
      <c r="AD390" s="500"/>
      <c r="AE390" s="500"/>
      <c r="AF390" s="500"/>
      <c r="AG390" s="500"/>
      <c r="AH390" s="500"/>
      <c r="AI390" s="500"/>
      <c r="AJ390" s="500">
        <v>0</v>
      </c>
      <c r="AK390" s="506" t="s">
        <v>605</v>
      </c>
    </row>
    <row r="391" spans="6:37">
      <c r="F391" s="500" t="str">
        <f t="shared" si="82"/>
        <v>Fitness Center</v>
      </c>
      <c r="G391" s="500" t="str">
        <f t="shared" si="82"/>
        <v>2_30 to 2_39 gpm</v>
      </c>
      <c r="H391" s="500" t="str">
        <f t="shared" si="82"/>
        <v>Mail-by-Request</v>
      </c>
      <c r="I391" s="500" t="str">
        <f t="shared" si="82"/>
        <v>1_75</v>
      </c>
      <c r="J391" s="500" t="str">
        <f t="shared" si="82"/>
        <v>Electric Water Heating</v>
      </c>
      <c r="K391" s="500" t="str">
        <f t="shared" si="83"/>
        <v>Commercial Showerhead Replacement_Fitness Center_precondition 2_30 to 2_39 gpm_efficient 1_75 gpm_Mail-by-Request_Electric Water Heating - Embedded Water Energy</v>
      </c>
      <c r="L391" s="500"/>
      <c r="M391" s="501"/>
      <c r="N391" s="500"/>
      <c r="O391" s="500"/>
      <c r="P391" s="500"/>
      <c r="Q391" s="502"/>
      <c r="R391" s="503"/>
      <c r="S391" s="504"/>
      <c r="T391" s="505"/>
      <c r="U391" s="500"/>
      <c r="V391" s="500" t="str">
        <f t="shared" si="84"/>
        <v>Commercial Showerhead Replacement_Fitness Center_precondition 2_30 to 2_39 gpm_efficient 1_75 gpm_Mail-by-Request_Electric Water Heating</v>
      </c>
      <c r="W391" s="506" t="s">
        <v>604</v>
      </c>
      <c r="X391" s="502">
        <f t="shared" si="85"/>
        <v>108.34645556631754</v>
      </c>
      <c r="Y391" s="500">
        <v>10</v>
      </c>
      <c r="Z391" s="507">
        <v>0</v>
      </c>
      <c r="AA391" s="500"/>
      <c r="AB391" s="506" t="s">
        <v>605</v>
      </c>
      <c r="AC391" s="505">
        <v>0</v>
      </c>
      <c r="AD391" s="500"/>
      <c r="AE391" s="500"/>
      <c r="AF391" s="500"/>
      <c r="AG391" s="500"/>
      <c r="AH391" s="500"/>
      <c r="AI391" s="500"/>
      <c r="AJ391" s="500">
        <v>0</v>
      </c>
      <c r="AK391" s="506" t="s">
        <v>605</v>
      </c>
    </row>
    <row r="392" spans="6:37">
      <c r="F392" s="500" t="str">
        <f t="shared" si="82"/>
        <v>Fitness Center</v>
      </c>
      <c r="G392" s="500" t="str">
        <f t="shared" si="82"/>
        <v>2_30 to 2_39 gpm</v>
      </c>
      <c r="H392" s="500" t="str">
        <f t="shared" si="82"/>
        <v>Mail-by-Request</v>
      </c>
      <c r="I392" s="500" t="str">
        <f t="shared" si="82"/>
        <v>1_75</v>
      </c>
      <c r="J392" s="500" t="str">
        <f t="shared" si="82"/>
        <v>Gas Water Heating</v>
      </c>
      <c r="K392" s="500" t="str">
        <f t="shared" si="83"/>
        <v>Commercial Showerhead Replacement_Fitness Center_precondition 2_30 to 2_39 gpm_efficient 1_75 gpm_Mail-by-Request_Gas Water Heating - Embedded Water Energy</v>
      </c>
      <c r="L392" s="500"/>
      <c r="M392" s="501"/>
      <c r="N392" s="500"/>
      <c r="O392" s="500"/>
      <c r="P392" s="500"/>
      <c r="Q392" s="502"/>
      <c r="R392" s="503"/>
      <c r="S392" s="504"/>
      <c r="T392" s="505"/>
      <c r="U392" s="500"/>
      <c r="V392" s="500" t="str">
        <f t="shared" si="84"/>
        <v>Commercial Showerhead Replacement_Fitness Center_precondition 2_30 to 2_39 gpm_efficient 1_75 gpm_Mail-by-Request_Gas Water Heating</v>
      </c>
      <c r="W392" s="506" t="s">
        <v>604</v>
      </c>
      <c r="X392" s="502">
        <f t="shared" si="85"/>
        <v>108.34645556631754</v>
      </c>
      <c r="Y392" s="500">
        <v>10</v>
      </c>
      <c r="Z392" s="507">
        <v>0</v>
      </c>
      <c r="AA392" s="500"/>
      <c r="AB392" s="506" t="s">
        <v>605</v>
      </c>
      <c r="AC392" s="505">
        <v>0</v>
      </c>
      <c r="AD392" s="500"/>
      <c r="AE392" s="500"/>
      <c r="AF392" s="500"/>
      <c r="AG392" s="500"/>
      <c r="AH392" s="500"/>
      <c r="AI392" s="500"/>
      <c r="AJ392" s="500">
        <v>0</v>
      </c>
      <c r="AK392" s="506" t="s">
        <v>605</v>
      </c>
    </row>
    <row r="393" spans="6:37">
      <c r="F393" s="500" t="str">
        <f t="shared" si="82"/>
        <v>Fitness Center</v>
      </c>
      <c r="G393" s="500" t="str">
        <f t="shared" si="82"/>
        <v>2_30 to 2_39 gpm</v>
      </c>
      <c r="H393" s="500" t="str">
        <f t="shared" si="82"/>
        <v>Mail-by-Request</v>
      </c>
      <c r="I393" s="500" t="str">
        <f t="shared" si="82"/>
        <v>1_75</v>
      </c>
      <c r="J393" s="500" t="str">
        <f t="shared" si="82"/>
        <v>Any Water Heating</v>
      </c>
      <c r="K393" s="500" t="str">
        <f t="shared" si="83"/>
        <v>Commercial Showerhead Replacement_Fitness Center_precondition 2_30 to 2_39 gpm_efficient 1_75 gpm_Mail-by-Request_Any Water Heating - Embedded Water Energy</v>
      </c>
      <c r="L393" s="500"/>
      <c r="M393" s="501"/>
      <c r="N393" s="500"/>
      <c r="O393" s="500"/>
      <c r="P393" s="500"/>
      <c r="Q393" s="502"/>
      <c r="R393" s="503"/>
      <c r="S393" s="504"/>
      <c r="T393" s="505"/>
      <c r="U393" s="500"/>
      <c r="V393" s="500" t="str">
        <f t="shared" si="84"/>
        <v>Commercial Showerhead Replacement_Fitness Center_precondition 2_30 to 2_39 gpm_efficient 1_75 gpm_Mail-by-Request_Any Water Heating</v>
      </c>
      <c r="W393" s="506" t="s">
        <v>604</v>
      </c>
      <c r="X393" s="502">
        <f t="shared" si="85"/>
        <v>108.34645556631754</v>
      </c>
      <c r="Y393" s="500">
        <v>10</v>
      </c>
      <c r="Z393" s="507">
        <v>0</v>
      </c>
      <c r="AA393" s="500"/>
      <c r="AB393" s="506" t="s">
        <v>605</v>
      </c>
      <c r="AC393" s="505">
        <v>0</v>
      </c>
      <c r="AD393" s="500"/>
      <c r="AE393" s="500"/>
      <c r="AF393" s="500"/>
      <c r="AG393" s="500"/>
      <c r="AH393" s="500"/>
      <c r="AI393" s="500"/>
      <c r="AJ393" s="500">
        <v>0</v>
      </c>
      <c r="AK393" s="506" t="s">
        <v>605</v>
      </c>
    </row>
    <row r="394" spans="6:37">
      <c r="F394" s="500" t="str">
        <f t="shared" si="82"/>
        <v>Fitness Center</v>
      </c>
      <c r="G394" s="500" t="str">
        <f t="shared" si="82"/>
        <v>2_30 to 2_39 gpm</v>
      </c>
      <c r="H394" s="500" t="str">
        <f t="shared" si="82"/>
        <v>Mail-by-Request</v>
      </c>
      <c r="I394" s="500" t="str">
        <f t="shared" si="82"/>
        <v>1_50</v>
      </c>
      <c r="J394" s="500" t="str">
        <f t="shared" si="82"/>
        <v>Electric Water Heating</v>
      </c>
      <c r="K394" s="500" t="str">
        <f t="shared" si="83"/>
        <v>Commercial Showerhead Replacement_Fitness Center_precondition 2_30 to 2_39 gpm_efficient 1_50 gpm_Mail-by-Request_Electric Water Heating - Embedded Water Energy</v>
      </c>
      <c r="L394" s="500"/>
      <c r="M394" s="501"/>
      <c r="N394" s="500"/>
      <c r="O394" s="500"/>
      <c r="P394" s="500"/>
      <c r="Q394" s="502"/>
      <c r="R394" s="503"/>
      <c r="S394" s="504"/>
      <c r="T394" s="505"/>
      <c r="U394" s="500"/>
      <c r="V394" s="500" t="str">
        <f t="shared" si="84"/>
        <v>Commercial Showerhead Replacement_Fitness Center_precondition 2_30 to 2_39 gpm_efficient 1_50 gpm_Mail-by-Request_Electric Water Heating</v>
      </c>
      <c r="W394" s="506" t="s">
        <v>604</v>
      </c>
      <c r="X394" s="502">
        <f t="shared" si="85"/>
        <v>153.49081205228319</v>
      </c>
      <c r="Y394" s="500">
        <v>10</v>
      </c>
      <c r="Z394" s="507">
        <v>0</v>
      </c>
      <c r="AA394" s="500"/>
      <c r="AB394" s="506" t="s">
        <v>605</v>
      </c>
      <c r="AC394" s="505">
        <v>0</v>
      </c>
      <c r="AD394" s="500"/>
      <c r="AE394" s="500"/>
      <c r="AF394" s="500"/>
      <c r="AG394" s="500"/>
      <c r="AH394" s="500"/>
      <c r="AI394" s="500"/>
      <c r="AJ394" s="500">
        <v>0</v>
      </c>
      <c r="AK394" s="506" t="s">
        <v>605</v>
      </c>
    </row>
    <row r="395" spans="6:37">
      <c r="F395" s="500" t="str">
        <f t="shared" si="82"/>
        <v>Fitness Center</v>
      </c>
      <c r="G395" s="500" t="str">
        <f t="shared" si="82"/>
        <v>2_30 to 2_39 gpm</v>
      </c>
      <c r="H395" s="500" t="str">
        <f t="shared" si="82"/>
        <v>Mail-by-Request</v>
      </c>
      <c r="I395" s="500" t="str">
        <f t="shared" si="82"/>
        <v>1_50</v>
      </c>
      <c r="J395" s="500" t="str">
        <f t="shared" si="82"/>
        <v>Gas Water Heating</v>
      </c>
      <c r="K395" s="500" t="str">
        <f t="shared" si="83"/>
        <v>Commercial Showerhead Replacement_Fitness Center_precondition 2_30 to 2_39 gpm_efficient 1_50 gpm_Mail-by-Request_Gas Water Heating - Embedded Water Energy</v>
      </c>
      <c r="L395" s="500"/>
      <c r="M395" s="501"/>
      <c r="N395" s="500"/>
      <c r="O395" s="500"/>
      <c r="P395" s="500"/>
      <c r="Q395" s="502"/>
      <c r="R395" s="503"/>
      <c r="S395" s="504"/>
      <c r="T395" s="505"/>
      <c r="U395" s="500"/>
      <c r="V395" s="500" t="str">
        <f t="shared" si="84"/>
        <v>Commercial Showerhead Replacement_Fitness Center_precondition 2_30 to 2_39 gpm_efficient 1_50 gpm_Mail-by-Request_Gas Water Heating</v>
      </c>
      <c r="W395" s="506" t="s">
        <v>604</v>
      </c>
      <c r="X395" s="502">
        <f t="shared" si="85"/>
        <v>153.49081205228319</v>
      </c>
      <c r="Y395" s="500">
        <v>10</v>
      </c>
      <c r="Z395" s="507">
        <v>0</v>
      </c>
      <c r="AA395" s="500"/>
      <c r="AB395" s="506" t="s">
        <v>605</v>
      </c>
      <c r="AC395" s="505">
        <v>0</v>
      </c>
      <c r="AD395" s="500"/>
      <c r="AE395" s="500"/>
      <c r="AF395" s="500"/>
      <c r="AG395" s="500"/>
      <c r="AH395" s="500"/>
      <c r="AI395" s="500"/>
      <c r="AJ395" s="500">
        <v>0</v>
      </c>
      <c r="AK395" s="506" t="s">
        <v>605</v>
      </c>
    </row>
    <row r="396" spans="6:37">
      <c r="F396" s="500" t="str">
        <f t="shared" ref="F396:J411" si="86">F99</f>
        <v>Fitness Center</v>
      </c>
      <c r="G396" s="500" t="str">
        <f t="shared" si="86"/>
        <v>2_30 to 2_39 gpm</v>
      </c>
      <c r="H396" s="500" t="str">
        <f t="shared" si="86"/>
        <v>Mail-by-Request</v>
      </c>
      <c r="I396" s="500" t="str">
        <f t="shared" si="86"/>
        <v>1_50</v>
      </c>
      <c r="J396" s="500" t="str">
        <f t="shared" si="86"/>
        <v>Any Water Heating</v>
      </c>
      <c r="K396" s="500" t="str">
        <f t="shared" si="83"/>
        <v>Commercial Showerhead Replacement_Fitness Center_precondition 2_30 to 2_39 gpm_efficient 1_50 gpm_Mail-by-Request_Any Water Heating - Embedded Water Energy</v>
      </c>
      <c r="L396" s="500"/>
      <c r="M396" s="501"/>
      <c r="N396" s="500"/>
      <c r="O396" s="500"/>
      <c r="P396" s="500"/>
      <c r="Q396" s="502"/>
      <c r="R396" s="503"/>
      <c r="S396" s="504"/>
      <c r="T396" s="505"/>
      <c r="U396" s="500"/>
      <c r="V396" s="500" t="str">
        <f t="shared" si="84"/>
        <v>Commercial Showerhead Replacement_Fitness Center_precondition 2_30 to 2_39 gpm_efficient 1_50 gpm_Mail-by-Request_Any Water Heating</v>
      </c>
      <c r="W396" s="506" t="s">
        <v>604</v>
      </c>
      <c r="X396" s="502">
        <f t="shared" si="85"/>
        <v>153.49081205228319</v>
      </c>
      <c r="Y396" s="500">
        <v>10</v>
      </c>
      <c r="Z396" s="507">
        <v>0</v>
      </c>
      <c r="AA396" s="500"/>
      <c r="AB396" s="506" t="s">
        <v>605</v>
      </c>
      <c r="AC396" s="505">
        <v>0</v>
      </c>
      <c r="AD396" s="500"/>
      <c r="AE396" s="500"/>
      <c r="AF396" s="500"/>
      <c r="AG396" s="500"/>
      <c r="AH396" s="500"/>
      <c r="AI396" s="500"/>
      <c r="AJ396" s="500">
        <v>0</v>
      </c>
      <c r="AK396" s="506" t="s">
        <v>605</v>
      </c>
    </row>
    <row r="397" spans="6:37">
      <c r="F397" s="500" t="str">
        <f t="shared" si="86"/>
        <v>Fitness Center</v>
      </c>
      <c r="G397" s="500" t="str">
        <f t="shared" si="86"/>
        <v>2_20 to 2_29 gpm</v>
      </c>
      <c r="H397" s="500" t="str">
        <f t="shared" si="86"/>
        <v>Retail</v>
      </c>
      <c r="I397" s="500" t="str">
        <f t="shared" si="86"/>
        <v>2_00</v>
      </c>
      <c r="J397" s="500" t="str">
        <f t="shared" si="86"/>
        <v>Electric Water Heating</v>
      </c>
      <c r="K397" s="500" t="str">
        <f t="shared" si="83"/>
        <v>Commercial Showerhead Replacement_Fitness Center_precondition 2_20 to 2_29 gpm_efficient 2_00 gpm_Retail_Electric Water Heating - Embedded Water Energy</v>
      </c>
      <c r="L397" s="500"/>
      <c r="M397" s="501"/>
      <c r="N397" s="500"/>
      <c r="O397" s="500"/>
      <c r="P397" s="500"/>
      <c r="Q397" s="502"/>
      <c r="R397" s="503"/>
      <c r="S397" s="504"/>
      <c r="T397" s="505"/>
      <c r="U397" s="500"/>
      <c r="V397" s="500" t="str">
        <f t="shared" si="84"/>
        <v>Commercial Showerhead Replacement_Fitness Center_precondition 2_20 to 2_29 gpm_efficient 2_00 gpm_Retail_Electric Water Heating</v>
      </c>
      <c r="W397" s="506" t="s">
        <v>604</v>
      </c>
      <c r="X397" s="502">
        <f t="shared" si="85"/>
        <v>108.34645556631754</v>
      </c>
      <c r="Y397" s="500">
        <v>10</v>
      </c>
      <c r="Z397" s="507">
        <v>0</v>
      </c>
      <c r="AA397" s="500"/>
      <c r="AB397" s="506" t="s">
        <v>605</v>
      </c>
      <c r="AC397" s="505">
        <v>0</v>
      </c>
      <c r="AD397" s="500"/>
      <c r="AE397" s="500"/>
      <c r="AF397" s="500"/>
      <c r="AG397" s="500"/>
      <c r="AH397" s="500"/>
      <c r="AI397" s="500"/>
      <c r="AJ397" s="500">
        <v>0</v>
      </c>
      <c r="AK397" s="506" t="s">
        <v>605</v>
      </c>
    </row>
    <row r="398" spans="6:37">
      <c r="F398" s="500" t="str">
        <f t="shared" si="86"/>
        <v>Fitness Center</v>
      </c>
      <c r="G398" s="500" t="str">
        <f t="shared" si="86"/>
        <v>2_20 to 2_29 gpm</v>
      </c>
      <c r="H398" s="500" t="str">
        <f t="shared" si="86"/>
        <v>Retail</v>
      </c>
      <c r="I398" s="500" t="str">
        <f t="shared" si="86"/>
        <v>2_00</v>
      </c>
      <c r="J398" s="500" t="str">
        <f t="shared" si="86"/>
        <v>Gas Water Heating</v>
      </c>
      <c r="K398" s="500" t="str">
        <f t="shared" si="83"/>
        <v>Commercial Showerhead Replacement_Fitness Center_precondition 2_20 to 2_29 gpm_efficient 2_00 gpm_Retail_Gas Water Heating - Embedded Water Energy</v>
      </c>
      <c r="L398" s="500"/>
      <c r="M398" s="501"/>
      <c r="N398" s="500"/>
      <c r="O398" s="500"/>
      <c r="P398" s="500"/>
      <c r="Q398" s="502"/>
      <c r="R398" s="503"/>
      <c r="S398" s="504"/>
      <c r="T398" s="505"/>
      <c r="U398" s="500"/>
      <c r="V398" s="500" t="str">
        <f t="shared" si="84"/>
        <v>Commercial Showerhead Replacement_Fitness Center_precondition 2_20 to 2_29 gpm_efficient 2_00 gpm_Retail_Gas Water Heating</v>
      </c>
      <c r="W398" s="506" t="s">
        <v>604</v>
      </c>
      <c r="X398" s="502">
        <f t="shared" si="85"/>
        <v>108.34645556631754</v>
      </c>
      <c r="Y398" s="500">
        <v>10</v>
      </c>
      <c r="Z398" s="507">
        <v>0</v>
      </c>
      <c r="AA398" s="500"/>
      <c r="AB398" s="506" t="s">
        <v>605</v>
      </c>
      <c r="AC398" s="505">
        <v>0</v>
      </c>
      <c r="AD398" s="500"/>
      <c r="AE398" s="500"/>
      <c r="AF398" s="500"/>
      <c r="AG398" s="500"/>
      <c r="AH398" s="500"/>
      <c r="AI398" s="500"/>
      <c r="AJ398" s="500">
        <v>0</v>
      </c>
      <c r="AK398" s="506" t="s">
        <v>605</v>
      </c>
    </row>
    <row r="399" spans="6:37">
      <c r="F399" s="500" t="str">
        <f t="shared" si="86"/>
        <v>Fitness Center</v>
      </c>
      <c r="G399" s="500" t="str">
        <f t="shared" si="86"/>
        <v>2_20 to 2_29 gpm</v>
      </c>
      <c r="H399" s="500" t="str">
        <f t="shared" si="86"/>
        <v>Retail</v>
      </c>
      <c r="I399" s="500" t="str">
        <f t="shared" si="86"/>
        <v>2_00</v>
      </c>
      <c r="J399" s="500" t="str">
        <f t="shared" si="86"/>
        <v>Any Water Heating</v>
      </c>
      <c r="K399" s="500" t="str">
        <f t="shared" si="83"/>
        <v>Commercial Showerhead Replacement_Fitness Center_precondition 2_20 to 2_29 gpm_efficient 2_00 gpm_Retail_Any Water Heating - Embedded Water Energy</v>
      </c>
      <c r="L399" s="500"/>
      <c r="M399" s="501"/>
      <c r="N399" s="500"/>
      <c r="O399" s="500"/>
      <c r="P399" s="500"/>
      <c r="Q399" s="502"/>
      <c r="R399" s="503"/>
      <c r="S399" s="504"/>
      <c r="T399" s="505"/>
      <c r="U399" s="500"/>
      <c r="V399" s="500" t="str">
        <f t="shared" si="84"/>
        <v>Commercial Showerhead Replacement_Fitness Center_precondition 2_20 to 2_29 gpm_efficient 2_00 gpm_Retail_Any Water Heating</v>
      </c>
      <c r="W399" s="506" t="s">
        <v>604</v>
      </c>
      <c r="X399" s="502">
        <f t="shared" si="85"/>
        <v>108.34645556631754</v>
      </c>
      <c r="Y399" s="500">
        <v>10</v>
      </c>
      <c r="Z399" s="507">
        <v>0</v>
      </c>
      <c r="AA399" s="500"/>
      <c r="AB399" s="506" t="s">
        <v>605</v>
      </c>
      <c r="AC399" s="505">
        <v>0</v>
      </c>
      <c r="AD399" s="500"/>
      <c r="AE399" s="500"/>
      <c r="AF399" s="500"/>
      <c r="AG399" s="500"/>
      <c r="AH399" s="500"/>
      <c r="AI399" s="500"/>
      <c r="AJ399" s="500">
        <v>0</v>
      </c>
      <c r="AK399" s="506" t="s">
        <v>605</v>
      </c>
    </row>
    <row r="400" spans="6:37">
      <c r="F400" s="500" t="str">
        <f t="shared" si="86"/>
        <v>Fitness Center</v>
      </c>
      <c r="G400" s="500" t="str">
        <f t="shared" si="86"/>
        <v>2_20 to 2_29 gpm</v>
      </c>
      <c r="H400" s="500" t="str">
        <f t="shared" si="86"/>
        <v>Retail</v>
      </c>
      <c r="I400" s="500" t="str">
        <f t="shared" si="86"/>
        <v>1_75</v>
      </c>
      <c r="J400" s="500" t="str">
        <f t="shared" si="86"/>
        <v>Electric Water Heating</v>
      </c>
      <c r="K400" s="500" t="str">
        <f t="shared" si="83"/>
        <v>Commercial Showerhead Replacement_Fitness Center_precondition 2_20 to 2_29 gpm_efficient 1_75 gpm_Retail_Electric Water Heating - Embedded Water Energy</v>
      </c>
      <c r="L400" s="500"/>
      <c r="M400" s="501"/>
      <c r="N400" s="500"/>
      <c r="O400" s="500"/>
      <c r="P400" s="500"/>
      <c r="Q400" s="502"/>
      <c r="R400" s="503"/>
      <c r="S400" s="504"/>
      <c r="T400" s="505"/>
      <c r="U400" s="500"/>
      <c r="V400" s="500" t="str">
        <f t="shared" si="84"/>
        <v>Commercial Showerhead Replacement_Fitness Center_precondition 2_20 to 2_29 gpm_efficient 1_75 gpm_Retail_Electric Water Heating</v>
      </c>
      <c r="W400" s="506" t="s">
        <v>604</v>
      </c>
      <c r="X400" s="502">
        <f t="shared" si="85"/>
        <v>112.86089121491409</v>
      </c>
      <c r="Y400" s="500">
        <v>10</v>
      </c>
      <c r="Z400" s="507">
        <v>0</v>
      </c>
      <c r="AA400" s="500"/>
      <c r="AB400" s="506" t="s">
        <v>605</v>
      </c>
      <c r="AC400" s="505">
        <v>0</v>
      </c>
      <c r="AD400" s="500"/>
      <c r="AE400" s="500"/>
      <c r="AF400" s="500"/>
      <c r="AG400" s="500"/>
      <c r="AH400" s="500"/>
      <c r="AI400" s="500"/>
      <c r="AJ400" s="500">
        <v>0</v>
      </c>
      <c r="AK400" s="506" t="s">
        <v>605</v>
      </c>
    </row>
    <row r="401" spans="6:37">
      <c r="F401" s="500" t="str">
        <f t="shared" si="86"/>
        <v>Fitness Center</v>
      </c>
      <c r="G401" s="500" t="str">
        <f t="shared" si="86"/>
        <v>2_20 to 2_29 gpm</v>
      </c>
      <c r="H401" s="500" t="str">
        <f t="shared" si="86"/>
        <v>Retail</v>
      </c>
      <c r="I401" s="500" t="str">
        <f t="shared" si="86"/>
        <v>1_75</v>
      </c>
      <c r="J401" s="500" t="str">
        <f t="shared" si="86"/>
        <v>Gas Water Heating</v>
      </c>
      <c r="K401" s="500" t="str">
        <f t="shared" si="83"/>
        <v>Commercial Showerhead Replacement_Fitness Center_precondition 2_20 to 2_29 gpm_efficient 1_75 gpm_Retail_Gas Water Heating - Embedded Water Energy</v>
      </c>
      <c r="L401" s="500"/>
      <c r="M401" s="501"/>
      <c r="N401" s="500"/>
      <c r="O401" s="500"/>
      <c r="P401" s="500"/>
      <c r="Q401" s="502"/>
      <c r="R401" s="503"/>
      <c r="S401" s="504"/>
      <c r="T401" s="505"/>
      <c r="U401" s="500"/>
      <c r="V401" s="500" t="str">
        <f t="shared" si="84"/>
        <v>Commercial Showerhead Replacement_Fitness Center_precondition 2_20 to 2_29 gpm_efficient 1_75 gpm_Retail_Gas Water Heating</v>
      </c>
      <c r="W401" s="506" t="s">
        <v>604</v>
      </c>
      <c r="X401" s="502">
        <f t="shared" si="85"/>
        <v>112.86089121491409</v>
      </c>
      <c r="Y401" s="500">
        <v>10</v>
      </c>
      <c r="Z401" s="507">
        <v>0</v>
      </c>
      <c r="AA401" s="500"/>
      <c r="AB401" s="506" t="s">
        <v>605</v>
      </c>
      <c r="AC401" s="505">
        <v>0</v>
      </c>
      <c r="AD401" s="500"/>
      <c r="AE401" s="500"/>
      <c r="AF401" s="500"/>
      <c r="AG401" s="500"/>
      <c r="AH401" s="500"/>
      <c r="AI401" s="500"/>
      <c r="AJ401" s="500">
        <v>0</v>
      </c>
      <c r="AK401" s="506" t="s">
        <v>605</v>
      </c>
    </row>
    <row r="402" spans="6:37">
      <c r="F402" s="500" t="str">
        <f t="shared" si="86"/>
        <v>Fitness Center</v>
      </c>
      <c r="G402" s="500" t="str">
        <f t="shared" si="86"/>
        <v>2_20 to 2_29 gpm</v>
      </c>
      <c r="H402" s="500" t="str">
        <f t="shared" si="86"/>
        <v>Retail</v>
      </c>
      <c r="I402" s="500" t="str">
        <f t="shared" si="86"/>
        <v>1_75</v>
      </c>
      <c r="J402" s="500" t="str">
        <f t="shared" si="86"/>
        <v>Any Water Heating</v>
      </c>
      <c r="K402" s="500" t="str">
        <f t="shared" si="83"/>
        <v>Commercial Showerhead Replacement_Fitness Center_precondition 2_20 to 2_29 gpm_efficient 1_75 gpm_Retail_Any Water Heating - Embedded Water Energy</v>
      </c>
      <c r="L402" s="500"/>
      <c r="M402" s="501"/>
      <c r="N402" s="500"/>
      <c r="O402" s="500"/>
      <c r="P402" s="500"/>
      <c r="Q402" s="502"/>
      <c r="R402" s="503"/>
      <c r="S402" s="504"/>
      <c r="T402" s="505"/>
      <c r="U402" s="500"/>
      <c r="V402" s="500" t="str">
        <f t="shared" si="84"/>
        <v>Commercial Showerhead Replacement_Fitness Center_precondition 2_20 to 2_29 gpm_efficient 1_75 gpm_Retail_Any Water Heating</v>
      </c>
      <c r="W402" s="506" t="s">
        <v>604</v>
      </c>
      <c r="X402" s="502">
        <f t="shared" si="85"/>
        <v>112.86089121491409</v>
      </c>
      <c r="Y402" s="500">
        <v>10</v>
      </c>
      <c r="Z402" s="507">
        <v>0</v>
      </c>
      <c r="AA402" s="500"/>
      <c r="AB402" s="506" t="s">
        <v>605</v>
      </c>
      <c r="AC402" s="505">
        <v>0</v>
      </c>
      <c r="AD402" s="500"/>
      <c r="AE402" s="500"/>
      <c r="AF402" s="500"/>
      <c r="AG402" s="500"/>
      <c r="AH402" s="500"/>
      <c r="AI402" s="500"/>
      <c r="AJ402" s="500">
        <v>0</v>
      </c>
      <c r="AK402" s="506" t="s">
        <v>605</v>
      </c>
    </row>
    <row r="403" spans="6:37">
      <c r="F403" s="500" t="str">
        <f t="shared" si="86"/>
        <v>Fitness Center</v>
      </c>
      <c r="G403" s="500" t="str">
        <f t="shared" si="86"/>
        <v>2_20 to 2_29 gpm</v>
      </c>
      <c r="H403" s="500" t="str">
        <f t="shared" si="86"/>
        <v>Retail</v>
      </c>
      <c r="I403" s="500" t="str">
        <f t="shared" si="86"/>
        <v>1_50</v>
      </c>
      <c r="J403" s="500" t="str">
        <f t="shared" si="86"/>
        <v>Electric Water Heating</v>
      </c>
      <c r="K403" s="500" t="str">
        <f t="shared" si="83"/>
        <v>Commercial Showerhead Replacement_Fitness Center_precondition 2_20 to 2_29 gpm_efficient 1_50 gpm_Retail_Electric Water Heating - Embedded Water Energy</v>
      </c>
      <c r="L403" s="500"/>
      <c r="M403" s="501"/>
      <c r="N403" s="500"/>
      <c r="O403" s="500"/>
      <c r="P403" s="500"/>
      <c r="Q403" s="502"/>
      <c r="R403" s="503"/>
      <c r="S403" s="504"/>
      <c r="T403" s="505"/>
      <c r="U403" s="500"/>
      <c r="V403" s="500" t="str">
        <f t="shared" si="84"/>
        <v>Commercial Showerhead Replacement_Fitness Center_precondition 2_20 to 2_29 gpm_efficient 1_50 gpm_Retail_Electric Water Heating</v>
      </c>
      <c r="W403" s="506" t="s">
        <v>604</v>
      </c>
      <c r="X403" s="502">
        <f t="shared" si="85"/>
        <v>158.00524770087972</v>
      </c>
      <c r="Y403" s="500">
        <v>10</v>
      </c>
      <c r="Z403" s="507">
        <v>0</v>
      </c>
      <c r="AA403" s="500"/>
      <c r="AB403" s="506" t="s">
        <v>605</v>
      </c>
      <c r="AC403" s="505">
        <v>0</v>
      </c>
      <c r="AD403" s="500"/>
      <c r="AE403" s="500"/>
      <c r="AF403" s="500"/>
      <c r="AG403" s="500"/>
      <c r="AH403" s="500"/>
      <c r="AI403" s="500"/>
      <c r="AJ403" s="500">
        <v>0</v>
      </c>
      <c r="AK403" s="506" t="s">
        <v>605</v>
      </c>
    </row>
    <row r="404" spans="6:37">
      <c r="F404" s="500" t="str">
        <f t="shared" si="86"/>
        <v>Fitness Center</v>
      </c>
      <c r="G404" s="500" t="str">
        <f t="shared" si="86"/>
        <v>2_20 to 2_29 gpm</v>
      </c>
      <c r="H404" s="500" t="str">
        <f t="shared" si="86"/>
        <v>Retail</v>
      </c>
      <c r="I404" s="500" t="str">
        <f t="shared" si="86"/>
        <v>1_50</v>
      </c>
      <c r="J404" s="500" t="str">
        <f t="shared" si="86"/>
        <v>Gas Water Heating</v>
      </c>
      <c r="K404" s="500" t="str">
        <f t="shared" si="83"/>
        <v>Commercial Showerhead Replacement_Fitness Center_precondition 2_20 to 2_29 gpm_efficient 1_50 gpm_Retail_Gas Water Heating - Embedded Water Energy</v>
      </c>
      <c r="L404" s="500"/>
      <c r="M404" s="501"/>
      <c r="N404" s="500"/>
      <c r="O404" s="500"/>
      <c r="P404" s="500"/>
      <c r="Q404" s="502"/>
      <c r="R404" s="503"/>
      <c r="S404" s="504"/>
      <c r="T404" s="505"/>
      <c r="U404" s="500"/>
      <c r="V404" s="500" t="str">
        <f t="shared" si="84"/>
        <v>Commercial Showerhead Replacement_Fitness Center_precondition 2_20 to 2_29 gpm_efficient 1_50 gpm_Retail_Gas Water Heating</v>
      </c>
      <c r="W404" s="506" t="s">
        <v>604</v>
      </c>
      <c r="X404" s="502">
        <f t="shared" si="85"/>
        <v>158.00524770087972</v>
      </c>
      <c r="Y404" s="500">
        <v>10</v>
      </c>
      <c r="Z404" s="507">
        <v>0</v>
      </c>
      <c r="AA404" s="500"/>
      <c r="AB404" s="506" t="s">
        <v>605</v>
      </c>
      <c r="AC404" s="505">
        <v>0</v>
      </c>
      <c r="AD404" s="500"/>
      <c r="AE404" s="500"/>
      <c r="AF404" s="500"/>
      <c r="AG404" s="500"/>
      <c r="AH404" s="500"/>
      <c r="AI404" s="500"/>
      <c r="AJ404" s="500">
        <v>0</v>
      </c>
      <c r="AK404" s="506" t="s">
        <v>605</v>
      </c>
    </row>
    <row r="405" spans="6:37">
      <c r="F405" s="500" t="str">
        <f t="shared" si="86"/>
        <v>Fitness Center</v>
      </c>
      <c r="G405" s="500" t="str">
        <f t="shared" si="86"/>
        <v>2_20 to 2_29 gpm</v>
      </c>
      <c r="H405" s="500" t="str">
        <f t="shared" si="86"/>
        <v>Retail</v>
      </c>
      <c r="I405" s="500" t="str">
        <f t="shared" si="86"/>
        <v>1_50</v>
      </c>
      <c r="J405" s="500" t="str">
        <f t="shared" si="86"/>
        <v>Any Water Heating</v>
      </c>
      <c r="K405" s="500" t="str">
        <f t="shared" si="83"/>
        <v>Commercial Showerhead Replacement_Fitness Center_precondition 2_20 to 2_29 gpm_efficient 1_50 gpm_Retail_Any Water Heating - Embedded Water Energy</v>
      </c>
      <c r="L405" s="500"/>
      <c r="M405" s="501"/>
      <c r="N405" s="500"/>
      <c r="O405" s="500"/>
      <c r="P405" s="500"/>
      <c r="Q405" s="502"/>
      <c r="R405" s="503"/>
      <c r="S405" s="504"/>
      <c r="T405" s="505"/>
      <c r="U405" s="500"/>
      <c r="V405" s="500" t="str">
        <f t="shared" si="84"/>
        <v>Commercial Showerhead Replacement_Fitness Center_precondition 2_20 to 2_29 gpm_efficient 1_50 gpm_Retail_Any Water Heating</v>
      </c>
      <c r="W405" s="506" t="s">
        <v>604</v>
      </c>
      <c r="X405" s="502">
        <f t="shared" si="85"/>
        <v>158.00524770087972</v>
      </c>
      <c r="Y405" s="500">
        <v>10</v>
      </c>
      <c r="Z405" s="507">
        <v>0</v>
      </c>
      <c r="AA405" s="500"/>
      <c r="AB405" s="506" t="s">
        <v>605</v>
      </c>
      <c r="AC405" s="505">
        <v>0</v>
      </c>
      <c r="AD405" s="500"/>
      <c r="AE405" s="500"/>
      <c r="AF405" s="500"/>
      <c r="AG405" s="500"/>
      <c r="AH405" s="500"/>
      <c r="AI405" s="500"/>
      <c r="AJ405" s="500">
        <v>0</v>
      </c>
      <c r="AK405" s="506" t="s">
        <v>605</v>
      </c>
    </row>
    <row r="406" spans="6:37">
      <c r="F406" s="500" t="str">
        <f t="shared" si="86"/>
        <v>Fitness Center</v>
      </c>
      <c r="G406" s="500" t="str">
        <f t="shared" si="86"/>
        <v>2_20 to 2_29 gpm</v>
      </c>
      <c r="H406" s="500" t="str">
        <f t="shared" si="86"/>
        <v>Direct Install</v>
      </c>
      <c r="I406" s="500" t="str">
        <f t="shared" si="86"/>
        <v>2_00</v>
      </c>
      <c r="J406" s="500" t="str">
        <f t="shared" si="86"/>
        <v>Electric Water Heating</v>
      </c>
      <c r="K406" s="500" t="str">
        <f t="shared" si="83"/>
        <v>Commercial Showerhead Replacement_Fitness Center_precondition 2_20 to 2_29 gpm_efficient 2_00 gpm_Direct Install_Electric Water Heating - Embedded Water Energy</v>
      </c>
      <c r="L406" s="500"/>
      <c r="M406" s="501"/>
      <c r="N406" s="500"/>
      <c r="O406" s="500"/>
      <c r="P406" s="500"/>
      <c r="Q406" s="502"/>
      <c r="R406" s="503"/>
      <c r="S406" s="504"/>
      <c r="T406" s="505"/>
      <c r="U406" s="500"/>
      <c r="V406" s="500" t="str">
        <f t="shared" si="84"/>
        <v>Commercial Showerhead Replacement_Fitness Center_precondition 2_20 to 2_29 gpm_efficient 2_00 gpm_Direct Install_Electric Water Heating</v>
      </c>
      <c r="W406" s="506" t="s">
        <v>604</v>
      </c>
      <c r="X406" s="502">
        <f t="shared" si="85"/>
        <v>121.88976251210723</v>
      </c>
      <c r="Y406" s="500">
        <v>10</v>
      </c>
      <c r="Z406" s="507">
        <v>0</v>
      </c>
      <c r="AA406" s="500"/>
      <c r="AB406" s="506" t="s">
        <v>605</v>
      </c>
      <c r="AC406" s="505">
        <v>0</v>
      </c>
      <c r="AD406" s="500"/>
      <c r="AE406" s="500"/>
      <c r="AF406" s="500"/>
      <c r="AG406" s="500"/>
      <c r="AH406" s="500"/>
      <c r="AI406" s="500"/>
      <c r="AJ406" s="500">
        <v>0</v>
      </c>
      <c r="AK406" s="506" t="s">
        <v>605</v>
      </c>
    </row>
    <row r="407" spans="6:37">
      <c r="F407" s="500" t="str">
        <f t="shared" si="86"/>
        <v>Fitness Center</v>
      </c>
      <c r="G407" s="500" t="str">
        <f t="shared" si="86"/>
        <v>2_20 to 2_29 gpm</v>
      </c>
      <c r="H407" s="500" t="str">
        <f t="shared" si="86"/>
        <v>Direct Install</v>
      </c>
      <c r="I407" s="500" t="str">
        <f t="shared" si="86"/>
        <v>2_00</v>
      </c>
      <c r="J407" s="500" t="str">
        <f t="shared" si="86"/>
        <v>Gas Water Heating</v>
      </c>
      <c r="K407" s="500" t="str">
        <f t="shared" si="83"/>
        <v>Commercial Showerhead Replacement_Fitness Center_precondition 2_20 to 2_29 gpm_efficient 2_00 gpm_Direct Install_Gas Water Heating - Embedded Water Energy</v>
      </c>
      <c r="L407" s="500"/>
      <c r="M407" s="501"/>
      <c r="N407" s="500"/>
      <c r="O407" s="500"/>
      <c r="P407" s="500"/>
      <c r="Q407" s="502"/>
      <c r="R407" s="503"/>
      <c r="S407" s="504"/>
      <c r="T407" s="505"/>
      <c r="U407" s="500"/>
      <c r="V407" s="500" t="str">
        <f t="shared" si="84"/>
        <v>Commercial Showerhead Replacement_Fitness Center_precondition 2_20 to 2_29 gpm_efficient 2_00 gpm_Direct Install_Gas Water Heating</v>
      </c>
      <c r="W407" s="506" t="s">
        <v>604</v>
      </c>
      <c r="X407" s="502">
        <f t="shared" si="85"/>
        <v>121.88976251210723</v>
      </c>
      <c r="Y407" s="500">
        <v>10</v>
      </c>
      <c r="Z407" s="507">
        <v>0</v>
      </c>
      <c r="AA407" s="500"/>
      <c r="AB407" s="506" t="s">
        <v>605</v>
      </c>
      <c r="AC407" s="505">
        <v>0</v>
      </c>
      <c r="AD407" s="500"/>
      <c r="AE407" s="500"/>
      <c r="AF407" s="500"/>
      <c r="AG407" s="500"/>
      <c r="AH407" s="500"/>
      <c r="AI407" s="500"/>
      <c r="AJ407" s="500">
        <v>0</v>
      </c>
      <c r="AK407" s="506" t="s">
        <v>605</v>
      </c>
    </row>
    <row r="408" spans="6:37">
      <c r="F408" s="500" t="str">
        <f t="shared" si="86"/>
        <v>Fitness Center</v>
      </c>
      <c r="G408" s="500" t="str">
        <f t="shared" si="86"/>
        <v>2_20 to 2_29 gpm</v>
      </c>
      <c r="H408" s="500" t="str">
        <f t="shared" si="86"/>
        <v>Direct Install</v>
      </c>
      <c r="I408" s="500" t="str">
        <f t="shared" si="86"/>
        <v>2_00</v>
      </c>
      <c r="J408" s="500" t="str">
        <f t="shared" si="86"/>
        <v>Any Water Heating</v>
      </c>
      <c r="K408" s="500" t="str">
        <f t="shared" si="83"/>
        <v>Commercial Showerhead Replacement_Fitness Center_precondition 2_20 to 2_29 gpm_efficient 2_00 gpm_Direct Install_Any Water Heating - Embedded Water Energy</v>
      </c>
      <c r="L408" s="500"/>
      <c r="M408" s="501"/>
      <c r="N408" s="500"/>
      <c r="O408" s="500"/>
      <c r="P408" s="500"/>
      <c r="Q408" s="502"/>
      <c r="R408" s="503"/>
      <c r="S408" s="504"/>
      <c r="T408" s="505"/>
      <c r="U408" s="500"/>
      <c r="V408" s="500" t="str">
        <f t="shared" si="84"/>
        <v>Commercial Showerhead Replacement_Fitness Center_precondition 2_20 to 2_29 gpm_efficient 2_00 gpm_Direct Install_Any Water Heating</v>
      </c>
      <c r="W408" s="506" t="s">
        <v>604</v>
      </c>
      <c r="X408" s="502">
        <f t="shared" si="85"/>
        <v>121.88976251210723</v>
      </c>
      <c r="Y408" s="500">
        <v>10</v>
      </c>
      <c r="Z408" s="507">
        <v>0</v>
      </c>
      <c r="AA408" s="500"/>
      <c r="AB408" s="506" t="s">
        <v>605</v>
      </c>
      <c r="AC408" s="505">
        <v>0</v>
      </c>
      <c r="AD408" s="500"/>
      <c r="AE408" s="500"/>
      <c r="AF408" s="500"/>
      <c r="AG408" s="500"/>
      <c r="AH408" s="500"/>
      <c r="AI408" s="500"/>
      <c r="AJ408" s="500">
        <v>0</v>
      </c>
      <c r="AK408" s="506" t="s">
        <v>605</v>
      </c>
    </row>
    <row r="409" spans="6:37">
      <c r="F409" s="500" t="str">
        <f t="shared" si="86"/>
        <v>Fitness Center</v>
      </c>
      <c r="G409" s="500" t="str">
        <f t="shared" si="86"/>
        <v>2_20 to 2_29 gpm</v>
      </c>
      <c r="H409" s="500" t="str">
        <f t="shared" si="86"/>
        <v>Direct Install</v>
      </c>
      <c r="I409" s="500" t="str">
        <f t="shared" si="86"/>
        <v>1_75</v>
      </c>
      <c r="J409" s="500" t="str">
        <f t="shared" si="86"/>
        <v>Electric Water Heating</v>
      </c>
      <c r="K409" s="500" t="str">
        <f t="shared" si="83"/>
        <v>Commercial Showerhead Replacement_Fitness Center_precondition 2_20 to 2_29 gpm_efficient 1_75 gpm_Direct Install_Electric Water Heating - Embedded Water Energy</v>
      </c>
      <c r="L409" s="500"/>
      <c r="M409" s="501"/>
      <c r="N409" s="500"/>
      <c r="O409" s="500"/>
      <c r="P409" s="500"/>
      <c r="Q409" s="502"/>
      <c r="R409" s="503"/>
      <c r="S409" s="504"/>
      <c r="T409" s="505"/>
      <c r="U409" s="500"/>
      <c r="V409" s="500" t="str">
        <f t="shared" si="84"/>
        <v>Commercial Showerhead Replacement_Fitness Center_precondition 2_20 to 2_29 gpm_efficient 1_75 gpm_Direct Install_Electric Water Heating</v>
      </c>
      <c r="W409" s="506" t="s">
        <v>604</v>
      </c>
      <c r="X409" s="502">
        <f t="shared" si="85"/>
        <v>135.43306945789689</v>
      </c>
      <c r="Y409" s="500">
        <v>10</v>
      </c>
      <c r="Z409" s="507">
        <v>0</v>
      </c>
      <c r="AA409" s="500"/>
      <c r="AB409" s="506" t="s">
        <v>605</v>
      </c>
      <c r="AC409" s="505">
        <v>0</v>
      </c>
      <c r="AD409" s="500"/>
      <c r="AE409" s="500"/>
      <c r="AF409" s="500"/>
      <c r="AG409" s="500"/>
      <c r="AH409" s="500"/>
      <c r="AI409" s="500"/>
      <c r="AJ409" s="500">
        <v>0</v>
      </c>
      <c r="AK409" s="506" t="s">
        <v>605</v>
      </c>
    </row>
    <row r="410" spans="6:37">
      <c r="F410" s="500" t="str">
        <f t="shared" si="86"/>
        <v>Fitness Center</v>
      </c>
      <c r="G410" s="500" t="str">
        <f t="shared" si="86"/>
        <v>2_20 to 2_29 gpm</v>
      </c>
      <c r="H410" s="500" t="str">
        <f t="shared" si="86"/>
        <v>Direct Install</v>
      </c>
      <c r="I410" s="500" t="str">
        <f t="shared" si="86"/>
        <v>1_75</v>
      </c>
      <c r="J410" s="500" t="str">
        <f t="shared" si="86"/>
        <v>Gas Water Heating</v>
      </c>
      <c r="K410" s="500" t="str">
        <f t="shared" si="83"/>
        <v>Commercial Showerhead Replacement_Fitness Center_precondition 2_20 to 2_29 gpm_efficient 1_75 gpm_Direct Install_Gas Water Heating - Embedded Water Energy</v>
      </c>
      <c r="L410" s="500"/>
      <c r="M410" s="501"/>
      <c r="N410" s="500"/>
      <c r="O410" s="500"/>
      <c r="P410" s="500"/>
      <c r="Q410" s="502"/>
      <c r="R410" s="503"/>
      <c r="S410" s="504"/>
      <c r="T410" s="505"/>
      <c r="U410" s="500"/>
      <c r="V410" s="500" t="str">
        <f t="shared" si="84"/>
        <v>Commercial Showerhead Replacement_Fitness Center_precondition 2_20 to 2_29 gpm_efficient 1_75 gpm_Direct Install_Gas Water Heating</v>
      </c>
      <c r="W410" s="506" t="s">
        <v>604</v>
      </c>
      <c r="X410" s="502">
        <f t="shared" si="85"/>
        <v>135.43306945789689</v>
      </c>
      <c r="Y410" s="500">
        <v>10</v>
      </c>
      <c r="Z410" s="507">
        <v>0</v>
      </c>
      <c r="AA410" s="500"/>
      <c r="AB410" s="506" t="s">
        <v>605</v>
      </c>
      <c r="AC410" s="505">
        <v>0</v>
      </c>
      <c r="AD410" s="500"/>
      <c r="AE410" s="500"/>
      <c r="AF410" s="500"/>
      <c r="AG410" s="500"/>
      <c r="AH410" s="500"/>
      <c r="AI410" s="500"/>
      <c r="AJ410" s="500">
        <v>0</v>
      </c>
      <c r="AK410" s="506" t="s">
        <v>605</v>
      </c>
    </row>
    <row r="411" spans="6:37">
      <c r="F411" s="500" t="str">
        <f t="shared" si="86"/>
        <v>Fitness Center</v>
      </c>
      <c r="G411" s="500" t="str">
        <f t="shared" si="86"/>
        <v>2_20 to 2_29 gpm</v>
      </c>
      <c r="H411" s="500" t="str">
        <f t="shared" si="86"/>
        <v>Direct Install</v>
      </c>
      <c r="I411" s="500" t="str">
        <f t="shared" si="86"/>
        <v>1_75</v>
      </c>
      <c r="J411" s="500" t="str">
        <f t="shared" si="86"/>
        <v>Any Water Heating</v>
      </c>
      <c r="K411" s="500" t="str">
        <f t="shared" si="83"/>
        <v>Commercial Showerhead Replacement_Fitness Center_precondition 2_20 to 2_29 gpm_efficient 1_75 gpm_Direct Install_Any Water Heating - Embedded Water Energy</v>
      </c>
      <c r="L411" s="500"/>
      <c r="M411" s="501"/>
      <c r="N411" s="500"/>
      <c r="O411" s="500"/>
      <c r="P411" s="500"/>
      <c r="Q411" s="502"/>
      <c r="R411" s="503"/>
      <c r="S411" s="504"/>
      <c r="T411" s="505"/>
      <c r="U411" s="500"/>
      <c r="V411" s="500" t="str">
        <f t="shared" si="84"/>
        <v>Commercial Showerhead Replacement_Fitness Center_precondition 2_20 to 2_29 gpm_efficient 1_75 gpm_Direct Install_Any Water Heating</v>
      </c>
      <c r="W411" s="506" t="s">
        <v>604</v>
      </c>
      <c r="X411" s="502">
        <f t="shared" si="85"/>
        <v>135.43306945789689</v>
      </c>
      <c r="Y411" s="500">
        <v>10</v>
      </c>
      <c r="Z411" s="507">
        <v>0</v>
      </c>
      <c r="AA411" s="500"/>
      <c r="AB411" s="506" t="s">
        <v>605</v>
      </c>
      <c r="AC411" s="505">
        <v>0</v>
      </c>
      <c r="AD411" s="500"/>
      <c r="AE411" s="500"/>
      <c r="AF411" s="500"/>
      <c r="AG411" s="500"/>
      <c r="AH411" s="500"/>
      <c r="AI411" s="500"/>
      <c r="AJ411" s="500">
        <v>0</v>
      </c>
      <c r="AK411" s="506" t="s">
        <v>605</v>
      </c>
    </row>
    <row r="412" spans="6:37">
      <c r="F412" s="500" t="str">
        <f t="shared" ref="F412:J427" si="87">F115</f>
        <v>Fitness Center</v>
      </c>
      <c r="G412" s="500" t="str">
        <f t="shared" si="87"/>
        <v>2_20 to 2_29 gpm</v>
      </c>
      <c r="H412" s="500" t="str">
        <f t="shared" si="87"/>
        <v>Direct Install</v>
      </c>
      <c r="I412" s="500" t="str">
        <f t="shared" si="87"/>
        <v>1_50</v>
      </c>
      <c r="J412" s="500" t="str">
        <f t="shared" si="87"/>
        <v>Electric Water Heating</v>
      </c>
      <c r="K412" s="500" t="str">
        <f t="shared" si="83"/>
        <v>Commercial Showerhead Replacement_Fitness Center_precondition 2_20 to 2_29 gpm_efficient 1_50 gpm_Direct Install_Electric Water Heating - Embedded Water Energy</v>
      </c>
      <c r="L412" s="500"/>
      <c r="M412" s="501"/>
      <c r="N412" s="500"/>
      <c r="O412" s="500"/>
      <c r="P412" s="500"/>
      <c r="Q412" s="502"/>
      <c r="R412" s="503"/>
      <c r="S412" s="504"/>
      <c r="T412" s="505"/>
      <c r="U412" s="500"/>
      <c r="V412" s="500" t="str">
        <f t="shared" si="84"/>
        <v>Commercial Showerhead Replacement_Fitness Center_precondition 2_20 to 2_29 gpm_efficient 1_50 gpm_Direct Install_Electric Water Heating</v>
      </c>
      <c r="W412" s="506" t="s">
        <v>604</v>
      </c>
      <c r="X412" s="502">
        <f t="shared" si="85"/>
        <v>203.14960418684538</v>
      </c>
      <c r="Y412" s="500">
        <v>10</v>
      </c>
      <c r="Z412" s="507">
        <v>0</v>
      </c>
      <c r="AA412" s="500"/>
      <c r="AB412" s="506" t="s">
        <v>605</v>
      </c>
      <c r="AC412" s="505">
        <v>0</v>
      </c>
      <c r="AD412" s="500"/>
      <c r="AE412" s="500"/>
      <c r="AF412" s="500"/>
      <c r="AG412" s="500"/>
      <c r="AH412" s="500"/>
      <c r="AI412" s="500"/>
      <c r="AJ412" s="500">
        <v>0</v>
      </c>
      <c r="AK412" s="506" t="s">
        <v>605</v>
      </c>
    </row>
    <row r="413" spans="6:37">
      <c r="F413" s="500" t="str">
        <f t="shared" si="87"/>
        <v>Fitness Center</v>
      </c>
      <c r="G413" s="500" t="str">
        <f t="shared" si="87"/>
        <v>2_20 to 2_29 gpm</v>
      </c>
      <c r="H413" s="500" t="str">
        <f t="shared" si="87"/>
        <v>Direct Install</v>
      </c>
      <c r="I413" s="500" t="str">
        <f t="shared" si="87"/>
        <v>1_50</v>
      </c>
      <c r="J413" s="500" t="str">
        <f t="shared" si="87"/>
        <v>Gas Water Heating</v>
      </c>
      <c r="K413" s="500" t="str">
        <f t="shared" si="83"/>
        <v>Commercial Showerhead Replacement_Fitness Center_precondition 2_20 to 2_29 gpm_efficient 1_50 gpm_Direct Install_Gas Water Heating - Embedded Water Energy</v>
      </c>
      <c r="L413" s="500"/>
      <c r="M413" s="501"/>
      <c r="N413" s="500"/>
      <c r="O413" s="500"/>
      <c r="P413" s="500"/>
      <c r="Q413" s="502"/>
      <c r="R413" s="503"/>
      <c r="S413" s="504"/>
      <c r="T413" s="505"/>
      <c r="U413" s="500"/>
      <c r="V413" s="500" t="str">
        <f t="shared" si="84"/>
        <v>Commercial Showerhead Replacement_Fitness Center_precondition 2_20 to 2_29 gpm_efficient 1_50 gpm_Direct Install_Gas Water Heating</v>
      </c>
      <c r="W413" s="506" t="s">
        <v>604</v>
      </c>
      <c r="X413" s="502">
        <f t="shared" si="85"/>
        <v>203.14960418684538</v>
      </c>
      <c r="Y413" s="500">
        <v>10</v>
      </c>
      <c r="Z413" s="507">
        <v>0</v>
      </c>
      <c r="AA413" s="500"/>
      <c r="AB413" s="506" t="s">
        <v>605</v>
      </c>
      <c r="AC413" s="505">
        <v>0</v>
      </c>
      <c r="AD413" s="500"/>
      <c r="AE413" s="500"/>
      <c r="AF413" s="500"/>
      <c r="AG413" s="500"/>
      <c r="AH413" s="500"/>
      <c r="AI413" s="500"/>
      <c r="AJ413" s="500">
        <v>0</v>
      </c>
      <c r="AK413" s="506" t="s">
        <v>605</v>
      </c>
    </row>
    <row r="414" spans="6:37">
      <c r="F414" s="500" t="str">
        <f t="shared" si="87"/>
        <v>Fitness Center</v>
      </c>
      <c r="G414" s="500" t="str">
        <f t="shared" si="87"/>
        <v>2_20 to 2_29 gpm</v>
      </c>
      <c r="H414" s="500" t="str">
        <f t="shared" si="87"/>
        <v>Direct Install</v>
      </c>
      <c r="I414" s="500" t="str">
        <f t="shared" si="87"/>
        <v>1_50</v>
      </c>
      <c r="J414" s="500" t="str">
        <f t="shared" si="87"/>
        <v>Any Water Heating</v>
      </c>
      <c r="K414" s="500" t="str">
        <f t="shared" si="83"/>
        <v>Commercial Showerhead Replacement_Fitness Center_precondition 2_20 to 2_29 gpm_efficient 1_50 gpm_Direct Install_Any Water Heating - Embedded Water Energy</v>
      </c>
      <c r="L414" s="500"/>
      <c r="M414" s="501"/>
      <c r="N414" s="500"/>
      <c r="O414" s="500"/>
      <c r="P414" s="500"/>
      <c r="Q414" s="502"/>
      <c r="R414" s="503"/>
      <c r="S414" s="504"/>
      <c r="T414" s="505"/>
      <c r="U414" s="500"/>
      <c r="V414" s="500" t="str">
        <f t="shared" si="84"/>
        <v>Commercial Showerhead Replacement_Fitness Center_precondition 2_20 to 2_29 gpm_efficient 1_50 gpm_Direct Install_Any Water Heating</v>
      </c>
      <c r="W414" s="506" t="s">
        <v>604</v>
      </c>
      <c r="X414" s="502">
        <f t="shared" si="85"/>
        <v>203.14960418684538</v>
      </c>
      <c r="Y414" s="500">
        <v>10</v>
      </c>
      <c r="Z414" s="507">
        <v>0</v>
      </c>
      <c r="AA414" s="500"/>
      <c r="AB414" s="506" t="s">
        <v>605</v>
      </c>
      <c r="AC414" s="505">
        <v>0</v>
      </c>
      <c r="AD414" s="500"/>
      <c r="AE414" s="500"/>
      <c r="AF414" s="500"/>
      <c r="AG414" s="500"/>
      <c r="AH414" s="500"/>
      <c r="AI414" s="500"/>
      <c r="AJ414" s="500">
        <v>0</v>
      </c>
      <c r="AK414" s="506" t="s">
        <v>605</v>
      </c>
    </row>
    <row r="415" spans="6:37">
      <c r="F415" s="500" t="str">
        <f t="shared" si="87"/>
        <v>Fitness Center</v>
      </c>
      <c r="G415" s="500" t="str">
        <f t="shared" si="87"/>
        <v>2_20 to 2_29 gpm</v>
      </c>
      <c r="H415" s="500" t="str">
        <f t="shared" si="87"/>
        <v>Mail-by-Request</v>
      </c>
      <c r="I415" s="500" t="str">
        <f t="shared" si="87"/>
        <v>2_00</v>
      </c>
      <c r="J415" s="500" t="str">
        <f t="shared" si="87"/>
        <v>Electric Water Heating</v>
      </c>
      <c r="K415" s="500" t="str">
        <f t="shared" si="83"/>
        <v>Commercial Showerhead Replacement_Fitness Center_precondition 2_20 to 2_29 gpm_efficient 2_00 gpm_Mail-by-Request_Electric Water Heating - Embedded Water Energy</v>
      </c>
      <c r="L415" s="500"/>
      <c r="M415" s="501"/>
      <c r="N415" s="500"/>
      <c r="O415" s="500"/>
      <c r="P415" s="500"/>
      <c r="Q415" s="502"/>
      <c r="R415" s="503"/>
      <c r="S415" s="504"/>
      <c r="T415" s="505"/>
      <c r="U415" s="500"/>
      <c r="V415" s="500" t="str">
        <f t="shared" si="84"/>
        <v>Commercial Showerhead Replacement_Fitness Center_precondition 2_20 to 2_29 gpm_efficient 2_00 gpm_Mail-by-Request_Electric Water Heating</v>
      </c>
      <c r="W415" s="506" t="s">
        <v>604</v>
      </c>
      <c r="X415" s="502">
        <f t="shared" si="85"/>
        <v>81.259841674738155</v>
      </c>
      <c r="Y415" s="500">
        <v>10</v>
      </c>
      <c r="Z415" s="507">
        <v>0</v>
      </c>
      <c r="AA415" s="500"/>
      <c r="AB415" s="506" t="s">
        <v>605</v>
      </c>
      <c r="AC415" s="505">
        <v>0</v>
      </c>
      <c r="AD415" s="500"/>
      <c r="AE415" s="500"/>
      <c r="AF415" s="500"/>
      <c r="AG415" s="500"/>
      <c r="AH415" s="500"/>
      <c r="AI415" s="500"/>
      <c r="AJ415" s="500">
        <v>0</v>
      </c>
      <c r="AK415" s="506" t="s">
        <v>605</v>
      </c>
    </row>
    <row r="416" spans="6:37">
      <c r="F416" s="500" t="str">
        <f t="shared" si="87"/>
        <v>Fitness Center</v>
      </c>
      <c r="G416" s="500" t="str">
        <f t="shared" si="87"/>
        <v>2_20 to 2_29 gpm</v>
      </c>
      <c r="H416" s="500" t="str">
        <f t="shared" si="87"/>
        <v>Mail-by-Request</v>
      </c>
      <c r="I416" s="500" t="str">
        <f t="shared" si="87"/>
        <v>2_00</v>
      </c>
      <c r="J416" s="500" t="str">
        <f t="shared" si="87"/>
        <v>Gas Water Heating</v>
      </c>
      <c r="K416" s="500" t="str">
        <f t="shared" si="83"/>
        <v>Commercial Showerhead Replacement_Fitness Center_precondition 2_20 to 2_29 gpm_efficient 2_00 gpm_Mail-by-Request_Gas Water Heating - Embedded Water Energy</v>
      </c>
      <c r="L416" s="500"/>
      <c r="M416" s="501"/>
      <c r="N416" s="500"/>
      <c r="O416" s="500"/>
      <c r="P416" s="500"/>
      <c r="Q416" s="502"/>
      <c r="R416" s="503"/>
      <c r="S416" s="504"/>
      <c r="T416" s="505"/>
      <c r="U416" s="500"/>
      <c r="V416" s="500" t="str">
        <f t="shared" si="84"/>
        <v>Commercial Showerhead Replacement_Fitness Center_precondition 2_20 to 2_29 gpm_efficient 2_00 gpm_Mail-by-Request_Gas Water Heating</v>
      </c>
      <c r="W416" s="506" t="s">
        <v>604</v>
      </c>
      <c r="X416" s="502">
        <f t="shared" si="85"/>
        <v>81.259841674738155</v>
      </c>
      <c r="Y416" s="500">
        <v>10</v>
      </c>
      <c r="Z416" s="507">
        <v>0</v>
      </c>
      <c r="AA416" s="500"/>
      <c r="AB416" s="506" t="s">
        <v>605</v>
      </c>
      <c r="AC416" s="505">
        <v>0</v>
      </c>
      <c r="AD416" s="500"/>
      <c r="AE416" s="500"/>
      <c r="AF416" s="500"/>
      <c r="AG416" s="500"/>
      <c r="AH416" s="500"/>
      <c r="AI416" s="500"/>
      <c r="AJ416" s="500">
        <v>0</v>
      </c>
      <c r="AK416" s="506" t="s">
        <v>605</v>
      </c>
    </row>
    <row r="417" spans="6:37">
      <c r="F417" s="500" t="str">
        <f t="shared" si="87"/>
        <v>Fitness Center</v>
      </c>
      <c r="G417" s="500" t="str">
        <f t="shared" si="87"/>
        <v>2_20 to 2_29 gpm</v>
      </c>
      <c r="H417" s="500" t="str">
        <f t="shared" si="87"/>
        <v>Mail-by-Request</v>
      </c>
      <c r="I417" s="500" t="str">
        <f t="shared" si="87"/>
        <v>2_00</v>
      </c>
      <c r="J417" s="500" t="str">
        <f t="shared" si="87"/>
        <v>Any Water Heating</v>
      </c>
      <c r="K417" s="500" t="str">
        <f t="shared" si="83"/>
        <v>Commercial Showerhead Replacement_Fitness Center_precondition 2_20 to 2_29 gpm_efficient 2_00 gpm_Mail-by-Request_Any Water Heating - Embedded Water Energy</v>
      </c>
      <c r="L417" s="500"/>
      <c r="M417" s="501"/>
      <c r="N417" s="500"/>
      <c r="O417" s="500"/>
      <c r="P417" s="500"/>
      <c r="Q417" s="502"/>
      <c r="R417" s="503"/>
      <c r="S417" s="504"/>
      <c r="T417" s="505"/>
      <c r="U417" s="500"/>
      <c r="V417" s="500" t="str">
        <f t="shared" si="84"/>
        <v>Commercial Showerhead Replacement_Fitness Center_precondition 2_20 to 2_29 gpm_efficient 2_00 gpm_Mail-by-Request_Any Water Heating</v>
      </c>
      <c r="W417" s="506" t="s">
        <v>604</v>
      </c>
      <c r="X417" s="502">
        <f t="shared" si="85"/>
        <v>81.259841674738155</v>
      </c>
      <c r="Y417" s="500">
        <v>10</v>
      </c>
      <c r="Z417" s="507">
        <v>0</v>
      </c>
      <c r="AA417" s="500"/>
      <c r="AB417" s="506" t="s">
        <v>605</v>
      </c>
      <c r="AC417" s="505">
        <v>0</v>
      </c>
      <c r="AD417" s="500"/>
      <c r="AE417" s="500"/>
      <c r="AF417" s="500"/>
      <c r="AG417" s="500"/>
      <c r="AH417" s="500"/>
      <c r="AI417" s="500"/>
      <c r="AJ417" s="500">
        <v>0</v>
      </c>
      <c r="AK417" s="506" t="s">
        <v>605</v>
      </c>
    </row>
    <row r="418" spans="6:37">
      <c r="F418" s="500" t="str">
        <f t="shared" si="87"/>
        <v>Fitness Center</v>
      </c>
      <c r="G418" s="500" t="str">
        <f t="shared" si="87"/>
        <v>2_20 to 2_29 gpm</v>
      </c>
      <c r="H418" s="500" t="str">
        <f t="shared" si="87"/>
        <v>Mail-by-Request</v>
      </c>
      <c r="I418" s="500" t="str">
        <f t="shared" si="87"/>
        <v>1_75</v>
      </c>
      <c r="J418" s="500" t="str">
        <f t="shared" si="87"/>
        <v>Electric Water Heating</v>
      </c>
      <c r="K418" s="500" t="str">
        <f t="shared" si="83"/>
        <v>Commercial Showerhead Replacement_Fitness Center_precondition 2_20 to 2_29 gpm_efficient 1_75 gpm_Mail-by-Request_Electric Water Heating - Embedded Water Energy</v>
      </c>
      <c r="L418" s="500"/>
      <c r="M418" s="501"/>
      <c r="N418" s="500"/>
      <c r="O418" s="500"/>
      <c r="P418" s="500"/>
      <c r="Q418" s="502"/>
      <c r="R418" s="503"/>
      <c r="S418" s="504"/>
      <c r="T418" s="505"/>
      <c r="U418" s="500"/>
      <c r="V418" s="500" t="str">
        <f t="shared" si="84"/>
        <v>Commercial Showerhead Replacement_Fitness Center_precondition 2_20 to 2_29 gpm_efficient 1_75 gpm_Mail-by-Request_Electric Water Heating</v>
      </c>
      <c r="W418" s="506" t="s">
        <v>604</v>
      </c>
      <c r="X418" s="502">
        <f t="shared" si="85"/>
        <v>90.288712971931261</v>
      </c>
      <c r="Y418" s="500">
        <v>10</v>
      </c>
      <c r="Z418" s="507">
        <v>0</v>
      </c>
      <c r="AA418" s="500"/>
      <c r="AB418" s="506" t="s">
        <v>605</v>
      </c>
      <c r="AC418" s="505">
        <v>0</v>
      </c>
      <c r="AD418" s="500"/>
      <c r="AE418" s="500"/>
      <c r="AF418" s="500"/>
      <c r="AG418" s="500"/>
      <c r="AH418" s="500"/>
      <c r="AI418" s="500"/>
      <c r="AJ418" s="500">
        <v>0</v>
      </c>
      <c r="AK418" s="506" t="s">
        <v>605</v>
      </c>
    </row>
    <row r="419" spans="6:37">
      <c r="F419" s="500" t="str">
        <f t="shared" si="87"/>
        <v>Fitness Center</v>
      </c>
      <c r="G419" s="500" t="str">
        <f t="shared" si="87"/>
        <v>2_20 to 2_29 gpm</v>
      </c>
      <c r="H419" s="500" t="str">
        <f t="shared" si="87"/>
        <v>Mail-by-Request</v>
      </c>
      <c r="I419" s="500" t="str">
        <f t="shared" si="87"/>
        <v>1_75</v>
      </c>
      <c r="J419" s="500" t="str">
        <f t="shared" si="87"/>
        <v>Gas Water Heating</v>
      </c>
      <c r="K419" s="500" t="str">
        <f t="shared" si="83"/>
        <v>Commercial Showerhead Replacement_Fitness Center_precondition 2_20 to 2_29 gpm_efficient 1_75 gpm_Mail-by-Request_Gas Water Heating - Embedded Water Energy</v>
      </c>
      <c r="L419" s="500"/>
      <c r="M419" s="501"/>
      <c r="N419" s="500"/>
      <c r="O419" s="500"/>
      <c r="P419" s="500"/>
      <c r="Q419" s="502"/>
      <c r="R419" s="503"/>
      <c r="S419" s="504"/>
      <c r="T419" s="505"/>
      <c r="U419" s="500"/>
      <c r="V419" s="500" t="str">
        <f t="shared" si="84"/>
        <v>Commercial Showerhead Replacement_Fitness Center_precondition 2_20 to 2_29 gpm_efficient 1_75 gpm_Mail-by-Request_Gas Water Heating</v>
      </c>
      <c r="W419" s="506" t="s">
        <v>604</v>
      </c>
      <c r="X419" s="502">
        <f t="shared" si="85"/>
        <v>90.288712971931261</v>
      </c>
      <c r="Y419" s="500">
        <v>10</v>
      </c>
      <c r="Z419" s="507">
        <v>0</v>
      </c>
      <c r="AA419" s="500"/>
      <c r="AB419" s="506" t="s">
        <v>605</v>
      </c>
      <c r="AC419" s="505">
        <v>0</v>
      </c>
      <c r="AD419" s="500"/>
      <c r="AE419" s="500"/>
      <c r="AF419" s="500"/>
      <c r="AG419" s="500"/>
      <c r="AH419" s="500"/>
      <c r="AI419" s="500"/>
      <c r="AJ419" s="500">
        <v>0</v>
      </c>
      <c r="AK419" s="506" t="s">
        <v>605</v>
      </c>
    </row>
    <row r="420" spans="6:37">
      <c r="F420" s="500" t="str">
        <f t="shared" si="87"/>
        <v>Fitness Center</v>
      </c>
      <c r="G420" s="500" t="str">
        <f t="shared" si="87"/>
        <v>2_20 to 2_29 gpm</v>
      </c>
      <c r="H420" s="500" t="str">
        <f t="shared" si="87"/>
        <v>Mail-by-Request</v>
      </c>
      <c r="I420" s="500" t="str">
        <f t="shared" si="87"/>
        <v>1_75</v>
      </c>
      <c r="J420" s="500" t="str">
        <f t="shared" si="87"/>
        <v>Any Water Heating</v>
      </c>
      <c r="K420" s="500" t="str">
        <f t="shared" si="83"/>
        <v>Commercial Showerhead Replacement_Fitness Center_precondition 2_20 to 2_29 gpm_efficient 1_75 gpm_Mail-by-Request_Any Water Heating - Embedded Water Energy</v>
      </c>
      <c r="L420" s="500"/>
      <c r="M420" s="501"/>
      <c r="N420" s="500"/>
      <c r="O420" s="500"/>
      <c r="P420" s="500"/>
      <c r="Q420" s="502"/>
      <c r="R420" s="503"/>
      <c r="S420" s="504"/>
      <c r="T420" s="505"/>
      <c r="U420" s="500"/>
      <c r="V420" s="500" t="str">
        <f t="shared" si="84"/>
        <v>Commercial Showerhead Replacement_Fitness Center_precondition 2_20 to 2_29 gpm_efficient 1_75 gpm_Mail-by-Request_Any Water Heating</v>
      </c>
      <c r="W420" s="506" t="s">
        <v>604</v>
      </c>
      <c r="X420" s="502">
        <f t="shared" si="85"/>
        <v>90.288712971931261</v>
      </c>
      <c r="Y420" s="500">
        <v>10</v>
      </c>
      <c r="Z420" s="507">
        <v>0</v>
      </c>
      <c r="AA420" s="500"/>
      <c r="AB420" s="506" t="s">
        <v>605</v>
      </c>
      <c r="AC420" s="505">
        <v>0</v>
      </c>
      <c r="AD420" s="500"/>
      <c r="AE420" s="500"/>
      <c r="AF420" s="500"/>
      <c r="AG420" s="500"/>
      <c r="AH420" s="500"/>
      <c r="AI420" s="500"/>
      <c r="AJ420" s="500">
        <v>0</v>
      </c>
      <c r="AK420" s="506" t="s">
        <v>605</v>
      </c>
    </row>
    <row r="421" spans="6:37">
      <c r="F421" s="500" t="str">
        <f t="shared" si="87"/>
        <v>Fitness Center</v>
      </c>
      <c r="G421" s="500" t="str">
        <f t="shared" si="87"/>
        <v>2_20 to 2_29 gpm</v>
      </c>
      <c r="H421" s="500" t="str">
        <f t="shared" si="87"/>
        <v>Mail-by-Request</v>
      </c>
      <c r="I421" s="500" t="str">
        <f t="shared" si="87"/>
        <v>1_50</v>
      </c>
      <c r="J421" s="500" t="str">
        <f t="shared" si="87"/>
        <v>Electric Water Heating</v>
      </c>
      <c r="K421" s="500" t="str">
        <f t="shared" si="83"/>
        <v>Commercial Showerhead Replacement_Fitness Center_precondition 2_20 to 2_29 gpm_efficient 1_50 gpm_Mail-by-Request_Electric Water Heating - Embedded Water Energy</v>
      </c>
      <c r="L421" s="500"/>
      <c r="M421" s="501"/>
      <c r="N421" s="500"/>
      <c r="O421" s="500"/>
      <c r="P421" s="500"/>
      <c r="Q421" s="502"/>
      <c r="R421" s="503"/>
      <c r="S421" s="504"/>
      <c r="T421" s="505"/>
      <c r="U421" s="500"/>
      <c r="V421" s="500" t="str">
        <f t="shared" si="84"/>
        <v>Commercial Showerhead Replacement_Fitness Center_precondition 2_20 to 2_29 gpm_efficient 1_50 gpm_Mail-by-Request_Electric Water Heating</v>
      </c>
      <c r="W421" s="506" t="s">
        <v>604</v>
      </c>
      <c r="X421" s="502">
        <f t="shared" si="85"/>
        <v>135.43306945789689</v>
      </c>
      <c r="Y421" s="500">
        <v>10</v>
      </c>
      <c r="Z421" s="507">
        <v>0</v>
      </c>
      <c r="AA421" s="500"/>
      <c r="AB421" s="506" t="s">
        <v>605</v>
      </c>
      <c r="AC421" s="505">
        <v>0</v>
      </c>
      <c r="AD421" s="500"/>
      <c r="AE421" s="500"/>
      <c r="AF421" s="500"/>
      <c r="AG421" s="500"/>
      <c r="AH421" s="500"/>
      <c r="AI421" s="500"/>
      <c r="AJ421" s="500">
        <v>0</v>
      </c>
      <c r="AK421" s="506" t="s">
        <v>605</v>
      </c>
    </row>
    <row r="422" spans="6:37">
      <c r="F422" s="500" t="str">
        <f t="shared" si="87"/>
        <v>Fitness Center</v>
      </c>
      <c r="G422" s="500" t="str">
        <f t="shared" si="87"/>
        <v>2_20 to 2_29 gpm</v>
      </c>
      <c r="H422" s="500" t="str">
        <f t="shared" si="87"/>
        <v>Mail-by-Request</v>
      </c>
      <c r="I422" s="500" t="str">
        <f t="shared" si="87"/>
        <v>1_50</v>
      </c>
      <c r="J422" s="500" t="str">
        <f t="shared" si="87"/>
        <v>Gas Water Heating</v>
      </c>
      <c r="K422" s="500" t="str">
        <f t="shared" si="83"/>
        <v>Commercial Showerhead Replacement_Fitness Center_precondition 2_20 to 2_29 gpm_efficient 1_50 gpm_Mail-by-Request_Gas Water Heating - Embedded Water Energy</v>
      </c>
      <c r="L422" s="500"/>
      <c r="M422" s="501"/>
      <c r="N422" s="500"/>
      <c r="O422" s="500"/>
      <c r="P422" s="500"/>
      <c r="Q422" s="502"/>
      <c r="R422" s="503"/>
      <c r="S422" s="504"/>
      <c r="T422" s="505"/>
      <c r="U422" s="500"/>
      <c r="V422" s="500" t="str">
        <f t="shared" si="84"/>
        <v>Commercial Showerhead Replacement_Fitness Center_precondition 2_20 to 2_29 gpm_efficient 1_50 gpm_Mail-by-Request_Gas Water Heating</v>
      </c>
      <c r="W422" s="506" t="s">
        <v>604</v>
      </c>
      <c r="X422" s="502">
        <f t="shared" si="85"/>
        <v>135.43306945789689</v>
      </c>
      <c r="Y422" s="500">
        <v>10</v>
      </c>
      <c r="Z422" s="507">
        <v>0</v>
      </c>
      <c r="AA422" s="500"/>
      <c r="AB422" s="506" t="s">
        <v>605</v>
      </c>
      <c r="AC422" s="505">
        <v>0</v>
      </c>
      <c r="AD422" s="500"/>
      <c r="AE422" s="500"/>
      <c r="AF422" s="500"/>
      <c r="AG422" s="500"/>
      <c r="AH422" s="500"/>
      <c r="AI422" s="500"/>
      <c r="AJ422" s="500">
        <v>0</v>
      </c>
      <c r="AK422" s="506" t="s">
        <v>605</v>
      </c>
    </row>
    <row r="423" spans="6:37">
      <c r="F423" s="500" t="str">
        <f t="shared" si="87"/>
        <v>Fitness Center</v>
      </c>
      <c r="G423" s="500" t="str">
        <f t="shared" si="87"/>
        <v>2_20 to 2_29 gpm</v>
      </c>
      <c r="H423" s="500" t="str">
        <f t="shared" si="87"/>
        <v>Mail-by-Request</v>
      </c>
      <c r="I423" s="500" t="str">
        <f t="shared" si="87"/>
        <v>1_50</v>
      </c>
      <c r="J423" s="500" t="str">
        <f t="shared" si="87"/>
        <v>Any Water Heating</v>
      </c>
      <c r="K423" s="500" t="str">
        <f t="shared" si="83"/>
        <v>Commercial Showerhead Replacement_Fitness Center_precondition 2_20 to 2_29 gpm_efficient 1_50 gpm_Mail-by-Request_Any Water Heating - Embedded Water Energy</v>
      </c>
      <c r="L423" s="500"/>
      <c r="M423" s="501"/>
      <c r="N423" s="500"/>
      <c r="O423" s="500"/>
      <c r="P423" s="500"/>
      <c r="Q423" s="502"/>
      <c r="R423" s="503"/>
      <c r="S423" s="504"/>
      <c r="T423" s="505"/>
      <c r="U423" s="500"/>
      <c r="V423" s="500" t="str">
        <f t="shared" si="84"/>
        <v>Commercial Showerhead Replacement_Fitness Center_precondition 2_20 to 2_29 gpm_efficient 1_50 gpm_Mail-by-Request_Any Water Heating</v>
      </c>
      <c r="W423" s="506" t="s">
        <v>604</v>
      </c>
      <c r="X423" s="502">
        <f t="shared" si="85"/>
        <v>135.43306945789689</v>
      </c>
      <c r="Y423" s="500">
        <v>10</v>
      </c>
      <c r="Z423" s="507">
        <v>0</v>
      </c>
      <c r="AA423" s="500"/>
      <c r="AB423" s="506" t="s">
        <v>605</v>
      </c>
      <c r="AC423" s="505">
        <v>0</v>
      </c>
      <c r="AD423" s="500"/>
      <c r="AE423" s="500"/>
      <c r="AF423" s="500"/>
      <c r="AG423" s="500"/>
      <c r="AH423" s="500"/>
      <c r="AI423" s="500"/>
      <c r="AJ423" s="500">
        <v>0</v>
      </c>
      <c r="AK423" s="506" t="s">
        <v>605</v>
      </c>
    </row>
    <row r="424" spans="6:37">
      <c r="F424" s="500" t="str">
        <f t="shared" si="87"/>
        <v>Fitness Center</v>
      </c>
      <c r="G424" s="500" t="str">
        <f t="shared" si="87"/>
        <v>2_10 to 2_19 gpm</v>
      </c>
      <c r="H424" s="500" t="str">
        <f t="shared" si="87"/>
        <v>Retail</v>
      </c>
      <c r="I424" s="500" t="str">
        <f t="shared" si="87"/>
        <v>2_00</v>
      </c>
      <c r="J424" s="500" t="str">
        <f t="shared" si="87"/>
        <v>Electric Water Heating</v>
      </c>
      <c r="K424" s="500" t="str">
        <f t="shared" si="83"/>
        <v>Commercial Showerhead Replacement_Fitness Center_precondition 2_10 to 2_19 gpm_efficient 2_00 gpm_Retail_Electric Water Heating - Embedded Water Energy</v>
      </c>
      <c r="L424" s="500"/>
      <c r="M424" s="501"/>
      <c r="N424" s="500"/>
      <c r="O424" s="500"/>
      <c r="P424" s="500"/>
      <c r="Q424" s="502"/>
      <c r="R424" s="503"/>
      <c r="S424" s="504"/>
      <c r="T424" s="505"/>
      <c r="U424" s="500"/>
      <c r="V424" s="500" t="str">
        <f t="shared" si="84"/>
        <v>Commercial Showerhead Replacement_Fitness Center_precondition 2_10 to 2_19 gpm_efficient 2_00 gpm_Retail_Electric Water Heating</v>
      </c>
      <c r="W424" s="506" t="s">
        <v>604</v>
      </c>
      <c r="X424" s="502">
        <f t="shared" si="85"/>
        <v>84.269465440469162</v>
      </c>
      <c r="Y424" s="500">
        <v>10</v>
      </c>
      <c r="Z424" s="507">
        <v>0</v>
      </c>
      <c r="AA424" s="500"/>
      <c r="AB424" s="506" t="s">
        <v>605</v>
      </c>
      <c r="AC424" s="505">
        <v>0</v>
      </c>
      <c r="AD424" s="500"/>
      <c r="AE424" s="500"/>
      <c r="AF424" s="500"/>
      <c r="AG424" s="500"/>
      <c r="AH424" s="500"/>
      <c r="AI424" s="500"/>
      <c r="AJ424" s="500">
        <v>0</v>
      </c>
      <c r="AK424" s="506" t="s">
        <v>605</v>
      </c>
    </row>
    <row r="425" spans="6:37">
      <c r="F425" s="500" t="str">
        <f t="shared" si="87"/>
        <v>Fitness Center</v>
      </c>
      <c r="G425" s="500" t="str">
        <f t="shared" si="87"/>
        <v>2_10 to 2_19 gpm</v>
      </c>
      <c r="H425" s="500" t="str">
        <f t="shared" si="87"/>
        <v>Retail</v>
      </c>
      <c r="I425" s="500" t="str">
        <f t="shared" si="87"/>
        <v>2_00</v>
      </c>
      <c r="J425" s="500" t="str">
        <f t="shared" si="87"/>
        <v>Gas Water Heating</v>
      </c>
      <c r="K425" s="500" t="str">
        <f t="shared" si="83"/>
        <v>Commercial Showerhead Replacement_Fitness Center_precondition 2_10 to 2_19 gpm_efficient 2_00 gpm_Retail_Gas Water Heating - Embedded Water Energy</v>
      </c>
      <c r="L425" s="500"/>
      <c r="M425" s="501"/>
      <c r="N425" s="500"/>
      <c r="O425" s="500"/>
      <c r="P425" s="500"/>
      <c r="Q425" s="502"/>
      <c r="R425" s="503"/>
      <c r="S425" s="504"/>
      <c r="T425" s="505"/>
      <c r="U425" s="500"/>
      <c r="V425" s="500" t="str">
        <f t="shared" si="84"/>
        <v>Commercial Showerhead Replacement_Fitness Center_precondition 2_10 to 2_19 gpm_efficient 2_00 gpm_Retail_Gas Water Heating</v>
      </c>
      <c r="W425" s="506" t="s">
        <v>604</v>
      </c>
      <c r="X425" s="502">
        <f t="shared" si="85"/>
        <v>84.269465440469162</v>
      </c>
      <c r="Y425" s="500">
        <v>10</v>
      </c>
      <c r="Z425" s="507">
        <v>0</v>
      </c>
      <c r="AA425" s="500"/>
      <c r="AB425" s="506" t="s">
        <v>605</v>
      </c>
      <c r="AC425" s="505">
        <v>0</v>
      </c>
      <c r="AD425" s="500"/>
      <c r="AE425" s="500"/>
      <c r="AF425" s="500"/>
      <c r="AG425" s="500"/>
      <c r="AH425" s="500"/>
      <c r="AI425" s="500"/>
      <c r="AJ425" s="500">
        <v>0</v>
      </c>
      <c r="AK425" s="506" t="s">
        <v>605</v>
      </c>
    </row>
    <row r="426" spans="6:37">
      <c r="F426" s="500" t="str">
        <f t="shared" si="87"/>
        <v>Fitness Center</v>
      </c>
      <c r="G426" s="500" t="str">
        <f t="shared" si="87"/>
        <v>2_10 to 2_19 gpm</v>
      </c>
      <c r="H426" s="500" t="str">
        <f t="shared" si="87"/>
        <v>Retail</v>
      </c>
      <c r="I426" s="500" t="str">
        <f t="shared" si="87"/>
        <v>2_00</v>
      </c>
      <c r="J426" s="500" t="str">
        <f t="shared" si="87"/>
        <v>Any Water Heating</v>
      </c>
      <c r="K426" s="500" t="str">
        <f t="shared" si="83"/>
        <v>Commercial Showerhead Replacement_Fitness Center_precondition 2_10 to 2_19 gpm_efficient 2_00 gpm_Retail_Any Water Heating - Embedded Water Energy</v>
      </c>
      <c r="L426" s="500"/>
      <c r="M426" s="501"/>
      <c r="N426" s="500"/>
      <c r="O426" s="500"/>
      <c r="P426" s="500"/>
      <c r="Q426" s="502"/>
      <c r="R426" s="503"/>
      <c r="S426" s="504"/>
      <c r="T426" s="505"/>
      <c r="U426" s="500"/>
      <c r="V426" s="500" t="str">
        <f t="shared" si="84"/>
        <v>Commercial Showerhead Replacement_Fitness Center_precondition 2_10 to 2_19 gpm_efficient 2_00 gpm_Retail_Any Water Heating</v>
      </c>
      <c r="W426" s="506" t="s">
        <v>604</v>
      </c>
      <c r="X426" s="502">
        <f t="shared" si="85"/>
        <v>84.269465440469162</v>
      </c>
      <c r="Y426" s="500">
        <v>10</v>
      </c>
      <c r="Z426" s="507">
        <v>0</v>
      </c>
      <c r="AA426" s="500"/>
      <c r="AB426" s="506" t="s">
        <v>605</v>
      </c>
      <c r="AC426" s="505">
        <v>0</v>
      </c>
      <c r="AD426" s="500"/>
      <c r="AE426" s="500"/>
      <c r="AF426" s="500"/>
      <c r="AG426" s="500"/>
      <c r="AH426" s="500"/>
      <c r="AI426" s="500"/>
      <c r="AJ426" s="500">
        <v>0</v>
      </c>
      <c r="AK426" s="506" t="s">
        <v>605</v>
      </c>
    </row>
    <row r="427" spans="6:37">
      <c r="F427" s="500" t="str">
        <f t="shared" si="87"/>
        <v>Fitness Center</v>
      </c>
      <c r="G427" s="500" t="str">
        <f t="shared" si="87"/>
        <v>2_10 to 2_19 gpm</v>
      </c>
      <c r="H427" s="500" t="str">
        <f t="shared" si="87"/>
        <v>Retail</v>
      </c>
      <c r="I427" s="500" t="str">
        <f t="shared" si="87"/>
        <v>1_75</v>
      </c>
      <c r="J427" s="500" t="str">
        <f t="shared" si="87"/>
        <v>Electric Water Heating</v>
      </c>
      <c r="K427" s="500" t="str">
        <f t="shared" si="83"/>
        <v>Commercial Showerhead Replacement_Fitness Center_precondition 2_10 to 2_19 gpm_efficient 1_75 gpm_Retail_Electric Water Heating - Embedded Water Energy</v>
      </c>
      <c r="L427" s="500"/>
      <c r="M427" s="501"/>
      <c r="N427" s="500"/>
      <c r="O427" s="500"/>
      <c r="P427" s="500"/>
      <c r="Q427" s="502"/>
      <c r="R427" s="503"/>
      <c r="S427" s="504"/>
      <c r="T427" s="505"/>
      <c r="U427" s="500"/>
      <c r="V427" s="500" t="str">
        <f t="shared" si="84"/>
        <v>Commercial Showerhead Replacement_Fitness Center_precondition 2_10 to 2_19 gpm_efficient 1_75 gpm_Retail_Electric Water Heating</v>
      </c>
      <c r="W427" s="506" t="s">
        <v>604</v>
      </c>
      <c r="X427" s="502">
        <f t="shared" si="85"/>
        <v>90.288712971931247</v>
      </c>
      <c r="Y427" s="500">
        <v>10</v>
      </c>
      <c r="Z427" s="507">
        <v>0</v>
      </c>
      <c r="AA427" s="500"/>
      <c r="AB427" s="506" t="s">
        <v>605</v>
      </c>
      <c r="AC427" s="505">
        <v>0</v>
      </c>
      <c r="AD427" s="500"/>
      <c r="AE427" s="500"/>
      <c r="AF427" s="500"/>
      <c r="AG427" s="500"/>
      <c r="AH427" s="500"/>
      <c r="AI427" s="500"/>
      <c r="AJ427" s="500">
        <v>0</v>
      </c>
      <c r="AK427" s="506" t="s">
        <v>605</v>
      </c>
    </row>
    <row r="428" spans="6:37">
      <c r="F428" s="500" t="str">
        <f t="shared" ref="F428:J443" si="88">F131</f>
        <v>Fitness Center</v>
      </c>
      <c r="G428" s="500" t="str">
        <f t="shared" si="88"/>
        <v>2_10 to 2_19 gpm</v>
      </c>
      <c r="H428" s="500" t="str">
        <f t="shared" si="88"/>
        <v>Retail</v>
      </c>
      <c r="I428" s="500" t="str">
        <f t="shared" si="88"/>
        <v>1_75</v>
      </c>
      <c r="J428" s="500" t="str">
        <f t="shared" si="88"/>
        <v>Gas Water Heating</v>
      </c>
      <c r="K428" s="500" t="str">
        <f t="shared" si="83"/>
        <v>Commercial Showerhead Replacement_Fitness Center_precondition 2_10 to 2_19 gpm_efficient 1_75 gpm_Retail_Gas Water Heating - Embedded Water Energy</v>
      </c>
      <c r="L428" s="500"/>
      <c r="M428" s="501"/>
      <c r="N428" s="500"/>
      <c r="O428" s="500"/>
      <c r="P428" s="500"/>
      <c r="Q428" s="502"/>
      <c r="R428" s="503"/>
      <c r="S428" s="504"/>
      <c r="T428" s="505"/>
      <c r="U428" s="500"/>
      <c r="V428" s="500" t="str">
        <f t="shared" si="84"/>
        <v>Commercial Showerhead Replacement_Fitness Center_precondition 2_10 to 2_19 gpm_efficient 1_75 gpm_Retail_Gas Water Heating</v>
      </c>
      <c r="W428" s="506" t="s">
        <v>604</v>
      </c>
      <c r="X428" s="502">
        <f t="shared" si="85"/>
        <v>90.288712971931247</v>
      </c>
      <c r="Y428" s="500">
        <v>10</v>
      </c>
      <c r="Z428" s="507">
        <v>0</v>
      </c>
      <c r="AA428" s="500"/>
      <c r="AB428" s="506" t="s">
        <v>605</v>
      </c>
      <c r="AC428" s="505">
        <v>0</v>
      </c>
      <c r="AD428" s="500"/>
      <c r="AE428" s="500"/>
      <c r="AF428" s="500"/>
      <c r="AG428" s="500"/>
      <c r="AH428" s="500"/>
      <c r="AI428" s="500"/>
      <c r="AJ428" s="500">
        <v>0</v>
      </c>
      <c r="AK428" s="506" t="s">
        <v>605</v>
      </c>
    </row>
    <row r="429" spans="6:37">
      <c r="F429" s="500" t="str">
        <f t="shared" si="88"/>
        <v>Fitness Center</v>
      </c>
      <c r="G429" s="500" t="str">
        <f t="shared" si="88"/>
        <v>2_10 to 2_19 gpm</v>
      </c>
      <c r="H429" s="500" t="str">
        <f t="shared" si="88"/>
        <v>Retail</v>
      </c>
      <c r="I429" s="500" t="str">
        <f t="shared" si="88"/>
        <v>1_75</v>
      </c>
      <c r="J429" s="500" t="str">
        <f t="shared" si="88"/>
        <v>Any Water Heating</v>
      </c>
      <c r="K429" s="500" t="str">
        <f t="shared" si="83"/>
        <v>Commercial Showerhead Replacement_Fitness Center_precondition 2_10 to 2_19 gpm_efficient 1_75 gpm_Retail_Any Water Heating - Embedded Water Energy</v>
      </c>
      <c r="L429" s="500"/>
      <c r="M429" s="501"/>
      <c r="N429" s="500"/>
      <c r="O429" s="500"/>
      <c r="P429" s="500"/>
      <c r="Q429" s="502"/>
      <c r="R429" s="503"/>
      <c r="S429" s="504"/>
      <c r="T429" s="505"/>
      <c r="U429" s="500"/>
      <c r="V429" s="500" t="str">
        <f t="shared" si="84"/>
        <v>Commercial Showerhead Replacement_Fitness Center_precondition 2_10 to 2_19 gpm_efficient 1_75 gpm_Retail_Any Water Heating</v>
      </c>
      <c r="W429" s="506" t="s">
        <v>604</v>
      </c>
      <c r="X429" s="502">
        <f t="shared" si="85"/>
        <v>90.288712971931247</v>
      </c>
      <c r="Y429" s="500">
        <v>10</v>
      </c>
      <c r="Z429" s="507">
        <v>0</v>
      </c>
      <c r="AA429" s="500"/>
      <c r="AB429" s="506" t="s">
        <v>605</v>
      </c>
      <c r="AC429" s="505">
        <v>0</v>
      </c>
      <c r="AD429" s="500"/>
      <c r="AE429" s="500"/>
      <c r="AF429" s="500"/>
      <c r="AG429" s="500"/>
      <c r="AH429" s="500"/>
      <c r="AI429" s="500"/>
      <c r="AJ429" s="500">
        <v>0</v>
      </c>
      <c r="AK429" s="506" t="s">
        <v>605</v>
      </c>
    </row>
    <row r="430" spans="6:37">
      <c r="F430" s="500" t="str">
        <f t="shared" si="88"/>
        <v>Fitness Center</v>
      </c>
      <c r="G430" s="500" t="str">
        <f t="shared" si="88"/>
        <v>2_10 to 2_19 gpm</v>
      </c>
      <c r="H430" s="500" t="str">
        <f t="shared" si="88"/>
        <v>Retail</v>
      </c>
      <c r="I430" s="500" t="str">
        <f t="shared" si="88"/>
        <v>1_50</v>
      </c>
      <c r="J430" s="500" t="str">
        <f t="shared" si="88"/>
        <v>Electric Water Heating</v>
      </c>
      <c r="K430" s="500" t="str">
        <f t="shared" si="83"/>
        <v>Commercial Showerhead Replacement_Fitness Center_precondition 2_10 to 2_19 gpm_efficient 1_50 gpm_Retail_Electric Water Heating - Embedded Water Energy</v>
      </c>
      <c r="L430" s="500"/>
      <c r="M430" s="501"/>
      <c r="N430" s="500"/>
      <c r="O430" s="500"/>
      <c r="P430" s="500"/>
      <c r="Q430" s="502"/>
      <c r="R430" s="503"/>
      <c r="S430" s="504"/>
      <c r="T430" s="505"/>
      <c r="U430" s="500"/>
      <c r="V430" s="500" t="str">
        <f t="shared" si="84"/>
        <v>Commercial Showerhead Replacement_Fitness Center_precondition 2_10 to 2_19 gpm_efficient 1_50 gpm_Retail_Electric Water Heating</v>
      </c>
      <c r="W430" s="506" t="s">
        <v>604</v>
      </c>
      <c r="X430" s="502">
        <f t="shared" si="85"/>
        <v>136.9378813407624</v>
      </c>
      <c r="Y430" s="500">
        <v>10</v>
      </c>
      <c r="Z430" s="507">
        <v>0</v>
      </c>
      <c r="AA430" s="500"/>
      <c r="AB430" s="506" t="s">
        <v>605</v>
      </c>
      <c r="AC430" s="505">
        <v>0</v>
      </c>
      <c r="AD430" s="500"/>
      <c r="AE430" s="500"/>
      <c r="AF430" s="500"/>
      <c r="AG430" s="500"/>
      <c r="AH430" s="500"/>
      <c r="AI430" s="500"/>
      <c r="AJ430" s="500">
        <v>0</v>
      </c>
      <c r="AK430" s="506" t="s">
        <v>605</v>
      </c>
    </row>
    <row r="431" spans="6:37">
      <c r="F431" s="500" t="str">
        <f t="shared" si="88"/>
        <v>Fitness Center</v>
      </c>
      <c r="G431" s="500" t="str">
        <f t="shared" si="88"/>
        <v>2_10 to 2_19 gpm</v>
      </c>
      <c r="H431" s="500" t="str">
        <f t="shared" si="88"/>
        <v>Retail</v>
      </c>
      <c r="I431" s="500" t="str">
        <f t="shared" si="88"/>
        <v>1_50</v>
      </c>
      <c r="J431" s="500" t="str">
        <f t="shared" si="88"/>
        <v>Gas Water Heating</v>
      </c>
      <c r="K431" s="500" t="str">
        <f t="shared" si="83"/>
        <v>Commercial Showerhead Replacement_Fitness Center_precondition 2_10 to 2_19 gpm_efficient 1_50 gpm_Retail_Gas Water Heating - Embedded Water Energy</v>
      </c>
      <c r="L431" s="500"/>
      <c r="M431" s="501"/>
      <c r="N431" s="500"/>
      <c r="O431" s="500"/>
      <c r="P431" s="500"/>
      <c r="Q431" s="502"/>
      <c r="R431" s="503"/>
      <c r="S431" s="504"/>
      <c r="T431" s="505"/>
      <c r="U431" s="500"/>
      <c r="V431" s="500" t="str">
        <f t="shared" si="84"/>
        <v>Commercial Showerhead Replacement_Fitness Center_precondition 2_10 to 2_19 gpm_efficient 1_50 gpm_Retail_Gas Water Heating</v>
      </c>
      <c r="W431" s="506" t="s">
        <v>604</v>
      </c>
      <c r="X431" s="502">
        <f t="shared" si="85"/>
        <v>136.9378813407624</v>
      </c>
      <c r="Y431" s="500">
        <v>10</v>
      </c>
      <c r="Z431" s="507">
        <v>0</v>
      </c>
      <c r="AA431" s="500"/>
      <c r="AB431" s="506" t="s">
        <v>605</v>
      </c>
      <c r="AC431" s="505">
        <v>0</v>
      </c>
      <c r="AD431" s="500"/>
      <c r="AE431" s="500"/>
      <c r="AF431" s="500"/>
      <c r="AG431" s="500"/>
      <c r="AH431" s="500"/>
      <c r="AI431" s="500"/>
      <c r="AJ431" s="500">
        <v>0</v>
      </c>
      <c r="AK431" s="506" t="s">
        <v>605</v>
      </c>
    </row>
    <row r="432" spans="6:37">
      <c r="F432" s="500" t="str">
        <f t="shared" si="88"/>
        <v>Fitness Center</v>
      </c>
      <c r="G432" s="500" t="str">
        <f t="shared" si="88"/>
        <v>2_10 to 2_19 gpm</v>
      </c>
      <c r="H432" s="500" t="str">
        <f t="shared" si="88"/>
        <v>Retail</v>
      </c>
      <c r="I432" s="500" t="str">
        <f t="shared" si="88"/>
        <v>1_50</v>
      </c>
      <c r="J432" s="500" t="str">
        <f t="shared" si="88"/>
        <v>Any Water Heating</v>
      </c>
      <c r="K432" s="500" t="str">
        <f t="shared" si="83"/>
        <v>Commercial Showerhead Replacement_Fitness Center_precondition 2_10 to 2_19 gpm_efficient 1_50 gpm_Retail_Any Water Heating - Embedded Water Energy</v>
      </c>
      <c r="L432" s="500"/>
      <c r="M432" s="501"/>
      <c r="N432" s="500"/>
      <c r="O432" s="500"/>
      <c r="P432" s="500"/>
      <c r="Q432" s="502"/>
      <c r="R432" s="503"/>
      <c r="S432" s="504"/>
      <c r="T432" s="505"/>
      <c r="U432" s="500"/>
      <c r="V432" s="500" t="str">
        <f t="shared" si="84"/>
        <v>Commercial Showerhead Replacement_Fitness Center_precondition 2_10 to 2_19 gpm_efficient 1_50 gpm_Retail_Any Water Heating</v>
      </c>
      <c r="W432" s="506" t="s">
        <v>604</v>
      </c>
      <c r="X432" s="502">
        <f t="shared" si="85"/>
        <v>136.9378813407624</v>
      </c>
      <c r="Y432" s="500">
        <v>10</v>
      </c>
      <c r="Z432" s="507">
        <v>0</v>
      </c>
      <c r="AA432" s="500"/>
      <c r="AB432" s="506" t="s">
        <v>605</v>
      </c>
      <c r="AC432" s="505">
        <v>0</v>
      </c>
      <c r="AD432" s="500"/>
      <c r="AE432" s="500"/>
      <c r="AF432" s="500"/>
      <c r="AG432" s="500"/>
      <c r="AH432" s="500"/>
      <c r="AI432" s="500"/>
      <c r="AJ432" s="500">
        <v>0</v>
      </c>
      <c r="AK432" s="506" t="s">
        <v>605</v>
      </c>
    </row>
    <row r="433" spans="6:37">
      <c r="F433" s="500" t="str">
        <f t="shared" si="88"/>
        <v>Fitness Center</v>
      </c>
      <c r="G433" s="500" t="str">
        <f t="shared" si="88"/>
        <v>2_10 to 2_19 gpm</v>
      </c>
      <c r="H433" s="500" t="str">
        <f t="shared" si="88"/>
        <v>Direct Install</v>
      </c>
      <c r="I433" s="500" t="str">
        <f t="shared" si="88"/>
        <v>2_00</v>
      </c>
      <c r="J433" s="500" t="str">
        <f t="shared" si="88"/>
        <v>Electric Water Heating</v>
      </c>
      <c r="K433" s="500" t="str">
        <f t="shared" si="83"/>
        <v>Commercial Showerhead Replacement_Fitness Center_precondition 2_10 to 2_19 gpm_efficient 2_00 gpm_Direct Install_Electric Water Heating - Embedded Water Energy</v>
      </c>
      <c r="L433" s="500"/>
      <c r="M433" s="501"/>
      <c r="N433" s="500"/>
      <c r="O433" s="500"/>
      <c r="P433" s="500"/>
      <c r="Q433" s="502"/>
      <c r="R433" s="503"/>
      <c r="S433" s="504"/>
      <c r="T433" s="505"/>
      <c r="U433" s="500"/>
      <c r="V433" s="500" t="str">
        <f t="shared" si="84"/>
        <v>Commercial Showerhead Replacement_Fitness Center_precondition 2_10 to 2_19 gpm_efficient 2_00 gpm_Direct Install_Electric Water Heating</v>
      </c>
      <c r="W433" s="506" t="s">
        <v>604</v>
      </c>
      <c r="X433" s="502">
        <f t="shared" si="85"/>
        <v>94.803148620527807</v>
      </c>
      <c r="Y433" s="500">
        <v>10</v>
      </c>
      <c r="Z433" s="507">
        <v>0</v>
      </c>
      <c r="AA433" s="500"/>
      <c r="AB433" s="506" t="s">
        <v>605</v>
      </c>
      <c r="AC433" s="505">
        <v>0</v>
      </c>
      <c r="AD433" s="500"/>
      <c r="AE433" s="500"/>
      <c r="AF433" s="500"/>
      <c r="AG433" s="500"/>
      <c r="AH433" s="500"/>
      <c r="AI433" s="500"/>
      <c r="AJ433" s="500">
        <v>0</v>
      </c>
      <c r="AK433" s="506" t="s">
        <v>605</v>
      </c>
    </row>
    <row r="434" spans="6:37">
      <c r="F434" s="500" t="str">
        <f t="shared" si="88"/>
        <v>Fitness Center</v>
      </c>
      <c r="G434" s="500" t="str">
        <f t="shared" si="88"/>
        <v>2_10 to 2_19 gpm</v>
      </c>
      <c r="H434" s="500" t="str">
        <f t="shared" si="88"/>
        <v>Direct Install</v>
      </c>
      <c r="I434" s="500" t="str">
        <f t="shared" si="88"/>
        <v>2_00</v>
      </c>
      <c r="J434" s="500" t="str">
        <f t="shared" si="88"/>
        <v>Gas Water Heating</v>
      </c>
      <c r="K434" s="500" t="str">
        <f t="shared" si="83"/>
        <v>Commercial Showerhead Replacement_Fitness Center_precondition 2_10 to 2_19 gpm_efficient 2_00 gpm_Direct Install_Gas Water Heating - Embedded Water Energy</v>
      </c>
      <c r="L434" s="500"/>
      <c r="M434" s="501"/>
      <c r="N434" s="500"/>
      <c r="O434" s="500"/>
      <c r="P434" s="500"/>
      <c r="Q434" s="502"/>
      <c r="R434" s="503"/>
      <c r="S434" s="504"/>
      <c r="T434" s="505"/>
      <c r="U434" s="500"/>
      <c r="V434" s="500" t="str">
        <f t="shared" si="84"/>
        <v>Commercial Showerhead Replacement_Fitness Center_precondition 2_10 to 2_19 gpm_efficient 2_00 gpm_Direct Install_Gas Water Heating</v>
      </c>
      <c r="W434" s="506" t="s">
        <v>604</v>
      </c>
      <c r="X434" s="502">
        <f t="shared" si="85"/>
        <v>94.803148620527807</v>
      </c>
      <c r="Y434" s="500">
        <v>10</v>
      </c>
      <c r="Z434" s="507">
        <v>0</v>
      </c>
      <c r="AA434" s="500"/>
      <c r="AB434" s="506" t="s">
        <v>605</v>
      </c>
      <c r="AC434" s="505">
        <v>0</v>
      </c>
      <c r="AD434" s="500"/>
      <c r="AE434" s="500"/>
      <c r="AF434" s="500"/>
      <c r="AG434" s="500"/>
      <c r="AH434" s="500"/>
      <c r="AI434" s="500"/>
      <c r="AJ434" s="500">
        <v>0</v>
      </c>
      <c r="AK434" s="506" t="s">
        <v>605</v>
      </c>
    </row>
    <row r="435" spans="6:37">
      <c r="F435" s="500" t="str">
        <f t="shared" si="88"/>
        <v>Fitness Center</v>
      </c>
      <c r="G435" s="500" t="str">
        <f t="shared" si="88"/>
        <v>2_10 to 2_19 gpm</v>
      </c>
      <c r="H435" s="500" t="str">
        <f t="shared" si="88"/>
        <v>Direct Install</v>
      </c>
      <c r="I435" s="500" t="str">
        <f t="shared" si="88"/>
        <v>2_00</v>
      </c>
      <c r="J435" s="500" t="str">
        <f t="shared" si="88"/>
        <v>Any Water Heating</v>
      </c>
      <c r="K435" s="500" t="str">
        <f t="shared" si="83"/>
        <v>Commercial Showerhead Replacement_Fitness Center_precondition 2_10 to 2_19 gpm_efficient 2_00 gpm_Direct Install_Any Water Heating - Embedded Water Energy</v>
      </c>
      <c r="L435" s="500"/>
      <c r="M435" s="501"/>
      <c r="N435" s="500"/>
      <c r="O435" s="500"/>
      <c r="P435" s="500"/>
      <c r="Q435" s="502"/>
      <c r="R435" s="503"/>
      <c r="S435" s="504"/>
      <c r="T435" s="505"/>
      <c r="U435" s="500"/>
      <c r="V435" s="500" t="str">
        <f t="shared" si="84"/>
        <v>Commercial Showerhead Replacement_Fitness Center_precondition 2_10 to 2_19 gpm_efficient 2_00 gpm_Direct Install_Any Water Heating</v>
      </c>
      <c r="W435" s="506" t="s">
        <v>604</v>
      </c>
      <c r="X435" s="502">
        <f t="shared" si="85"/>
        <v>94.803148620527807</v>
      </c>
      <c r="Y435" s="500">
        <v>10</v>
      </c>
      <c r="Z435" s="507">
        <v>0</v>
      </c>
      <c r="AA435" s="500"/>
      <c r="AB435" s="506" t="s">
        <v>605</v>
      </c>
      <c r="AC435" s="505">
        <v>0</v>
      </c>
      <c r="AD435" s="500"/>
      <c r="AE435" s="500"/>
      <c r="AF435" s="500"/>
      <c r="AG435" s="500"/>
      <c r="AH435" s="500"/>
      <c r="AI435" s="500"/>
      <c r="AJ435" s="500">
        <v>0</v>
      </c>
      <c r="AK435" s="506" t="s">
        <v>605</v>
      </c>
    </row>
    <row r="436" spans="6:37">
      <c r="F436" s="500" t="str">
        <f t="shared" si="88"/>
        <v>Fitness Center</v>
      </c>
      <c r="G436" s="500" t="str">
        <f t="shared" si="88"/>
        <v>2_10 to 2_19 gpm</v>
      </c>
      <c r="H436" s="500" t="str">
        <f t="shared" si="88"/>
        <v>Direct Install</v>
      </c>
      <c r="I436" s="500" t="str">
        <f t="shared" si="88"/>
        <v>1_75</v>
      </c>
      <c r="J436" s="500" t="str">
        <f t="shared" si="88"/>
        <v>Electric Water Heating</v>
      </c>
      <c r="K436" s="500" t="str">
        <f t="shared" si="83"/>
        <v>Commercial Showerhead Replacement_Fitness Center_precondition 2_10 to 2_19 gpm_efficient 1_75 gpm_Direct Install_Electric Water Heating - Embedded Water Energy</v>
      </c>
      <c r="L436" s="500"/>
      <c r="M436" s="501"/>
      <c r="N436" s="500"/>
      <c r="O436" s="500"/>
      <c r="P436" s="500"/>
      <c r="Q436" s="502"/>
      <c r="R436" s="503"/>
      <c r="S436" s="504"/>
      <c r="T436" s="505"/>
      <c r="U436" s="500"/>
      <c r="V436" s="500" t="str">
        <f t="shared" si="84"/>
        <v>Commercial Showerhead Replacement_Fitness Center_precondition 2_10 to 2_19 gpm_efficient 1_75 gpm_Direct Install_Electric Water Heating</v>
      </c>
      <c r="W436" s="506" t="s">
        <v>604</v>
      </c>
      <c r="X436" s="502">
        <f t="shared" si="85"/>
        <v>108.34645556631749</v>
      </c>
      <c r="Y436" s="500">
        <v>10</v>
      </c>
      <c r="Z436" s="507">
        <v>0</v>
      </c>
      <c r="AA436" s="500"/>
      <c r="AB436" s="506" t="s">
        <v>605</v>
      </c>
      <c r="AC436" s="505">
        <v>0</v>
      </c>
      <c r="AD436" s="500"/>
      <c r="AE436" s="500"/>
      <c r="AF436" s="500"/>
      <c r="AG436" s="500"/>
      <c r="AH436" s="500"/>
      <c r="AI436" s="500"/>
      <c r="AJ436" s="500">
        <v>0</v>
      </c>
      <c r="AK436" s="506" t="s">
        <v>605</v>
      </c>
    </row>
    <row r="437" spans="6:37">
      <c r="F437" s="500" t="str">
        <f t="shared" si="88"/>
        <v>Fitness Center</v>
      </c>
      <c r="G437" s="500" t="str">
        <f t="shared" si="88"/>
        <v>2_10 to 2_19 gpm</v>
      </c>
      <c r="H437" s="500" t="str">
        <f t="shared" si="88"/>
        <v>Direct Install</v>
      </c>
      <c r="I437" s="500" t="str">
        <f t="shared" si="88"/>
        <v>1_75</v>
      </c>
      <c r="J437" s="500" t="str">
        <f t="shared" si="88"/>
        <v>Gas Water Heating</v>
      </c>
      <c r="K437" s="500" t="str">
        <f t="shared" si="83"/>
        <v>Commercial Showerhead Replacement_Fitness Center_precondition 2_10 to 2_19 gpm_efficient 1_75 gpm_Direct Install_Gas Water Heating - Embedded Water Energy</v>
      </c>
      <c r="L437" s="500"/>
      <c r="M437" s="501"/>
      <c r="N437" s="500"/>
      <c r="O437" s="500"/>
      <c r="P437" s="500"/>
      <c r="Q437" s="502"/>
      <c r="R437" s="503"/>
      <c r="S437" s="504"/>
      <c r="T437" s="505"/>
      <c r="U437" s="500"/>
      <c r="V437" s="500" t="str">
        <f t="shared" si="84"/>
        <v>Commercial Showerhead Replacement_Fitness Center_precondition 2_10 to 2_19 gpm_efficient 1_75 gpm_Direct Install_Gas Water Heating</v>
      </c>
      <c r="W437" s="506" t="s">
        <v>604</v>
      </c>
      <c r="X437" s="502">
        <f t="shared" si="85"/>
        <v>108.34645556631749</v>
      </c>
      <c r="Y437" s="500">
        <v>10</v>
      </c>
      <c r="Z437" s="507">
        <v>0</v>
      </c>
      <c r="AA437" s="500"/>
      <c r="AB437" s="506" t="s">
        <v>605</v>
      </c>
      <c r="AC437" s="505">
        <v>0</v>
      </c>
      <c r="AD437" s="500"/>
      <c r="AE437" s="500"/>
      <c r="AF437" s="500"/>
      <c r="AG437" s="500"/>
      <c r="AH437" s="500"/>
      <c r="AI437" s="500"/>
      <c r="AJ437" s="500">
        <v>0</v>
      </c>
      <c r="AK437" s="506" t="s">
        <v>605</v>
      </c>
    </row>
    <row r="438" spans="6:37">
      <c r="F438" s="500" t="str">
        <f t="shared" si="88"/>
        <v>Fitness Center</v>
      </c>
      <c r="G438" s="500" t="str">
        <f t="shared" si="88"/>
        <v>2_10 to 2_19 gpm</v>
      </c>
      <c r="H438" s="500" t="str">
        <f t="shared" si="88"/>
        <v>Direct Install</v>
      </c>
      <c r="I438" s="500" t="str">
        <f t="shared" si="88"/>
        <v>1_75</v>
      </c>
      <c r="J438" s="500" t="str">
        <f t="shared" si="88"/>
        <v>Any Water Heating</v>
      </c>
      <c r="K438" s="500" t="str">
        <f t="shared" si="83"/>
        <v>Commercial Showerhead Replacement_Fitness Center_precondition 2_10 to 2_19 gpm_efficient 1_75 gpm_Direct Install_Any Water Heating - Embedded Water Energy</v>
      </c>
      <c r="L438" s="500"/>
      <c r="M438" s="501"/>
      <c r="N438" s="500"/>
      <c r="O438" s="500"/>
      <c r="P438" s="500"/>
      <c r="Q438" s="502"/>
      <c r="R438" s="503"/>
      <c r="S438" s="504"/>
      <c r="T438" s="505"/>
      <c r="U438" s="500"/>
      <c r="V438" s="500" t="str">
        <f t="shared" si="84"/>
        <v>Commercial Showerhead Replacement_Fitness Center_precondition 2_10 to 2_19 gpm_efficient 1_75 gpm_Direct Install_Any Water Heating</v>
      </c>
      <c r="W438" s="506" t="s">
        <v>604</v>
      </c>
      <c r="X438" s="502">
        <f t="shared" si="85"/>
        <v>108.34645556631749</v>
      </c>
      <c r="Y438" s="500">
        <v>10</v>
      </c>
      <c r="Z438" s="507">
        <v>0</v>
      </c>
      <c r="AA438" s="500"/>
      <c r="AB438" s="506" t="s">
        <v>605</v>
      </c>
      <c r="AC438" s="505">
        <v>0</v>
      </c>
      <c r="AD438" s="500"/>
      <c r="AE438" s="500"/>
      <c r="AF438" s="500"/>
      <c r="AG438" s="500"/>
      <c r="AH438" s="500"/>
      <c r="AI438" s="500"/>
      <c r="AJ438" s="500">
        <v>0</v>
      </c>
      <c r="AK438" s="506" t="s">
        <v>605</v>
      </c>
    </row>
    <row r="439" spans="6:37">
      <c r="F439" s="500" t="str">
        <f t="shared" si="88"/>
        <v>Fitness Center</v>
      </c>
      <c r="G439" s="500" t="str">
        <f t="shared" si="88"/>
        <v>2_10 to 2_19 gpm</v>
      </c>
      <c r="H439" s="500" t="str">
        <f t="shared" si="88"/>
        <v>Direct Install</v>
      </c>
      <c r="I439" s="500" t="str">
        <f t="shared" si="88"/>
        <v>1_50</v>
      </c>
      <c r="J439" s="500" t="str">
        <f t="shared" si="88"/>
        <v>Electric Water Heating</v>
      </c>
      <c r="K439" s="500" t="str">
        <f t="shared" si="83"/>
        <v>Commercial Showerhead Replacement_Fitness Center_precondition 2_10 to 2_19 gpm_efficient 1_50 gpm_Direct Install_Electric Water Heating - Embedded Water Energy</v>
      </c>
      <c r="L439" s="500"/>
      <c r="M439" s="501"/>
      <c r="N439" s="500"/>
      <c r="O439" s="500"/>
      <c r="P439" s="500"/>
      <c r="Q439" s="502"/>
      <c r="R439" s="503"/>
      <c r="S439" s="504"/>
      <c r="T439" s="505"/>
      <c r="U439" s="500"/>
      <c r="V439" s="500" t="str">
        <f t="shared" si="84"/>
        <v>Commercial Showerhead Replacement_Fitness Center_precondition 2_10 to 2_19 gpm_efficient 1_50 gpm_Direct Install_Electric Water Heating</v>
      </c>
      <c r="W439" s="506" t="s">
        <v>604</v>
      </c>
      <c r="X439" s="502">
        <f t="shared" si="85"/>
        <v>176.06299029526593</v>
      </c>
      <c r="Y439" s="500">
        <v>10</v>
      </c>
      <c r="Z439" s="507">
        <v>0</v>
      </c>
      <c r="AA439" s="500"/>
      <c r="AB439" s="506" t="s">
        <v>605</v>
      </c>
      <c r="AC439" s="505">
        <v>0</v>
      </c>
      <c r="AD439" s="500"/>
      <c r="AE439" s="500"/>
      <c r="AF439" s="500"/>
      <c r="AG439" s="500"/>
      <c r="AH439" s="500"/>
      <c r="AI439" s="500"/>
      <c r="AJ439" s="500">
        <v>0</v>
      </c>
      <c r="AK439" s="506" t="s">
        <v>605</v>
      </c>
    </row>
    <row r="440" spans="6:37">
      <c r="F440" s="500" t="str">
        <f t="shared" si="88"/>
        <v>Fitness Center</v>
      </c>
      <c r="G440" s="500" t="str">
        <f t="shared" si="88"/>
        <v>2_10 to 2_19 gpm</v>
      </c>
      <c r="H440" s="500" t="str">
        <f t="shared" si="88"/>
        <v>Direct Install</v>
      </c>
      <c r="I440" s="500" t="str">
        <f t="shared" si="88"/>
        <v>1_50</v>
      </c>
      <c r="J440" s="500" t="str">
        <f t="shared" si="88"/>
        <v>Gas Water Heating</v>
      </c>
      <c r="K440" s="500" t="str">
        <f t="shared" si="83"/>
        <v>Commercial Showerhead Replacement_Fitness Center_precondition 2_10 to 2_19 gpm_efficient 1_50 gpm_Direct Install_Gas Water Heating - Embedded Water Energy</v>
      </c>
      <c r="L440" s="500"/>
      <c r="M440" s="501"/>
      <c r="N440" s="500"/>
      <c r="O440" s="500"/>
      <c r="P440" s="500"/>
      <c r="Q440" s="502"/>
      <c r="R440" s="503"/>
      <c r="S440" s="504"/>
      <c r="T440" s="505"/>
      <c r="U440" s="500"/>
      <c r="V440" s="500" t="str">
        <f t="shared" si="84"/>
        <v>Commercial Showerhead Replacement_Fitness Center_precondition 2_10 to 2_19 gpm_efficient 1_50 gpm_Direct Install_Gas Water Heating</v>
      </c>
      <c r="W440" s="506" t="s">
        <v>604</v>
      </c>
      <c r="X440" s="502">
        <f t="shared" si="85"/>
        <v>176.06299029526593</v>
      </c>
      <c r="Y440" s="500">
        <v>10</v>
      </c>
      <c r="Z440" s="507">
        <v>0</v>
      </c>
      <c r="AA440" s="500"/>
      <c r="AB440" s="506" t="s">
        <v>605</v>
      </c>
      <c r="AC440" s="505">
        <v>0</v>
      </c>
      <c r="AD440" s="500"/>
      <c r="AE440" s="500"/>
      <c r="AF440" s="500"/>
      <c r="AG440" s="500"/>
      <c r="AH440" s="500"/>
      <c r="AI440" s="500"/>
      <c r="AJ440" s="500">
        <v>0</v>
      </c>
      <c r="AK440" s="506" t="s">
        <v>605</v>
      </c>
    </row>
    <row r="441" spans="6:37">
      <c r="F441" s="500" t="str">
        <f t="shared" si="88"/>
        <v>Fitness Center</v>
      </c>
      <c r="G441" s="500" t="str">
        <f t="shared" si="88"/>
        <v>2_10 to 2_19 gpm</v>
      </c>
      <c r="H441" s="500" t="str">
        <f t="shared" si="88"/>
        <v>Direct Install</v>
      </c>
      <c r="I441" s="500" t="str">
        <f t="shared" si="88"/>
        <v>1_50</v>
      </c>
      <c r="J441" s="500" t="str">
        <f t="shared" si="88"/>
        <v>Any Water Heating</v>
      </c>
      <c r="K441" s="500" t="str">
        <f t="shared" si="83"/>
        <v>Commercial Showerhead Replacement_Fitness Center_precondition 2_10 to 2_19 gpm_efficient 1_50 gpm_Direct Install_Any Water Heating - Embedded Water Energy</v>
      </c>
      <c r="L441" s="500"/>
      <c r="M441" s="501"/>
      <c r="N441" s="500"/>
      <c r="O441" s="500"/>
      <c r="P441" s="500"/>
      <c r="Q441" s="502"/>
      <c r="R441" s="503"/>
      <c r="S441" s="504"/>
      <c r="T441" s="505"/>
      <c r="U441" s="500"/>
      <c r="V441" s="500" t="str">
        <f t="shared" si="84"/>
        <v>Commercial Showerhead Replacement_Fitness Center_precondition 2_10 to 2_19 gpm_efficient 1_50 gpm_Direct Install_Any Water Heating</v>
      </c>
      <c r="W441" s="506" t="s">
        <v>604</v>
      </c>
      <c r="X441" s="502">
        <f t="shared" si="85"/>
        <v>176.06299029526593</v>
      </c>
      <c r="Y441" s="500">
        <v>10</v>
      </c>
      <c r="Z441" s="507">
        <v>0</v>
      </c>
      <c r="AA441" s="500"/>
      <c r="AB441" s="506" t="s">
        <v>605</v>
      </c>
      <c r="AC441" s="505">
        <v>0</v>
      </c>
      <c r="AD441" s="500"/>
      <c r="AE441" s="500"/>
      <c r="AF441" s="500"/>
      <c r="AG441" s="500"/>
      <c r="AH441" s="500"/>
      <c r="AI441" s="500"/>
      <c r="AJ441" s="500">
        <v>0</v>
      </c>
      <c r="AK441" s="506" t="s">
        <v>605</v>
      </c>
    </row>
    <row r="442" spans="6:37">
      <c r="F442" s="500" t="str">
        <f t="shared" si="88"/>
        <v>Fitness Center</v>
      </c>
      <c r="G442" s="500" t="str">
        <f t="shared" si="88"/>
        <v>2_10 to 2_19 gpm</v>
      </c>
      <c r="H442" s="500" t="str">
        <f t="shared" si="88"/>
        <v>Mail-by-Request</v>
      </c>
      <c r="I442" s="500" t="str">
        <f t="shared" si="88"/>
        <v>2_00</v>
      </c>
      <c r="J442" s="500" t="str">
        <f t="shared" si="88"/>
        <v>Electric Water Heating</v>
      </c>
      <c r="K442" s="500" t="str">
        <f t="shared" si="83"/>
        <v>Commercial Showerhead Replacement_Fitness Center_precondition 2_10 to 2_19 gpm_efficient 2_00 gpm_Mail-by-Request_Electric Water Heating - Embedded Water Energy</v>
      </c>
      <c r="L442" s="500"/>
      <c r="M442" s="501"/>
      <c r="N442" s="500"/>
      <c r="O442" s="500"/>
      <c r="P442" s="500"/>
      <c r="Q442" s="502"/>
      <c r="R442" s="503"/>
      <c r="S442" s="504"/>
      <c r="T442" s="505"/>
      <c r="U442" s="500"/>
      <c r="V442" s="500" t="str">
        <f t="shared" si="84"/>
        <v>Commercial Showerhead Replacement_Fitness Center_precondition 2_10 to 2_19 gpm_efficient 2_00 gpm_Mail-by-Request_Electric Water Heating</v>
      </c>
      <c r="W442" s="506" t="s">
        <v>604</v>
      </c>
      <c r="X442" s="502">
        <f t="shared" si="85"/>
        <v>63.202099080351871</v>
      </c>
      <c r="Y442" s="500">
        <v>10</v>
      </c>
      <c r="Z442" s="507">
        <v>0</v>
      </c>
      <c r="AA442" s="500"/>
      <c r="AB442" s="506" t="s">
        <v>605</v>
      </c>
      <c r="AC442" s="505">
        <v>0</v>
      </c>
      <c r="AD442" s="500"/>
      <c r="AE442" s="500"/>
      <c r="AF442" s="500"/>
      <c r="AG442" s="500"/>
      <c r="AH442" s="500"/>
      <c r="AI442" s="500"/>
      <c r="AJ442" s="500">
        <v>0</v>
      </c>
      <c r="AK442" s="506" t="s">
        <v>605</v>
      </c>
    </row>
    <row r="443" spans="6:37">
      <c r="F443" s="500" t="str">
        <f t="shared" si="88"/>
        <v>Fitness Center</v>
      </c>
      <c r="G443" s="500" t="str">
        <f t="shared" si="88"/>
        <v>2_10 to 2_19 gpm</v>
      </c>
      <c r="H443" s="500" t="str">
        <f t="shared" si="88"/>
        <v>Mail-by-Request</v>
      </c>
      <c r="I443" s="500" t="str">
        <f t="shared" si="88"/>
        <v>2_00</v>
      </c>
      <c r="J443" s="500" t="str">
        <f t="shared" si="88"/>
        <v>Gas Water Heating</v>
      </c>
      <c r="K443" s="500" t="str">
        <f t="shared" si="83"/>
        <v>Commercial Showerhead Replacement_Fitness Center_precondition 2_10 to 2_19 gpm_efficient 2_00 gpm_Mail-by-Request_Gas Water Heating - Embedded Water Energy</v>
      </c>
      <c r="L443" s="500"/>
      <c r="M443" s="501"/>
      <c r="N443" s="500"/>
      <c r="O443" s="500"/>
      <c r="P443" s="500"/>
      <c r="Q443" s="502"/>
      <c r="R443" s="503"/>
      <c r="S443" s="504"/>
      <c r="T443" s="505"/>
      <c r="U443" s="500"/>
      <c r="V443" s="500" t="str">
        <f t="shared" si="84"/>
        <v>Commercial Showerhead Replacement_Fitness Center_precondition 2_10 to 2_19 gpm_efficient 2_00 gpm_Mail-by-Request_Gas Water Heating</v>
      </c>
      <c r="W443" s="506" t="s">
        <v>604</v>
      </c>
      <c r="X443" s="502">
        <f t="shared" si="85"/>
        <v>63.202099080351871</v>
      </c>
      <c r="Y443" s="500">
        <v>10</v>
      </c>
      <c r="Z443" s="507">
        <v>0</v>
      </c>
      <c r="AA443" s="500"/>
      <c r="AB443" s="506" t="s">
        <v>605</v>
      </c>
      <c r="AC443" s="505">
        <v>0</v>
      </c>
      <c r="AD443" s="500"/>
      <c r="AE443" s="500"/>
      <c r="AF443" s="500"/>
      <c r="AG443" s="500"/>
      <c r="AH443" s="500"/>
      <c r="AI443" s="500"/>
      <c r="AJ443" s="500">
        <v>0</v>
      </c>
      <c r="AK443" s="506" t="s">
        <v>605</v>
      </c>
    </row>
    <row r="444" spans="6:37">
      <c r="F444" s="500" t="str">
        <f t="shared" ref="F444:J459" si="89">F147</f>
        <v>Fitness Center</v>
      </c>
      <c r="G444" s="500" t="str">
        <f t="shared" si="89"/>
        <v>2_10 to 2_19 gpm</v>
      </c>
      <c r="H444" s="500" t="str">
        <f t="shared" si="89"/>
        <v>Mail-by-Request</v>
      </c>
      <c r="I444" s="500" t="str">
        <f t="shared" si="89"/>
        <v>2_00</v>
      </c>
      <c r="J444" s="500" t="str">
        <f t="shared" si="89"/>
        <v>Any Water Heating</v>
      </c>
      <c r="K444" s="500" t="str">
        <f t="shared" ref="K444:K507" si="90">K147 &amp; " - Embedded Water Energy"</f>
        <v>Commercial Showerhead Replacement_Fitness Center_precondition 2_10 to 2_19 gpm_efficient 2_00 gpm_Mail-by-Request_Any Water Heating - Embedded Water Energy</v>
      </c>
      <c r="L444" s="500"/>
      <c r="M444" s="501"/>
      <c r="N444" s="500"/>
      <c r="O444" s="500"/>
      <c r="P444" s="500"/>
      <c r="Q444" s="502"/>
      <c r="R444" s="503"/>
      <c r="S444" s="504"/>
      <c r="T444" s="505"/>
      <c r="U444" s="500"/>
      <c r="V444" s="500" t="str">
        <f t="shared" ref="V444:V507" si="91">V147</f>
        <v>Commercial Showerhead Replacement_Fitness Center_precondition 2_10 to 2_19 gpm_efficient 2_00 gpm_Mail-by-Request_Any Water Heating</v>
      </c>
      <c r="W444" s="506" t="s">
        <v>604</v>
      </c>
      <c r="X444" s="502">
        <f t="shared" ref="X444:X507" si="92">IF(S147&gt;0,Q147,0)</f>
        <v>63.202099080351871</v>
      </c>
      <c r="Y444" s="500">
        <v>10</v>
      </c>
      <c r="Z444" s="507">
        <v>0</v>
      </c>
      <c r="AA444" s="500"/>
      <c r="AB444" s="506" t="s">
        <v>605</v>
      </c>
      <c r="AC444" s="505">
        <v>0</v>
      </c>
      <c r="AD444" s="500"/>
      <c r="AE444" s="500"/>
      <c r="AF444" s="500"/>
      <c r="AG444" s="500"/>
      <c r="AH444" s="500"/>
      <c r="AI444" s="500"/>
      <c r="AJ444" s="500">
        <v>0</v>
      </c>
      <c r="AK444" s="506" t="s">
        <v>605</v>
      </c>
    </row>
    <row r="445" spans="6:37">
      <c r="F445" s="500" t="str">
        <f t="shared" si="89"/>
        <v>Fitness Center</v>
      </c>
      <c r="G445" s="500" t="str">
        <f t="shared" si="89"/>
        <v>2_10 to 2_19 gpm</v>
      </c>
      <c r="H445" s="500" t="str">
        <f t="shared" si="89"/>
        <v>Mail-by-Request</v>
      </c>
      <c r="I445" s="500" t="str">
        <f t="shared" si="89"/>
        <v>1_75</v>
      </c>
      <c r="J445" s="500" t="str">
        <f t="shared" si="89"/>
        <v>Electric Water Heating</v>
      </c>
      <c r="K445" s="500" t="str">
        <f t="shared" si="90"/>
        <v>Commercial Showerhead Replacement_Fitness Center_precondition 2_10 to 2_19 gpm_efficient 1_75 gpm_Mail-by-Request_Electric Water Heating - Embedded Water Energy</v>
      </c>
      <c r="L445" s="500"/>
      <c r="M445" s="501"/>
      <c r="N445" s="500"/>
      <c r="O445" s="500"/>
      <c r="P445" s="500"/>
      <c r="Q445" s="502"/>
      <c r="R445" s="503"/>
      <c r="S445" s="504"/>
      <c r="T445" s="505"/>
      <c r="U445" s="500"/>
      <c r="V445" s="500" t="str">
        <f t="shared" si="91"/>
        <v>Commercial Showerhead Replacement_Fitness Center_precondition 2_10 to 2_19 gpm_efficient 1_75 gpm_Mail-by-Request_Electric Water Heating</v>
      </c>
      <c r="W445" s="506" t="s">
        <v>604</v>
      </c>
      <c r="X445" s="502">
        <f t="shared" si="92"/>
        <v>72.230970377544992</v>
      </c>
      <c r="Y445" s="500">
        <v>10</v>
      </c>
      <c r="Z445" s="507">
        <v>0</v>
      </c>
      <c r="AA445" s="500"/>
      <c r="AB445" s="506" t="s">
        <v>605</v>
      </c>
      <c r="AC445" s="505">
        <v>0</v>
      </c>
      <c r="AD445" s="500"/>
      <c r="AE445" s="500"/>
      <c r="AF445" s="500"/>
      <c r="AG445" s="500"/>
      <c r="AH445" s="500"/>
      <c r="AI445" s="500"/>
      <c r="AJ445" s="500">
        <v>0</v>
      </c>
      <c r="AK445" s="506" t="s">
        <v>605</v>
      </c>
    </row>
    <row r="446" spans="6:37">
      <c r="F446" s="500" t="str">
        <f t="shared" si="89"/>
        <v>Fitness Center</v>
      </c>
      <c r="G446" s="500" t="str">
        <f t="shared" si="89"/>
        <v>2_10 to 2_19 gpm</v>
      </c>
      <c r="H446" s="500" t="str">
        <f t="shared" si="89"/>
        <v>Mail-by-Request</v>
      </c>
      <c r="I446" s="500" t="str">
        <f t="shared" si="89"/>
        <v>1_75</v>
      </c>
      <c r="J446" s="500" t="str">
        <f t="shared" si="89"/>
        <v>Gas Water Heating</v>
      </c>
      <c r="K446" s="500" t="str">
        <f t="shared" si="90"/>
        <v>Commercial Showerhead Replacement_Fitness Center_precondition 2_10 to 2_19 gpm_efficient 1_75 gpm_Mail-by-Request_Gas Water Heating - Embedded Water Energy</v>
      </c>
      <c r="L446" s="500"/>
      <c r="M446" s="501"/>
      <c r="N446" s="500"/>
      <c r="O446" s="500"/>
      <c r="P446" s="500"/>
      <c r="Q446" s="502"/>
      <c r="R446" s="503"/>
      <c r="S446" s="504"/>
      <c r="T446" s="505"/>
      <c r="U446" s="500"/>
      <c r="V446" s="500" t="str">
        <f t="shared" si="91"/>
        <v>Commercial Showerhead Replacement_Fitness Center_precondition 2_10 to 2_19 gpm_efficient 1_75 gpm_Mail-by-Request_Gas Water Heating</v>
      </c>
      <c r="W446" s="506" t="s">
        <v>604</v>
      </c>
      <c r="X446" s="502">
        <f t="shared" si="92"/>
        <v>72.230970377544992</v>
      </c>
      <c r="Y446" s="500">
        <v>10</v>
      </c>
      <c r="Z446" s="507">
        <v>0</v>
      </c>
      <c r="AA446" s="500"/>
      <c r="AB446" s="506" t="s">
        <v>605</v>
      </c>
      <c r="AC446" s="505">
        <v>0</v>
      </c>
      <c r="AD446" s="500"/>
      <c r="AE446" s="500"/>
      <c r="AF446" s="500"/>
      <c r="AG446" s="500"/>
      <c r="AH446" s="500"/>
      <c r="AI446" s="500"/>
      <c r="AJ446" s="500">
        <v>0</v>
      </c>
      <c r="AK446" s="506" t="s">
        <v>605</v>
      </c>
    </row>
    <row r="447" spans="6:37">
      <c r="F447" s="500" t="str">
        <f t="shared" si="89"/>
        <v>Fitness Center</v>
      </c>
      <c r="G447" s="500" t="str">
        <f t="shared" si="89"/>
        <v>2_10 to 2_19 gpm</v>
      </c>
      <c r="H447" s="500" t="str">
        <f t="shared" si="89"/>
        <v>Mail-by-Request</v>
      </c>
      <c r="I447" s="500" t="str">
        <f t="shared" si="89"/>
        <v>1_75</v>
      </c>
      <c r="J447" s="500" t="str">
        <f t="shared" si="89"/>
        <v>Any Water Heating</v>
      </c>
      <c r="K447" s="500" t="str">
        <f t="shared" si="90"/>
        <v>Commercial Showerhead Replacement_Fitness Center_precondition 2_10 to 2_19 gpm_efficient 1_75 gpm_Mail-by-Request_Any Water Heating - Embedded Water Energy</v>
      </c>
      <c r="L447" s="500"/>
      <c r="M447" s="501"/>
      <c r="N447" s="500"/>
      <c r="O447" s="500"/>
      <c r="P447" s="500"/>
      <c r="Q447" s="502"/>
      <c r="R447" s="503"/>
      <c r="S447" s="504"/>
      <c r="T447" s="505"/>
      <c r="U447" s="500"/>
      <c r="V447" s="500" t="str">
        <f t="shared" si="91"/>
        <v>Commercial Showerhead Replacement_Fitness Center_precondition 2_10 to 2_19 gpm_efficient 1_75 gpm_Mail-by-Request_Any Water Heating</v>
      </c>
      <c r="W447" s="506" t="s">
        <v>604</v>
      </c>
      <c r="X447" s="502">
        <f t="shared" si="92"/>
        <v>72.230970377544992</v>
      </c>
      <c r="Y447" s="500">
        <v>10</v>
      </c>
      <c r="Z447" s="507">
        <v>0</v>
      </c>
      <c r="AA447" s="500"/>
      <c r="AB447" s="506" t="s">
        <v>605</v>
      </c>
      <c r="AC447" s="505">
        <v>0</v>
      </c>
      <c r="AD447" s="500"/>
      <c r="AE447" s="500"/>
      <c r="AF447" s="500"/>
      <c r="AG447" s="500"/>
      <c r="AH447" s="500"/>
      <c r="AI447" s="500"/>
      <c r="AJ447" s="500">
        <v>0</v>
      </c>
      <c r="AK447" s="506" t="s">
        <v>605</v>
      </c>
    </row>
    <row r="448" spans="6:37">
      <c r="F448" s="500" t="str">
        <f t="shared" si="89"/>
        <v>Fitness Center</v>
      </c>
      <c r="G448" s="500" t="str">
        <f t="shared" si="89"/>
        <v>2_10 to 2_19 gpm</v>
      </c>
      <c r="H448" s="500" t="str">
        <f t="shared" si="89"/>
        <v>Mail-by-Request</v>
      </c>
      <c r="I448" s="500" t="str">
        <f t="shared" si="89"/>
        <v>1_50</v>
      </c>
      <c r="J448" s="500" t="str">
        <f t="shared" si="89"/>
        <v>Electric Water Heating</v>
      </c>
      <c r="K448" s="500" t="str">
        <f t="shared" si="90"/>
        <v>Commercial Showerhead Replacement_Fitness Center_precondition 2_10 to 2_19 gpm_efficient 1_50 gpm_Mail-by-Request_Electric Water Heating - Embedded Water Energy</v>
      </c>
      <c r="L448" s="500"/>
      <c r="M448" s="501"/>
      <c r="N448" s="500"/>
      <c r="O448" s="500"/>
      <c r="P448" s="500"/>
      <c r="Q448" s="502"/>
      <c r="R448" s="503"/>
      <c r="S448" s="504"/>
      <c r="T448" s="505"/>
      <c r="U448" s="500"/>
      <c r="V448" s="500" t="str">
        <f t="shared" si="91"/>
        <v>Commercial Showerhead Replacement_Fitness Center_precondition 2_10 to 2_19 gpm_efficient 1_50 gpm_Mail-by-Request_Electric Water Heating</v>
      </c>
      <c r="W448" s="506" t="s">
        <v>604</v>
      </c>
      <c r="X448" s="502">
        <f t="shared" si="92"/>
        <v>117.37532686351062</v>
      </c>
      <c r="Y448" s="500">
        <v>10</v>
      </c>
      <c r="Z448" s="507">
        <v>0</v>
      </c>
      <c r="AA448" s="500"/>
      <c r="AB448" s="506" t="s">
        <v>605</v>
      </c>
      <c r="AC448" s="505">
        <v>0</v>
      </c>
      <c r="AD448" s="500"/>
      <c r="AE448" s="500"/>
      <c r="AF448" s="500"/>
      <c r="AG448" s="500"/>
      <c r="AH448" s="500"/>
      <c r="AI448" s="500"/>
      <c r="AJ448" s="500">
        <v>0</v>
      </c>
      <c r="AK448" s="506" t="s">
        <v>605</v>
      </c>
    </row>
    <row r="449" spans="6:37">
      <c r="F449" s="500" t="str">
        <f t="shared" si="89"/>
        <v>Fitness Center</v>
      </c>
      <c r="G449" s="500" t="str">
        <f t="shared" si="89"/>
        <v>2_10 to 2_19 gpm</v>
      </c>
      <c r="H449" s="500" t="str">
        <f t="shared" si="89"/>
        <v>Mail-by-Request</v>
      </c>
      <c r="I449" s="500" t="str">
        <f t="shared" si="89"/>
        <v>1_50</v>
      </c>
      <c r="J449" s="500" t="str">
        <f t="shared" si="89"/>
        <v>Gas Water Heating</v>
      </c>
      <c r="K449" s="500" t="str">
        <f t="shared" si="90"/>
        <v>Commercial Showerhead Replacement_Fitness Center_precondition 2_10 to 2_19 gpm_efficient 1_50 gpm_Mail-by-Request_Gas Water Heating - Embedded Water Energy</v>
      </c>
      <c r="L449" s="500"/>
      <c r="M449" s="501"/>
      <c r="N449" s="500"/>
      <c r="O449" s="500"/>
      <c r="P449" s="500"/>
      <c r="Q449" s="502"/>
      <c r="R449" s="503"/>
      <c r="S449" s="504"/>
      <c r="T449" s="505"/>
      <c r="U449" s="500"/>
      <c r="V449" s="500" t="str">
        <f t="shared" si="91"/>
        <v>Commercial Showerhead Replacement_Fitness Center_precondition 2_10 to 2_19 gpm_efficient 1_50 gpm_Mail-by-Request_Gas Water Heating</v>
      </c>
      <c r="W449" s="506" t="s">
        <v>604</v>
      </c>
      <c r="X449" s="502">
        <f t="shared" si="92"/>
        <v>117.37532686351062</v>
      </c>
      <c r="Y449" s="500">
        <v>10</v>
      </c>
      <c r="Z449" s="507">
        <v>0</v>
      </c>
      <c r="AA449" s="500"/>
      <c r="AB449" s="506" t="s">
        <v>605</v>
      </c>
      <c r="AC449" s="505">
        <v>0</v>
      </c>
      <c r="AD449" s="500"/>
      <c r="AE449" s="500"/>
      <c r="AF449" s="500"/>
      <c r="AG449" s="500"/>
      <c r="AH449" s="500"/>
      <c r="AI449" s="500"/>
      <c r="AJ449" s="500">
        <v>0</v>
      </c>
      <c r="AK449" s="506" t="s">
        <v>605</v>
      </c>
    </row>
    <row r="450" spans="6:37">
      <c r="F450" s="500" t="str">
        <f t="shared" si="89"/>
        <v>Fitness Center</v>
      </c>
      <c r="G450" s="500" t="str">
        <f t="shared" si="89"/>
        <v>2_10 to 2_19 gpm</v>
      </c>
      <c r="H450" s="500" t="str">
        <f t="shared" si="89"/>
        <v>Mail-by-Request</v>
      </c>
      <c r="I450" s="500" t="str">
        <f t="shared" si="89"/>
        <v>1_50</v>
      </c>
      <c r="J450" s="500" t="str">
        <f t="shared" si="89"/>
        <v>Any Water Heating</v>
      </c>
      <c r="K450" s="500" t="str">
        <f t="shared" si="90"/>
        <v>Commercial Showerhead Replacement_Fitness Center_precondition 2_10 to 2_19 gpm_efficient 1_50 gpm_Mail-by-Request_Any Water Heating - Embedded Water Energy</v>
      </c>
      <c r="L450" s="500"/>
      <c r="M450" s="501"/>
      <c r="N450" s="500"/>
      <c r="O450" s="500"/>
      <c r="P450" s="500"/>
      <c r="Q450" s="502"/>
      <c r="R450" s="503"/>
      <c r="S450" s="504"/>
      <c r="T450" s="505"/>
      <c r="U450" s="500"/>
      <c r="V450" s="500" t="str">
        <f t="shared" si="91"/>
        <v>Commercial Showerhead Replacement_Fitness Center_precondition 2_10 to 2_19 gpm_efficient 1_50 gpm_Mail-by-Request_Any Water Heating</v>
      </c>
      <c r="W450" s="506" t="s">
        <v>604</v>
      </c>
      <c r="X450" s="502">
        <f t="shared" si="92"/>
        <v>117.37532686351062</v>
      </c>
      <c r="Y450" s="500">
        <v>10</v>
      </c>
      <c r="Z450" s="507">
        <v>0</v>
      </c>
      <c r="AA450" s="500"/>
      <c r="AB450" s="506" t="s">
        <v>605</v>
      </c>
      <c r="AC450" s="505">
        <v>0</v>
      </c>
      <c r="AD450" s="500"/>
      <c r="AE450" s="500"/>
      <c r="AF450" s="500"/>
      <c r="AG450" s="500"/>
      <c r="AH450" s="500"/>
      <c r="AI450" s="500"/>
      <c r="AJ450" s="500">
        <v>0</v>
      </c>
      <c r="AK450" s="506" t="s">
        <v>605</v>
      </c>
    </row>
    <row r="451" spans="6:37">
      <c r="F451" s="500" t="str">
        <f t="shared" si="89"/>
        <v>Fitness Center</v>
      </c>
      <c r="G451" s="500" t="str">
        <f t="shared" si="89"/>
        <v>2_00 to 2_09 gpm</v>
      </c>
      <c r="H451" s="500" t="str">
        <f t="shared" si="89"/>
        <v>Retail</v>
      </c>
      <c r="I451" s="500" t="str">
        <f t="shared" si="89"/>
        <v>2_00</v>
      </c>
      <c r="J451" s="500" t="str">
        <f t="shared" si="89"/>
        <v>Electric Water Heating</v>
      </c>
      <c r="K451" s="500" t="str">
        <f t="shared" si="90"/>
        <v>Commercial Showerhead Replacement_Fitness Center_precondition 2_00 to 2_09 gpm_efficient 2_00 gpm_Retail_Electric Water Heating - Embedded Water Energy</v>
      </c>
      <c r="L451" s="500"/>
      <c r="M451" s="501"/>
      <c r="N451" s="500"/>
      <c r="O451" s="500"/>
      <c r="P451" s="500"/>
      <c r="Q451" s="502"/>
      <c r="R451" s="503"/>
      <c r="S451" s="504"/>
      <c r="T451" s="505"/>
      <c r="U451" s="500"/>
      <c r="V451" s="500" t="str">
        <f t="shared" si="91"/>
        <v>Commercial Showerhead Replacement_Fitness Center_precondition 2_00 to 2_09 gpm_efficient 2_00 gpm_Retail_Electric Water Heating</v>
      </c>
      <c r="W451" s="506" t="s">
        <v>604</v>
      </c>
      <c r="X451" s="502">
        <f t="shared" si="92"/>
        <v>60.19247531462085</v>
      </c>
      <c r="Y451" s="500">
        <v>10</v>
      </c>
      <c r="Z451" s="507">
        <v>0</v>
      </c>
      <c r="AA451" s="500"/>
      <c r="AB451" s="506" t="s">
        <v>605</v>
      </c>
      <c r="AC451" s="505">
        <v>0</v>
      </c>
      <c r="AD451" s="500"/>
      <c r="AE451" s="500"/>
      <c r="AF451" s="500"/>
      <c r="AG451" s="500"/>
      <c r="AH451" s="500"/>
      <c r="AI451" s="500"/>
      <c r="AJ451" s="500">
        <v>0</v>
      </c>
      <c r="AK451" s="506" t="s">
        <v>605</v>
      </c>
    </row>
    <row r="452" spans="6:37">
      <c r="F452" s="500" t="str">
        <f t="shared" si="89"/>
        <v>Fitness Center</v>
      </c>
      <c r="G452" s="500" t="str">
        <f t="shared" si="89"/>
        <v>2_00 to 2_09 gpm</v>
      </c>
      <c r="H452" s="500" t="str">
        <f t="shared" si="89"/>
        <v>Retail</v>
      </c>
      <c r="I452" s="500" t="str">
        <f t="shared" si="89"/>
        <v>2_00</v>
      </c>
      <c r="J452" s="500" t="str">
        <f t="shared" si="89"/>
        <v>Gas Water Heating</v>
      </c>
      <c r="K452" s="500" t="str">
        <f t="shared" si="90"/>
        <v>Commercial Showerhead Replacement_Fitness Center_precondition 2_00 to 2_09 gpm_efficient 2_00 gpm_Retail_Gas Water Heating - Embedded Water Energy</v>
      </c>
      <c r="L452" s="500"/>
      <c r="M452" s="501"/>
      <c r="N452" s="500"/>
      <c r="O452" s="500"/>
      <c r="P452" s="500"/>
      <c r="Q452" s="502"/>
      <c r="R452" s="503"/>
      <c r="S452" s="504"/>
      <c r="T452" s="505"/>
      <c r="U452" s="500"/>
      <c r="V452" s="500" t="str">
        <f t="shared" si="91"/>
        <v>Commercial Showerhead Replacement_Fitness Center_precondition 2_00 to 2_09 gpm_efficient 2_00 gpm_Retail_Gas Water Heating</v>
      </c>
      <c r="W452" s="506" t="s">
        <v>604</v>
      </c>
      <c r="X452" s="502">
        <f t="shared" si="92"/>
        <v>60.19247531462085</v>
      </c>
      <c r="Y452" s="500">
        <v>10</v>
      </c>
      <c r="Z452" s="507">
        <v>0</v>
      </c>
      <c r="AA452" s="500"/>
      <c r="AB452" s="506" t="s">
        <v>605</v>
      </c>
      <c r="AC452" s="505">
        <v>0</v>
      </c>
      <c r="AD452" s="500"/>
      <c r="AE452" s="500"/>
      <c r="AF452" s="500"/>
      <c r="AG452" s="500"/>
      <c r="AH452" s="500"/>
      <c r="AI452" s="500"/>
      <c r="AJ452" s="500">
        <v>0</v>
      </c>
      <c r="AK452" s="506" t="s">
        <v>605</v>
      </c>
    </row>
    <row r="453" spans="6:37">
      <c r="F453" s="500" t="str">
        <f t="shared" si="89"/>
        <v>Fitness Center</v>
      </c>
      <c r="G453" s="500" t="str">
        <f t="shared" si="89"/>
        <v>2_00 to 2_09 gpm</v>
      </c>
      <c r="H453" s="500" t="str">
        <f t="shared" si="89"/>
        <v>Retail</v>
      </c>
      <c r="I453" s="500" t="str">
        <f t="shared" si="89"/>
        <v>2_00</v>
      </c>
      <c r="J453" s="500" t="str">
        <f t="shared" si="89"/>
        <v>Any Water Heating</v>
      </c>
      <c r="K453" s="500" t="str">
        <f t="shared" si="90"/>
        <v>Commercial Showerhead Replacement_Fitness Center_precondition 2_00 to 2_09 gpm_efficient 2_00 gpm_Retail_Any Water Heating - Embedded Water Energy</v>
      </c>
      <c r="L453" s="500"/>
      <c r="M453" s="501"/>
      <c r="N453" s="500"/>
      <c r="O453" s="500"/>
      <c r="P453" s="500"/>
      <c r="Q453" s="502"/>
      <c r="R453" s="503"/>
      <c r="S453" s="504"/>
      <c r="T453" s="505"/>
      <c r="U453" s="500"/>
      <c r="V453" s="500" t="str">
        <f t="shared" si="91"/>
        <v>Commercial Showerhead Replacement_Fitness Center_precondition 2_00 to 2_09 gpm_efficient 2_00 gpm_Retail_Any Water Heating</v>
      </c>
      <c r="W453" s="506" t="s">
        <v>604</v>
      </c>
      <c r="X453" s="502">
        <f t="shared" si="92"/>
        <v>60.19247531462085</v>
      </c>
      <c r="Y453" s="500">
        <v>10</v>
      </c>
      <c r="Z453" s="507">
        <v>0</v>
      </c>
      <c r="AA453" s="500"/>
      <c r="AB453" s="506" t="s">
        <v>605</v>
      </c>
      <c r="AC453" s="505">
        <v>0</v>
      </c>
      <c r="AD453" s="500"/>
      <c r="AE453" s="500"/>
      <c r="AF453" s="500"/>
      <c r="AG453" s="500"/>
      <c r="AH453" s="500"/>
      <c r="AI453" s="500"/>
      <c r="AJ453" s="500">
        <v>0</v>
      </c>
      <c r="AK453" s="506" t="s">
        <v>605</v>
      </c>
    </row>
    <row r="454" spans="6:37">
      <c r="F454" s="500" t="str">
        <f t="shared" si="89"/>
        <v>Fitness Center</v>
      </c>
      <c r="G454" s="500" t="str">
        <f t="shared" si="89"/>
        <v>2_00 to 2_09 gpm</v>
      </c>
      <c r="H454" s="500" t="str">
        <f t="shared" si="89"/>
        <v>Retail</v>
      </c>
      <c r="I454" s="500" t="str">
        <f t="shared" si="89"/>
        <v>1_75</v>
      </c>
      <c r="J454" s="500" t="str">
        <f t="shared" si="89"/>
        <v>Electric Water Heating</v>
      </c>
      <c r="K454" s="500" t="str">
        <f t="shared" si="90"/>
        <v>Commercial Showerhead Replacement_Fitness Center_precondition 2_00 to 2_09 gpm_efficient 1_75 gpm_Retail_Electric Water Heating - Embedded Water Energy</v>
      </c>
      <c r="L454" s="500"/>
      <c r="M454" s="501"/>
      <c r="N454" s="500"/>
      <c r="O454" s="500"/>
      <c r="P454" s="500"/>
      <c r="Q454" s="502"/>
      <c r="R454" s="503"/>
      <c r="S454" s="504"/>
      <c r="T454" s="505"/>
      <c r="U454" s="500"/>
      <c r="V454" s="500" t="str">
        <f t="shared" si="91"/>
        <v>Commercial Showerhead Replacement_Fitness Center_precondition 2_00 to 2_09 gpm_efficient 1_75 gpm_Retail_Electric Water Heating</v>
      </c>
      <c r="W454" s="506" t="s">
        <v>604</v>
      </c>
      <c r="X454" s="502">
        <f t="shared" si="92"/>
        <v>67.716534728948446</v>
      </c>
      <c r="Y454" s="500">
        <v>10</v>
      </c>
      <c r="Z454" s="507">
        <v>0</v>
      </c>
      <c r="AA454" s="500"/>
      <c r="AB454" s="506" t="s">
        <v>605</v>
      </c>
      <c r="AC454" s="505">
        <v>0</v>
      </c>
      <c r="AD454" s="500"/>
      <c r="AE454" s="500"/>
      <c r="AF454" s="500"/>
      <c r="AG454" s="500"/>
      <c r="AH454" s="500"/>
      <c r="AI454" s="500"/>
      <c r="AJ454" s="500">
        <v>0</v>
      </c>
      <c r="AK454" s="506" t="s">
        <v>605</v>
      </c>
    </row>
    <row r="455" spans="6:37">
      <c r="F455" s="500" t="str">
        <f t="shared" si="89"/>
        <v>Fitness Center</v>
      </c>
      <c r="G455" s="500" t="str">
        <f t="shared" si="89"/>
        <v>2_00 to 2_09 gpm</v>
      </c>
      <c r="H455" s="500" t="str">
        <f t="shared" si="89"/>
        <v>Retail</v>
      </c>
      <c r="I455" s="500" t="str">
        <f t="shared" si="89"/>
        <v>1_75</v>
      </c>
      <c r="J455" s="500" t="str">
        <f t="shared" si="89"/>
        <v>Gas Water Heating</v>
      </c>
      <c r="K455" s="500" t="str">
        <f t="shared" si="90"/>
        <v>Commercial Showerhead Replacement_Fitness Center_precondition 2_00 to 2_09 gpm_efficient 1_75 gpm_Retail_Gas Water Heating - Embedded Water Energy</v>
      </c>
      <c r="L455" s="500"/>
      <c r="M455" s="501"/>
      <c r="N455" s="500"/>
      <c r="O455" s="500"/>
      <c r="P455" s="500"/>
      <c r="Q455" s="502"/>
      <c r="R455" s="503"/>
      <c r="S455" s="504"/>
      <c r="T455" s="505"/>
      <c r="U455" s="500"/>
      <c r="V455" s="500" t="str">
        <f t="shared" si="91"/>
        <v>Commercial Showerhead Replacement_Fitness Center_precondition 2_00 to 2_09 gpm_efficient 1_75 gpm_Retail_Gas Water Heating</v>
      </c>
      <c r="W455" s="506" t="s">
        <v>604</v>
      </c>
      <c r="X455" s="502">
        <f t="shared" si="92"/>
        <v>67.716534728948446</v>
      </c>
      <c r="Y455" s="500">
        <v>10</v>
      </c>
      <c r="Z455" s="507">
        <v>0</v>
      </c>
      <c r="AA455" s="500"/>
      <c r="AB455" s="506" t="s">
        <v>605</v>
      </c>
      <c r="AC455" s="505">
        <v>0</v>
      </c>
      <c r="AD455" s="500"/>
      <c r="AE455" s="500"/>
      <c r="AF455" s="500"/>
      <c r="AG455" s="500"/>
      <c r="AH455" s="500"/>
      <c r="AI455" s="500"/>
      <c r="AJ455" s="500">
        <v>0</v>
      </c>
      <c r="AK455" s="506" t="s">
        <v>605</v>
      </c>
    </row>
    <row r="456" spans="6:37">
      <c r="F456" s="500" t="str">
        <f t="shared" si="89"/>
        <v>Fitness Center</v>
      </c>
      <c r="G456" s="500" t="str">
        <f t="shared" si="89"/>
        <v>2_00 to 2_09 gpm</v>
      </c>
      <c r="H456" s="500" t="str">
        <f t="shared" si="89"/>
        <v>Retail</v>
      </c>
      <c r="I456" s="500" t="str">
        <f t="shared" si="89"/>
        <v>1_75</v>
      </c>
      <c r="J456" s="500" t="str">
        <f t="shared" si="89"/>
        <v>Any Water Heating</v>
      </c>
      <c r="K456" s="500" t="str">
        <f t="shared" si="90"/>
        <v>Commercial Showerhead Replacement_Fitness Center_precondition 2_00 to 2_09 gpm_efficient 1_75 gpm_Retail_Any Water Heating - Embedded Water Energy</v>
      </c>
      <c r="L456" s="500"/>
      <c r="M456" s="501"/>
      <c r="N456" s="500"/>
      <c r="O456" s="500"/>
      <c r="P456" s="500"/>
      <c r="Q456" s="502"/>
      <c r="R456" s="503"/>
      <c r="S456" s="504"/>
      <c r="T456" s="505"/>
      <c r="U456" s="500"/>
      <c r="V456" s="500" t="str">
        <f t="shared" si="91"/>
        <v>Commercial Showerhead Replacement_Fitness Center_precondition 2_00 to 2_09 gpm_efficient 1_75 gpm_Retail_Any Water Heating</v>
      </c>
      <c r="W456" s="506" t="s">
        <v>604</v>
      </c>
      <c r="X456" s="502">
        <f t="shared" si="92"/>
        <v>67.716534728948446</v>
      </c>
      <c r="Y456" s="500">
        <v>10</v>
      </c>
      <c r="Z456" s="507">
        <v>0</v>
      </c>
      <c r="AA456" s="500"/>
      <c r="AB456" s="506" t="s">
        <v>605</v>
      </c>
      <c r="AC456" s="505">
        <v>0</v>
      </c>
      <c r="AD456" s="500"/>
      <c r="AE456" s="500"/>
      <c r="AF456" s="500"/>
      <c r="AG456" s="500"/>
      <c r="AH456" s="500"/>
      <c r="AI456" s="500"/>
      <c r="AJ456" s="500">
        <v>0</v>
      </c>
      <c r="AK456" s="506" t="s">
        <v>605</v>
      </c>
    </row>
    <row r="457" spans="6:37">
      <c r="F457" s="500" t="str">
        <f t="shared" si="89"/>
        <v>Fitness Center</v>
      </c>
      <c r="G457" s="500" t="str">
        <f t="shared" si="89"/>
        <v>2_00 to 2_09 gpm</v>
      </c>
      <c r="H457" s="500" t="str">
        <f t="shared" si="89"/>
        <v>Retail</v>
      </c>
      <c r="I457" s="500" t="str">
        <f t="shared" si="89"/>
        <v>1_50</v>
      </c>
      <c r="J457" s="500" t="str">
        <f t="shared" si="89"/>
        <v>Electric Water Heating</v>
      </c>
      <c r="K457" s="500" t="str">
        <f t="shared" si="90"/>
        <v>Commercial Showerhead Replacement_Fitness Center_precondition 2_00 to 2_09 gpm_efficient 1_50 gpm_Retail_Electric Water Heating - Embedded Water Energy</v>
      </c>
      <c r="L457" s="500"/>
      <c r="M457" s="501"/>
      <c r="N457" s="500"/>
      <c r="O457" s="500"/>
      <c r="P457" s="500"/>
      <c r="Q457" s="502"/>
      <c r="R457" s="503"/>
      <c r="S457" s="504"/>
      <c r="T457" s="505"/>
      <c r="U457" s="500"/>
      <c r="V457" s="500" t="str">
        <f t="shared" si="91"/>
        <v>Commercial Showerhead Replacement_Fitness Center_precondition 2_00 to 2_09 gpm_efficient 1_50 gpm_Retail_Electric Water Heating</v>
      </c>
      <c r="W457" s="506" t="s">
        <v>604</v>
      </c>
      <c r="X457" s="502">
        <f t="shared" si="92"/>
        <v>115.87051498064513</v>
      </c>
      <c r="Y457" s="500">
        <v>10</v>
      </c>
      <c r="Z457" s="507">
        <v>0</v>
      </c>
      <c r="AA457" s="500"/>
      <c r="AB457" s="506" t="s">
        <v>605</v>
      </c>
      <c r="AC457" s="505">
        <v>0</v>
      </c>
      <c r="AD457" s="500"/>
      <c r="AE457" s="500"/>
      <c r="AF457" s="500"/>
      <c r="AG457" s="500"/>
      <c r="AH457" s="500"/>
      <c r="AI457" s="500"/>
      <c r="AJ457" s="500">
        <v>0</v>
      </c>
      <c r="AK457" s="506" t="s">
        <v>605</v>
      </c>
    </row>
    <row r="458" spans="6:37">
      <c r="F458" s="500" t="str">
        <f t="shared" si="89"/>
        <v>Fitness Center</v>
      </c>
      <c r="G458" s="500" t="str">
        <f t="shared" si="89"/>
        <v>2_00 to 2_09 gpm</v>
      </c>
      <c r="H458" s="500" t="str">
        <f t="shared" si="89"/>
        <v>Retail</v>
      </c>
      <c r="I458" s="500" t="str">
        <f t="shared" si="89"/>
        <v>1_50</v>
      </c>
      <c r="J458" s="500" t="str">
        <f t="shared" si="89"/>
        <v>Gas Water Heating</v>
      </c>
      <c r="K458" s="500" t="str">
        <f t="shared" si="90"/>
        <v>Commercial Showerhead Replacement_Fitness Center_precondition 2_00 to 2_09 gpm_efficient 1_50 gpm_Retail_Gas Water Heating - Embedded Water Energy</v>
      </c>
      <c r="L458" s="500"/>
      <c r="M458" s="501"/>
      <c r="N458" s="500"/>
      <c r="O458" s="500"/>
      <c r="P458" s="500"/>
      <c r="Q458" s="502"/>
      <c r="R458" s="503"/>
      <c r="S458" s="504"/>
      <c r="T458" s="505"/>
      <c r="U458" s="500"/>
      <c r="V458" s="500" t="str">
        <f t="shared" si="91"/>
        <v>Commercial Showerhead Replacement_Fitness Center_precondition 2_00 to 2_09 gpm_efficient 1_50 gpm_Retail_Gas Water Heating</v>
      </c>
      <c r="W458" s="506" t="s">
        <v>604</v>
      </c>
      <c r="X458" s="502">
        <f t="shared" si="92"/>
        <v>115.87051498064513</v>
      </c>
      <c r="Y458" s="500">
        <v>10</v>
      </c>
      <c r="Z458" s="507">
        <v>0</v>
      </c>
      <c r="AA458" s="500"/>
      <c r="AB458" s="506" t="s">
        <v>605</v>
      </c>
      <c r="AC458" s="505">
        <v>0</v>
      </c>
      <c r="AD458" s="500"/>
      <c r="AE458" s="500"/>
      <c r="AF458" s="500"/>
      <c r="AG458" s="500"/>
      <c r="AH458" s="500"/>
      <c r="AI458" s="500"/>
      <c r="AJ458" s="500">
        <v>0</v>
      </c>
      <c r="AK458" s="506" t="s">
        <v>605</v>
      </c>
    </row>
    <row r="459" spans="6:37">
      <c r="F459" s="500" t="str">
        <f t="shared" si="89"/>
        <v>Fitness Center</v>
      </c>
      <c r="G459" s="500" t="str">
        <f t="shared" si="89"/>
        <v>2_00 to 2_09 gpm</v>
      </c>
      <c r="H459" s="500" t="str">
        <f t="shared" si="89"/>
        <v>Retail</v>
      </c>
      <c r="I459" s="500" t="str">
        <f t="shared" si="89"/>
        <v>1_50</v>
      </c>
      <c r="J459" s="500" t="str">
        <f t="shared" si="89"/>
        <v>Any Water Heating</v>
      </c>
      <c r="K459" s="500" t="str">
        <f t="shared" si="90"/>
        <v>Commercial Showerhead Replacement_Fitness Center_precondition 2_00 to 2_09 gpm_efficient 1_50 gpm_Retail_Any Water Heating - Embedded Water Energy</v>
      </c>
      <c r="L459" s="500"/>
      <c r="M459" s="501"/>
      <c r="N459" s="500"/>
      <c r="O459" s="500"/>
      <c r="P459" s="500"/>
      <c r="Q459" s="502"/>
      <c r="R459" s="503"/>
      <c r="S459" s="504"/>
      <c r="T459" s="505"/>
      <c r="U459" s="500"/>
      <c r="V459" s="500" t="str">
        <f t="shared" si="91"/>
        <v>Commercial Showerhead Replacement_Fitness Center_precondition 2_00 to 2_09 gpm_efficient 1_50 gpm_Retail_Any Water Heating</v>
      </c>
      <c r="W459" s="506" t="s">
        <v>604</v>
      </c>
      <c r="X459" s="502">
        <f t="shared" si="92"/>
        <v>115.87051498064513</v>
      </c>
      <c r="Y459" s="500">
        <v>10</v>
      </c>
      <c r="Z459" s="507">
        <v>0</v>
      </c>
      <c r="AA459" s="500"/>
      <c r="AB459" s="506" t="s">
        <v>605</v>
      </c>
      <c r="AC459" s="505">
        <v>0</v>
      </c>
      <c r="AD459" s="500"/>
      <c r="AE459" s="500"/>
      <c r="AF459" s="500"/>
      <c r="AG459" s="500"/>
      <c r="AH459" s="500"/>
      <c r="AI459" s="500"/>
      <c r="AJ459" s="500">
        <v>0</v>
      </c>
      <c r="AK459" s="506" t="s">
        <v>605</v>
      </c>
    </row>
    <row r="460" spans="6:37">
      <c r="F460" s="500" t="str">
        <f t="shared" ref="F460:J475" si="93">F163</f>
        <v>Fitness Center</v>
      </c>
      <c r="G460" s="500" t="str">
        <f t="shared" si="93"/>
        <v>2_00 to 2_09 gpm</v>
      </c>
      <c r="H460" s="500" t="str">
        <f t="shared" si="93"/>
        <v>Direct Install</v>
      </c>
      <c r="I460" s="500" t="str">
        <f t="shared" si="93"/>
        <v>2_00</v>
      </c>
      <c r="J460" s="500" t="str">
        <f t="shared" si="93"/>
        <v>Electric Water Heating</v>
      </c>
      <c r="K460" s="500" t="str">
        <f t="shared" si="90"/>
        <v>Commercial Showerhead Replacement_Fitness Center_precondition 2_00 to 2_09 gpm_efficient 2_00 gpm_Direct Install_Electric Water Heating - Embedded Water Energy</v>
      </c>
      <c r="L460" s="500"/>
      <c r="M460" s="501"/>
      <c r="N460" s="500"/>
      <c r="O460" s="500"/>
      <c r="P460" s="500"/>
      <c r="Q460" s="502"/>
      <c r="R460" s="503"/>
      <c r="S460" s="504"/>
      <c r="T460" s="505"/>
      <c r="U460" s="500"/>
      <c r="V460" s="500" t="str">
        <f t="shared" si="91"/>
        <v>Commercial Showerhead Replacement_Fitness Center_precondition 2_00 to 2_09 gpm_efficient 2_00 gpm_Direct Install_Electric Water Heating</v>
      </c>
      <c r="W460" s="506" t="s">
        <v>604</v>
      </c>
      <c r="X460" s="502">
        <f t="shared" si="92"/>
        <v>67.716534728948446</v>
      </c>
      <c r="Y460" s="500">
        <v>10</v>
      </c>
      <c r="Z460" s="507">
        <v>0</v>
      </c>
      <c r="AA460" s="500"/>
      <c r="AB460" s="506" t="s">
        <v>605</v>
      </c>
      <c r="AC460" s="505">
        <v>0</v>
      </c>
      <c r="AD460" s="500"/>
      <c r="AE460" s="500"/>
      <c r="AF460" s="500"/>
      <c r="AG460" s="500"/>
      <c r="AH460" s="500"/>
      <c r="AI460" s="500"/>
      <c r="AJ460" s="500">
        <v>0</v>
      </c>
      <c r="AK460" s="506" t="s">
        <v>605</v>
      </c>
    </row>
    <row r="461" spans="6:37">
      <c r="F461" s="500" t="str">
        <f t="shared" si="93"/>
        <v>Fitness Center</v>
      </c>
      <c r="G461" s="500" t="str">
        <f t="shared" si="93"/>
        <v>2_00 to 2_09 gpm</v>
      </c>
      <c r="H461" s="500" t="str">
        <f t="shared" si="93"/>
        <v>Direct Install</v>
      </c>
      <c r="I461" s="500" t="str">
        <f t="shared" si="93"/>
        <v>2_00</v>
      </c>
      <c r="J461" s="500" t="str">
        <f t="shared" si="93"/>
        <v>Gas Water Heating</v>
      </c>
      <c r="K461" s="500" t="str">
        <f t="shared" si="90"/>
        <v>Commercial Showerhead Replacement_Fitness Center_precondition 2_00 to 2_09 gpm_efficient 2_00 gpm_Direct Install_Gas Water Heating - Embedded Water Energy</v>
      </c>
      <c r="L461" s="500"/>
      <c r="M461" s="501"/>
      <c r="N461" s="500"/>
      <c r="O461" s="500"/>
      <c r="P461" s="500"/>
      <c r="Q461" s="502"/>
      <c r="R461" s="503"/>
      <c r="S461" s="504"/>
      <c r="T461" s="505"/>
      <c r="U461" s="500"/>
      <c r="V461" s="500" t="str">
        <f t="shared" si="91"/>
        <v>Commercial Showerhead Replacement_Fitness Center_precondition 2_00 to 2_09 gpm_efficient 2_00 gpm_Direct Install_Gas Water Heating</v>
      </c>
      <c r="W461" s="506" t="s">
        <v>604</v>
      </c>
      <c r="X461" s="502">
        <f t="shared" si="92"/>
        <v>67.716534728948446</v>
      </c>
      <c r="Y461" s="500">
        <v>10</v>
      </c>
      <c r="Z461" s="507">
        <v>0</v>
      </c>
      <c r="AA461" s="500"/>
      <c r="AB461" s="506" t="s">
        <v>605</v>
      </c>
      <c r="AC461" s="505">
        <v>0</v>
      </c>
      <c r="AD461" s="500"/>
      <c r="AE461" s="500"/>
      <c r="AF461" s="500"/>
      <c r="AG461" s="500"/>
      <c r="AH461" s="500"/>
      <c r="AI461" s="500"/>
      <c r="AJ461" s="500">
        <v>0</v>
      </c>
      <c r="AK461" s="506" t="s">
        <v>605</v>
      </c>
    </row>
    <row r="462" spans="6:37">
      <c r="F462" s="500" t="str">
        <f t="shared" si="93"/>
        <v>Fitness Center</v>
      </c>
      <c r="G462" s="500" t="str">
        <f t="shared" si="93"/>
        <v>2_00 to 2_09 gpm</v>
      </c>
      <c r="H462" s="500" t="str">
        <f t="shared" si="93"/>
        <v>Direct Install</v>
      </c>
      <c r="I462" s="500" t="str">
        <f t="shared" si="93"/>
        <v>2_00</v>
      </c>
      <c r="J462" s="500" t="str">
        <f t="shared" si="93"/>
        <v>Any Water Heating</v>
      </c>
      <c r="K462" s="500" t="str">
        <f t="shared" si="90"/>
        <v>Commercial Showerhead Replacement_Fitness Center_precondition 2_00 to 2_09 gpm_efficient 2_00 gpm_Direct Install_Any Water Heating - Embedded Water Energy</v>
      </c>
      <c r="L462" s="500"/>
      <c r="M462" s="501"/>
      <c r="N462" s="500"/>
      <c r="O462" s="500"/>
      <c r="P462" s="500"/>
      <c r="Q462" s="502"/>
      <c r="R462" s="503"/>
      <c r="S462" s="504"/>
      <c r="T462" s="505"/>
      <c r="U462" s="500"/>
      <c r="V462" s="500" t="str">
        <f t="shared" si="91"/>
        <v>Commercial Showerhead Replacement_Fitness Center_precondition 2_00 to 2_09 gpm_efficient 2_00 gpm_Direct Install_Any Water Heating</v>
      </c>
      <c r="W462" s="506" t="s">
        <v>604</v>
      </c>
      <c r="X462" s="502">
        <f t="shared" si="92"/>
        <v>67.716534728948446</v>
      </c>
      <c r="Y462" s="500">
        <v>10</v>
      </c>
      <c r="Z462" s="507">
        <v>0</v>
      </c>
      <c r="AA462" s="500"/>
      <c r="AB462" s="506" t="s">
        <v>605</v>
      </c>
      <c r="AC462" s="505">
        <v>0</v>
      </c>
      <c r="AD462" s="500"/>
      <c r="AE462" s="500"/>
      <c r="AF462" s="500"/>
      <c r="AG462" s="500"/>
      <c r="AH462" s="500"/>
      <c r="AI462" s="500"/>
      <c r="AJ462" s="500">
        <v>0</v>
      </c>
      <c r="AK462" s="506" t="s">
        <v>605</v>
      </c>
    </row>
    <row r="463" spans="6:37">
      <c r="F463" s="500" t="str">
        <f t="shared" si="93"/>
        <v>Fitness Center</v>
      </c>
      <c r="G463" s="500" t="str">
        <f t="shared" si="93"/>
        <v>2_00 to 2_09 gpm</v>
      </c>
      <c r="H463" s="500" t="str">
        <f t="shared" si="93"/>
        <v>Direct Install</v>
      </c>
      <c r="I463" s="500" t="str">
        <f t="shared" si="93"/>
        <v>1_75</v>
      </c>
      <c r="J463" s="500" t="str">
        <f t="shared" si="93"/>
        <v>Electric Water Heating</v>
      </c>
      <c r="K463" s="500" t="str">
        <f t="shared" si="90"/>
        <v>Commercial Showerhead Replacement_Fitness Center_precondition 2_00 to 2_09 gpm_efficient 1_75 gpm_Direct Install_Electric Water Heating - Embedded Water Energy</v>
      </c>
      <c r="L463" s="500"/>
      <c r="M463" s="501"/>
      <c r="N463" s="500"/>
      <c r="O463" s="500"/>
      <c r="P463" s="500"/>
      <c r="Q463" s="502"/>
      <c r="R463" s="503"/>
      <c r="S463" s="504"/>
      <c r="T463" s="505"/>
      <c r="U463" s="500"/>
      <c r="V463" s="500" t="str">
        <f t="shared" si="91"/>
        <v>Commercial Showerhead Replacement_Fitness Center_precondition 2_00 to 2_09 gpm_efficient 1_75 gpm_Direct Install_Electric Water Heating</v>
      </c>
      <c r="W463" s="506" t="s">
        <v>604</v>
      </c>
      <c r="X463" s="502">
        <f t="shared" si="92"/>
        <v>81.259841674738141</v>
      </c>
      <c r="Y463" s="500">
        <v>10</v>
      </c>
      <c r="Z463" s="507">
        <v>0</v>
      </c>
      <c r="AA463" s="500"/>
      <c r="AB463" s="506" t="s">
        <v>605</v>
      </c>
      <c r="AC463" s="505">
        <v>0</v>
      </c>
      <c r="AD463" s="500"/>
      <c r="AE463" s="500"/>
      <c r="AF463" s="500"/>
      <c r="AG463" s="500"/>
      <c r="AH463" s="500"/>
      <c r="AI463" s="500"/>
      <c r="AJ463" s="500">
        <v>0</v>
      </c>
      <c r="AK463" s="506" t="s">
        <v>605</v>
      </c>
    </row>
    <row r="464" spans="6:37">
      <c r="F464" s="500" t="str">
        <f t="shared" si="93"/>
        <v>Fitness Center</v>
      </c>
      <c r="G464" s="500" t="str">
        <f t="shared" si="93"/>
        <v>2_00 to 2_09 gpm</v>
      </c>
      <c r="H464" s="500" t="str">
        <f t="shared" si="93"/>
        <v>Direct Install</v>
      </c>
      <c r="I464" s="500" t="str">
        <f t="shared" si="93"/>
        <v>1_75</v>
      </c>
      <c r="J464" s="500" t="str">
        <f t="shared" si="93"/>
        <v>Gas Water Heating</v>
      </c>
      <c r="K464" s="500" t="str">
        <f t="shared" si="90"/>
        <v>Commercial Showerhead Replacement_Fitness Center_precondition 2_00 to 2_09 gpm_efficient 1_75 gpm_Direct Install_Gas Water Heating - Embedded Water Energy</v>
      </c>
      <c r="L464" s="500"/>
      <c r="M464" s="501"/>
      <c r="N464" s="500"/>
      <c r="O464" s="500"/>
      <c r="P464" s="500"/>
      <c r="Q464" s="502"/>
      <c r="R464" s="503"/>
      <c r="S464" s="504"/>
      <c r="T464" s="505"/>
      <c r="U464" s="500"/>
      <c r="V464" s="500" t="str">
        <f t="shared" si="91"/>
        <v>Commercial Showerhead Replacement_Fitness Center_precondition 2_00 to 2_09 gpm_efficient 1_75 gpm_Direct Install_Gas Water Heating</v>
      </c>
      <c r="W464" s="506" t="s">
        <v>604</v>
      </c>
      <c r="X464" s="502">
        <f t="shared" si="92"/>
        <v>81.259841674738141</v>
      </c>
      <c r="Y464" s="500">
        <v>10</v>
      </c>
      <c r="Z464" s="507">
        <v>0</v>
      </c>
      <c r="AA464" s="500"/>
      <c r="AB464" s="506" t="s">
        <v>605</v>
      </c>
      <c r="AC464" s="505">
        <v>0</v>
      </c>
      <c r="AD464" s="500"/>
      <c r="AE464" s="500"/>
      <c r="AF464" s="500"/>
      <c r="AG464" s="500"/>
      <c r="AH464" s="500"/>
      <c r="AI464" s="500"/>
      <c r="AJ464" s="500">
        <v>0</v>
      </c>
      <c r="AK464" s="506" t="s">
        <v>605</v>
      </c>
    </row>
    <row r="465" spans="6:37">
      <c r="F465" s="500" t="str">
        <f t="shared" si="93"/>
        <v>Fitness Center</v>
      </c>
      <c r="G465" s="500" t="str">
        <f t="shared" si="93"/>
        <v>2_00 to 2_09 gpm</v>
      </c>
      <c r="H465" s="500" t="str">
        <f t="shared" si="93"/>
        <v>Direct Install</v>
      </c>
      <c r="I465" s="500" t="str">
        <f t="shared" si="93"/>
        <v>1_75</v>
      </c>
      <c r="J465" s="500" t="str">
        <f t="shared" si="93"/>
        <v>Any Water Heating</v>
      </c>
      <c r="K465" s="500" t="str">
        <f t="shared" si="90"/>
        <v>Commercial Showerhead Replacement_Fitness Center_precondition 2_00 to 2_09 gpm_efficient 1_75 gpm_Direct Install_Any Water Heating - Embedded Water Energy</v>
      </c>
      <c r="L465" s="500"/>
      <c r="M465" s="501"/>
      <c r="N465" s="500"/>
      <c r="O465" s="500"/>
      <c r="P465" s="500"/>
      <c r="Q465" s="502"/>
      <c r="R465" s="503"/>
      <c r="S465" s="504"/>
      <c r="T465" s="505"/>
      <c r="U465" s="500"/>
      <c r="V465" s="500" t="str">
        <f t="shared" si="91"/>
        <v>Commercial Showerhead Replacement_Fitness Center_precondition 2_00 to 2_09 gpm_efficient 1_75 gpm_Direct Install_Any Water Heating</v>
      </c>
      <c r="W465" s="506" t="s">
        <v>604</v>
      </c>
      <c r="X465" s="502">
        <f t="shared" si="92"/>
        <v>81.259841674738141</v>
      </c>
      <c r="Y465" s="500">
        <v>10</v>
      </c>
      <c r="Z465" s="507">
        <v>0</v>
      </c>
      <c r="AA465" s="500"/>
      <c r="AB465" s="506" t="s">
        <v>605</v>
      </c>
      <c r="AC465" s="505">
        <v>0</v>
      </c>
      <c r="AD465" s="500"/>
      <c r="AE465" s="500"/>
      <c r="AF465" s="500"/>
      <c r="AG465" s="500"/>
      <c r="AH465" s="500"/>
      <c r="AI465" s="500"/>
      <c r="AJ465" s="500">
        <v>0</v>
      </c>
      <c r="AK465" s="506" t="s">
        <v>605</v>
      </c>
    </row>
    <row r="466" spans="6:37">
      <c r="F466" s="500" t="str">
        <f t="shared" si="93"/>
        <v>Fitness Center</v>
      </c>
      <c r="G466" s="500" t="str">
        <f t="shared" si="93"/>
        <v>2_00 to 2_09 gpm</v>
      </c>
      <c r="H466" s="500" t="str">
        <f t="shared" si="93"/>
        <v>Direct Install</v>
      </c>
      <c r="I466" s="500" t="str">
        <f t="shared" si="93"/>
        <v>1_50</v>
      </c>
      <c r="J466" s="500" t="str">
        <f t="shared" si="93"/>
        <v>Electric Water Heating</v>
      </c>
      <c r="K466" s="500" t="str">
        <f t="shared" si="90"/>
        <v>Commercial Showerhead Replacement_Fitness Center_precondition 2_00 to 2_09 gpm_efficient 1_50 gpm_Direct Install_Electric Water Heating - Embedded Water Energy</v>
      </c>
      <c r="L466" s="500"/>
      <c r="M466" s="501"/>
      <c r="N466" s="500"/>
      <c r="O466" s="500"/>
      <c r="P466" s="500"/>
      <c r="Q466" s="502"/>
      <c r="R466" s="503"/>
      <c r="S466" s="504"/>
      <c r="T466" s="505"/>
      <c r="U466" s="500"/>
      <c r="V466" s="500" t="str">
        <f t="shared" si="91"/>
        <v>Commercial Showerhead Replacement_Fitness Center_precondition 2_00 to 2_09 gpm_efficient 1_50 gpm_Direct Install_Electric Water Heating</v>
      </c>
      <c r="W466" s="506" t="s">
        <v>604</v>
      </c>
      <c r="X466" s="502">
        <f t="shared" si="92"/>
        <v>148.9763764036866</v>
      </c>
      <c r="Y466" s="500">
        <v>10</v>
      </c>
      <c r="Z466" s="507">
        <v>0</v>
      </c>
      <c r="AA466" s="500"/>
      <c r="AB466" s="506" t="s">
        <v>605</v>
      </c>
      <c r="AC466" s="505">
        <v>0</v>
      </c>
      <c r="AD466" s="500"/>
      <c r="AE466" s="500"/>
      <c r="AF466" s="500"/>
      <c r="AG466" s="500"/>
      <c r="AH466" s="500"/>
      <c r="AI466" s="500"/>
      <c r="AJ466" s="500">
        <v>0</v>
      </c>
      <c r="AK466" s="506" t="s">
        <v>605</v>
      </c>
    </row>
    <row r="467" spans="6:37">
      <c r="F467" s="500" t="str">
        <f t="shared" si="93"/>
        <v>Fitness Center</v>
      </c>
      <c r="G467" s="500" t="str">
        <f t="shared" si="93"/>
        <v>2_00 to 2_09 gpm</v>
      </c>
      <c r="H467" s="500" t="str">
        <f t="shared" si="93"/>
        <v>Direct Install</v>
      </c>
      <c r="I467" s="500" t="str">
        <f t="shared" si="93"/>
        <v>1_50</v>
      </c>
      <c r="J467" s="500" t="str">
        <f t="shared" si="93"/>
        <v>Gas Water Heating</v>
      </c>
      <c r="K467" s="500" t="str">
        <f t="shared" si="90"/>
        <v>Commercial Showerhead Replacement_Fitness Center_precondition 2_00 to 2_09 gpm_efficient 1_50 gpm_Direct Install_Gas Water Heating - Embedded Water Energy</v>
      </c>
      <c r="L467" s="500"/>
      <c r="M467" s="501"/>
      <c r="N467" s="500"/>
      <c r="O467" s="500"/>
      <c r="P467" s="500"/>
      <c r="Q467" s="502"/>
      <c r="R467" s="503"/>
      <c r="S467" s="504"/>
      <c r="T467" s="505"/>
      <c r="U467" s="500"/>
      <c r="V467" s="500" t="str">
        <f t="shared" si="91"/>
        <v>Commercial Showerhead Replacement_Fitness Center_precondition 2_00 to 2_09 gpm_efficient 1_50 gpm_Direct Install_Gas Water Heating</v>
      </c>
      <c r="W467" s="506" t="s">
        <v>604</v>
      </c>
      <c r="X467" s="502">
        <f t="shared" si="92"/>
        <v>148.9763764036866</v>
      </c>
      <c r="Y467" s="500">
        <v>10</v>
      </c>
      <c r="Z467" s="507">
        <v>0</v>
      </c>
      <c r="AA467" s="500"/>
      <c r="AB467" s="506" t="s">
        <v>605</v>
      </c>
      <c r="AC467" s="505">
        <v>0</v>
      </c>
      <c r="AD467" s="500"/>
      <c r="AE467" s="500"/>
      <c r="AF467" s="500"/>
      <c r="AG467" s="500"/>
      <c r="AH467" s="500"/>
      <c r="AI467" s="500"/>
      <c r="AJ467" s="500">
        <v>0</v>
      </c>
      <c r="AK467" s="506" t="s">
        <v>605</v>
      </c>
    </row>
    <row r="468" spans="6:37">
      <c r="F468" s="500" t="str">
        <f t="shared" si="93"/>
        <v>Fitness Center</v>
      </c>
      <c r="G468" s="500" t="str">
        <f t="shared" si="93"/>
        <v>2_00 to 2_09 gpm</v>
      </c>
      <c r="H468" s="500" t="str">
        <f t="shared" si="93"/>
        <v>Direct Install</v>
      </c>
      <c r="I468" s="500" t="str">
        <f t="shared" si="93"/>
        <v>1_50</v>
      </c>
      <c r="J468" s="500" t="str">
        <f t="shared" si="93"/>
        <v>Any Water Heating</v>
      </c>
      <c r="K468" s="500" t="str">
        <f t="shared" si="90"/>
        <v>Commercial Showerhead Replacement_Fitness Center_precondition 2_00 to 2_09 gpm_efficient 1_50 gpm_Direct Install_Any Water Heating - Embedded Water Energy</v>
      </c>
      <c r="L468" s="500"/>
      <c r="M468" s="501"/>
      <c r="N468" s="500"/>
      <c r="O468" s="500"/>
      <c r="P468" s="500"/>
      <c r="Q468" s="502"/>
      <c r="R468" s="503"/>
      <c r="S468" s="504"/>
      <c r="T468" s="505"/>
      <c r="U468" s="500"/>
      <c r="V468" s="500" t="str">
        <f t="shared" si="91"/>
        <v>Commercial Showerhead Replacement_Fitness Center_precondition 2_00 to 2_09 gpm_efficient 1_50 gpm_Direct Install_Any Water Heating</v>
      </c>
      <c r="W468" s="506" t="s">
        <v>604</v>
      </c>
      <c r="X468" s="502">
        <f t="shared" si="92"/>
        <v>148.9763764036866</v>
      </c>
      <c r="Y468" s="500">
        <v>10</v>
      </c>
      <c r="Z468" s="507">
        <v>0</v>
      </c>
      <c r="AA468" s="500"/>
      <c r="AB468" s="506" t="s">
        <v>605</v>
      </c>
      <c r="AC468" s="505">
        <v>0</v>
      </c>
      <c r="AD468" s="500"/>
      <c r="AE468" s="500"/>
      <c r="AF468" s="500"/>
      <c r="AG468" s="500"/>
      <c r="AH468" s="500"/>
      <c r="AI468" s="500"/>
      <c r="AJ468" s="500">
        <v>0</v>
      </c>
      <c r="AK468" s="506" t="s">
        <v>605</v>
      </c>
    </row>
    <row r="469" spans="6:37">
      <c r="F469" s="500" t="str">
        <f t="shared" si="93"/>
        <v>Fitness Center</v>
      </c>
      <c r="G469" s="500" t="str">
        <f t="shared" si="93"/>
        <v>2_00 to 2_09 gpm</v>
      </c>
      <c r="H469" s="500" t="str">
        <f t="shared" si="93"/>
        <v>Mail-by-Request</v>
      </c>
      <c r="I469" s="500" t="str">
        <f t="shared" si="93"/>
        <v>2_00</v>
      </c>
      <c r="J469" s="500" t="str">
        <f t="shared" si="93"/>
        <v>Electric Water Heating</v>
      </c>
      <c r="K469" s="500" t="str">
        <f t="shared" si="90"/>
        <v>Commercial Showerhead Replacement_Fitness Center_precondition 2_00 to 2_09 gpm_efficient 2_00 gpm_Mail-by-Request_Electric Water Heating - Embedded Water Energy</v>
      </c>
      <c r="L469" s="500"/>
      <c r="M469" s="501"/>
      <c r="N469" s="500"/>
      <c r="O469" s="500"/>
      <c r="P469" s="500"/>
      <c r="Q469" s="502"/>
      <c r="R469" s="503"/>
      <c r="S469" s="504"/>
      <c r="T469" s="505"/>
      <c r="U469" s="500"/>
      <c r="V469" s="500" t="str">
        <f t="shared" si="91"/>
        <v>Commercial Showerhead Replacement_Fitness Center_precondition 2_00 to 2_09 gpm_efficient 2_00 gpm_Mail-by-Request_Electric Water Heating</v>
      </c>
      <c r="W469" s="506" t="s">
        <v>604</v>
      </c>
      <c r="X469" s="502">
        <f t="shared" si="92"/>
        <v>45.144356485965631</v>
      </c>
      <c r="Y469" s="500">
        <v>10</v>
      </c>
      <c r="Z469" s="507">
        <v>0</v>
      </c>
      <c r="AA469" s="500"/>
      <c r="AB469" s="506" t="s">
        <v>605</v>
      </c>
      <c r="AC469" s="505">
        <v>0</v>
      </c>
      <c r="AD469" s="500"/>
      <c r="AE469" s="500"/>
      <c r="AF469" s="500"/>
      <c r="AG469" s="500"/>
      <c r="AH469" s="500"/>
      <c r="AI469" s="500"/>
      <c r="AJ469" s="500">
        <v>0</v>
      </c>
      <c r="AK469" s="506" t="s">
        <v>605</v>
      </c>
    </row>
    <row r="470" spans="6:37">
      <c r="F470" s="500" t="str">
        <f t="shared" si="93"/>
        <v>Fitness Center</v>
      </c>
      <c r="G470" s="500" t="str">
        <f t="shared" si="93"/>
        <v>2_00 to 2_09 gpm</v>
      </c>
      <c r="H470" s="500" t="str">
        <f t="shared" si="93"/>
        <v>Mail-by-Request</v>
      </c>
      <c r="I470" s="500" t="str">
        <f t="shared" si="93"/>
        <v>2_00</v>
      </c>
      <c r="J470" s="500" t="str">
        <f t="shared" si="93"/>
        <v>Gas Water Heating</v>
      </c>
      <c r="K470" s="500" t="str">
        <f t="shared" si="90"/>
        <v>Commercial Showerhead Replacement_Fitness Center_precondition 2_00 to 2_09 gpm_efficient 2_00 gpm_Mail-by-Request_Gas Water Heating - Embedded Water Energy</v>
      </c>
      <c r="L470" s="500"/>
      <c r="M470" s="501"/>
      <c r="N470" s="500"/>
      <c r="O470" s="500"/>
      <c r="P470" s="500"/>
      <c r="Q470" s="502"/>
      <c r="R470" s="503"/>
      <c r="S470" s="504"/>
      <c r="T470" s="505"/>
      <c r="U470" s="500"/>
      <c r="V470" s="500" t="str">
        <f t="shared" si="91"/>
        <v>Commercial Showerhead Replacement_Fitness Center_precondition 2_00 to 2_09 gpm_efficient 2_00 gpm_Mail-by-Request_Gas Water Heating</v>
      </c>
      <c r="W470" s="506" t="s">
        <v>604</v>
      </c>
      <c r="X470" s="502">
        <f t="shared" si="92"/>
        <v>45.144356485965631</v>
      </c>
      <c r="Y470" s="500">
        <v>10</v>
      </c>
      <c r="Z470" s="507">
        <v>0</v>
      </c>
      <c r="AA470" s="500"/>
      <c r="AB470" s="506" t="s">
        <v>605</v>
      </c>
      <c r="AC470" s="505">
        <v>0</v>
      </c>
      <c r="AD470" s="500"/>
      <c r="AE470" s="500"/>
      <c r="AF470" s="500"/>
      <c r="AG470" s="500"/>
      <c r="AH470" s="500"/>
      <c r="AI470" s="500"/>
      <c r="AJ470" s="500">
        <v>0</v>
      </c>
      <c r="AK470" s="506" t="s">
        <v>605</v>
      </c>
    </row>
    <row r="471" spans="6:37">
      <c r="F471" s="500" t="str">
        <f t="shared" si="93"/>
        <v>Fitness Center</v>
      </c>
      <c r="G471" s="500" t="str">
        <f t="shared" si="93"/>
        <v>2_00 to 2_09 gpm</v>
      </c>
      <c r="H471" s="500" t="str">
        <f t="shared" si="93"/>
        <v>Mail-by-Request</v>
      </c>
      <c r="I471" s="500" t="str">
        <f t="shared" si="93"/>
        <v>2_00</v>
      </c>
      <c r="J471" s="500" t="str">
        <f t="shared" si="93"/>
        <v>Any Water Heating</v>
      </c>
      <c r="K471" s="500" t="str">
        <f t="shared" si="90"/>
        <v>Commercial Showerhead Replacement_Fitness Center_precondition 2_00 to 2_09 gpm_efficient 2_00 gpm_Mail-by-Request_Any Water Heating - Embedded Water Energy</v>
      </c>
      <c r="L471" s="500"/>
      <c r="M471" s="501"/>
      <c r="N471" s="500"/>
      <c r="O471" s="500"/>
      <c r="P471" s="500"/>
      <c r="Q471" s="502"/>
      <c r="R471" s="503"/>
      <c r="S471" s="504"/>
      <c r="T471" s="505"/>
      <c r="U471" s="500"/>
      <c r="V471" s="500" t="str">
        <f t="shared" si="91"/>
        <v>Commercial Showerhead Replacement_Fitness Center_precondition 2_00 to 2_09 gpm_efficient 2_00 gpm_Mail-by-Request_Any Water Heating</v>
      </c>
      <c r="W471" s="506" t="s">
        <v>604</v>
      </c>
      <c r="X471" s="502">
        <f t="shared" si="92"/>
        <v>45.144356485965631</v>
      </c>
      <c r="Y471" s="500">
        <v>10</v>
      </c>
      <c r="Z471" s="507">
        <v>0</v>
      </c>
      <c r="AA471" s="500"/>
      <c r="AB471" s="506" t="s">
        <v>605</v>
      </c>
      <c r="AC471" s="505">
        <v>0</v>
      </c>
      <c r="AD471" s="500"/>
      <c r="AE471" s="500"/>
      <c r="AF471" s="500"/>
      <c r="AG471" s="500"/>
      <c r="AH471" s="500"/>
      <c r="AI471" s="500"/>
      <c r="AJ471" s="500">
        <v>0</v>
      </c>
      <c r="AK471" s="506" t="s">
        <v>605</v>
      </c>
    </row>
    <row r="472" spans="6:37">
      <c r="F472" s="500" t="str">
        <f t="shared" si="93"/>
        <v>Fitness Center</v>
      </c>
      <c r="G472" s="500" t="str">
        <f t="shared" si="93"/>
        <v>2_00 to 2_09 gpm</v>
      </c>
      <c r="H472" s="500" t="str">
        <f t="shared" si="93"/>
        <v>Mail-by-Request</v>
      </c>
      <c r="I472" s="500" t="str">
        <f t="shared" si="93"/>
        <v>1_75</v>
      </c>
      <c r="J472" s="500" t="str">
        <f t="shared" si="93"/>
        <v>Electric Water Heating</v>
      </c>
      <c r="K472" s="500" t="str">
        <f t="shared" si="90"/>
        <v>Commercial Showerhead Replacement_Fitness Center_precondition 2_00 to 2_09 gpm_efficient 1_75 gpm_Mail-by-Request_Electric Water Heating - Embedded Water Energy</v>
      </c>
      <c r="L472" s="500"/>
      <c r="M472" s="501"/>
      <c r="N472" s="500"/>
      <c r="O472" s="500"/>
      <c r="P472" s="500"/>
      <c r="Q472" s="502"/>
      <c r="R472" s="503"/>
      <c r="S472" s="504"/>
      <c r="T472" s="505"/>
      <c r="U472" s="500"/>
      <c r="V472" s="500" t="str">
        <f t="shared" si="91"/>
        <v>Commercial Showerhead Replacement_Fitness Center_precondition 2_00 to 2_09 gpm_efficient 1_75 gpm_Mail-by-Request_Electric Water Heating</v>
      </c>
      <c r="W472" s="506" t="s">
        <v>604</v>
      </c>
      <c r="X472" s="502">
        <f t="shared" si="92"/>
        <v>54.173227783158758</v>
      </c>
      <c r="Y472" s="500">
        <v>10</v>
      </c>
      <c r="Z472" s="507">
        <v>0</v>
      </c>
      <c r="AA472" s="500"/>
      <c r="AB472" s="506" t="s">
        <v>605</v>
      </c>
      <c r="AC472" s="505">
        <v>0</v>
      </c>
      <c r="AD472" s="500"/>
      <c r="AE472" s="500"/>
      <c r="AF472" s="500"/>
      <c r="AG472" s="500"/>
      <c r="AH472" s="500"/>
      <c r="AI472" s="500"/>
      <c r="AJ472" s="500">
        <v>0</v>
      </c>
      <c r="AK472" s="506" t="s">
        <v>605</v>
      </c>
    </row>
    <row r="473" spans="6:37">
      <c r="F473" s="500" t="str">
        <f t="shared" si="93"/>
        <v>Fitness Center</v>
      </c>
      <c r="G473" s="500" t="str">
        <f t="shared" si="93"/>
        <v>2_00 to 2_09 gpm</v>
      </c>
      <c r="H473" s="500" t="str">
        <f t="shared" si="93"/>
        <v>Mail-by-Request</v>
      </c>
      <c r="I473" s="500" t="str">
        <f t="shared" si="93"/>
        <v>1_75</v>
      </c>
      <c r="J473" s="500" t="str">
        <f t="shared" si="93"/>
        <v>Gas Water Heating</v>
      </c>
      <c r="K473" s="500" t="str">
        <f t="shared" si="90"/>
        <v>Commercial Showerhead Replacement_Fitness Center_precondition 2_00 to 2_09 gpm_efficient 1_75 gpm_Mail-by-Request_Gas Water Heating - Embedded Water Energy</v>
      </c>
      <c r="L473" s="500"/>
      <c r="M473" s="501"/>
      <c r="N473" s="500"/>
      <c r="O473" s="500"/>
      <c r="P473" s="500"/>
      <c r="Q473" s="502"/>
      <c r="R473" s="503"/>
      <c r="S473" s="504"/>
      <c r="T473" s="505"/>
      <c r="U473" s="500"/>
      <c r="V473" s="500" t="str">
        <f t="shared" si="91"/>
        <v>Commercial Showerhead Replacement_Fitness Center_precondition 2_00 to 2_09 gpm_efficient 1_75 gpm_Mail-by-Request_Gas Water Heating</v>
      </c>
      <c r="W473" s="506" t="s">
        <v>604</v>
      </c>
      <c r="X473" s="502">
        <f t="shared" si="92"/>
        <v>54.173227783158758</v>
      </c>
      <c r="Y473" s="500">
        <v>10</v>
      </c>
      <c r="Z473" s="507">
        <v>0</v>
      </c>
      <c r="AA473" s="500"/>
      <c r="AB473" s="506" t="s">
        <v>605</v>
      </c>
      <c r="AC473" s="505">
        <v>0</v>
      </c>
      <c r="AD473" s="500"/>
      <c r="AE473" s="500"/>
      <c r="AF473" s="500"/>
      <c r="AG473" s="500"/>
      <c r="AH473" s="500"/>
      <c r="AI473" s="500"/>
      <c r="AJ473" s="500">
        <v>0</v>
      </c>
      <c r="AK473" s="506" t="s">
        <v>605</v>
      </c>
    </row>
    <row r="474" spans="6:37">
      <c r="F474" s="500" t="str">
        <f t="shared" si="93"/>
        <v>Fitness Center</v>
      </c>
      <c r="G474" s="500" t="str">
        <f t="shared" si="93"/>
        <v>2_00 to 2_09 gpm</v>
      </c>
      <c r="H474" s="500" t="str">
        <f t="shared" si="93"/>
        <v>Mail-by-Request</v>
      </c>
      <c r="I474" s="500" t="str">
        <f t="shared" si="93"/>
        <v>1_75</v>
      </c>
      <c r="J474" s="500" t="str">
        <f t="shared" si="93"/>
        <v>Any Water Heating</v>
      </c>
      <c r="K474" s="500" t="str">
        <f t="shared" si="90"/>
        <v>Commercial Showerhead Replacement_Fitness Center_precondition 2_00 to 2_09 gpm_efficient 1_75 gpm_Mail-by-Request_Any Water Heating - Embedded Water Energy</v>
      </c>
      <c r="L474" s="500"/>
      <c r="M474" s="501"/>
      <c r="N474" s="500"/>
      <c r="O474" s="500"/>
      <c r="P474" s="500"/>
      <c r="Q474" s="502"/>
      <c r="R474" s="503"/>
      <c r="S474" s="504"/>
      <c r="T474" s="505"/>
      <c r="U474" s="500"/>
      <c r="V474" s="500" t="str">
        <f t="shared" si="91"/>
        <v>Commercial Showerhead Replacement_Fitness Center_precondition 2_00 to 2_09 gpm_efficient 1_75 gpm_Mail-by-Request_Any Water Heating</v>
      </c>
      <c r="W474" s="506" t="s">
        <v>604</v>
      </c>
      <c r="X474" s="502">
        <f t="shared" si="92"/>
        <v>54.173227783158758</v>
      </c>
      <c r="Y474" s="500">
        <v>10</v>
      </c>
      <c r="Z474" s="507">
        <v>0</v>
      </c>
      <c r="AA474" s="500"/>
      <c r="AB474" s="506" t="s">
        <v>605</v>
      </c>
      <c r="AC474" s="505">
        <v>0</v>
      </c>
      <c r="AD474" s="500"/>
      <c r="AE474" s="500"/>
      <c r="AF474" s="500"/>
      <c r="AG474" s="500"/>
      <c r="AH474" s="500"/>
      <c r="AI474" s="500"/>
      <c r="AJ474" s="500">
        <v>0</v>
      </c>
      <c r="AK474" s="506" t="s">
        <v>605</v>
      </c>
    </row>
    <row r="475" spans="6:37">
      <c r="F475" s="500" t="str">
        <f t="shared" si="93"/>
        <v>Fitness Center</v>
      </c>
      <c r="G475" s="500" t="str">
        <f t="shared" si="93"/>
        <v>2_00 to 2_09 gpm</v>
      </c>
      <c r="H475" s="500" t="str">
        <f t="shared" si="93"/>
        <v>Mail-by-Request</v>
      </c>
      <c r="I475" s="500" t="str">
        <f t="shared" si="93"/>
        <v>1_50</v>
      </c>
      <c r="J475" s="500" t="str">
        <f t="shared" si="93"/>
        <v>Electric Water Heating</v>
      </c>
      <c r="K475" s="500" t="str">
        <f t="shared" si="90"/>
        <v>Commercial Showerhead Replacement_Fitness Center_precondition 2_00 to 2_09 gpm_efficient 1_50 gpm_Mail-by-Request_Electric Water Heating - Embedded Water Energy</v>
      </c>
      <c r="L475" s="500"/>
      <c r="M475" s="501"/>
      <c r="N475" s="500"/>
      <c r="O475" s="500"/>
      <c r="P475" s="500"/>
      <c r="Q475" s="502"/>
      <c r="R475" s="503"/>
      <c r="S475" s="504"/>
      <c r="T475" s="505"/>
      <c r="U475" s="500"/>
      <c r="V475" s="500" t="str">
        <f t="shared" si="91"/>
        <v>Commercial Showerhead Replacement_Fitness Center_precondition 2_00 to 2_09 gpm_efficient 1_50 gpm_Mail-by-Request_Electric Water Heating</v>
      </c>
      <c r="W475" s="506" t="s">
        <v>604</v>
      </c>
      <c r="X475" s="502">
        <f t="shared" si="92"/>
        <v>99.317584269124396</v>
      </c>
      <c r="Y475" s="500">
        <v>10</v>
      </c>
      <c r="Z475" s="507">
        <v>0</v>
      </c>
      <c r="AA475" s="500"/>
      <c r="AB475" s="506" t="s">
        <v>605</v>
      </c>
      <c r="AC475" s="505">
        <v>0</v>
      </c>
      <c r="AD475" s="500"/>
      <c r="AE475" s="500"/>
      <c r="AF475" s="500"/>
      <c r="AG475" s="500"/>
      <c r="AH475" s="500"/>
      <c r="AI475" s="500"/>
      <c r="AJ475" s="500">
        <v>0</v>
      </c>
      <c r="AK475" s="506" t="s">
        <v>605</v>
      </c>
    </row>
    <row r="476" spans="6:37">
      <c r="F476" s="500" t="str">
        <f t="shared" ref="F476:J491" si="94">F179</f>
        <v>Fitness Center</v>
      </c>
      <c r="G476" s="500" t="str">
        <f t="shared" si="94"/>
        <v>2_00 to 2_09 gpm</v>
      </c>
      <c r="H476" s="500" t="str">
        <f t="shared" si="94"/>
        <v>Mail-by-Request</v>
      </c>
      <c r="I476" s="500" t="str">
        <f t="shared" si="94"/>
        <v>1_50</v>
      </c>
      <c r="J476" s="500" t="str">
        <f t="shared" si="94"/>
        <v>Gas Water Heating</v>
      </c>
      <c r="K476" s="500" t="str">
        <f t="shared" si="90"/>
        <v>Commercial Showerhead Replacement_Fitness Center_precondition 2_00 to 2_09 gpm_efficient 1_50 gpm_Mail-by-Request_Gas Water Heating - Embedded Water Energy</v>
      </c>
      <c r="L476" s="500"/>
      <c r="M476" s="501"/>
      <c r="N476" s="500"/>
      <c r="O476" s="500"/>
      <c r="P476" s="500"/>
      <c r="Q476" s="502"/>
      <c r="R476" s="503"/>
      <c r="S476" s="504"/>
      <c r="T476" s="505"/>
      <c r="U476" s="500"/>
      <c r="V476" s="500" t="str">
        <f t="shared" si="91"/>
        <v>Commercial Showerhead Replacement_Fitness Center_precondition 2_00 to 2_09 gpm_efficient 1_50 gpm_Mail-by-Request_Gas Water Heating</v>
      </c>
      <c r="W476" s="506" t="s">
        <v>604</v>
      </c>
      <c r="X476" s="502">
        <f t="shared" si="92"/>
        <v>99.317584269124396</v>
      </c>
      <c r="Y476" s="500">
        <v>10</v>
      </c>
      <c r="Z476" s="507">
        <v>0</v>
      </c>
      <c r="AA476" s="500"/>
      <c r="AB476" s="506" t="s">
        <v>605</v>
      </c>
      <c r="AC476" s="505">
        <v>0</v>
      </c>
      <c r="AD476" s="500"/>
      <c r="AE476" s="500"/>
      <c r="AF476" s="500"/>
      <c r="AG476" s="500"/>
      <c r="AH476" s="500"/>
      <c r="AI476" s="500"/>
      <c r="AJ476" s="500">
        <v>0</v>
      </c>
      <c r="AK476" s="506" t="s">
        <v>605</v>
      </c>
    </row>
    <row r="477" spans="6:37">
      <c r="F477" s="500" t="str">
        <f t="shared" si="94"/>
        <v>Fitness Center</v>
      </c>
      <c r="G477" s="500" t="str">
        <f t="shared" si="94"/>
        <v>2_00 to 2_09 gpm</v>
      </c>
      <c r="H477" s="500" t="str">
        <f t="shared" si="94"/>
        <v>Mail-by-Request</v>
      </c>
      <c r="I477" s="500" t="str">
        <f t="shared" si="94"/>
        <v>1_50</v>
      </c>
      <c r="J477" s="500" t="str">
        <f t="shared" si="94"/>
        <v>Any Water Heating</v>
      </c>
      <c r="K477" s="500" t="str">
        <f t="shared" si="90"/>
        <v>Commercial Showerhead Replacement_Fitness Center_precondition 2_00 to 2_09 gpm_efficient 1_50 gpm_Mail-by-Request_Any Water Heating - Embedded Water Energy</v>
      </c>
      <c r="L477" s="500"/>
      <c r="M477" s="501"/>
      <c r="N477" s="500"/>
      <c r="O477" s="500"/>
      <c r="P477" s="500"/>
      <c r="Q477" s="502"/>
      <c r="R477" s="503"/>
      <c r="S477" s="504"/>
      <c r="T477" s="505"/>
      <c r="U477" s="500"/>
      <c r="V477" s="500" t="str">
        <f t="shared" si="91"/>
        <v>Commercial Showerhead Replacement_Fitness Center_precondition 2_00 to 2_09 gpm_efficient 1_50 gpm_Mail-by-Request_Any Water Heating</v>
      </c>
      <c r="W477" s="506" t="s">
        <v>604</v>
      </c>
      <c r="X477" s="502">
        <f t="shared" si="92"/>
        <v>99.317584269124396</v>
      </c>
      <c r="Y477" s="500">
        <v>10</v>
      </c>
      <c r="Z477" s="507">
        <v>0</v>
      </c>
      <c r="AA477" s="500"/>
      <c r="AB477" s="506" t="s">
        <v>605</v>
      </c>
      <c r="AC477" s="505">
        <v>0</v>
      </c>
      <c r="AD477" s="500"/>
      <c r="AE477" s="500"/>
      <c r="AF477" s="500"/>
      <c r="AG477" s="500"/>
      <c r="AH477" s="500"/>
      <c r="AI477" s="500"/>
      <c r="AJ477" s="500">
        <v>0</v>
      </c>
      <c r="AK477" s="506" t="s">
        <v>605</v>
      </c>
    </row>
    <row r="478" spans="6:37">
      <c r="F478" s="500" t="str">
        <f t="shared" si="94"/>
        <v>Fitness Center</v>
      </c>
      <c r="G478" s="500" t="str">
        <f t="shared" si="94"/>
        <v>1_90 to 1_99 gpm</v>
      </c>
      <c r="H478" s="500" t="str">
        <f t="shared" si="94"/>
        <v>Retail</v>
      </c>
      <c r="I478" s="500" t="str">
        <f t="shared" si="94"/>
        <v>2_00</v>
      </c>
      <c r="J478" s="500" t="str">
        <f t="shared" si="94"/>
        <v>Electric Water Heating</v>
      </c>
      <c r="K478" s="500" t="str">
        <f t="shared" si="90"/>
        <v>Commercial Showerhead Replacement_Fitness Center_precondition 1_90 to 1_99 gpm_efficient 2_00 gpm_Retail_Electric Water Heating - Embedded Water Energy</v>
      </c>
      <c r="L478" s="500"/>
      <c r="M478" s="501"/>
      <c r="N478" s="500"/>
      <c r="O478" s="500"/>
      <c r="P478" s="500"/>
      <c r="Q478" s="502"/>
      <c r="R478" s="503"/>
      <c r="S478" s="504"/>
      <c r="T478" s="505"/>
      <c r="U478" s="500"/>
      <c r="V478" s="500" t="str">
        <f t="shared" si="91"/>
        <v>Commercial Showerhead Replacement_Fitness Center_precondition 1_90 to 1_99 gpm_efficient 2_00 gpm_Retail_Electric Water Heating</v>
      </c>
      <c r="W478" s="506" t="s">
        <v>604</v>
      </c>
      <c r="X478" s="502">
        <f t="shared" si="92"/>
        <v>36.115485188772475</v>
      </c>
      <c r="Y478" s="500">
        <v>10</v>
      </c>
      <c r="Z478" s="507">
        <v>0</v>
      </c>
      <c r="AA478" s="500"/>
      <c r="AB478" s="506" t="s">
        <v>605</v>
      </c>
      <c r="AC478" s="505">
        <v>0</v>
      </c>
      <c r="AD478" s="500"/>
      <c r="AE478" s="500"/>
      <c r="AF478" s="500"/>
      <c r="AG478" s="500"/>
      <c r="AH478" s="500"/>
      <c r="AI478" s="500"/>
      <c r="AJ478" s="500">
        <v>0</v>
      </c>
      <c r="AK478" s="506" t="s">
        <v>605</v>
      </c>
    </row>
    <row r="479" spans="6:37">
      <c r="F479" s="500" t="str">
        <f t="shared" si="94"/>
        <v>Fitness Center</v>
      </c>
      <c r="G479" s="500" t="str">
        <f t="shared" si="94"/>
        <v>1_90 to 1_99 gpm</v>
      </c>
      <c r="H479" s="500" t="str">
        <f t="shared" si="94"/>
        <v>Retail</v>
      </c>
      <c r="I479" s="500" t="str">
        <f t="shared" si="94"/>
        <v>2_00</v>
      </c>
      <c r="J479" s="500" t="str">
        <f t="shared" si="94"/>
        <v>Gas Water Heating</v>
      </c>
      <c r="K479" s="500" t="str">
        <f t="shared" si="90"/>
        <v>Commercial Showerhead Replacement_Fitness Center_precondition 1_90 to 1_99 gpm_efficient 2_00 gpm_Retail_Gas Water Heating - Embedded Water Energy</v>
      </c>
      <c r="L479" s="500"/>
      <c r="M479" s="501"/>
      <c r="N479" s="500"/>
      <c r="O479" s="500"/>
      <c r="P479" s="500"/>
      <c r="Q479" s="502"/>
      <c r="R479" s="503"/>
      <c r="S479" s="504"/>
      <c r="T479" s="505"/>
      <c r="U479" s="500"/>
      <c r="V479" s="500" t="str">
        <f t="shared" si="91"/>
        <v>Commercial Showerhead Replacement_Fitness Center_precondition 1_90 to 1_99 gpm_efficient 2_00 gpm_Retail_Gas Water Heating</v>
      </c>
      <c r="W479" s="506" t="s">
        <v>604</v>
      </c>
      <c r="X479" s="502">
        <f t="shared" si="92"/>
        <v>36.115485188772475</v>
      </c>
      <c r="Y479" s="500">
        <v>10</v>
      </c>
      <c r="Z479" s="507">
        <v>0</v>
      </c>
      <c r="AA479" s="500"/>
      <c r="AB479" s="506" t="s">
        <v>605</v>
      </c>
      <c r="AC479" s="505">
        <v>0</v>
      </c>
      <c r="AD479" s="500"/>
      <c r="AE479" s="500"/>
      <c r="AF479" s="500"/>
      <c r="AG479" s="500"/>
      <c r="AH479" s="500"/>
      <c r="AI479" s="500"/>
      <c r="AJ479" s="500">
        <v>0</v>
      </c>
      <c r="AK479" s="506" t="s">
        <v>605</v>
      </c>
    </row>
    <row r="480" spans="6:37">
      <c r="F480" s="500" t="str">
        <f t="shared" si="94"/>
        <v>Fitness Center</v>
      </c>
      <c r="G480" s="500" t="str">
        <f t="shared" si="94"/>
        <v>1_90 to 1_99 gpm</v>
      </c>
      <c r="H480" s="500" t="str">
        <f t="shared" si="94"/>
        <v>Retail</v>
      </c>
      <c r="I480" s="500" t="str">
        <f t="shared" si="94"/>
        <v>2_00</v>
      </c>
      <c r="J480" s="500" t="str">
        <f t="shared" si="94"/>
        <v>Any Water Heating</v>
      </c>
      <c r="K480" s="500" t="str">
        <f t="shared" si="90"/>
        <v>Commercial Showerhead Replacement_Fitness Center_precondition 1_90 to 1_99 gpm_efficient 2_00 gpm_Retail_Any Water Heating - Embedded Water Energy</v>
      </c>
      <c r="L480" s="500"/>
      <c r="M480" s="501"/>
      <c r="N480" s="500"/>
      <c r="O480" s="500"/>
      <c r="P480" s="500"/>
      <c r="Q480" s="502"/>
      <c r="R480" s="503"/>
      <c r="S480" s="504"/>
      <c r="T480" s="505"/>
      <c r="U480" s="500"/>
      <c r="V480" s="500" t="str">
        <f t="shared" si="91"/>
        <v>Commercial Showerhead Replacement_Fitness Center_precondition 1_90 to 1_99 gpm_efficient 2_00 gpm_Retail_Any Water Heating</v>
      </c>
      <c r="W480" s="506" t="s">
        <v>604</v>
      </c>
      <c r="X480" s="502">
        <f t="shared" si="92"/>
        <v>36.115485188772475</v>
      </c>
      <c r="Y480" s="500">
        <v>10</v>
      </c>
      <c r="Z480" s="507">
        <v>0</v>
      </c>
      <c r="AA480" s="500"/>
      <c r="AB480" s="506" t="s">
        <v>605</v>
      </c>
      <c r="AC480" s="505">
        <v>0</v>
      </c>
      <c r="AD480" s="500"/>
      <c r="AE480" s="500"/>
      <c r="AF480" s="500"/>
      <c r="AG480" s="500"/>
      <c r="AH480" s="500"/>
      <c r="AI480" s="500"/>
      <c r="AJ480" s="500">
        <v>0</v>
      </c>
      <c r="AK480" s="506" t="s">
        <v>605</v>
      </c>
    </row>
    <row r="481" spans="6:37">
      <c r="F481" s="500" t="str">
        <f t="shared" si="94"/>
        <v>Fitness Center</v>
      </c>
      <c r="G481" s="500" t="str">
        <f t="shared" si="94"/>
        <v>1_90 to 1_99 gpm</v>
      </c>
      <c r="H481" s="500" t="str">
        <f t="shared" si="94"/>
        <v>Retail</v>
      </c>
      <c r="I481" s="500" t="str">
        <f t="shared" si="94"/>
        <v>1_75</v>
      </c>
      <c r="J481" s="500" t="str">
        <f t="shared" si="94"/>
        <v>Electric Water Heating</v>
      </c>
      <c r="K481" s="500" t="str">
        <f t="shared" si="90"/>
        <v>Commercial Showerhead Replacement_Fitness Center_precondition 1_90 to 1_99 gpm_efficient 1_75 gpm_Retail_Electric Water Heating - Embedded Water Energy</v>
      </c>
      <c r="L481" s="500"/>
      <c r="M481" s="501"/>
      <c r="N481" s="500"/>
      <c r="O481" s="500"/>
      <c r="P481" s="500"/>
      <c r="Q481" s="502"/>
      <c r="R481" s="503"/>
      <c r="S481" s="504"/>
      <c r="T481" s="505"/>
      <c r="U481" s="500"/>
      <c r="V481" s="500" t="str">
        <f t="shared" si="91"/>
        <v>Commercial Showerhead Replacement_Fitness Center_precondition 1_90 to 1_99 gpm_efficient 1_75 gpm_Retail_Electric Water Heating</v>
      </c>
      <c r="W481" s="506" t="s">
        <v>604</v>
      </c>
      <c r="X481" s="502">
        <f t="shared" si="92"/>
        <v>45.144356485965588</v>
      </c>
      <c r="Y481" s="500">
        <v>10</v>
      </c>
      <c r="Z481" s="507">
        <v>0</v>
      </c>
      <c r="AA481" s="500"/>
      <c r="AB481" s="506" t="s">
        <v>605</v>
      </c>
      <c r="AC481" s="505">
        <v>0</v>
      </c>
      <c r="AD481" s="500"/>
      <c r="AE481" s="500"/>
      <c r="AF481" s="500"/>
      <c r="AG481" s="500"/>
      <c r="AH481" s="500"/>
      <c r="AI481" s="500"/>
      <c r="AJ481" s="500">
        <v>0</v>
      </c>
      <c r="AK481" s="506" t="s">
        <v>605</v>
      </c>
    </row>
    <row r="482" spans="6:37">
      <c r="F482" s="500" t="str">
        <f t="shared" si="94"/>
        <v>Fitness Center</v>
      </c>
      <c r="G482" s="500" t="str">
        <f t="shared" si="94"/>
        <v>1_90 to 1_99 gpm</v>
      </c>
      <c r="H482" s="500" t="str">
        <f t="shared" si="94"/>
        <v>Retail</v>
      </c>
      <c r="I482" s="500" t="str">
        <f t="shared" si="94"/>
        <v>1_75</v>
      </c>
      <c r="J482" s="500" t="str">
        <f t="shared" si="94"/>
        <v>Gas Water Heating</v>
      </c>
      <c r="K482" s="500" t="str">
        <f t="shared" si="90"/>
        <v>Commercial Showerhead Replacement_Fitness Center_precondition 1_90 to 1_99 gpm_efficient 1_75 gpm_Retail_Gas Water Heating - Embedded Water Energy</v>
      </c>
      <c r="L482" s="500"/>
      <c r="M482" s="501"/>
      <c r="N482" s="500"/>
      <c r="O482" s="500"/>
      <c r="P482" s="500"/>
      <c r="Q482" s="502"/>
      <c r="R482" s="503"/>
      <c r="S482" s="504"/>
      <c r="T482" s="505"/>
      <c r="U482" s="500"/>
      <c r="V482" s="500" t="str">
        <f t="shared" si="91"/>
        <v>Commercial Showerhead Replacement_Fitness Center_precondition 1_90 to 1_99 gpm_efficient 1_75 gpm_Retail_Gas Water Heating</v>
      </c>
      <c r="W482" s="506" t="s">
        <v>604</v>
      </c>
      <c r="X482" s="502">
        <f t="shared" si="92"/>
        <v>45.144356485965588</v>
      </c>
      <c r="Y482" s="500">
        <v>10</v>
      </c>
      <c r="Z482" s="507">
        <v>0</v>
      </c>
      <c r="AA482" s="500"/>
      <c r="AB482" s="506" t="s">
        <v>605</v>
      </c>
      <c r="AC482" s="505">
        <v>0</v>
      </c>
      <c r="AD482" s="500"/>
      <c r="AE482" s="500"/>
      <c r="AF482" s="500"/>
      <c r="AG482" s="500"/>
      <c r="AH482" s="500"/>
      <c r="AI482" s="500"/>
      <c r="AJ482" s="500">
        <v>0</v>
      </c>
      <c r="AK482" s="506" t="s">
        <v>605</v>
      </c>
    </row>
    <row r="483" spans="6:37">
      <c r="F483" s="500" t="str">
        <f t="shared" si="94"/>
        <v>Fitness Center</v>
      </c>
      <c r="G483" s="500" t="str">
        <f t="shared" si="94"/>
        <v>1_90 to 1_99 gpm</v>
      </c>
      <c r="H483" s="500" t="str">
        <f t="shared" si="94"/>
        <v>Retail</v>
      </c>
      <c r="I483" s="500" t="str">
        <f t="shared" si="94"/>
        <v>1_75</v>
      </c>
      <c r="J483" s="500" t="str">
        <f t="shared" si="94"/>
        <v>Any Water Heating</v>
      </c>
      <c r="K483" s="500" t="str">
        <f t="shared" si="90"/>
        <v>Commercial Showerhead Replacement_Fitness Center_precondition 1_90 to 1_99 gpm_efficient 1_75 gpm_Retail_Any Water Heating - Embedded Water Energy</v>
      </c>
      <c r="L483" s="500"/>
      <c r="M483" s="501"/>
      <c r="N483" s="500"/>
      <c r="O483" s="500"/>
      <c r="P483" s="500"/>
      <c r="Q483" s="502"/>
      <c r="R483" s="503"/>
      <c r="S483" s="504"/>
      <c r="T483" s="505"/>
      <c r="U483" s="500"/>
      <c r="V483" s="500" t="str">
        <f t="shared" si="91"/>
        <v>Commercial Showerhead Replacement_Fitness Center_precondition 1_90 to 1_99 gpm_efficient 1_75 gpm_Retail_Any Water Heating</v>
      </c>
      <c r="W483" s="506" t="s">
        <v>604</v>
      </c>
      <c r="X483" s="502">
        <f t="shared" si="92"/>
        <v>45.144356485965588</v>
      </c>
      <c r="Y483" s="500">
        <v>10</v>
      </c>
      <c r="Z483" s="507">
        <v>0</v>
      </c>
      <c r="AA483" s="500"/>
      <c r="AB483" s="506" t="s">
        <v>605</v>
      </c>
      <c r="AC483" s="505">
        <v>0</v>
      </c>
      <c r="AD483" s="500"/>
      <c r="AE483" s="500"/>
      <c r="AF483" s="500"/>
      <c r="AG483" s="500"/>
      <c r="AH483" s="500"/>
      <c r="AI483" s="500"/>
      <c r="AJ483" s="500">
        <v>0</v>
      </c>
      <c r="AK483" s="506" t="s">
        <v>605</v>
      </c>
    </row>
    <row r="484" spans="6:37">
      <c r="F484" s="500" t="str">
        <f t="shared" si="94"/>
        <v>Fitness Center</v>
      </c>
      <c r="G484" s="500" t="str">
        <f t="shared" si="94"/>
        <v>1_90 to 1_99 gpm</v>
      </c>
      <c r="H484" s="500" t="str">
        <f t="shared" si="94"/>
        <v>Retail</v>
      </c>
      <c r="I484" s="500" t="str">
        <f t="shared" si="94"/>
        <v>1_50</v>
      </c>
      <c r="J484" s="500" t="str">
        <f t="shared" si="94"/>
        <v>Electric Water Heating</v>
      </c>
      <c r="K484" s="500" t="str">
        <f t="shared" si="90"/>
        <v>Commercial Showerhead Replacement_Fitness Center_precondition 1_90 to 1_99 gpm_efficient 1_50 gpm_Retail_Electric Water Heating - Embedded Water Energy</v>
      </c>
      <c r="L484" s="500"/>
      <c r="M484" s="501"/>
      <c r="N484" s="500"/>
      <c r="O484" s="500"/>
      <c r="P484" s="500"/>
      <c r="Q484" s="502"/>
      <c r="R484" s="503"/>
      <c r="S484" s="504"/>
      <c r="T484" s="505"/>
      <c r="U484" s="500"/>
      <c r="V484" s="500" t="str">
        <f t="shared" si="91"/>
        <v>Commercial Showerhead Replacement_Fitness Center_precondition 1_90 to 1_99 gpm_efficient 1_50 gpm_Retail_Electric Water Heating</v>
      </c>
      <c r="W484" s="506" t="s">
        <v>604</v>
      </c>
      <c r="X484" s="502">
        <f t="shared" si="92"/>
        <v>94.803148620527793</v>
      </c>
      <c r="Y484" s="500">
        <v>10</v>
      </c>
      <c r="Z484" s="507">
        <v>0</v>
      </c>
      <c r="AA484" s="500"/>
      <c r="AB484" s="506" t="s">
        <v>605</v>
      </c>
      <c r="AC484" s="505">
        <v>0</v>
      </c>
      <c r="AD484" s="500"/>
      <c r="AE484" s="500"/>
      <c r="AF484" s="500"/>
      <c r="AG484" s="500"/>
      <c r="AH484" s="500"/>
      <c r="AI484" s="500"/>
      <c r="AJ484" s="500">
        <v>0</v>
      </c>
      <c r="AK484" s="506" t="s">
        <v>605</v>
      </c>
    </row>
    <row r="485" spans="6:37">
      <c r="F485" s="500" t="str">
        <f t="shared" si="94"/>
        <v>Fitness Center</v>
      </c>
      <c r="G485" s="500" t="str">
        <f t="shared" si="94"/>
        <v>1_90 to 1_99 gpm</v>
      </c>
      <c r="H485" s="500" t="str">
        <f t="shared" si="94"/>
        <v>Retail</v>
      </c>
      <c r="I485" s="500" t="str">
        <f t="shared" si="94"/>
        <v>1_50</v>
      </c>
      <c r="J485" s="500" t="str">
        <f t="shared" si="94"/>
        <v>Gas Water Heating</v>
      </c>
      <c r="K485" s="500" t="str">
        <f t="shared" si="90"/>
        <v>Commercial Showerhead Replacement_Fitness Center_precondition 1_90 to 1_99 gpm_efficient 1_50 gpm_Retail_Gas Water Heating - Embedded Water Energy</v>
      </c>
      <c r="L485" s="500"/>
      <c r="M485" s="501"/>
      <c r="N485" s="500"/>
      <c r="O485" s="500"/>
      <c r="P485" s="500"/>
      <c r="Q485" s="502"/>
      <c r="R485" s="503"/>
      <c r="S485" s="504"/>
      <c r="T485" s="505"/>
      <c r="U485" s="500"/>
      <c r="V485" s="500" t="str">
        <f t="shared" si="91"/>
        <v>Commercial Showerhead Replacement_Fitness Center_precondition 1_90 to 1_99 gpm_efficient 1_50 gpm_Retail_Gas Water Heating</v>
      </c>
      <c r="W485" s="506" t="s">
        <v>604</v>
      </c>
      <c r="X485" s="502">
        <f t="shared" si="92"/>
        <v>94.803148620527793</v>
      </c>
      <c r="Y485" s="500">
        <v>10</v>
      </c>
      <c r="Z485" s="507">
        <v>0</v>
      </c>
      <c r="AA485" s="500"/>
      <c r="AB485" s="506" t="s">
        <v>605</v>
      </c>
      <c r="AC485" s="505">
        <v>0</v>
      </c>
      <c r="AD485" s="500"/>
      <c r="AE485" s="500"/>
      <c r="AF485" s="500"/>
      <c r="AG485" s="500"/>
      <c r="AH485" s="500"/>
      <c r="AI485" s="500"/>
      <c r="AJ485" s="500">
        <v>0</v>
      </c>
      <c r="AK485" s="506" t="s">
        <v>605</v>
      </c>
    </row>
    <row r="486" spans="6:37">
      <c r="F486" s="500" t="str">
        <f t="shared" si="94"/>
        <v>Fitness Center</v>
      </c>
      <c r="G486" s="500" t="str">
        <f t="shared" si="94"/>
        <v>1_90 to 1_99 gpm</v>
      </c>
      <c r="H486" s="500" t="str">
        <f t="shared" si="94"/>
        <v>Retail</v>
      </c>
      <c r="I486" s="500" t="str">
        <f t="shared" si="94"/>
        <v>1_50</v>
      </c>
      <c r="J486" s="500" t="str">
        <f t="shared" si="94"/>
        <v>Any Water Heating</v>
      </c>
      <c r="K486" s="500" t="str">
        <f t="shared" si="90"/>
        <v>Commercial Showerhead Replacement_Fitness Center_precondition 1_90 to 1_99 gpm_efficient 1_50 gpm_Retail_Any Water Heating - Embedded Water Energy</v>
      </c>
      <c r="L486" s="500"/>
      <c r="M486" s="501"/>
      <c r="N486" s="500"/>
      <c r="O486" s="500"/>
      <c r="P486" s="500"/>
      <c r="Q486" s="502"/>
      <c r="R486" s="503"/>
      <c r="S486" s="504"/>
      <c r="T486" s="505"/>
      <c r="U486" s="500"/>
      <c r="V486" s="500" t="str">
        <f t="shared" si="91"/>
        <v>Commercial Showerhead Replacement_Fitness Center_precondition 1_90 to 1_99 gpm_efficient 1_50 gpm_Retail_Any Water Heating</v>
      </c>
      <c r="W486" s="506" t="s">
        <v>604</v>
      </c>
      <c r="X486" s="502">
        <f t="shared" si="92"/>
        <v>94.803148620527793</v>
      </c>
      <c r="Y486" s="500">
        <v>10</v>
      </c>
      <c r="Z486" s="507">
        <v>0</v>
      </c>
      <c r="AA486" s="500"/>
      <c r="AB486" s="506" t="s">
        <v>605</v>
      </c>
      <c r="AC486" s="505">
        <v>0</v>
      </c>
      <c r="AD486" s="500"/>
      <c r="AE486" s="500"/>
      <c r="AF486" s="500"/>
      <c r="AG486" s="500"/>
      <c r="AH486" s="500"/>
      <c r="AI486" s="500"/>
      <c r="AJ486" s="500">
        <v>0</v>
      </c>
      <c r="AK486" s="506" t="s">
        <v>605</v>
      </c>
    </row>
    <row r="487" spans="6:37">
      <c r="F487" s="500" t="str">
        <f t="shared" si="94"/>
        <v>Fitness Center</v>
      </c>
      <c r="G487" s="500" t="str">
        <f t="shared" si="94"/>
        <v>1_90 to 1_99 gpm</v>
      </c>
      <c r="H487" s="500" t="str">
        <f t="shared" si="94"/>
        <v>Direct Install</v>
      </c>
      <c r="I487" s="500" t="str">
        <f t="shared" si="94"/>
        <v>2_00</v>
      </c>
      <c r="J487" s="500" t="str">
        <f t="shared" si="94"/>
        <v>Electric Water Heating</v>
      </c>
      <c r="K487" s="500" t="str">
        <f t="shared" si="90"/>
        <v>Commercial Showerhead Replacement_Fitness Center_precondition 1_90 to 1_99 gpm_efficient 2_00 gpm_Direct Install_Electric Water Heating - Embedded Water Energy</v>
      </c>
      <c r="L487" s="500"/>
      <c r="M487" s="501"/>
      <c r="N487" s="500"/>
      <c r="O487" s="500"/>
      <c r="P487" s="500"/>
      <c r="Q487" s="502"/>
      <c r="R487" s="503"/>
      <c r="S487" s="504"/>
      <c r="T487" s="505"/>
      <c r="U487" s="500"/>
      <c r="V487" s="500" t="str">
        <f t="shared" si="91"/>
        <v>Commercial Showerhead Replacement_Fitness Center_precondition 1_90 to 1_99 gpm_efficient 2_00 gpm_Direct Install_Electric Water Heating</v>
      </c>
      <c r="W487" s="506" t="s">
        <v>604</v>
      </c>
      <c r="X487" s="502">
        <f t="shared" si="92"/>
        <v>40.629920837369035</v>
      </c>
      <c r="Y487" s="500">
        <v>10</v>
      </c>
      <c r="Z487" s="507">
        <v>0</v>
      </c>
      <c r="AA487" s="500"/>
      <c r="AB487" s="506" t="s">
        <v>605</v>
      </c>
      <c r="AC487" s="505">
        <v>0</v>
      </c>
      <c r="AD487" s="500"/>
      <c r="AE487" s="500"/>
      <c r="AF487" s="500"/>
      <c r="AG487" s="500"/>
      <c r="AH487" s="500"/>
      <c r="AI487" s="500"/>
      <c r="AJ487" s="500">
        <v>0</v>
      </c>
      <c r="AK487" s="506" t="s">
        <v>605</v>
      </c>
    </row>
    <row r="488" spans="6:37">
      <c r="F488" s="500" t="str">
        <f t="shared" si="94"/>
        <v>Fitness Center</v>
      </c>
      <c r="G488" s="500" t="str">
        <f t="shared" si="94"/>
        <v>1_90 to 1_99 gpm</v>
      </c>
      <c r="H488" s="500" t="str">
        <f t="shared" si="94"/>
        <v>Direct Install</v>
      </c>
      <c r="I488" s="500" t="str">
        <f t="shared" si="94"/>
        <v>2_00</v>
      </c>
      <c r="J488" s="500" t="str">
        <f t="shared" si="94"/>
        <v>Gas Water Heating</v>
      </c>
      <c r="K488" s="500" t="str">
        <f t="shared" si="90"/>
        <v>Commercial Showerhead Replacement_Fitness Center_precondition 1_90 to 1_99 gpm_efficient 2_00 gpm_Direct Install_Gas Water Heating - Embedded Water Energy</v>
      </c>
      <c r="L488" s="500"/>
      <c r="M488" s="501"/>
      <c r="N488" s="500"/>
      <c r="O488" s="500"/>
      <c r="P488" s="500"/>
      <c r="Q488" s="502"/>
      <c r="R488" s="503"/>
      <c r="S488" s="504"/>
      <c r="T488" s="505"/>
      <c r="U488" s="500"/>
      <c r="V488" s="500" t="str">
        <f t="shared" si="91"/>
        <v>Commercial Showerhead Replacement_Fitness Center_precondition 1_90 to 1_99 gpm_efficient 2_00 gpm_Direct Install_Gas Water Heating</v>
      </c>
      <c r="W488" s="506" t="s">
        <v>604</v>
      </c>
      <c r="X488" s="502">
        <f t="shared" si="92"/>
        <v>40.629920837369035</v>
      </c>
      <c r="Y488" s="500">
        <v>10</v>
      </c>
      <c r="Z488" s="507">
        <v>0</v>
      </c>
      <c r="AA488" s="500"/>
      <c r="AB488" s="506" t="s">
        <v>605</v>
      </c>
      <c r="AC488" s="505">
        <v>0</v>
      </c>
      <c r="AD488" s="500"/>
      <c r="AE488" s="500"/>
      <c r="AF488" s="500"/>
      <c r="AG488" s="500"/>
      <c r="AH488" s="500"/>
      <c r="AI488" s="500"/>
      <c r="AJ488" s="500">
        <v>0</v>
      </c>
      <c r="AK488" s="506" t="s">
        <v>605</v>
      </c>
    </row>
    <row r="489" spans="6:37">
      <c r="F489" s="500" t="str">
        <f t="shared" si="94"/>
        <v>Fitness Center</v>
      </c>
      <c r="G489" s="500" t="str">
        <f t="shared" si="94"/>
        <v>1_90 to 1_99 gpm</v>
      </c>
      <c r="H489" s="500" t="str">
        <f t="shared" si="94"/>
        <v>Direct Install</v>
      </c>
      <c r="I489" s="500" t="str">
        <f t="shared" si="94"/>
        <v>2_00</v>
      </c>
      <c r="J489" s="500" t="str">
        <f t="shared" si="94"/>
        <v>Any Water Heating</v>
      </c>
      <c r="K489" s="500" t="str">
        <f t="shared" si="90"/>
        <v>Commercial Showerhead Replacement_Fitness Center_precondition 1_90 to 1_99 gpm_efficient 2_00 gpm_Direct Install_Any Water Heating - Embedded Water Energy</v>
      </c>
      <c r="L489" s="500"/>
      <c r="M489" s="501"/>
      <c r="N489" s="500"/>
      <c r="O489" s="500"/>
      <c r="P489" s="500"/>
      <c r="Q489" s="502"/>
      <c r="R489" s="503"/>
      <c r="S489" s="504"/>
      <c r="T489" s="505"/>
      <c r="U489" s="500"/>
      <c r="V489" s="500" t="str">
        <f t="shared" si="91"/>
        <v>Commercial Showerhead Replacement_Fitness Center_precondition 1_90 to 1_99 gpm_efficient 2_00 gpm_Direct Install_Any Water Heating</v>
      </c>
      <c r="W489" s="506" t="s">
        <v>604</v>
      </c>
      <c r="X489" s="502">
        <f t="shared" si="92"/>
        <v>40.629920837369035</v>
      </c>
      <c r="Y489" s="500">
        <v>10</v>
      </c>
      <c r="Z489" s="507">
        <v>0</v>
      </c>
      <c r="AA489" s="500"/>
      <c r="AB489" s="506" t="s">
        <v>605</v>
      </c>
      <c r="AC489" s="505">
        <v>0</v>
      </c>
      <c r="AD489" s="500"/>
      <c r="AE489" s="500"/>
      <c r="AF489" s="500"/>
      <c r="AG489" s="500"/>
      <c r="AH489" s="500"/>
      <c r="AI489" s="500"/>
      <c r="AJ489" s="500">
        <v>0</v>
      </c>
      <c r="AK489" s="506" t="s">
        <v>605</v>
      </c>
    </row>
    <row r="490" spans="6:37">
      <c r="F490" s="500" t="str">
        <f t="shared" si="94"/>
        <v>Fitness Center</v>
      </c>
      <c r="G490" s="500" t="str">
        <f t="shared" si="94"/>
        <v>1_90 to 1_99 gpm</v>
      </c>
      <c r="H490" s="500" t="str">
        <f t="shared" si="94"/>
        <v>Direct Install</v>
      </c>
      <c r="I490" s="500" t="str">
        <f t="shared" si="94"/>
        <v>1_75</v>
      </c>
      <c r="J490" s="500" t="str">
        <f t="shared" si="94"/>
        <v>Electric Water Heating</v>
      </c>
      <c r="K490" s="500" t="str">
        <f t="shared" si="90"/>
        <v>Commercial Showerhead Replacement_Fitness Center_precondition 1_90 to 1_99 gpm_efficient 1_75 gpm_Direct Install_Electric Water Heating - Embedded Water Energy</v>
      </c>
      <c r="L490" s="500"/>
      <c r="M490" s="501"/>
      <c r="N490" s="500"/>
      <c r="O490" s="500"/>
      <c r="P490" s="500"/>
      <c r="Q490" s="502"/>
      <c r="R490" s="503"/>
      <c r="S490" s="504"/>
      <c r="T490" s="505"/>
      <c r="U490" s="500"/>
      <c r="V490" s="500" t="str">
        <f t="shared" si="91"/>
        <v>Commercial Showerhead Replacement_Fitness Center_precondition 1_90 to 1_99 gpm_efficient 1_75 gpm_Direct Install_Electric Water Heating</v>
      </c>
      <c r="W490" s="506" t="s">
        <v>604</v>
      </c>
      <c r="X490" s="502">
        <f t="shared" si="92"/>
        <v>54.173227783158708</v>
      </c>
      <c r="Y490" s="500">
        <v>10</v>
      </c>
      <c r="Z490" s="507">
        <v>0</v>
      </c>
      <c r="AA490" s="500"/>
      <c r="AB490" s="506" t="s">
        <v>605</v>
      </c>
      <c r="AC490" s="505">
        <v>0</v>
      </c>
      <c r="AD490" s="500"/>
      <c r="AE490" s="500"/>
      <c r="AF490" s="500"/>
      <c r="AG490" s="500"/>
      <c r="AH490" s="500"/>
      <c r="AI490" s="500"/>
      <c r="AJ490" s="500">
        <v>0</v>
      </c>
      <c r="AK490" s="506" t="s">
        <v>605</v>
      </c>
    </row>
    <row r="491" spans="6:37">
      <c r="F491" s="500" t="str">
        <f t="shared" si="94"/>
        <v>Fitness Center</v>
      </c>
      <c r="G491" s="500" t="str">
        <f t="shared" si="94"/>
        <v>1_90 to 1_99 gpm</v>
      </c>
      <c r="H491" s="500" t="str">
        <f t="shared" si="94"/>
        <v>Direct Install</v>
      </c>
      <c r="I491" s="500" t="str">
        <f t="shared" si="94"/>
        <v>1_75</v>
      </c>
      <c r="J491" s="500" t="str">
        <f t="shared" si="94"/>
        <v>Gas Water Heating</v>
      </c>
      <c r="K491" s="500" t="str">
        <f t="shared" si="90"/>
        <v>Commercial Showerhead Replacement_Fitness Center_precondition 1_90 to 1_99 gpm_efficient 1_75 gpm_Direct Install_Gas Water Heating - Embedded Water Energy</v>
      </c>
      <c r="L491" s="500"/>
      <c r="M491" s="501"/>
      <c r="N491" s="500"/>
      <c r="O491" s="500"/>
      <c r="P491" s="500"/>
      <c r="Q491" s="502"/>
      <c r="R491" s="503"/>
      <c r="S491" s="504"/>
      <c r="T491" s="505"/>
      <c r="U491" s="500"/>
      <c r="V491" s="500" t="str">
        <f t="shared" si="91"/>
        <v>Commercial Showerhead Replacement_Fitness Center_precondition 1_90 to 1_99 gpm_efficient 1_75 gpm_Direct Install_Gas Water Heating</v>
      </c>
      <c r="W491" s="506" t="s">
        <v>604</v>
      </c>
      <c r="X491" s="502">
        <f t="shared" si="92"/>
        <v>54.173227783158708</v>
      </c>
      <c r="Y491" s="500">
        <v>10</v>
      </c>
      <c r="Z491" s="507">
        <v>0</v>
      </c>
      <c r="AA491" s="500"/>
      <c r="AB491" s="506" t="s">
        <v>605</v>
      </c>
      <c r="AC491" s="505">
        <v>0</v>
      </c>
      <c r="AD491" s="500"/>
      <c r="AE491" s="500"/>
      <c r="AF491" s="500"/>
      <c r="AG491" s="500"/>
      <c r="AH491" s="500"/>
      <c r="AI491" s="500"/>
      <c r="AJ491" s="500">
        <v>0</v>
      </c>
      <c r="AK491" s="506" t="s">
        <v>605</v>
      </c>
    </row>
    <row r="492" spans="6:37">
      <c r="F492" s="500" t="str">
        <f t="shared" ref="F492:J507" si="95">F195</f>
        <v>Fitness Center</v>
      </c>
      <c r="G492" s="500" t="str">
        <f t="shared" si="95"/>
        <v>1_90 to 1_99 gpm</v>
      </c>
      <c r="H492" s="500" t="str">
        <f t="shared" si="95"/>
        <v>Direct Install</v>
      </c>
      <c r="I492" s="500" t="str">
        <f t="shared" si="95"/>
        <v>1_75</v>
      </c>
      <c r="J492" s="500" t="str">
        <f t="shared" si="95"/>
        <v>Any Water Heating</v>
      </c>
      <c r="K492" s="500" t="str">
        <f t="shared" si="90"/>
        <v>Commercial Showerhead Replacement_Fitness Center_precondition 1_90 to 1_99 gpm_efficient 1_75 gpm_Direct Install_Any Water Heating - Embedded Water Energy</v>
      </c>
      <c r="L492" s="500"/>
      <c r="M492" s="501"/>
      <c r="N492" s="500"/>
      <c r="O492" s="500"/>
      <c r="P492" s="500"/>
      <c r="Q492" s="502"/>
      <c r="R492" s="503"/>
      <c r="S492" s="504"/>
      <c r="T492" s="505"/>
      <c r="U492" s="500"/>
      <c r="V492" s="500" t="str">
        <f t="shared" si="91"/>
        <v>Commercial Showerhead Replacement_Fitness Center_precondition 1_90 to 1_99 gpm_efficient 1_75 gpm_Direct Install_Any Water Heating</v>
      </c>
      <c r="W492" s="506" t="s">
        <v>604</v>
      </c>
      <c r="X492" s="502">
        <f t="shared" si="92"/>
        <v>54.173227783158708</v>
      </c>
      <c r="Y492" s="500">
        <v>10</v>
      </c>
      <c r="Z492" s="507">
        <v>0</v>
      </c>
      <c r="AA492" s="500"/>
      <c r="AB492" s="506" t="s">
        <v>605</v>
      </c>
      <c r="AC492" s="505">
        <v>0</v>
      </c>
      <c r="AD492" s="500"/>
      <c r="AE492" s="500"/>
      <c r="AF492" s="500"/>
      <c r="AG492" s="500"/>
      <c r="AH492" s="500"/>
      <c r="AI492" s="500"/>
      <c r="AJ492" s="500">
        <v>0</v>
      </c>
      <c r="AK492" s="506" t="s">
        <v>605</v>
      </c>
    </row>
    <row r="493" spans="6:37">
      <c r="F493" s="500" t="str">
        <f t="shared" si="95"/>
        <v>Fitness Center</v>
      </c>
      <c r="G493" s="500" t="str">
        <f t="shared" si="95"/>
        <v>1_90 to 1_99 gpm</v>
      </c>
      <c r="H493" s="500" t="str">
        <f t="shared" si="95"/>
        <v>Direct Install</v>
      </c>
      <c r="I493" s="500" t="str">
        <f t="shared" si="95"/>
        <v>1_50</v>
      </c>
      <c r="J493" s="500" t="str">
        <f t="shared" si="95"/>
        <v>Electric Water Heating</v>
      </c>
      <c r="K493" s="500" t="str">
        <f t="shared" si="90"/>
        <v>Commercial Showerhead Replacement_Fitness Center_precondition 1_90 to 1_99 gpm_efficient 1_50 gpm_Direct Install_Electric Water Heating - Embedded Water Energy</v>
      </c>
      <c r="L493" s="500"/>
      <c r="M493" s="501"/>
      <c r="N493" s="500"/>
      <c r="O493" s="500"/>
      <c r="P493" s="500"/>
      <c r="Q493" s="502"/>
      <c r="R493" s="503"/>
      <c r="S493" s="504"/>
      <c r="T493" s="505"/>
      <c r="U493" s="500"/>
      <c r="V493" s="500" t="str">
        <f t="shared" si="91"/>
        <v>Commercial Showerhead Replacement_Fitness Center_precondition 1_90 to 1_99 gpm_efficient 1_50 gpm_Direct Install_Electric Water Heating</v>
      </c>
      <c r="W493" s="506" t="s">
        <v>604</v>
      </c>
      <c r="X493" s="502">
        <f t="shared" si="92"/>
        <v>121.88976251210718</v>
      </c>
      <c r="Y493" s="500">
        <v>10</v>
      </c>
      <c r="Z493" s="507">
        <v>0</v>
      </c>
      <c r="AA493" s="500"/>
      <c r="AB493" s="506" t="s">
        <v>605</v>
      </c>
      <c r="AC493" s="505">
        <v>0</v>
      </c>
      <c r="AD493" s="500"/>
      <c r="AE493" s="500"/>
      <c r="AF493" s="500"/>
      <c r="AG493" s="500"/>
      <c r="AH493" s="500"/>
      <c r="AI493" s="500"/>
      <c r="AJ493" s="500">
        <v>0</v>
      </c>
      <c r="AK493" s="506" t="s">
        <v>605</v>
      </c>
    </row>
    <row r="494" spans="6:37">
      <c r="F494" s="500" t="str">
        <f t="shared" si="95"/>
        <v>Fitness Center</v>
      </c>
      <c r="G494" s="500" t="str">
        <f t="shared" si="95"/>
        <v>1_90 to 1_99 gpm</v>
      </c>
      <c r="H494" s="500" t="str">
        <f t="shared" si="95"/>
        <v>Direct Install</v>
      </c>
      <c r="I494" s="500" t="str">
        <f t="shared" si="95"/>
        <v>1_50</v>
      </c>
      <c r="J494" s="500" t="str">
        <f t="shared" si="95"/>
        <v>Gas Water Heating</v>
      </c>
      <c r="K494" s="500" t="str">
        <f t="shared" si="90"/>
        <v>Commercial Showerhead Replacement_Fitness Center_precondition 1_90 to 1_99 gpm_efficient 1_50 gpm_Direct Install_Gas Water Heating - Embedded Water Energy</v>
      </c>
      <c r="L494" s="500"/>
      <c r="M494" s="501"/>
      <c r="N494" s="500"/>
      <c r="O494" s="500"/>
      <c r="P494" s="500"/>
      <c r="Q494" s="502"/>
      <c r="R494" s="503"/>
      <c r="S494" s="504"/>
      <c r="T494" s="505"/>
      <c r="U494" s="500"/>
      <c r="V494" s="500" t="str">
        <f t="shared" si="91"/>
        <v>Commercial Showerhead Replacement_Fitness Center_precondition 1_90 to 1_99 gpm_efficient 1_50 gpm_Direct Install_Gas Water Heating</v>
      </c>
      <c r="W494" s="506" t="s">
        <v>604</v>
      </c>
      <c r="X494" s="502">
        <f t="shared" si="92"/>
        <v>121.88976251210718</v>
      </c>
      <c r="Y494" s="500">
        <v>10</v>
      </c>
      <c r="Z494" s="507">
        <v>0</v>
      </c>
      <c r="AA494" s="500"/>
      <c r="AB494" s="506" t="s">
        <v>605</v>
      </c>
      <c r="AC494" s="505">
        <v>0</v>
      </c>
      <c r="AD494" s="500"/>
      <c r="AE494" s="500"/>
      <c r="AF494" s="500"/>
      <c r="AG494" s="500"/>
      <c r="AH494" s="500"/>
      <c r="AI494" s="500"/>
      <c r="AJ494" s="500">
        <v>0</v>
      </c>
      <c r="AK494" s="506" t="s">
        <v>605</v>
      </c>
    </row>
    <row r="495" spans="6:37">
      <c r="F495" s="500" t="str">
        <f t="shared" si="95"/>
        <v>Fitness Center</v>
      </c>
      <c r="G495" s="500" t="str">
        <f t="shared" si="95"/>
        <v>1_90 to 1_99 gpm</v>
      </c>
      <c r="H495" s="500" t="str">
        <f t="shared" si="95"/>
        <v>Direct Install</v>
      </c>
      <c r="I495" s="500" t="str">
        <f t="shared" si="95"/>
        <v>1_50</v>
      </c>
      <c r="J495" s="500" t="str">
        <f t="shared" si="95"/>
        <v>Any Water Heating</v>
      </c>
      <c r="K495" s="500" t="str">
        <f t="shared" si="90"/>
        <v>Commercial Showerhead Replacement_Fitness Center_precondition 1_90 to 1_99 gpm_efficient 1_50 gpm_Direct Install_Any Water Heating - Embedded Water Energy</v>
      </c>
      <c r="L495" s="500"/>
      <c r="M495" s="501"/>
      <c r="N495" s="500"/>
      <c r="O495" s="500"/>
      <c r="P495" s="500"/>
      <c r="Q495" s="502"/>
      <c r="R495" s="503"/>
      <c r="S495" s="504"/>
      <c r="T495" s="505"/>
      <c r="U495" s="500"/>
      <c r="V495" s="500" t="str">
        <f t="shared" si="91"/>
        <v>Commercial Showerhead Replacement_Fitness Center_precondition 1_90 to 1_99 gpm_efficient 1_50 gpm_Direct Install_Any Water Heating</v>
      </c>
      <c r="W495" s="506" t="s">
        <v>604</v>
      </c>
      <c r="X495" s="502">
        <f t="shared" si="92"/>
        <v>121.88976251210718</v>
      </c>
      <c r="Y495" s="500">
        <v>10</v>
      </c>
      <c r="Z495" s="507">
        <v>0</v>
      </c>
      <c r="AA495" s="500"/>
      <c r="AB495" s="506" t="s">
        <v>605</v>
      </c>
      <c r="AC495" s="505">
        <v>0</v>
      </c>
      <c r="AD495" s="500"/>
      <c r="AE495" s="500"/>
      <c r="AF495" s="500"/>
      <c r="AG495" s="500"/>
      <c r="AH495" s="500"/>
      <c r="AI495" s="500"/>
      <c r="AJ495" s="500">
        <v>0</v>
      </c>
      <c r="AK495" s="506" t="s">
        <v>605</v>
      </c>
    </row>
    <row r="496" spans="6:37">
      <c r="F496" s="500" t="str">
        <f t="shared" si="95"/>
        <v>Fitness Center</v>
      </c>
      <c r="G496" s="500" t="str">
        <f t="shared" si="95"/>
        <v>1_90 to 1_99 gpm</v>
      </c>
      <c r="H496" s="500" t="str">
        <f t="shared" si="95"/>
        <v>Mail-by-Request</v>
      </c>
      <c r="I496" s="500" t="str">
        <f t="shared" si="95"/>
        <v>2_00</v>
      </c>
      <c r="J496" s="500" t="str">
        <f t="shared" si="95"/>
        <v>Electric Water Heating</v>
      </c>
      <c r="K496" s="500" t="str">
        <f t="shared" si="90"/>
        <v>Commercial Showerhead Replacement_Fitness Center_precondition 1_90 to 1_99 gpm_efficient 2_00 gpm_Mail-by-Request_Electric Water Heating - Embedded Water Energy</v>
      </c>
      <c r="L496" s="500"/>
      <c r="M496" s="501"/>
      <c r="N496" s="500"/>
      <c r="O496" s="500"/>
      <c r="P496" s="500"/>
      <c r="Q496" s="502"/>
      <c r="R496" s="503"/>
      <c r="S496" s="504"/>
      <c r="T496" s="505"/>
      <c r="U496" s="500"/>
      <c r="V496" s="500" t="str">
        <f t="shared" si="91"/>
        <v>Commercial Showerhead Replacement_Fitness Center_precondition 1_90 to 1_99 gpm_efficient 2_00 gpm_Mail-by-Request_Electric Water Heating</v>
      </c>
      <c r="W496" s="506" t="s">
        <v>604</v>
      </c>
      <c r="X496" s="502">
        <f t="shared" si="92"/>
        <v>27.086613891579358</v>
      </c>
      <c r="Y496" s="500">
        <v>10</v>
      </c>
      <c r="Z496" s="507">
        <v>0</v>
      </c>
      <c r="AA496" s="500"/>
      <c r="AB496" s="506" t="s">
        <v>605</v>
      </c>
      <c r="AC496" s="505">
        <v>0</v>
      </c>
      <c r="AD496" s="500"/>
      <c r="AE496" s="500"/>
      <c r="AF496" s="500"/>
      <c r="AG496" s="500"/>
      <c r="AH496" s="500"/>
      <c r="AI496" s="500"/>
      <c r="AJ496" s="500">
        <v>0</v>
      </c>
      <c r="AK496" s="506" t="s">
        <v>605</v>
      </c>
    </row>
    <row r="497" spans="6:37">
      <c r="F497" s="500" t="str">
        <f t="shared" si="95"/>
        <v>Fitness Center</v>
      </c>
      <c r="G497" s="500" t="str">
        <f t="shared" si="95"/>
        <v>1_90 to 1_99 gpm</v>
      </c>
      <c r="H497" s="500" t="str">
        <f t="shared" si="95"/>
        <v>Mail-by-Request</v>
      </c>
      <c r="I497" s="500" t="str">
        <f t="shared" si="95"/>
        <v>2_00</v>
      </c>
      <c r="J497" s="500" t="str">
        <f t="shared" si="95"/>
        <v>Gas Water Heating</v>
      </c>
      <c r="K497" s="500" t="str">
        <f t="shared" si="90"/>
        <v>Commercial Showerhead Replacement_Fitness Center_precondition 1_90 to 1_99 gpm_efficient 2_00 gpm_Mail-by-Request_Gas Water Heating - Embedded Water Energy</v>
      </c>
      <c r="L497" s="500"/>
      <c r="M497" s="501"/>
      <c r="N497" s="500"/>
      <c r="O497" s="500"/>
      <c r="P497" s="500"/>
      <c r="Q497" s="502"/>
      <c r="R497" s="503"/>
      <c r="S497" s="504"/>
      <c r="T497" s="505"/>
      <c r="U497" s="500"/>
      <c r="V497" s="500" t="str">
        <f t="shared" si="91"/>
        <v>Commercial Showerhead Replacement_Fitness Center_precondition 1_90 to 1_99 gpm_efficient 2_00 gpm_Mail-by-Request_Gas Water Heating</v>
      </c>
      <c r="W497" s="506" t="s">
        <v>604</v>
      </c>
      <c r="X497" s="502">
        <f t="shared" si="92"/>
        <v>27.086613891579358</v>
      </c>
      <c r="Y497" s="500">
        <v>10</v>
      </c>
      <c r="Z497" s="507">
        <v>0</v>
      </c>
      <c r="AA497" s="500"/>
      <c r="AB497" s="506" t="s">
        <v>605</v>
      </c>
      <c r="AC497" s="505">
        <v>0</v>
      </c>
      <c r="AD497" s="500"/>
      <c r="AE497" s="500"/>
      <c r="AF497" s="500"/>
      <c r="AG497" s="500"/>
      <c r="AH497" s="500"/>
      <c r="AI497" s="500"/>
      <c r="AJ497" s="500">
        <v>0</v>
      </c>
      <c r="AK497" s="506" t="s">
        <v>605</v>
      </c>
    </row>
    <row r="498" spans="6:37">
      <c r="F498" s="500" t="str">
        <f t="shared" si="95"/>
        <v>Fitness Center</v>
      </c>
      <c r="G498" s="500" t="str">
        <f t="shared" si="95"/>
        <v>1_90 to 1_99 gpm</v>
      </c>
      <c r="H498" s="500" t="str">
        <f t="shared" si="95"/>
        <v>Mail-by-Request</v>
      </c>
      <c r="I498" s="500" t="str">
        <f t="shared" si="95"/>
        <v>2_00</v>
      </c>
      <c r="J498" s="500" t="str">
        <f t="shared" si="95"/>
        <v>Any Water Heating</v>
      </c>
      <c r="K498" s="500" t="str">
        <f t="shared" si="90"/>
        <v>Commercial Showerhead Replacement_Fitness Center_precondition 1_90 to 1_99 gpm_efficient 2_00 gpm_Mail-by-Request_Any Water Heating - Embedded Water Energy</v>
      </c>
      <c r="L498" s="500"/>
      <c r="M498" s="501"/>
      <c r="N498" s="500"/>
      <c r="O498" s="500"/>
      <c r="P498" s="500"/>
      <c r="Q498" s="502"/>
      <c r="R498" s="503"/>
      <c r="S498" s="504"/>
      <c r="T498" s="505"/>
      <c r="U498" s="500"/>
      <c r="V498" s="500" t="str">
        <f t="shared" si="91"/>
        <v>Commercial Showerhead Replacement_Fitness Center_precondition 1_90 to 1_99 gpm_efficient 2_00 gpm_Mail-by-Request_Any Water Heating</v>
      </c>
      <c r="W498" s="506" t="s">
        <v>604</v>
      </c>
      <c r="X498" s="502">
        <f t="shared" si="92"/>
        <v>27.086613891579358</v>
      </c>
      <c r="Y498" s="500">
        <v>10</v>
      </c>
      <c r="Z498" s="507">
        <v>0</v>
      </c>
      <c r="AA498" s="500"/>
      <c r="AB498" s="506" t="s">
        <v>605</v>
      </c>
      <c r="AC498" s="505">
        <v>0</v>
      </c>
      <c r="AD498" s="500"/>
      <c r="AE498" s="500"/>
      <c r="AF498" s="500"/>
      <c r="AG498" s="500"/>
      <c r="AH498" s="500"/>
      <c r="AI498" s="500"/>
      <c r="AJ498" s="500">
        <v>0</v>
      </c>
      <c r="AK498" s="506" t="s">
        <v>605</v>
      </c>
    </row>
    <row r="499" spans="6:37">
      <c r="F499" s="500" t="str">
        <f t="shared" si="95"/>
        <v>Fitness Center</v>
      </c>
      <c r="G499" s="500" t="str">
        <f t="shared" si="95"/>
        <v>1_90 to 1_99 gpm</v>
      </c>
      <c r="H499" s="500" t="str">
        <f t="shared" si="95"/>
        <v>Mail-by-Request</v>
      </c>
      <c r="I499" s="500" t="str">
        <f t="shared" si="95"/>
        <v>1_75</v>
      </c>
      <c r="J499" s="500" t="str">
        <f t="shared" si="95"/>
        <v>Electric Water Heating</v>
      </c>
      <c r="K499" s="500" t="str">
        <f t="shared" si="90"/>
        <v>Commercial Showerhead Replacement_Fitness Center_precondition 1_90 to 1_99 gpm_efficient 1_75 gpm_Mail-by-Request_Electric Water Heating - Embedded Water Energy</v>
      </c>
      <c r="L499" s="500"/>
      <c r="M499" s="501"/>
      <c r="N499" s="500"/>
      <c r="O499" s="500"/>
      <c r="P499" s="500"/>
      <c r="Q499" s="502"/>
      <c r="R499" s="503"/>
      <c r="S499" s="504"/>
      <c r="T499" s="505"/>
      <c r="U499" s="500"/>
      <c r="V499" s="500" t="str">
        <f t="shared" si="91"/>
        <v>Commercial Showerhead Replacement_Fitness Center_precondition 1_90 to 1_99 gpm_efficient 1_75 gpm_Mail-by-Request_Electric Water Heating</v>
      </c>
      <c r="W499" s="506" t="s">
        <v>604</v>
      </c>
      <c r="X499" s="502">
        <f t="shared" si="92"/>
        <v>36.115485188772467</v>
      </c>
      <c r="Y499" s="500">
        <v>10</v>
      </c>
      <c r="Z499" s="507">
        <v>0</v>
      </c>
      <c r="AA499" s="500"/>
      <c r="AB499" s="506" t="s">
        <v>605</v>
      </c>
      <c r="AC499" s="505">
        <v>0</v>
      </c>
      <c r="AD499" s="500"/>
      <c r="AE499" s="500"/>
      <c r="AF499" s="500"/>
      <c r="AG499" s="500"/>
      <c r="AH499" s="500"/>
      <c r="AI499" s="500"/>
      <c r="AJ499" s="500">
        <v>0</v>
      </c>
      <c r="AK499" s="506" t="s">
        <v>605</v>
      </c>
    </row>
    <row r="500" spans="6:37">
      <c r="F500" s="500" t="str">
        <f t="shared" si="95"/>
        <v>Fitness Center</v>
      </c>
      <c r="G500" s="500" t="str">
        <f t="shared" si="95"/>
        <v>1_90 to 1_99 gpm</v>
      </c>
      <c r="H500" s="500" t="str">
        <f t="shared" si="95"/>
        <v>Mail-by-Request</v>
      </c>
      <c r="I500" s="500" t="str">
        <f t="shared" si="95"/>
        <v>1_75</v>
      </c>
      <c r="J500" s="500" t="str">
        <f t="shared" si="95"/>
        <v>Gas Water Heating</v>
      </c>
      <c r="K500" s="500" t="str">
        <f t="shared" si="90"/>
        <v>Commercial Showerhead Replacement_Fitness Center_precondition 1_90 to 1_99 gpm_efficient 1_75 gpm_Mail-by-Request_Gas Water Heating - Embedded Water Energy</v>
      </c>
      <c r="L500" s="500"/>
      <c r="M500" s="501"/>
      <c r="N500" s="500"/>
      <c r="O500" s="500"/>
      <c r="P500" s="500"/>
      <c r="Q500" s="502"/>
      <c r="R500" s="503"/>
      <c r="S500" s="504"/>
      <c r="T500" s="505"/>
      <c r="U500" s="500"/>
      <c r="V500" s="500" t="str">
        <f t="shared" si="91"/>
        <v>Commercial Showerhead Replacement_Fitness Center_precondition 1_90 to 1_99 gpm_efficient 1_75 gpm_Mail-by-Request_Gas Water Heating</v>
      </c>
      <c r="W500" s="506" t="s">
        <v>604</v>
      </c>
      <c r="X500" s="502">
        <f t="shared" si="92"/>
        <v>36.115485188772467</v>
      </c>
      <c r="Y500" s="500">
        <v>10</v>
      </c>
      <c r="Z500" s="507">
        <v>0</v>
      </c>
      <c r="AA500" s="500"/>
      <c r="AB500" s="506" t="s">
        <v>605</v>
      </c>
      <c r="AC500" s="505">
        <v>0</v>
      </c>
      <c r="AD500" s="500"/>
      <c r="AE500" s="500"/>
      <c r="AF500" s="500"/>
      <c r="AG500" s="500"/>
      <c r="AH500" s="500"/>
      <c r="AI500" s="500"/>
      <c r="AJ500" s="500">
        <v>0</v>
      </c>
      <c r="AK500" s="506" t="s">
        <v>605</v>
      </c>
    </row>
    <row r="501" spans="6:37">
      <c r="F501" s="500" t="str">
        <f t="shared" si="95"/>
        <v>Fitness Center</v>
      </c>
      <c r="G501" s="500" t="str">
        <f t="shared" si="95"/>
        <v>1_90 to 1_99 gpm</v>
      </c>
      <c r="H501" s="500" t="str">
        <f t="shared" si="95"/>
        <v>Mail-by-Request</v>
      </c>
      <c r="I501" s="500" t="str">
        <f t="shared" si="95"/>
        <v>1_75</v>
      </c>
      <c r="J501" s="500" t="str">
        <f t="shared" si="95"/>
        <v>Any Water Heating</v>
      </c>
      <c r="K501" s="500" t="str">
        <f t="shared" si="90"/>
        <v>Commercial Showerhead Replacement_Fitness Center_precondition 1_90 to 1_99 gpm_efficient 1_75 gpm_Mail-by-Request_Any Water Heating - Embedded Water Energy</v>
      </c>
      <c r="L501" s="500"/>
      <c r="M501" s="501"/>
      <c r="N501" s="500"/>
      <c r="O501" s="500"/>
      <c r="P501" s="500"/>
      <c r="Q501" s="502"/>
      <c r="R501" s="503"/>
      <c r="S501" s="504"/>
      <c r="T501" s="505"/>
      <c r="U501" s="500"/>
      <c r="V501" s="500" t="str">
        <f t="shared" si="91"/>
        <v>Commercial Showerhead Replacement_Fitness Center_precondition 1_90 to 1_99 gpm_efficient 1_75 gpm_Mail-by-Request_Any Water Heating</v>
      </c>
      <c r="W501" s="506" t="s">
        <v>604</v>
      </c>
      <c r="X501" s="502">
        <f t="shared" si="92"/>
        <v>36.115485188772467</v>
      </c>
      <c r="Y501" s="500">
        <v>10</v>
      </c>
      <c r="Z501" s="507">
        <v>0</v>
      </c>
      <c r="AA501" s="500"/>
      <c r="AB501" s="506" t="s">
        <v>605</v>
      </c>
      <c r="AC501" s="505">
        <v>0</v>
      </c>
      <c r="AD501" s="500"/>
      <c r="AE501" s="500"/>
      <c r="AF501" s="500"/>
      <c r="AG501" s="500"/>
      <c r="AH501" s="500"/>
      <c r="AI501" s="500"/>
      <c r="AJ501" s="500">
        <v>0</v>
      </c>
      <c r="AK501" s="506" t="s">
        <v>605</v>
      </c>
    </row>
    <row r="502" spans="6:37">
      <c r="F502" s="500" t="str">
        <f t="shared" si="95"/>
        <v>Fitness Center</v>
      </c>
      <c r="G502" s="500" t="str">
        <f t="shared" si="95"/>
        <v>1_90 to 1_99 gpm</v>
      </c>
      <c r="H502" s="500" t="str">
        <f t="shared" si="95"/>
        <v>Mail-by-Request</v>
      </c>
      <c r="I502" s="500" t="str">
        <f t="shared" si="95"/>
        <v>1_50</v>
      </c>
      <c r="J502" s="500" t="str">
        <f t="shared" si="95"/>
        <v>Electric Water Heating</v>
      </c>
      <c r="K502" s="500" t="str">
        <f t="shared" si="90"/>
        <v>Commercial Showerhead Replacement_Fitness Center_precondition 1_90 to 1_99 gpm_efficient 1_50 gpm_Mail-by-Request_Electric Water Heating - Embedded Water Energy</v>
      </c>
      <c r="L502" s="500"/>
      <c r="M502" s="501"/>
      <c r="N502" s="500"/>
      <c r="O502" s="500"/>
      <c r="P502" s="500"/>
      <c r="Q502" s="502"/>
      <c r="R502" s="503"/>
      <c r="S502" s="504"/>
      <c r="T502" s="505"/>
      <c r="U502" s="500"/>
      <c r="V502" s="500" t="str">
        <f t="shared" si="91"/>
        <v>Commercial Showerhead Replacement_Fitness Center_precondition 1_90 to 1_99 gpm_efficient 1_50 gpm_Mail-by-Request_Electric Water Heating</v>
      </c>
      <c r="W502" s="506" t="s">
        <v>604</v>
      </c>
      <c r="X502" s="502">
        <f t="shared" si="92"/>
        <v>81.259841674738112</v>
      </c>
      <c r="Y502" s="500">
        <v>10</v>
      </c>
      <c r="Z502" s="507">
        <v>0</v>
      </c>
      <c r="AA502" s="500"/>
      <c r="AB502" s="506" t="s">
        <v>605</v>
      </c>
      <c r="AC502" s="505">
        <v>0</v>
      </c>
      <c r="AD502" s="500"/>
      <c r="AE502" s="500"/>
      <c r="AF502" s="500"/>
      <c r="AG502" s="500"/>
      <c r="AH502" s="500"/>
      <c r="AI502" s="500"/>
      <c r="AJ502" s="500">
        <v>0</v>
      </c>
      <c r="AK502" s="506" t="s">
        <v>605</v>
      </c>
    </row>
    <row r="503" spans="6:37">
      <c r="F503" s="500" t="str">
        <f t="shared" si="95"/>
        <v>Fitness Center</v>
      </c>
      <c r="G503" s="500" t="str">
        <f t="shared" si="95"/>
        <v>1_90 to 1_99 gpm</v>
      </c>
      <c r="H503" s="500" t="str">
        <f t="shared" si="95"/>
        <v>Mail-by-Request</v>
      </c>
      <c r="I503" s="500" t="str">
        <f t="shared" si="95"/>
        <v>1_50</v>
      </c>
      <c r="J503" s="500" t="str">
        <f t="shared" si="95"/>
        <v>Gas Water Heating</v>
      </c>
      <c r="K503" s="500" t="str">
        <f t="shared" si="90"/>
        <v>Commercial Showerhead Replacement_Fitness Center_precondition 1_90 to 1_99 gpm_efficient 1_50 gpm_Mail-by-Request_Gas Water Heating - Embedded Water Energy</v>
      </c>
      <c r="L503" s="500"/>
      <c r="M503" s="501"/>
      <c r="N503" s="500"/>
      <c r="O503" s="500"/>
      <c r="P503" s="500"/>
      <c r="Q503" s="502"/>
      <c r="R503" s="503"/>
      <c r="S503" s="504"/>
      <c r="T503" s="505"/>
      <c r="U503" s="500"/>
      <c r="V503" s="500" t="str">
        <f t="shared" si="91"/>
        <v>Commercial Showerhead Replacement_Fitness Center_precondition 1_90 to 1_99 gpm_efficient 1_50 gpm_Mail-by-Request_Gas Water Heating</v>
      </c>
      <c r="W503" s="506" t="s">
        <v>604</v>
      </c>
      <c r="X503" s="502">
        <f t="shared" si="92"/>
        <v>81.259841674738112</v>
      </c>
      <c r="Y503" s="500">
        <v>10</v>
      </c>
      <c r="Z503" s="507">
        <v>0</v>
      </c>
      <c r="AA503" s="500"/>
      <c r="AB503" s="506" t="s">
        <v>605</v>
      </c>
      <c r="AC503" s="505">
        <v>0</v>
      </c>
      <c r="AD503" s="500"/>
      <c r="AE503" s="500"/>
      <c r="AF503" s="500"/>
      <c r="AG503" s="500"/>
      <c r="AH503" s="500"/>
      <c r="AI503" s="500"/>
      <c r="AJ503" s="500">
        <v>0</v>
      </c>
      <c r="AK503" s="506" t="s">
        <v>605</v>
      </c>
    </row>
    <row r="504" spans="6:37">
      <c r="F504" s="500" t="str">
        <f t="shared" si="95"/>
        <v>Fitness Center</v>
      </c>
      <c r="G504" s="500" t="str">
        <f t="shared" si="95"/>
        <v>1_90 to 1_99 gpm</v>
      </c>
      <c r="H504" s="500" t="str">
        <f t="shared" si="95"/>
        <v>Mail-by-Request</v>
      </c>
      <c r="I504" s="500" t="str">
        <f t="shared" si="95"/>
        <v>1_50</v>
      </c>
      <c r="J504" s="500" t="str">
        <f t="shared" si="95"/>
        <v>Any Water Heating</v>
      </c>
      <c r="K504" s="500" t="str">
        <f t="shared" si="90"/>
        <v>Commercial Showerhead Replacement_Fitness Center_precondition 1_90 to 1_99 gpm_efficient 1_50 gpm_Mail-by-Request_Any Water Heating - Embedded Water Energy</v>
      </c>
      <c r="L504" s="500"/>
      <c r="M504" s="501"/>
      <c r="N504" s="500"/>
      <c r="O504" s="500"/>
      <c r="P504" s="500"/>
      <c r="Q504" s="502"/>
      <c r="R504" s="503"/>
      <c r="S504" s="504"/>
      <c r="T504" s="505"/>
      <c r="U504" s="500"/>
      <c r="V504" s="500" t="str">
        <f t="shared" si="91"/>
        <v>Commercial Showerhead Replacement_Fitness Center_precondition 1_90 to 1_99 gpm_efficient 1_50 gpm_Mail-by-Request_Any Water Heating</v>
      </c>
      <c r="W504" s="506" t="s">
        <v>604</v>
      </c>
      <c r="X504" s="502">
        <f t="shared" si="92"/>
        <v>81.259841674738112</v>
      </c>
      <c r="Y504" s="500">
        <v>10</v>
      </c>
      <c r="Z504" s="507">
        <v>0</v>
      </c>
      <c r="AA504" s="500"/>
      <c r="AB504" s="506" t="s">
        <v>605</v>
      </c>
      <c r="AC504" s="505">
        <v>0</v>
      </c>
      <c r="AD504" s="500"/>
      <c r="AE504" s="500"/>
      <c r="AF504" s="500"/>
      <c r="AG504" s="500"/>
      <c r="AH504" s="500"/>
      <c r="AI504" s="500"/>
      <c r="AJ504" s="500">
        <v>0</v>
      </c>
      <c r="AK504" s="506" t="s">
        <v>605</v>
      </c>
    </row>
    <row r="505" spans="6:37">
      <c r="F505" s="500" t="str">
        <f t="shared" si="95"/>
        <v>Fitness Center</v>
      </c>
      <c r="G505" s="500" t="str">
        <f t="shared" si="95"/>
        <v>1_80 to 1_89 gpm</v>
      </c>
      <c r="H505" s="500" t="str">
        <f t="shared" si="95"/>
        <v>Retail</v>
      </c>
      <c r="I505" s="500" t="str">
        <f t="shared" si="95"/>
        <v>2_00</v>
      </c>
      <c r="J505" s="500" t="str">
        <f t="shared" si="95"/>
        <v>Electric Water Heating</v>
      </c>
      <c r="K505" s="500" t="str">
        <f t="shared" si="90"/>
        <v>Commercial Showerhead Replacement_Fitness Center_precondition 1_80 to 1_89 gpm_efficient 2_00 gpm_Retail_Electric Water Heating - Embedded Water Energy</v>
      </c>
      <c r="L505" s="500"/>
      <c r="M505" s="501"/>
      <c r="N505" s="500"/>
      <c r="O505" s="500"/>
      <c r="P505" s="500"/>
      <c r="Q505" s="502"/>
      <c r="R505" s="503"/>
      <c r="S505" s="504"/>
      <c r="T505" s="505"/>
      <c r="U505" s="500"/>
      <c r="V505" s="500" t="str">
        <f t="shared" si="91"/>
        <v>Commercial Showerhead Replacement_Fitness Center_precondition 1_80 to 1_89 gpm_efficient 2_00 gpm_Retail_Electric Water Heating</v>
      </c>
      <c r="W505" s="506" t="s">
        <v>604</v>
      </c>
      <c r="X505" s="502">
        <f t="shared" si="92"/>
        <v>12.038495062924097</v>
      </c>
      <c r="Y505" s="500">
        <v>10</v>
      </c>
      <c r="Z505" s="507">
        <v>0</v>
      </c>
      <c r="AA505" s="500"/>
      <c r="AB505" s="506" t="s">
        <v>605</v>
      </c>
      <c r="AC505" s="505">
        <v>0</v>
      </c>
      <c r="AD505" s="500"/>
      <c r="AE505" s="500"/>
      <c r="AF505" s="500"/>
      <c r="AG505" s="500"/>
      <c r="AH505" s="500"/>
      <c r="AI505" s="500"/>
      <c r="AJ505" s="500">
        <v>0</v>
      </c>
      <c r="AK505" s="506" t="s">
        <v>605</v>
      </c>
    </row>
    <row r="506" spans="6:37">
      <c r="F506" s="500" t="str">
        <f t="shared" si="95"/>
        <v>Fitness Center</v>
      </c>
      <c r="G506" s="500" t="str">
        <f t="shared" si="95"/>
        <v>1_80 to 1_89 gpm</v>
      </c>
      <c r="H506" s="500" t="str">
        <f t="shared" si="95"/>
        <v>Retail</v>
      </c>
      <c r="I506" s="500" t="str">
        <f t="shared" si="95"/>
        <v>2_00</v>
      </c>
      <c r="J506" s="500" t="str">
        <f t="shared" si="95"/>
        <v>Gas Water Heating</v>
      </c>
      <c r="K506" s="500" t="str">
        <f t="shared" si="90"/>
        <v>Commercial Showerhead Replacement_Fitness Center_precondition 1_80 to 1_89 gpm_efficient 2_00 gpm_Retail_Gas Water Heating - Embedded Water Energy</v>
      </c>
      <c r="L506" s="500"/>
      <c r="M506" s="501"/>
      <c r="N506" s="500"/>
      <c r="O506" s="500"/>
      <c r="P506" s="500"/>
      <c r="Q506" s="502"/>
      <c r="R506" s="503"/>
      <c r="S506" s="504"/>
      <c r="T506" s="505"/>
      <c r="U506" s="500"/>
      <c r="V506" s="500" t="str">
        <f t="shared" si="91"/>
        <v>Commercial Showerhead Replacement_Fitness Center_precondition 1_80 to 1_89 gpm_efficient 2_00 gpm_Retail_Gas Water Heating</v>
      </c>
      <c r="W506" s="506" t="s">
        <v>604</v>
      </c>
      <c r="X506" s="502">
        <f t="shared" si="92"/>
        <v>12.038495062924097</v>
      </c>
      <c r="Y506" s="500">
        <v>10</v>
      </c>
      <c r="Z506" s="507">
        <v>0</v>
      </c>
      <c r="AA506" s="500"/>
      <c r="AB506" s="506" t="s">
        <v>605</v>
      </c>
      <c r="AC506" s="505">
        <v>0</v>
      </c>
      <c r="AD506" s="500"/>
      <c r="AE506" s="500"/>
      <c r="AF506" s="500"/>
      <c r="AG506" s="500"/>
      <c r="AH506" s="500"/>
      <c r="AI506" s="500"/>
      <c r="AJ506" s="500">
        <v>0</v>
      </c>
      <c r="AK506" s="506" t="s">
        <v>605</v>
      </c>
    </row>
    <row r="507" spans="6:37">
      <c r="F507" s="500" t="str">
        <f t="shared" si="95"/>
        <v>Fitness Center</v>
      </c>
      <c r="G507" s="500" t="str">
        <f t="shared" si="95"/>
        <v>1_80 to 1_89 gpm</v>
      </c>
      <c r="H507" s="500" t="str">
        <f t="shared" si="95"/>
        <v>Retail</v>
      </c>
      <c r="I507" s="500" t="str">
        <f t="shared" si="95"/>
        <v>2_00</v>
      </c>
      <c r="J507" s="500" t="str">
        <f t="shared" si="95"/>
        <v>Any Water Heating</v>
      </c>
      <c r="K507" s="500" t="str">
        <f t="shared" si="90"/>
        <v>Commercial Showerhead Replacement_Fitness Center_precondition 1_80 to 1_89 gpm_efficient 2_00 gpm_Retail_Any Water Heating - Embedded Water Energy</v>
      </c>
      <c r="L507" s="500"/>
      <c r="M507" s="501"/>
      <c r="N507" s="500"/>
      <c r="O507" s="500"/>
      <c r="P507" s="500"/>
      <c r="Q507" s="502"/>
      <c r="R507" s="503"/>
      <c r="S507" s="504"/>
      <c r="T507" s="505"/>
      <c r="U507" s="500"/>
      <c r="V507" s="500" t="str">
        <f t="shared" si="91"/>
        <v>Commercial Showerhead Replacement_Fitness Center_precondition 1_80 to 1_89 gpm_efficient 2_00 gpm_Retail_Any Water Heating</v>
      </c>
      <c r="W507" s="506" t="s">
        <v>604</v>
      </c>
      <c r="X507" s="502">
        <f t="shared" si="92"/>
        <v>12.038495062924097</v>
      </c>
      <c r="Y507" s="500">
        <v>10</v>
      </c>
      <c r="Z507" s="507">
        <v>0</v>
      </c>
      <c r="AA507" s="500"/>
      <c r="AB507" s="506" t="s">
        <v>605</v>
      </c>
      <c r="AC507" s="505">
        <v>0</v>
      </c>
      <c r="AD507" s="500"/>
      <c r="AE507" s="500"/>
      <c r="AF507" s="500"/>
      <c r="AG507" s="500"/>
      <c r="AH507" s="500"/>
      <c r="AI507" s="500"/>
      <c r="AJ507" s="500">
        <v>0</v>
      </c>
      <c r="AK507" s="506" t="s">
        <v>605</v>
      </c>
    </row>
    <row r="508" spans="6:37">
      <c r="F508" s="500" t="str">
        <f t="shared" ref="F508:J523" si="96">F211</f>
        <v>Fitness Center</v>
      </c>
      <c r="G508" s="500" t="str">
        <f t="shared" si="96"/>
        <v>1_80 to 1_89 gpm</v>
      </c>
      <c r="H508" s="500" t="str">
        <f t="shared" si="96"/>
        <v>Retail</v>
      </c>
      <c r="I508" s="500" t="str">
        <f t="shared" si="96"/>
        <v>1_75</v>
      </c>
      <c r="J508" s="500" t="str">
        <f t="shared" si="96"/>
        <v>Electric Water Heating</v>
      </c>
      <c r="K508" s="500" t="str">
        <f t="shared" ref="K508:K571" si="97">K211 &amp; " - Embedded Water Energy"</f>
        <v>Commercial Showerhead Replacement_Fitness Center_precondition 1_80 to 1_89 gpm_efficient 1_75 gpm_Retail_Electric Water Heating - Embedded Water Energy</v>
      </c>
      <c r="L508" s="500"/>
      <c r="M508" s="501"/>
      <c r="N508" s="500"/>
      <c r="O508" s="500"/>
      <c r="P508" s="500"/>
      <c r="Q508" s="502"/>
      <c r="R508" s="503"/>
      <c r="S508" s="504"/>
      <c r="T508" s="505"/>
      <c r="U508" s="500"/>
      <c r="V508" s="500" t="str">
        <f t="shared" ref="V508:V571" si="98">V211</f>
        <v>Commercial Showerhead Replacement_Fitness Center_precondition 1_80 to 1_89 gpm_efficient 1_75 gpm_Retail_Electric Water Heating</v>
      </c>
      <c r="W508" s="506" t="s">
        <v>604</v>
      </c>
      <c r="X508" s="502">
        <f t="shared" ref="X508:X571" si="99">IF(S211&gt;0,Q211,0)</f>
        <v>22.572178242982737</v>
      </c>
      <c r="Y508" s="500">
        <v>10</v>
      </c>
      <c r="Z508" s="507">
        <v>0</v>
      </c>
      <c r="AA508" s="500"/>
      <c r="AB508" s="506" t="s">
        <v>605</v>
      </c>
      <c r="AC508" s="505">
        <v>0</v>
      </c>
      <c r="AD508" s="500"/>
      <c r="AE508" s="500"/>
      <c r="AF508" s="500"/>
      <c r="AG508" s="500"/>
      <c r="AH508" s="500"/>
      <c r="AI508" s="500"/>
      <c r="AJ508" s="500">
        <v>0</v>
      </c>
      <c r="AK508" s="506" t="s">
        <v>605</v>
      </c>
    </row>
    <row r="509" spans="6:37">
      <c r="F509" s="500" t="str">
        <f t="shared" si="96"/>
        <v>Fitness Center</v>
      </c>
      <c r="G509" s="500" t="str">
        <f t="shared" si="96"/>
        <v>1_80 to 1_89 gpm</v>
      </c>
      <c r="H509" s="500" t="str">
        <f t="shared" si="96"/>
        <v>Retail</v>
      </c>
      <c r="I509" s="500" t="str">
        <f t="shared" si="96"/>
        <v>1_75</v>
      </c>
      <c r="J509" s="500" t="str">
        <f t="shared" si="96"/>
        <v>Gas Water Heating</v>
      </c>
      <c r="K509" s="500" t="str">
        <f t="shared" si="97"/>
        <v>Commercial Showerhead Replacement_Fitness Center_precondition 1_80 to 1_89 gpm_efficient 1_75 gpm_Retail_Gas Water Heating - Embedded Water Energy</v>
      </c>
      <c r="L509" s="500"/>
      <c r="M509" s="501"/>
      <c r="N509" s="500"/>
      <c r="O509" s="500"/>
      <c r="P509" s="500"/>
      <c r="Q509" s="502"/>
      <c r="R509" s="503"/>
      <c r="S509" s="504"/>
      <c r="T509" s="505"/>
      <c r="U509" s="500"/>
      <c r="V509" s="500" t="str">
        <f t="shared" si="98"/>
        <v>Commercial Showerhead Replacement_Fitness Center_precondition 1_80 to 1_89 gpm_efficient 1_75 gpm_Retail_Gas Water Heating</v>
      </c>
      <c r="W509" s="506" t="s">
        <v>604</v>
      </c>
      <c r="X509" s="502">
        <f t="shared" si="99"/>
        <v>22.572178242982737</v>
      </c>
      <c r="Y509" s="500">
        <v>10</v>
      </c>
      <c r="Z509" s="507">
        <v>0</v>
      </c>
      <c r="AA509" s="500"/>
      <c r="AB509" s="506" t="s">
        <v>605</v>
      </c>
      <c r="AC509" s="505">
        <v>0</v>
      </c>
      <c r="AD509" s="500"/>
      <c r="AE509" s="500"/>
      <c r="AF509" s="500"/>
      <c r="AG509" s="500"/>
      <c r="AH509" s="500"/>
      <c r="AI509" s="500"/>
      <c r="AJ509" s="500">
        <v>0</v>
      </c>
      <c r="AK509" s="506" t="s">
        <v>605</v>
      </c>
    </row>
    <row r="510" spans="6:37">
      <c r="F510" s="500" t="str">
        <f t="shared" si="96"/>
        <v>Fitness Center</v>
      </c>
      <c r="G510" s="500" t="str">
        <f t="shared" si="96"/>
        <v>1_80 to 1_89 gpm</v>
      </c>
      <c r="H510" s="500" t="str">
        <f t="shared" si="96"/>
        <v>Retail</v>
      </c>
      <c r="I510" s="500" t="str">
        <f t="shared" si="96"/>
        <v>1_75</v>
      </c>
      <c r="J510" s="500" t="str">
        <f t="shared" si="96"/>
        <v>Any Water Heating</v>
      </c>
      <c r="K510" s="500" t="str">
        <f t="shared" si="97"/>
        <v>Commercial Showerhead Replacement_Fitness Center_precondition 1_80 to 1_89 gpm_efficient 1_75 gpm_Retail_Any Water Heating - Embedded Water Energy</v>
      </c>
      <c r="L510" s="500"/>
      <c r="M510" s="501"/>
      <c r="N510" s="500"/>
      <c r="O510" s="500"/>
      <c r="P510" s="500"/>
      <c r="Q510" s="502"/>
      <c r="R510" s="503"/>
      <c r="S510" s="504"/>
      <c r="T510" s="505"/>
      <c r="U510" s="500"/>
      <c r="V510" s="500" t="str">
        <f t="shared" si="98"/>
        <v>Commercial Showerhead Replacement_Fitness Center_precondition 1_80 to 1_89 gpm_efficient 1_75 gpm_Retail_Any Water Heating</v>
      </c>
      <c r="W510" s="506" t="s">
        <v>604</v>
      </c>
      <c r="X510" s="502">
        <f t="shared" si="99"/>
        <v>22.572178242982737</v>
      </c>
      <c r="Y510" s="500">
        <v>10</v>
      </c>
      <c r="Z510" s="507">
        <v>0</v>
      </c>
      <c r="AA510" s="500"/>
      <c r="AB510" s="506" t="s">
        <v>605</v>
      </c>
      <c r="AC510" s="505">
        <v>0</v>
      </c>
      <c r="AD510" s="500"/>
      <c r="AE510" s="500"/>
      <c r="AF510" s="500"/>
      <c r="AG510" s="500"/>
      <c r="AH510" s="500"/>
      <c r="AI510" s="500"/>
      <c r="AJ510" s="500">
        <v>0</v>
      </c>
      <c r="AK510" s="506" t="s">
        <v>605</v>
      </c>
    </row>
    <row r="511" spans="6:37">
      <c r="F511" s="500" t="str">
        <f t="shared" si="96"/>
        <v>Fitness Center</v>
      </c>
      <c r="G511" s="500" t="str">
        <f t="shared" si="96"/>
        <v>1_80 to 1_89 gpm</v>
      </c>
      <c r="H511" s="500" t="str">
        <f t="shared" si="96"/>
        <v>Retail</v>
      </c>
      <c r="I511" s="500" t="str">
        <f t="shared" si="96"/>
        <v>1_50</v>
      </c>
      <c r="J511" s="500" t="str">
        <f t="shared" si="96"/>
        <v>Electric Water Heating</v>
      </c>
      <c r="K511" s="500" t="str">
        <f t="shared" si="97"/>
        <v>Commercial Showerhead Replacement_Fitness Center_precondition 1_80 to 1_89 gpm_efficient 1_50 gpm_Retail_Electric Water Heating - Embedded Water Energy</v>
      </c>
      <c r="L511" s="500"/>
      <c r="M511" s="501"/>
      <c r="N511" s="500"/>
      <c r="O511" s="500"/>
      <c r="P511" s="500"/>
      <c r="Q511" s="502"/>
      <c r="R511" s="503"/>
      <c r="S511" s="504"/>
      <c r="T511" s="505"/>
      <c r="U511" s="500"/>
      <c r="V511" s="500" t="str">
        <f t="shared" si="98"/>
        <v>Commercial Showerhead Replacement_Fitness Center_precondition 1_80 to 1_89 gpm_efficient 1_50 gpm_Retail_Electric Water Heating</v>
      </c>
      <c r="W511" s="506" t="s">
        <v>604</v>
      </c>
      <c r="X511" s="502">
        <f t="shared" si="99"/>
        <v>73.73578226041046</v>
      </c>
      <c r="Y511" s="500">
        <v>10</v>
      </c>
      <c r="Z511" s="507">
        <v>0</v>
      </c>
      <c r="AA511" s="500"/>
      <c r="AB511" s="506" t="s">
        <v>605</v>
      </c>
      <c r="AC511" s="505">
        <v>0</v>
      </c>
      <c r="AD511" s="500"/>
      <c r="AE511" s="500"/>
      <c r="AF511" s="500"/>
      <c r="AG511" s="500"/>
      <c r="AH511" s="500"/>
      <c r="AI511" s="500"/>
      <c r="AJ511" s="500">
        <v>0</v>
      </c>
      <c r="AK511" s="506" t="s">
        <v>605</v>
      </c>
    </row>
    <row r="512" spans="6:37">
      <c r="F512" s="500" t="str">
        <f t="shared" si="96"/>
        <v>Fitness Center</v>
      </c>
      <c r="G512" s="500" t="str">
        <f t="shared" si="96"/>
        <v>1_80 to 1_89 gpm</v>
      </c>
      <c r="H512" s="500" t="str">
        <f t="shared" si="96"/>
        <v>Retail</v>
      </c>
      <c r="I512" s="500" t="str">
        <f t="shared" si="96"/>
        <v>1_50</v>
      </c>
      <c r="J512" s="500" t="str">
        <f t="shared" si="96"/>
        <v>Gas Water Heating</v>
      </c>
      <c r="K512" s="500" t="str">
        <f t="shared" si="97"/>
        <v>Commercial Showerhead Replacement_Fitness Center_precondition 1_80 to 1_89 gpm_efficient 1_50 gpm_Retail_Gas Water Heating - Embedded Water Energy</v>
      </c>
      <c r="L512" s="500"/>
      <c r="M512" s="501"/>
      <c r="N512" s="500"/>
      <c r="O512" s="500"/>
      <c r="P512" s="500"/>
      <c r="Q512" s="502"/>
      <c r="R512" s="503"/>
      <c r="S512" s="504"/>
      <c r="T512" s="505"/>
      <c r="U512" s="500"/>
      <c r="V512" s="500" t="str">
        <f t="shared" si="98"/>
        <v>Commercial Showerhead Replacement_Fitness Center_precondition 1_80 to 1_89 gpm_efficient 1_50 gpm_Retail_Gas Water Heating</v>
      </c>
      <c r="W512" s="506" t="s">
        <v>604</v>
      </c>
      <c r="X512" s="502">
        <f t="shared" si="99"/>
        <v>73.73578226041046</v>
      </c>
      <c r="Y512" s="500">
        <v>10</v>
      </c>
      <c r="Z512" s="507">
        <v>0</v>
      </c>
      <c r="AA512" s="500"/>
      <c r="AB512" s="506" t="s">
        <v>605</v>
      </c>
      <c r="AC512" s="505">
        <v>0</v>
      </c>
      <c r="AD512" s="500"/>
      <c r="AE512" s="500"/>
      <c r="AF512" s="500"/>
      <c r="AG512" s="500"/>
      <c r="AH512" s="500"/>
      <c r="AI512" s="500"/>
      <c r="AJ512" s="500">
        <v>0</v>
      </c>
      <c r="AK512" s="506" t="s">
        <v>605</v>
      </c>
    </row>
    <row r="513" spans="6:37">
      <c r="F513" s="500" t="str">
        <f t="shared" si="96"/>
        <v>Fitness Center</v>
      </c>
      <c r="G513" s="500" t="str">
        <f t="shared" si="96"/>
        <v>1_80 to 1_89 gpm</v>
      </c>
      <c r="H513" s="500" t="str">
        <f t="shared" si="96"/>
        <v>Retail</v>
      </c>
      <c r="I513" s="500" t="str">
        <f t="shared" si="96"/>
        <v>1_50</v>
      </c>
      <c r="J513" s="500" t="str">
        <f t="shared" si="96"/>
        <v>Any Water Heating</v>
      </c>
      <c r="K513" s="500" t="str">
        <f t="shared" si="97"/>
        <v>Commercial Showerhead Replacement_Fitness Center_precondition 1_80 to 1_89 gpm_efficient 1_50 gpm_Retail_Any Water Heating - Embedded Water Energy</v>
      </c>
      <c r="L513" s="500"/>
      <c r="M513" s="501"/>
      <c r="N513" s="500"/>
      <c r="O513" s="500"/>
      <c r="P513" s="500"/>
      <c r="Q513" s="502"/>
      <c r="R513" s="503"/>
      <c r="S513" s="504"/>
      <c r="T513" s="505"/>
      <c r="U513" s="500"/>
      <c r="V513" s="500" t="str">
        <f t="shared" si="98"/>
        <v>Commercial Showerhead Replacement_Fitness Center_precondition 1_80 to 1_89 gpm_efficient 1_50 gpm_Retail_Any Water Heating</v>
      </c>
      <c r="W513" s="506" t="s">
        <v>604</v>
      </c>
      <c r="X513" s="502">
        <f t="shared" si="99"/>
        <v>73.73578226041046</v>
      </c>
      <c r="Y513" s="500">
        <v>10</v>
      </c>
      <c r="Z513" s="507">
        <v>0</v>
      </c>
      <c r="AA513" s="500"/>
      <c r="AB513" s="506" t="s">
        <v>605</v>
      </c>
      <c r="AC513" s="505">
        <v>0</v>
      </c>
      <c r="AD513" s="500"/>
      <c r="AE513" s="500"/>
      <c r="AF513" s="500"/>
      <c r="AG513" s="500"/>
      <c r="AH513" s="500"/>
      <c r="AI513" s="500"/>
      <c r="AJ513" s="500">
        <v>0</v>
      </c>
      <c r="AK513" s="506" t="s">
        <v>605</v>
      </c>
    </row>
    <row r="514" spans="6:37">
      <c r="F514" s="500" t="str">
        <f t="shared" si="96"/>
        <v>Fitness Center</v>
      </c>
      <c r="G514" s="500" t="str">
        <f t="shared" si="96"/>
        <v>1_80 to 1_89 gpm</v>
      </c>
      <c r="H514" s="500" t="str">
        <f t="shared" si="96"/>
        <v>Direct Install</v>
      </c>
      <c r="I514" s="500" t="str">
        <f t="shared" si="96"/>
        <v>2_00</v>
      </c>
      <c r="J514" s="500" t="str">
        <f t="shared" si="96"/>
        <v>Electric Water Heating</v>
      </c>
      <c r="K514" s="500" t="str">
        <f t="shared" si="97"/>
        <v>Commercial Showerhead Replacement_Fitness Center_precondition 1_80 to 1_89 gpm_efficient 2_00 gpm_Direct Install_Electric Water Heating - Embedded Water Energy</v>
      </c>
      <c r="L514" s="500"/>
      <c r="M514" s="501"/>
      <c r="N514" s="500"/>
      <c r="O514" s="500"/>
      <c r="P514" s="500"/>
      <c r="Q514" s="502"/>
      <c r="R514" s="503"/>
      <c r="S514" s="504"/>
      <c r="T514" s="505"/>
      <c r="U514" s="500"/>
      <c r="V514" s="500" t="str">
        <f t="shared" si="98"/>
        <v>Commercial Showerhead Replacement_Fitness Center_precondition 1_80 to 1_89 gpm_efficient 2_00 gpm_Direct Install_Electric Water Heating</v>
      </c>
      <c r="W514" s="506" t="s">
        <v>604</v>
      </c>
      <c r="X514" s="502">
        <f t="shared" si="99"/>
        <v>13.543306945789608</v>
      </c>
      <c r="Y514" s="500">
        <v>10</v>
      </c>
      <c r="Z514" s="507">
        <v>0</v>
      </c>
      <c r="AA514" s="500"/>
      <c r="AB514" s="506" t="s">
        <v>605</v>
      </c>
      <c r="AC514" s="505">
        <v>0</v>
      </c>
      <c r="AD514" s="500"/>
      <c r="AE514" s="500"/>
      <c r="AF514" s="500"/>
      <c r="AG514" s="500"/>
      <c r="AH514" s="500"/>
      <c r="AI514" s="500"/>
      <c r="AJ514" s="500">
        <v>0</v>
      </c>
      <c r="AK514" s="506" t="s">
        <v>605</v>
      </c>
    </row>
    <row r="515" spans="6:37">
      <c r="F515" s="500" t="str">
        <f t="shared" si="96"/>
        <v>Fitness Center</v>
      </c>
      <c r="G515" s="500" t="str">
        <f t="shared" si="96"/>
        <v>1_80 to 1_89 gpm</v>
      </c>
      <c r="H515" s="500" t="str">
        <f t="shared" si="96"/>
        <v>Direct Install</v>
      </c>
      <c r="I515" s="500" t="str">
        <f t="shared" si="96"/>
        <v>2_00</v>
      </c>
      <c r="J515" s="500" t="str">
        <f t="shared" si="96"/>
        <v>Gas Water Heating</v>
      </c>
      <c r="K515" s="500" t="str">
        <f t="shared" si="97"/>
        <v>Commercial Showerhead Replacement_Fitness Center_precondition 1_80 to 1_89 gpm_efficient 2_00 gpm_Direct Install_Gas Water Heating - Embedded Water Energy</v>
      </c>
      <c r="L515" s="500"/>
      <c r="M515" s="501"/>
      <c r="N515" s="500"/>
      <c r="O515" s="500"/>
      <c r="P515" s="500"/>
      <c r="Q515" s="502"/>
      <c r="R515" s="503"/>
      <c r="S515" s="504"/>
      <c r="T515" s="505"/>
      <c r="U515" s="500"/>
      <c r="V515" s="500" t="str">
        <f t="shared" si="98"/>
        <v>Commercial Showerhead Replacement_Fitness Center_precondition 1_80 to 1_89 gpm_efficient 2_00 gpm_Direct Install_Gas Water Heating</v>
      </c>
      <c r="W515" s="506" t="s">
        <v>604</v>
      </c>
      <c r="X515" s="502">
        <f t="shared" si="99"/>
        <v>13.543306945789608</v>
      </c>
      <c r="Y515" s="500">
        <v>10</v>
      </c>
      <c r="Z515" s="507">
        <v>0</v>
      </c>
      <c r="AA515" s="500"/>
      <c r="AB515" s="506" t="s">
        <v>605</v>
      </c>
      <c r="AC515" s="505">
        <v>0</v>
      </c>
      <c r="AD515" s="500"/>
      <c r="AE515" s="500"/>
      <c r="AF515" s="500"/>
      <c r="AG515" s="500"/>
      <c r="AH515" s="500"/>
      <c r="AI515" s="500"/>
      <c r="AJ515" s="500">
        <v>0</v>
      </c>
      <c r="AK515" s="506" t="s">
        <v>605</v>
      </c>
    </row>
    <row r="516" spans="6:37">
      <c r="F516" s="500" t="str">
        <f t="shared" si="96"/>
        <v>Fitness Center</v>
      </c>
      <c r="G516" s="500" t="str">
        <f t="shared" si="96"/>
        <v>1_80 to 1_89 gpm</v>
      </c>
      <c r="H516" s="500" t="str">
        <f t="shared" si="96"/>
        <v>Direct Install</v>
      </c>
      <c r="I516" s="500" t="str">
        <f t="shared" si="96"/>
        <v>2_00</v>
      </c>
      <c r="J516" s="500" t="str">
        <f t="shared" si="96"/>
        <v>Any Water Heating</v>
      </c>
      <c r="K516" s="500" t="str">
        <f t="shared" si="97"/>
        <v>Commercial Showerhead Replacement_Fitness Center_precondition 1_80 to 1_89 gpm_efficient 2_00 gpm_Direct Install_Any Water Heating - Embedded Water Energy</v>
      </c>
      <c r="L516" s="500"/>
      <c r="M516" s="501"/>
      <c r="N516" s="500"/>
      <c r="O516" s="500"/>
      <c r="P516" s="500"/>
      <c r="Q516" s="502"/>
      <c r="R516" s="503"/>
      <c r="S516" s="504"/>
      <c r="T516" s="505"/>
      <c r="U516" s="500"/>
      <c r="V516" s="500" t="str">
        <f t="shared" si="98"/>
        <v>Commercial Showerhead Replacement_Fitness Center_precondition 1_80 to 1_89 gpm_efficient 2_00 gpm_Direct Install_Any Water Heating</v>
      </c>
      <c r="W516" s="506" t="s">
        <v>604</v>
      </c>
      <c r="X516" s="502">
        <f t="shared" si="99"/>
        <v>13.543306945789608</v>
      </c>
      <c r="Y516" s="500">
        <v>10</v>
      </c>
      <c r="Z516" s="507">
        <v>0</v>
      </c>
      <c r="AA516" s="500"/>
      <c r="AB516" s="506" t="s">
        <v>605</v>
      </c>
      <c r="AC516" s="505">
        <v>0</v>
      </c>
      <c r="AD516" s="500"/>
      <c r="AE516" s="500"/>
      <c r="AF516" s="500"/>
      <c r="AG516" s="500"/>
      <c r="AH516" s="500"/>
      <c r="AI516" s="500"/>
      <c r="AJ516" s="500">
        <v>0</v>
      </c>
      <c r="AK516" s="506" t="s">
        <v>605</v>
      </c>
    </row>
    <row r="517" spans="6:37">
      <c r="F517" s="500" t="str">
        <f t="shared" si="96"/>
        <v>Fitness Center</v>
      </c>
      <c r="G517" s="500" t="str">
        <f t="shared" si="96"/>
        <v>1_80 to 1_89 gpm</v>
      </c>
      <c r="H517" s="500" t="str">
        <f t="shared" si="96"/>
        <v>Direct Install</v>
      </c>
      <c r="I517" s="500" t="str">
        <f t="shared" si="96"/>
        <v>1_75</v>
      </c>
      <c r="J517" s="500" t="str">
        <f t="shared" si="96"/>
        <v>Electric Water Heating</v>
      </c>
      <c r="K517" s="500" t="str">
        <f t="shared" si="97"/>
        <v>Commercial Showerhead Replacement_Fitness Center_precondition 1_80 to 1_89 gpm_efficient 1_75 gpm_Direct Install_Electric Water Heating - Embedded Water Energy</v>
      </c>
      <c r="L517" s="500"/>
      <c r="M517" s="501"/>
      <c r="N517" s="500"/>
      <c r="O517" s="500"/>
      <c r="P517" s="500"/>
      <c r="Q517" s="502"/>
      <c r="R517" s="503"/>
      <c r="S517" s="504"/>
      <c r="T517" s="505"/>
      <c r="U517" s="500"/>
      <c r="V517" s="500" t="str">
        <f t="shared" si="98"/>
        <v>Commercial Showerhead Replacement_Fitness Center_precondition 1_80 to 1_89 gpm_efficient 1_75 gpm_Direct Install_Electric Water Heating</v>
      </c>
      <c r="W517" s="506" t="s">
        <v>604</v>
      </c>
      <c r="X517" s="502">
        <f t="shared" si="99"/>
        <v>27.086613891579287</v>
      </c>
      <c r="Y517" s="500">
        <v>10</v>
      </c>
      <c r="Z517" s="507">
        <v>0</v>
      </c>
      <c r="AA517" s="500"/>
      <c r="AB517" s="506" t="s">
        <v>605</v>
      </c>
      <c r="AC517" s="505">
        <v>0</v>
      </c>
      <c r="AD517" s="500"/>
      <c r="AE517" s="500"/>
      <c r="AF517" s="500"/>
      <c r="AG517" s="500"/>
      <c r="AH517" s="500"/>
      <c r="AI517" s="500"/>
      <c r="AJ517" s="500">
        <v>0</v>
      </c>
      <c r="AK517" s="506" t="s">
        <v>605</v>
      </c>
    </row>
    <row r="518" spans="6:37">
      <c r="F518" s="500" t="str">
        <f t="shared" si="96"/>
        <v>Fitness Center</v>
      </c>
      <c r="G518" s="500" t="str">
        <f t="shared" si="96"/>
        <v>1_80 to 1_89 gpm</v>
      </c>
      <c r="H518" s="500" t="str">
        <f t="shared" si="96"/>
        <v>Direct Install</v>
      </c>
      <c r="I518" s="500" t="str">
        <f t="shared" si="96"/>
        <v>1_75</v>
      </c>
      <c r="J518" s="500" t="str">
        <f t="shared" si="96"/>
        <v>Gas Water Heating</v>
      </c>
      <c r="K518" s="500" t="str">
        <f t="shared" si="97"/>
        <v>Commercial Showerhead Replacement_Fitness Center_precondition 1_80 to 1_89 gpm_efficient 1_75 gpm_Direct Install_Gas Water Heating - Embedded Water Energy</v>
      </c>
      <c r="L518" s="500"/>
      <c r="M518" s="501"/>
      <c r="N518" s="500"/>
      <c r="O518" s="500"/>
      <c r="P518" s="500"/>
      <c r="Q518" s="502"/>
      <c r="R518" s="503"/>
      <c r="S518" s="504"/>
      <c r="T518" s="505"/>
      <c r="U518" s="500"/>
      <c r="V518" s="500" t="str">
        <f t="shared" si="98"/>
        <v>Commercial Showerhead Replacement_Fitness Center_precondition 1_80 to 1_89 gpm_efficient 1_75 gpm_Direct Install_Gas Water Heating</v>
      </c>
      <c r="W518" s="506" t="s">
        <v>604</v>
      </c>
      <c r="X518" s="502">
        <f t="shared" si="99"/>
        <v>27.086613891579287</v>
      </c>
      <c r="Y518" s="500">
        <v>10</v>
      </c>
      <c r="Z518" s="507">
        <v>0</v>
      </c>
      <c r="AA518" s="500"/>
      <c r="AB518" s="506" t="s">
        <v>605</v>
      </c>
      <c r="AC518" s="505">
        <v>0</v>
      </c>
      <c r="AD518" s="500"/>
      <c r="AE518" s="500"/>
      <c r="AF518" s="500"/>
      <c r="AG518" s="500"/>
      <c r="AH518" s="500"/>
      <c r="AI518" s="500"/>
      <c r="AJ518" s="500">
        <v>0</v>
      </c>
      <c r="AK518" s="506" t="s">
        <v>605</v>
      </c>
    </row>
    <row r="519" spans="6:37">
      <c r="F519" s="500" t="str">
        <f t="shared" si="96"/>
        <v>Fitness Center</v>
      </c>
      <c r="G519" s="500" t="str">
        <f t="shared" si="96"/>
        <v>1_80 to 1_89 gpm</v>
      </c>
      <c r="H519" s="500" t="str">
        <f t="shared" si="96"/>
        <v>Direct Install</v>
      </c>
      <c r="I519" s="500" t="str">
        <f t="shared" si="96"/>
        <v>1_75</v>
      </c>
      <c r="J519" s="500" t="str">
        <f t="shared" si="96"/>
        <v>Any Water Heating</v>
      </c>
      <c r="K519" s="500" t="str">
        <f t="shared" si="97"/>
        <v>Commercial Showerhead Replacement_Fitness Center_precondition 1_80 to 1_89 gpm_efficient 1_75 gpm_Direct Install_Any Water Heating - Embedded Water Energy</v>
      </c>
      <c r="L519" s="500"/>
      <c r="M519" s="501"/>
      <c r="N519" s="500"/>
      <c r="O519" s="500"/>
      <c r="P519" s="500"/>
      <c r="Q519" s="502"/>
      <c r="R519" s="503"/>
      <c r="S519" s="504"/>
      <c r="T519" s="505"/>
      <c r="U519" s="500"/>
      <c r="V519" s="500" t="str">
        <f t="shared" si="98"/>
        <v>Commercial Showerhead Replacement_Fitness Center_precondition 1_80 to 1_89 gpm_efficient 1_75 gpm_Direct Install_Any Water Heating</v>
      </c>
      <c r="W519" s="506" t="s">
        <v>604</v>
      </c>
      <c r="X519" s="502">
        <f t="shared" si="99"/>
        <v>27.086613891579287</v>
      </c>
      <c r="Y519" s="500">
        <v>10</v>
      </c>
      <c r="Z519" s="507">
        <v>0</v>
      </c>
      <c r="AA519" s="500"/>
      <c r="AB519" s="506" t="s">
        <v>605</v>
      </c>
      <c r="AC519" s="505">
        <v>0</v>
      </c>
      <c r="AD519" s="500"/>
      <c r="AE519" s="500"/>
      <c r="AF519" s="500"/>
      <c r="AG519" s="500"/>
      <c r="AH519" s="500"/>
      <c r="AI519" s="500"/>
      <c r="AJ519" s="500">
        <v>0</v>
      </c>
      <c r="AK519" s="506" t="s">
        <v>605</v>
      </c>
    </row>
    <row r="520" spans="6:37">
      <c r="F520" s="500" t="str">
        <f t="shared" si="96"/>
        <v>Fitness Center</v>
      </c>
      <c r="G520" s="500" t="str">
        <f t="shared" si="96"/>
        <v>1_80 to 1_89 gpm</v>
      </c>
      <c r="H520" s="500" t="str">
        <f t="shared" si="96"/>
        <v>Direct Install</v>
      </c>
      <c r="I520" s="500" t="str">
        <f t="shared" si="96"/>
        <v>1_50</v>
      </c>
      <c r="J520" s="500" t="str">
        <f t="shared" si="96"/>
        <v>Electric Water Heating</v>
      </c>
      <c r="K520" s="500" t="str">
        <f t="shared" si="97"/>
        <v>Commercial Showerhead Replacement_Fitness Center_precondition 1_80 to 1_89 gpm_efficient 1_50 gpm_Direct Install_Electric Water Heating - Embedded Water Energy</v>
      </c>
      <c r="L520" s="500"/>
      <c r="M520" s="501"/>
      <c r="N520" s="500"/>
      <c r="O520" s="500"/>
      <c r="P520" s="500"/>
      <c r="Q520" s="502"/>
      <c r="R520" s="503"/>
      <c r="S520" s="504"/>
      <c r="T520" s="505"/>
      <c r="U520" s="500"/>
      <c r="V520" s="500" t="str">
        <f t="shared" si="98"/>
        <v>Commercial Showerhead Replacement_Fitness Center_precondition 1_80 to 1_89 gpm_efficient 1_50 gpm_Direct Install_Electric Water Heating</v>
      </c>
      <c r="W520" s="506" t="s">
        <v>604</v>
      </c>
      <c r="X520" s="502">
        <f t="shared" si="99"/>
        <v>94.80314862052775</v>
      </c>
      <c r="Y520" s="500">
        <v>10</v>
      </c>
      <c r="Z520" s="507">
        <v>0</v>
      </c>
      <c r="AA520" s="500"/>
      <c r="AB520" s="506" t="s">
        <v>605</v>
      </c>
      <c r="AC520" s="505">
        <v>0</v>
      </c>
      <c r="AD520" s="500"/>
      <c r="AE520" s="500"/>
      <c r="AF520" s="500"/>
      <c r="AG520" s="500"/>
      <c r="AH520" s="500"/>
      <c r="AI520" s="500"/>
      <c r="AJ520" s="500">
        <v>0</v>
      </c>
      <c r="AK520" s="506" t="s">
        <v>605</v>
      </c>
    </row>
    <row r="521" spans="6:37">
      <c r="F521" s="500" t="str">
        <f t="shared" si="96"/>
        <v>Fitness Center</v>
      </c>
      <c r="G521" s="500" t="str">
        <f t="shared" si="96"/>
        <v>1_80 to 1_89 gpm</v>
      </c>
      <c r="H521" s="500" t="str">
        <f t="shared" si="96"/>
        <v>Direct Install</v>
      </c>
      <c r="I521" s="500" t="str">
        <f t="shared" si="96"/>
        <v>1_50</v>
      </c>
      <c r="J521" s="500" t="str">
        <f t="shared" si="96"/>
        <v>Gas Water Heating</v>
      </c>
      <c r="K521" s="500" t="str">
        <f t="shared" si="97"/>
        <v>Commercial Showerhead Replacement_Fitness Center_precondition 1_80 to 1_89 gpm_efficient 1_50 gpm_Direct Install_Gas Water Heating - Embedded Water Energy</v>
      </c>
      <c r="L521" s="500"/>
      <c r="M521" s="501"/>
      <c r="N521" s="500"/>
      <c r="O521" s="500"/>
      <c r="P521" s="500"/>
      <c r="Q521" s="502"/>
      <c r="R521" s="503"/>
      <c r="S521" s="504"/>
      <c r="T521" s="505"/>
      <c r="U521" s="500"/>
      <c r="V521" s="500" t="str">
        <f t="shared" si="98"/>
        <v>Commercial Showerhead Replacement_Fitness Center_precondition 1_80 to 1_89 gpm_efficient 1_50 gpm_Direct Install_Gas Water Heating</v>
      </c>
      <c r="W521" s="506" t="s">
        <v>604</v>
      </c>
      <c r="X521" s="502">
        <f t="shared" si="99"/>
        <v>94.80314862052775</v>
      </c>
      <c r="Y521" s="500">
        <v>10</v>
      </c>
      <c r="Z521" s="507">
        <v>0</v>
      </c>
      <c r="AA521" s="500"/>
      <c r="AB521" s="506" t="s">
        <v>605</v>
      </c>
      <c r="AC521" s="505">
        <v>0</v>
      </c>
      <c r="AD521" s="500"/>
      <c r="AE521" s="500"/>
      <c r="AF521" s="500"/>
      <c r="AG521" s="500"/>
      <c r="AH521" s="500"/>
      <c r="AI521" s="500"/>
      <c r="AJ521" s="500">
        <v>0</v>
      </c>
      <c r="AK521" s="506" t="s">
        <v>605</v>
      </c>
    </row>
    <row r="522" spans="6:37">
      <c r="F522" s="500" t="str">
        <f t="shared" si="96"/>
        <v>Fitness Center</v>
      </c>
      <c r="G522" s="500" t="str">
        <f t="shared" si="96"/>
        <v>1_80 to 1_89 gpm</v>
      </c>
      <c r="H522" s="500" t="str">
        <f t="shared" si="96"/>
        <v>Direct Install</v>
      </c>
      <c r="I522" s="500" t="str">
        <f t="shared" si="96"/>
        <v>1_50</v>
      </c>
      <c r="J522" s="500" t="str">
        <f t="shared" si="96"/>
        <v>Any Water Heating</v>
      </c>
      <c r="K522" s="500" t="str">
        <f t="shared" si="97"/>
        <v>Commercial Showerhead Replacement_Fitness Center_precondition 1_80 to 1_89 gpm_efficient 1_50 gpm_Direct Install_Any Water Heating - Embedded Water Energy</v>
      </c>
      <c r="L522" s="500"/>
      <c r="M522" s="501"/>
      <c r="N522" s="500"/>
      <c r="O522" s="500"/>
      <c r="P522" s="500"/>
      <c r="Q522" s="502"/>
      <c r="R522" s="503"/>
      <c r="S522" s="504"/>
      <c r="T522" s="505"/>
      <c r="U522" s="500"/>
      <c r="V522" s="500" t="str">
        <f t="shared" si="98"/>
        <v>Commercial Showerhead Replacement_Fitness Center_precondition 1_80 to 1_89 gpm_efficient 1_50 gpm_Direct Install_Any Water Heating</v>
      </c>
      <c r="W522" s="506" t="s">
        <v>604</v>
      </c>
      <c r="X522" s="502">
        <f t="shared" si="99"/>
        <v>94.80314862052775</v>
      </c>
      <c r="Y522" s="500">
        <v>10</v>
      </c>
      <c r="Z522" s="507">
        <v>0</v>
      </c>
      <c r="AA522" s="500"/>
      <c r="AB522" s="506" t="s">
        <v>605</v>
      </c>
      <c r="AC522" s="505">
        <v>0</v>
      </c>
      <c r="AD522" s="500"/>
      <c r="AE522" s="500"/>
      <c r="AF522" s="500"/>
      <c r="AG522" s="500"/>
      <c r="AH522" s="500"/>
      <c r="AI522" s="500"/>
      <c r="AJ522" s="500">
        <v>0</v>
      </c>
      <c r="AK522" s="506" t="s">
        <v>605</v>
      </c>
    </row>
    <row r="523" spans="6:37">
      <c r="F523" s="500" t="str">
        <f t="shared" si="96"/>
        <v>Fitness Center</v>
      </c>
      <c r="G523" s="500" t="str">
        <f t="shared" si="96"/>
        <v>1_80 to 1_89 gpm</v>
      </c>
      <c r="H523" s="500" t="str">
        <f t="shared" si="96"/>
        <v>Mail-by-Request</v>
      </c>
      <c r="I523" s="500" t="str">
        <f t="shared" si="96"/>
        <v>2_00</v>
      </c>
      <c r="J523" s="500" t="str">
        <f t="shared" si="96"/>
        <v>Electric Water Heating</v>
      </c>
      <c r="K523" s="500" t="str">
        <f t="shared" si="97"/>
        <v>Commercial Showerhead Replacement_Fitness Center_precondition 1_80 to 1_89 gpm_efficient 2_00 gpm_Mail-by-Request_Electric Water Heating - Embedded Water Energy</v>
      </c>
      <c r="L523" s="500"/>
      <c r="M523" s="501"/>
      <c r="N523" s="500"/>
      <c r="O523" s="500"/>
      <c r="P523" s="500"/>
      <c r="Q523" s="502"/>
      <c r="R523" s="503"/>
      <c r="S523" s="504"/>
      <c r="T523" s="505"/>
      <c r="U523" s="500"/>
      <c r="V523" s="500" t="str">
        <f t="shared" si="98"/>
        <v>Commercial Showerhead Replacement_Fitness Center_precondition 1_80 to 1_89 gpm_efficient 2_00 gpm_Mail-by-Request_Electric Water Heating</v>
      </c>
      <c r="W523" s="506" t="s">
        <v>604</v>
      </c>
      <c r="X523" s="502">
        <f t="shared" si="99"/>
        <v>9.0288712971930725</v>
      </c>
      <c r="Y523" s="500">
        <v>10</v>
      </c>
      <c r="Z523" s="507">
        <v>0</v>
      </c>
      <c r="AA523" s="500"/>
      <c r="AB523" s="506" t="s">
        <v>605</v>
      </c>
      <c r="AC523" s="505">
        <v>0</v>
      </c>
      <c r="AD523" s="500"/>
      <c r="AE523" s="500"/>
      <c r="AF523" s="500"/>
      <c r="AG523" s="500"/>
      <c r="AH523" s="500"/>
      <c r="AI523" s="500"/>
      <c r="AJ523" s="500">
        <v>0</v>
      </c>
      <c r="AK523" s="506" t="s">
        <v>605</v>
      </c>
    </row>
    <row r="524" spans="6:37">
      <c r="F524" s="500" t="str">
        <f t="shared" ref="F524:J539" si="100">F227</f>
        <v>Fitness Center</v>
      </c>
      <c r="G524" s="500" t="str">
        <f t="shared" si="100"/>
        <v>1_80 to 1_89 gpm</v>
      </c>
      <c r="H524" s="500" t="str">
        <f t="shared" si="100"/>
        <v>Mail-by-Request</v>
      </c>
      <c r="I524" s="500" t="str">
        <f t="shared" si="100"/>
        <v>2_00</v>
      </c>
      <c r="J524" s="500" t="str">
        <f t="shared" si="100"/>
        <v>Gas Water Heating</v>
      </c>
      <c r="K524" s="500" t="str">
        <f t="shared" si="97"/>
        <v>Commercial Showerhead Replacement_Fitness Center_precondition 1_80 to 1_89 gpm_efficient 2_00 gpm_Mail-by-Request_Gas Water Heating - Embedded Water Energy</v>
      </c>
      <c r="L524" s="500"/>
      <c r="M524" s="501"/>
      <c r="N524" s="500"/>
      <c r="O524" s="500"/>
      <c r="P524" s="500"/>
      <c r="Q524" s="502"/>
      <c r="R524" s="503"/>
      <c r="S524" s="504"/>
      <c r="T524" s="505"/>
      <c r="U524" s="500"/>
      <c r="V524" s="500" t="str">
        <f t="shared" si="98"/>
        <v>Commercial Showerhead Replacement_Fitness Center_precondition 1_80 to 1_89 gpm_efficient 2_00 gpm_Mail-by-Request_Gas Water Heating</v>
      </c>
      <c r="W524" s="506" t="s">
        <v>604</v>
      </c>
      <c r="X524" s="502">
        <f t="shared" si="99"/>
        <v>9.0288712971930725</v>
      </c>
      <c r="Y524" s="500">
        <v>10</v>
      </c>
      <c r="Z524" s="507">
        <v>0</v>
      </c>
      <c r="AA524" s="500"/>
      <c r="AB524" s="506" t="s">
        <v>605</v>
      </c>
      <c r="AC524" s="505">
        <v>0</v>
      </c>
      <c r="AD524" s="500"/>
      <c r="AE524" s="500"/>
      <c r="AF524" s="500"/>
      <c r="AG524" s="500"/>
      <c r="AH524" s="500"/>
      <c r="AI524" s="500"/>
      <c r="AJ524" s="500">
        <v>0</v>
      </c>
      <c r="AK524" s="506" t="s">
        <v>605</v>
      </c>
    </row>
    <row r="525" spans="6:37">
      <c r="F525" s="500" t="str">
        <f t="shared" si="100"/>
        <v>Fitness Center</v>
      </c>
      <c r="G525" s="500" t="str">
        <f t="shared" si="100"/>
        <v>1_80 to 1_89 gpm</v>
      </c>
      <c r="H525" s="500" t="str">
        <f t="shared" si="100"/>
        <v>Mail-by-Request</v>
      </c>
      <c r="I525" s="500" t="str">
        <f t="shared" si="100"/>
        <v>2_00</v>
      </c>
      <c r="J525" s="500" t="str">
        <f t="shared" si="100"/>
        <v>Any Water Heating</v>
      </c>
      <c r="K525" s="500" t="str">
        <f t="shared" si="97"/>
        <v>Commercial Showerhead Replacement_Fitness Center_precondition 1_80 to 1_89 gpm_efficient 2_00 gpm_Mail-by-Request_Any Water Heating - Embedded Water Energy</v>
      </c>
      <c r="L525" s="500"/>
      <c r="M525" s="501"/>
      <c r="N525" s="500"/>
      <c r="O525" s="500"/>
      <c r="P525" s="500"/>
      <c r="Q525" s="502"/>
      <c r="R525" s="503"/>
      <c r="S525" s="504"/>
      <c r="T525" s="505"/>
      <c r="U525" s="500"/>
      <c r="V525" s="500" t="str">
        <f t="shared" si="98"/>
        <v>Commercial Showerhead Replacement_Fitness Center_precondition 1_80 to 1_89 gpm_efficient 2_00 gpm_Mail-by-Request_Any Water Heating</v>
      </c>
      <c r="W525" s="506" t="s">
        <v>604</v>
      </c>
      <c r="X525" s="502">
        <f t="shared" si="99"/>
        <v>9.0288712971930725</v>
      </c>
      <c r="Y525" s="500">
        <v>10</v>
      </c>
      <c r="Z525" s="507">
        <v>0</v>
      </c>
      <c r="AA525" s="500"/>
      <c r="AB525" s="506" t="s">
        <v>605</v>
      </c>
      <c r="AC525" s="505">
        <v>0</v>
      </c>
      <c r="AD525" s="500"/>
      <c r="AE525" s="500"/>
      <c r="AF525" s="500"/>
      <c r="AG525" s="500"/>
      <c r="AH525" s="500"/>
      <c r="AI525" s="500"/>
      <c r="AJ525" s="500">
        <v>0</v>
      </c>
      <c r="AK525" s="506" t="s">
        <v>605</v>
      </c>
    </row>
    <row r="526" spans="6:37">
      <c r="F526" s="500" t="str">
        <f t="shared" si="100"/>
        <v>Fitness Center</v>
      </c>
      <c r="G526" s="500" t="str">
        <f t="shared" si="100"/>
        <v>1_80 to 1_89 gpm</v>
      </c>
      <c r="H526" s="500" t="str">
        <f t="shared" si="100"/>
        <v>Mail-by-Request</v>
      </c>
      <c r="I526" s="500" t="str">
        <f t="shared" si="100"/>
        <v>1_75</v>
      </c>
      <c r="J526" s="500" t="str">
        <f t="shared" si="100"/>
        <v>Electric Water Heating</v>
      </c>
      <c r="K526" s="500" t="str">
        <f t="shared" si="97"/>
        <v>Commercial Showerhead Replacement_Fitness Center_precondition 1_80 to 1_89 gpm_efficient 1_75 gpm_Mail-by-Request_Electric Water Heating - Embedded Water Energy</v>
      </c>
      <c r="L526" s="500"/>
      <c r="M526" s="501"/>
      <c r="N526" s="500"/>
      <c r="O526" s="500"/>
      <c r="P526" s="500"/>
      <c r="Q526" s="502"/>
      <c r="R526" s="503"/>
      <c r="S526" s="504"/>
      <c r="T526" s="505"/>
      <c r="U526" s="500"/>
      <c r="V526" s="500" t="str">
        <f t="shared" si="98"/>
        <v>Commercial Showerhead Replacement_Fitness Center_precondition 1_80 to 1_89 gpm_efficient 1_75 gpm_Mail-by-Request_Electric Water Heating</v>
      </c>
      <c r="W526" s="506" t="s">
        <v>604</v>
      </c>
      <c r="X526" s="502">
        <f t="shared" si="99"/>
        <v>18.057742594386191</v>
      </c>
      <c r="Y526" s="500">
        <v>10</v>
      </c>
      <c r="Z526" s="507">
        <v>0</v>
      </c>
      <c r="AA526" s="500"/>
      <c r="AB526" s="506" t="s">
        <v>605</v>
      </c>
      <c r="AC526" s="505">
        <v>0</v>
      </c>
      <c r="AD526" s="500"/>
      <c r="AE526" s="500"/>
      <c r="AF526" s="500"/>
      <c r="AG526" s="500"/>
      <c r="AH526" s="500"/>
      <c r="AI526" s="500"/>
      <c r="AJ526" s="500">
        <v>0</v>
      </c>
      <c r="AK526" s="506" t="s">
        <v>605</v>
      </c>
    </row>
    <row r="527" spans="6:37">
      <c r="F527" s="500" t="str">
        <f t="shared" si="100"/>
        <v>Fitness Center</v>
      </c>
      <c r="G527" s="500" t="str">
        <f t="shared" si="100"/>
        <v>1_80 to 1_89 gpm</v>
      </c>
      <c r="H527" s="500" t="str">
        <f t="shared" si="100"/>
        <v>Mail-by-Request</v>
      </c>
      <c r="I527" s="500" t="str">
        <f t="shared" si="100"/>
        <v>1_75</v>
      </c>
      <c r="J527" s="500" t="str">
        <f t="shared" si="100"/>
        <v>Gas Water Heating</v>
      </c>
      <c r="K527" s="500" t="str">
        <f t="shared" si="97"/>
        <v>Commercial Showerhead Replacement_Fitness Center_precondition 1_80 to 1_89 gpm_efficient 1_75 gpm_Mail-by-Request_Gas Water Heating - Embedded Water Energy</v>
      </c>
      <c r="L527" s="500"/>
      <c r="M527" s="501"/>
      <c r="N527" s="500"/>
      <c r="O527" s="500"/>
      <c r="P527" s="500"/>
      <c r="Q527" s="502"/>
      <c r="R527" s="503"/>
      <c r="S527" s="504"/>
      <c r="T527" s="505"/>
      <c r="U527" s="500"/>
      <c r="V527" s="500" t="str">
        <f t="shared" si="98"/>
        <v>Commercial Showerhead Replacement_Fitness Center_precondition 1_80 to 1_89 gpm_efficient 1_75 gpm_Mail-by-Request_Gas Water Heating</v>
      </c>
      <c r="W527" s="506" t="s">
        <v>604</v>
      </c>
      <c r="X527" s="502">
        <f t="shared" si="99"/>
        <v>18.057742594386191</v>
      </c>
      <c r="Y527" s="500">
        <v>10</v>
      </c>
      <c r="Z527" s="507">
        <v>0</v>
      </c>
      <c r="AA527" s="500"/>
      <c r="AB527" s="506" t="s">
        <v>605</v>
      </c>
      <c r="AC527" s="505">
        <v>0</v>
      </c>
      <c r="AD527" s="500"/>
      <c r="AE527" s="500"/>
      <c r="AF527" s="500"/>
      <c r="AG527" s="500"/>
      <c r="AH527" s="500"/>
      <c r="AI527" s="500"/>
      <c r="AJ527" s="500">
        <v>0</v>
      </c>
      <c r="AK527" s="506" t="s">
        <v>605</v>
      </c>
    </row>
    <row r="528" spans="6:37">
      <c r="F528" s="500" t="str">
        <f t="shared" si="100"/>
        <v>Fitness Center</v>
      </c>
      <c r="G528" s="500" t="str">
        <f t="shared" si="100"/>
        <v>1_80 to 1_89 gpm</v>
      </c>
      <c r="H528" s="500" t="str">
        <f t="shared" si="100"/>
        <v>Mail-by-Request</v>
      </c>
      <c r="I528" s="500" t="str">
        <f t="shared" si="100"/>
        <v>1_75</v>
      </c>
      <c r="J528" s="500" t="str">
        <f t="shared" si="100"/>
        <v>Any Water Heating</v>
      </c>
      <c r="K528" s="500" t="str">
        <f t="shared" si="97"/>
        <v>Commercial Showerhead Replacement_Fitness Center_precondition 1_80 to 1_89 gpm_efficient 1_75 gpm_Mail-by-Request_Any Water Heating - Embedded Water Energy</v>
      </c>
      <c r="L528" s="500"/>
      <c r="M528" s="501"/>
      <c r="N528" s="500"/>
      <c r="O528" s="500"/>
      <c r="P528" s="500"/>
      <c r="Q528" s="502"/>
      <c r="R528" s="503"/>
      <c r="S528" s="504"/>
      <c r="T528" s="505"/>
      <c r="U528" s="500"/>
      <c r="V528" s="500" t="str">
        <f t="shared" si="98"/>
        <v>Commercial Showerhead Replacement_Fitness Center_precondition 1_80 to 1_89 gpm_efficient 1_75 gpm_Mail-by-Request_Any Water Heating</v>
      </c>
      <c r="W528" s="506" t="s">
        <v>604</v>
      </c>
      <c r="X528" s="502">
        <f t="shared" si="99"/>
        <v>18.057742594386191</v>
      </c>
      <c r="Y528" s="500">
        <v>10</v>
      </c>
      <c r="Z528" s="507">
        <v>0</v>
      </c>
      <c r="AA528" s="500"/>
      <c r="AB528" s="506" t="s">
        <v>605</v>
      </c>
      <c r="AC528" s="505">
        <v>0</v>
      </c>
      <c r="AD528" s="500"/>
      <c r="AE528" s="500"/>
      <c r="AF528" s="500"/>
      <c r="AG528" s="500"/>
      <c r="AH528" s="500"/>
      <c r="AI528" s="500"/>
      <c r="AJ528" s="500">
        <v>0</v>
      </c>
      <c r="AK528" s="506" t="s">
        <v>605</v>
      </c>
    </row>
    <row r="529" spans="6:37">
      <c r="F529" s="500" t="str">
        <f t="shared" si="100"/>
        <v>Fitness Center</v>
      </c>
      <c r="G529" s="500" t="str">
        <f t="shared" si="100"/>
        <v>1_80 to 1_89 gpm</v>
      </c>
      <c r="H529" s="500" t="str">
        <f t="shared" si="100"/>
        <v>Mail-by-Request</v>
      </c>
      <c r="I529" s="500" t="str">
        <f t="shared" si="100"/>
        <v>1_50</v>
      </c>
      <c r="J529" s="500" t="str">
        <f t="shared" si="100"/>
        <v>Electric Water Heating</v>
      </c>
      <c r="K529" s="500" t="str">
        <f t="shared" si="97"/>
        <v>Commercial Showerhead Replacement_Fitness Center_precondition 1_80 to 1_89 gpm_efficient 1_50 gpm_Mail-by-Request_Electric Water Heating - Embedded Water Energy</v>
      </c>
      <c r="L529" s="500"/>
      <c r="M529" s="501"/>
      <c r="N529" s="500"/>
      <c r="O529" s="500"/>
      <c r="P529" s="500"/>
      <c r="Q529" s="502"/>
      <c r="R529" s="503"/>
      <c r="S529" s="504"/>
      <c r="T529" s="505"/>
      <c r="U529" s="500"/>
      <c r="V529" s="500" t="str">
        <f t="shared" si="98"/>
        <v>Commercial Showerhead Replacement_Fitness Center_precondition 1_80 to 1_89 gpm_efficient 1_50 gpm_Mail-by-Request_Electric Water Heating</v>
      </c>
      <c r="W529" s="506" t="s">
        <v>604</v>
      </c>
      <c r="X529" s="502">
        <f t="shared" si="99"/>
        <v>63.202099080351829</v>
      </c>
      <c r="Y529" s="500">
        <v>10</v>
      </c>
      <c r="Z529" s="507">
        <v>0</v>
      </c>
      <c r="AA529" s="500"/>
      <c r="AB529" s="506" t="s">
        <v>605</v>
      </c>
      <c r="AC529" s="505">
        <v>0</v>
      </c>
      <c r="AD529" s="500"/>
      <c r="AE529" s="500"/>
      <c r="AF529" s="500"/>
      <c r="AG529" s="500"/>
      <c r="AH529" s="500"/>
      <c r="AI529" s="500"/>
      <c r="AJ529" s="500">
        <v>0</v>
      </c>
      <c r="AK529" s="506" t="s">
        <v>605</v>
      </c>
    </row>
    <row r="530" spans="6:37">
      <c r="F530" s="500" t="str">
        <f t="shared" si="100"/>
        <v>Fitness Center</v>
      </c>
      <c r="G530" s="500" t="str">
        <f t="shared" si="100"/>
        <v>1_80 to 1_89 gpm</v>
      </c>
      <c r="H530" s="500" t="str">
        <f t="shared" si="100"/>
        <v>Mail-by-Request</v>
      </c>
      <c r="I530" s="500" t="str">
        <f t="shared" si="100"/>
        <v>1_50</v>
      </c>
      <c r="J530" s="500" t="str">
        <f t="shared" si="100"/>
        <v>Gas Water Heating</v>
      </c>
      <c r="K530" s="500" t="str">
        <f t="shared" si="97"/>
        <v>Commercial Showerhead Replacement_Fitness Center_precondition 1_80 to 1_89 gpm_efficient 1_50 gpm_Mail-by-Request_Gas Water Heating - Embedded Water Energy</v>
      </c>
      <c r="L530" s="500"/>
      <c r="M530" s="501"/>
      <c r="N530" s="500"/>
      <c r="O530" s="500"/>
      <c r="P530" s="500"/>
      <c r="Q530" s="502"/>
      <c r="R530" s="503"/>
      <c r="S530" s="504"/>
      <c r="T530" s="505"/>
      <c r="U530" s="500"/>
      <c r="V530" s="500" t="str">
        <f t="shared" si="98"/>
        <v>Commercial Showerhead Replacement_Fitness Center_precondition 1_80 to 1_89 gpm_efficient 1_50 gpm_Mail-by-Request_Gas Water Heating</v>
      </c>
      <c r="W530" s="506" t="s">
        <v>604</v>
      </c>
      <c r="X530" s="502">
        <f t="shared" si="99"/>
        <v>63.202099080351829</v>
      </c>
      <c r="Y530" s="500">
        <v>10</v>
      </c>
      <c r="Z530" s="507">
        <v>0</v>
      </c>
      <c r="AA530" s="500"/>
      <c r="AB530" s="506" t="s">
        <v>605</v>
      </c>
      <c r="AC530" s="505">
        <v>0</v>
      </c>
      <c r="AD530" s="500"/>
      <c r="AE530" s="500"/>
      <c r="AF530" s="500"/>
      <c r="AG530" s="500"/>
      <c r="AH530" s="500"/>
      <c r="AI530" s="500"/>
      <c r="AJ530" s="500">
        <v>0</v>
      </c>
      <c r="AK530" s="506" t="s">
        <v>605</v>
      </c>
    </row>
    <row r="531" spans="6:37">
      <c r="F531" s="500" t="str">
        <f t="shared" si="100"/>
        <v>Fitness Center</v>
      </c>
      <c r="G531" s="500" t="str">
        <f t="shared" si="100"/>
        <v>1_80 to 1_89 gpm</v>
      </c>
      <c r="H531" s="500" t="str">
        <f t="shared" si="100"/>
        <v>Mail-by-Request</v>
      </c>
      <c r="I531" s="500" t="str">
        <f t="shared" si="100"/>
        <v>1_50</v>
      </c>
      <c r="J531" s="500" t="str">
        <f t="shared" si="100"/>
        <v>Any Water Heating</v>
      </c>
      <c r="K531" s="500" t="str">
        <f t="shared" si="97"/>
        <v>Commercial Showerhead Replacement_Fitness Center_precondition 1_80 to 1_89 gpm_efficient 1_50 gpm_Mail-by-Request_Any Water Heating - Embedded Water Energy</v>
      </c>
      <c r="L531" s="500"/>
      <c r="M531" s="501"/>
      <c r="N531" s="500"/>
      <c r="O531" s="500"/>
      <c r="P531" s="500"/>
      <c r="Q531" s="502"/>
      <c r="R531" s="503"/>
      <c r="S531" s="504"/>
      <c r="T531" s="505"/>
      <c r="U531" s="500"/>
      <c r="V531" s="500" t="str">
        <f t="shared" si="98"/>
        <v>Commercial Showerhead Replacement_Fitness Center_precondition 1_80 to 1_89 gpm_efficient 1_50 gpm_Mail-by-Request_Any Water Heating</v>
      </c>
      <c r="W531" s="506" t="s">
        <v>604</v>
      </c>
      <c r="X531" s="502">
        <f t="shared" si="99"/>
        <v>63.202099080351829</v>
      </c>
      <c r="Y531" s="500">
        <v>10</v>
      </c>
      <c r="Z531" s="507">
        <v>0</v>
      </c>
      <c r="AA531" s="500"/>
      <c r="AB531" s="506" t="s">
        <v>605</v>
      </c>
      <c r="AC531" s="505">
        <v>0</v>
      </c>
      <c r="AD531" s="500"/>
      <c r="AE531" s="500"/>
      <c r="AF531" s="500"/>
      <c r="AG531" s="500"/>
      <c r="AH531" s="500"/>
      <c r="AI531" s="500"/>
      <c r="AJ531" s="500">
        <v>0</v>
      </c>
      <c r="AK531" s="506" t="s">
        <v>605</v>
      </c>
    </row>
    <row r="532" spans="6:37">
      <c r="F532" s="500" t="str">
        <f t="shared" si="100"/>
        <v>Fitness Center</v>
      </c>
      <c r="G532" s="500" t="str">
        <f t="shared" si="100"/>
        <v>1_70 to 1_79 gpm</v>
      </c>
      <c r="H532" s="500" t="str">
        <f t="shared" si="100"/>
        <v>Retail</v>
      </c>
      <c r="I532" s="500" t="str">
        <f t="shared" si="100"/>
        <v>2_00</v>
      </c>
      <c r="J532" s="500" t="str">
        <f t="shared" si="100"/>
        <v>Electric Water Heating</v>
      </c>
      <c r="K532" s="500" t="str">
        <f t="shared" si="97"/>
        <v>Commercial Showerhead Replacement_Fitness Center_precondition 1_70 to 1_79 gpm_efficient 2_00 gpm_Retail_Electric Water Heating - Embedded Water Energy</v>
      </c>
      <c r="L532" s="500"/>
      <c r="M532" s="501"/>
      <c r="N532" s="500"/>
      <c r="O532" s="500"/>
      <c r="P532" s="500"/>
      <c r="Q532" s="502"/>
      <c r="R532" s="503"/>
      <c r="S532" s="504"/>
      <c r="T532" s="505"/>
      <c r="U532" s="500"/>
      <c r="V532" s="500" t="str">
        <f t="shared" si="98"/>
        <v>Commercial Showerhead Replacement_Fitness Center_precondition 1_70 to 1_79 gpm_efficient 2_00 gpm_Retail_Electric Water Heating</v>
      </c>
      <c r="W532" s="506" t="s">
        <v>604</v>
      </c>
      <c r="X532" s="502">
        <f t="shared" si="99"/>
        <v>0</v>
      </c>
      <c r="Y532" s="500">
        <v>10</v>
      </c>
      <c r="Z532" s="507">
        <v>0</v>
      </c>
      <c r="AA532" s="500"/>
      <c r="AB532" s="506" t="s">
        <v>605</v>
      </c>
      <c r="AC532" s="505">
        <v>0</v>
      </c>
      <c r="AD532" s="500"/>
      <c r="AE532" s="500"/>
      <c r="AF532" s="500"/>
      <c r="AG532" s="500"/>
      <c r="AH532" s="500"/>
      <c r="AI532" s="500"/>
      <c r="AJ532" s="500">
        <v>0</v>
      </c>
      <c r="AK532" s="506" t="s">
        <v>605</v>
      </c>
    </row>
    <row r="533" spans="6:37">
      <c r="F533" s="500" t="str">
        <f t="shared" si="100"/>
        <v>Fitness Center</v>
      </c>
      <c r="G533" s="500" t="str">
        <f t="shared" si="100"/>
        <v>1_70 to 1_79 gpm</v>
      </c>
      <c r="H533" s="500" t="str">
        <f t="shared" si="100"/>
        <v>Retail</v>
      </c>
      <c r="I533" s="500" t="str">
        <f t="shared" si="100"/>
        <v>2_00</v>
      </c>
      <c r="J533" s="500" t="str">
        <f t="shared" si="100"/>
        <v>Gas Water Heating</v>
      </c>
      <c r="K533" s="500" t="str">
        <f t="shared" si="97"/>
        <v>Commercial Showerhead Replacement_Fitness Center_precondition 1_70 to 1_79 gpm_efficient 2_00 gpm_Retail_Gas Water Heating - Embedded Water Energy</v>
      </c>
      <c r="L533" s="500"/>
      <c r="M533" s="501"/>
      <c r="N533" s="500"/>
      <c r="O533" s="500"/>
      <c r="P533" s="500"/>
      <c r="Q533" s="502"/>
      <c r="R533" s="503"/>
      <c r="S533" s="504"/>
      <c r="T533" s="505"/>
      <c r="U533" s="500"/>
      <c r="V533" s="500" t="str">
        <f t="shared" si="98"/>
        <v>Commercial Showerhead Replacement_Fitness Center_precondition 1_70 to 1_79 gpm_efficient 2_00 gpm_Retail_Gas Water Heating</v>
      </c>
      <c r="W533" s="506" t="s">
        <v>604</v>
      </c>
      <c r="X533" s="502">
        <f t="shared" si="99"/>
        <v>0</v>
      </c>
      <c r="Y533" s="500">
        <v>10</v>
      </c>
      <c r="Z533" s="507">
        <v>0</v>
      </c>
      <c r="AA533" s="500"/>
      <c r="AB533" s="506" t="s">
        <v>605</v>
      </c>
      <c r="AC533" s="505">
        <v>0</v>
      </c>
      <c r="AD533" s="500"/>
      <c r="AE533" s="500"/>
      <c r="AF533" s="500"/>
      <c r="AG533" s="500"/>
      <c r="AH533" s="500"/>
      <c r="AI533" s="500"/>
      <c r="AJ533" s="500">
        <v>0</v>
      </c>
      <c r="AK533" s="506" t="s">
        <v>605</v>
      </c>
    </row>
    <row r="534" spans="6:37">
      <c r="F534" s="500" t="str">
        <f t="shared" si="100"/>
        <v>Fitness Center</v>
      </c>
      <c r="G534" s="500" t="str">
        <f t="shared" si="100"/>
        <v>1_70 to 1_79 gpm</v>
      </c>
      <c r="H534" s="500" t="str">
        <f t="shared" si="100"/>
        <v>Retail</v>
      </c>
      <c r="I534" s="500" t="str">
        <f t="shared" si="100"/>
        <v>2_00</v>
      </c>
      <c r="J534" s="500" t="str">
        <f t="shared" si="100"/>
        <v>Any Water Heating</v>
      </c>
      <c r="K534" s="500" t="str">
        <f t="shared" si="97"/>
        <v>Commercial Showerhead Replacement_Fitness Center_precondition 1_70 to 1_79 gpm_efficient 2_00 gpm_Retail_Any Water Heating - Embedded Water Energy</v>
      </c>
      <c r="L534" s="500"/>
      <c r="M534" s="501"/>
      <c r="N534" s="500"/>
      <c r="O534" s="500"/>
      <c r="P534" s="500"/>
      <c r="Q534" s="502"/>
      <c r="R534" s="503"/>
      <c r="S534" s="504"/>
      <c r="T534" s="505"/>
      <c r="U534" s="500"/>
      <c r="V534" s="500" t="str">
        <f t="shared" si="98"/>
        <v>Commercial Showerhead Replacement_Fitness Center_precondition 1_70 to 1_79 gpm_efficient 2_00 gpm_Retail_Any Water Heating</v>
      </c>
      <c r="W534" s="506" t="s">
        <v>604</v>
      </c>
      <c r="X534" s="502">
        <f t="shared" si="99"/>
        <v>0</v>
      </c>
      <c r="Y534" s="500">
        <v>10</v>
      </c>
      <c r="Z534" s="507">
        <v>0</v>
      </c>
      <c r="AA534" s="500"/>
      <c r="AB534" s="506" t="s">
        <v>605</v>
      </c>
      <c r="AC534" s="505">
        <v>0</v>
      </c>
      <c r="AD534" s="500"/>
      <c r="AE534" s="500"/>
      <c r="AF534" s="500"/>
      <c r="AG534" s="500"/>
      <c r="AH534" s="500"/>
      <c r="AI534" s="500"/>
      <c r="AJ534" s="500">
        <v>0</v>
      </c>
      <c r="AK534" s="506" t="s">
        <v>605</v>
      </c>
    </row>
    <row r="535" spans="6:37">
      <c r="F535" s="500" t="str">
        <f t="shared" si="100"/>
        <v>Fitness Center</v>
      </c>
      <c r="G535" s="500" t="str">
        <f t="shared" si="100"/>
        <v>1_70 to 1_79 gpm</v>
      </c>
      <c r="H535" s="500" t="str">
        <f t="shared" si="100"/>
        <v>Retail</v>
      </c>
      <c r="I535" s="500" t="str">
        <f t="shared" si="100"/>
        <v>1_75</v>
      </c>
      <c r="J535" s="500" t="str">
        <f t="shared" si="100"/>
        <v>Electric Water Heating</v>
      </c>
      <c r="K535" s="500" t="str">
        <f t="shared" si="97"/>
        <v>Commercial Showerhead Replacement_Fitness Center_precondition 1_70 to 1_79 gpm_efficient 1_75 gpm_Retail_Electric Water Heating - Embedded Water Energy</v>
      </c>
      <c r="L535" s="500"/>
      <c r="M535" s="501"/>
      <c r="N535" s="500"/>
      <c r="O535" s="500"/>
      <c r="P535" s="500"/>
      <c r="Q535" s="502"/>
      <c r="R535" s="503"/>
      <c r="S535" s="504"/>
      <c r="T535" s="505"/>
      <c r="U535" s="500"/>
      <c r="V535" s="500" t="str">
        <f t="shared" si="98"/>
        <v>Commercial Showerhead Replacement_Fitness Center_precondition 1_70 to 1_79 gpm_efficient 1_75 gpm_Retail_Electric Water Heating</v>
      </c>
      <c r="W535" s="506" t="s">
        <v>604</v>
      </c>
      <c r="X535" s="502">
        <f t="shared" si="99"/>
        <v>0</v>
      </c>
      <c r="Y535" s="500">
        <v>10</v>
      </c>
      <c r="Z535" s="507">
        <v>0</v>
      </c>
      <c r="AA535" s="500"/>
      <c r="AB535" s="506" t="s">
        <v>605</v>
      </c>
      <c r="AC535" s="505">
        <v>0</v>
      </c>
      <c r="AD535" s="500"/>
      <c r="AE535" s="500"/>
      <c r="AF535" s="500"/>
      <c r="AG535" s="500"/>
      <c r="AH535" s="500"/>
      <c r="AI535" s="500"/>
      <c r="AJ535" s="500">
        <v>0</v>
      </c>
      <c r="AK535" s="506" t="s">
        <v>605</v>
      </c>
    </row>
    <row r="536" spans="6:37">
      <c r="F536" s="500" t="str">
        <f t="shared" si="100"/>
        <v>Fitness Center</v>
      </c>
      <c r="G536" s="500" t="str">
        <f t="shared" si="100"/>
        <v>1_70 to 1_79 gpm</v>
      </c>
      <c r="H536" s="500" t="str">
        <f t="shared" si="100"/>
        <v>Retail</v>
      </c>
      <c r="I536" s="500" t="str">
        <f t="shared" si="100"/>
        <v>1_75</v>
      </c>
      <c r="J536" s="500" t="str">
        <f t="shared" si="100"/>
        <v>Gas Water Heating</v>
      </c>
      <c r="K536" s="500" t="str">
        <f t="shared" si="97"/>
        <v>Commercial Showerhead Replacement_Fitness Center_precondition 1_70 to 1_79 gpm_efficient 1_75 gpm_Retail_Gas Water Heating - Embedded Water Energy</v>
      </c>
      <c r="L536" s="500"/>
      <c r="M536" s="501"/>
      <c r="N536" s="500"/>
      <c r="O536" s="500"/>
      <c r="P536" s="500"/>
      <c r="Q536" s="502"/>
      <c r="R536" s="503"/>
      <c r="S536" s="504"/>
      <c r="T536" s="505"/>
      <c r="U536" s="500"/>
      <c r="V536" s="500" t="str">
        <f t="shared" si="98"/>
        <v>Commercial Showerhead Replacement_Fitness Center_precondition 1_70 to 1_79 gpm_efficient 1_75 gpm_Retail_Gas Water Heating</v>
      </c>
      <c r="W536" s="506" t="s">
        <v>604</v>
      </c>
      <c r="X536" s="502">
        <f t="shared" si="99"/>
        <v>0</v>
      </c>
      <c r="Y536" s="500">
        <v>10</v>
      </c>
      <c r="Z536" s="507">
        <v>0</v>
      </c>
      <c r="AA536" s="500"/>
      <c r="AB536" s="506" t="s">
        <v>605</v>
      </c>
      <c r="AC536" s="505">
        <v>0</v>
      </c>
      <c r="AD536" s="500"/>
      <c r="AE536" s="500"/>
      <c r="AF536" s="500"/>
      <c r="AG536" s="500"/>
      <c r="AH536" s="500"/>
      <c r="AI536" s="500"/>
      <c r="AJ536" s="500">
        <v>0</v>
      </c>
      <c r="AK536" s="506" t="s">
        <v>605</v>
      </c>
    </row>
    <row r="537" spans="6:37">
      <c r="F537" s="500" t="str">
        <f t="shared" si="100"/>
        <v>Fitness Center</v>
      </c>
      <c r="G537" s="500" t="str">
        <f t="shared" si="100"/>
        <v>1_70 to 1_79 gpm</v>
      </c>
      <c r="H537" s="500" t="str">
        <f t="shared" si="100"/>
        <v>Retail</v>
      </c>
      <c r="I537" s="500" t="str">
        <f t="shared" si="100"/>
        <v>1_75</v>
      </c>
      <c r="J537" s="500" t="str">
        <f t="shared" si="100"/>
        <v>Any Water Heating</v>
      </c>
      <c r="K537" s="500" t="str">
        <f t="shared" si="97"/>
        <v>Commercial Showerhead Replacement_Fitness Center_precondition 1_70 to 1_79 gpm_efficient 1_75 gpm_Retail_Any Water Heating - Embedded Water Energy</v>
      </c>
      <c r="L537" s="500"/>
      <c r="M537" s="501"/>
      <c r="N537" s="500"/>
      <c r="O537" s="500"/>
      <c r="P537" s="500"/>
      <c r="Q537" s="502"/>
      <c r="R537" s="503"/>
      <c r="S537" s="504"/>
      <c r="T537" s="505"/>
      <c r="U537" s="500"/>
      <c r="V537" s="500" t="str">
        <f t="shared" si="98"/>
        <v>Commercial Showerhead Replacement_Fitness Center_precondition 1_70 to 1_79 gpm_efficient 1_75 gpm_Retail_Any Water Heating</v>
      </c>
      <c r="W537" s="506" t="s">
        <v>604</v>
      </c>
      <c r="X537" s="502">
        <f t="shared" si="99"/>
        <v>0</v>
      </c>
      <c r="Y537" s="500">
        <v>10</v>
      </c>
      <c r="Z537" s="507">
        <v>0</v>
      </c>
      <c r="AA537" s="500"/>
      <c r="AB537" s="506" t="s">
        <v>605</v>
      </c>
      <c r="AC537" s="505">
        <v>0</v>
      </c>
      <c r="AD537" s="500"/>
      <c r="AE537" s="500"/>
      <c r="AF537" s="500"/>
      <c r="AG537" s="500"/>
      <c r="AH537" s="500"/>
      <c r="AI537" s="500"/>
      <c r="AJ537" s="500">
        <v>0</v>
      </c>
      <c r="AK537" s="506" t="s">
        <v>605</v>
      </c>
    </row>
    <row r="538" spans="6:37">
      <c r="F538" s="500" t="str">
        <f t="shared" si="100"/>
        <v>Fitness Center</v>
      </c>
      <c r="G538" s="500" t="str">
        <f t="shared" si="100"/>
        <v>1_70 to 1_79 gpm</v>
      </c>
      <c r="H538" s="500" t="str">
        <f t="shared" si="100"/>
        <v>Retail</v>
      </c>
      <c r="I538" s="500" t="str">
        <f t="shared" si="100"/>
        <v>1_50</v>
      </c>
      <c r="J538" s="500" t="str">
        <f t="shared" si="100"/>
        <v>Electric Water Heating</v>
      </c>
      <c r="K538" s="500" t="str">
        <f t="shared" si="97"/>
        <v>Commercial Showerhead Replacement_Fitness Center_precondition 1_70 to 1_79 gpm_efficient 1_50 gpm_Retail_Electric Water Heating - Embedded Water Energy</v>
      </c>
      <c r="L538" s="500"/>
      <c r="M538" s="501"/>
      <c r="N538" s="500"/>
      <c r="O538" s="500"/>
      <c r="P538" s="500"/>
      <c r="Q538" s="502"/>
      <c r="R538" s="503"/>
      <c r="S538" s="504"/>
      <c r="T538" s="505"/>
      <c r="U538" s="500"/>
      <c r="V538" s="500" t="str">
        <f t="shared" si="98"/>
        <v>Commercial Showerhead Replacement_Fitness Center_precondition 1_70 to 1_79 gpm_efficient 1_50 gpm_Retail_Electric Water Heating</v>
      </c>
      <c r="W538" s="506" t="s">
        <v>604</v>
      </c>
      <c r="X538" s="502">
        <f t="shared" si="99"/>
        <v>52.668415900293134</v>
      </c>
      <c r="Y538" s="500">
        <v>10</v>
      </c>
      <c r="Z538" s="507">
        <v>0</v>
      </c>
      <c r="AA538" s="500"/>
      <c r="AB538" s="506" t="s">
        <v>605</v>
      </c>
      <c r="AC538" s="505">
        <v>0</v>
      </c>
      <c r="AD538" s="500"/>
      <c r="AE538" s="500"/>
      <c r="AF538" s="500"/>
      <c r="AG538" s="500"/>
      <c r="AH538" s="500"/>
      <c r="AI538" s="500"/>
      <c r="AJ538" s="500">
        <v>0</v>
      </c>
      <c r="AK538" s="506" t="s">
        <v>605</v>
      </c>
    </row>
    <row r="539" spans="6:37">
      <c r="F539" s="500" t="str">
        <f t="shared" si="100"/>
        <v>Fitness Center</v>
      </c>
      <c r="G539" s="500" t="str">
        <f t="shared" si="100"/>
        <v>1_70 to 1_79 gpm</v>
      </c>
      <c r="H539" s="500" t="str">
        <f t="shared" si="100"/>
        <v>Retail</v>
      </c>
      <c r="I539" s="500" t="str">
        <f t="shared" si="100"/>
        <v>1_50</v>
      </c>
      <c r="J539" s="500" t="str">
        <f t="shared" si="100"/>
        <v>Gas Water Heating</v>
      </c>
      <c r="K539" s="500" t="str">
        <f t="shared" si="97"/>
        <v>Commercial Showerhead Replacement_Fitness Center_precondition 1_70 to 1_79 gpm_efficient 1_50 gpm_Retail_Gas Water Heating - Embedded Water Energy</v>
      </c>
      <c r="L539" s="500"/>
      <c r="M539" s="501"/>
      <c r="N539" s="500"/>
      <c r="O539" s="500"/>
      <c r="P539" s="500"/>
      <c r="Q539" s="502"/>
      <c r="R539" s="503"/>
      <c r="S539" s="504"/>
      <c r="T539" s="505"/>
      <c r="U539" s="500"/>
      <c r="V539" s="500" t="str">
        <f t="shared" si="98"/>
        <v>Commercial Showerhead Replacement_Fitness Center_precondition 1_70 to 1_79 gpm_efficient 1_50 gpm_Retail_Gas Water Heating</v>
      </c>
      <c r="W539" s="506" t="s">
        <v>604</v>
      </c>
      <c r="X539" s="502">
        <f t="shared" si="99"/>
        <v>52.668415900293134</v>
      </c>
      <c r="Y539" s="500">
        <v>10</v>
      </c>
      <c r="Z539" s="507">
        <v>0</v>
      </c>
      <c r="AA539" s="500"/>
      <c r="AB539" s="506" t="s">
        <v>605</v>
      </c>
      <c r="AC539" s="505">
        <v>0</v>
      </c>
      <c r="AD539" s="500"/>
      <c r="AE539" s="500"/>
      <c r="AF539" s="500"/>
      <c r="AG539" s="500"/>
      <c r="AH539" s="500"/>
      <c r="AI539" s="500"/>
      <c r="AJ539" s="500">
        <v>0</v>
      </c>
      <c r="AK539" s="506" t="s">
        <v>605</v>
      </c>
    </row>
    <row r="540" spans="6:37">
      <c r="F540" s="500" t="str">
        <f t="shared" ref="F540:J555" si="101">F243</f>
        <v>Fitness Center</v>
      </c>
      <c r="G540" s="500" t="str">
        <f t="shared" si="101"/>
        <v>1_70 to 1_79 gpm</v>
      </c>
      <c r="H540" s="500" t="str">
        <f t="shared" si="101"/>
        <v>Retail</v>
      </c>
      <c r="I540" s="500" t="str">
        <f t="shared" si="101"/>
        <v>1_50</v>
      </c>
      <c r="J540" s="500" t="str">
        <f t="shared" si="101"/>
        <v>Any Water Heating</v>
      </c>
      <c r="K540" s="500" t="str">
        <f t="shared" si="97"/>
        <v>Commercial Showerhead Replacement_Fitness Center_precondition 1_70 to 1_79 gpm_efficient 1_50 gpm_Retail_Any Water Heating - Embedded Water Energy</v>
      </c>
      <c r="L540" s="500"/>
      <c r="M540" s="501"/>
      <c r="N540" s="500"/>
      <c r="O540" s="500"/>
      <c r="P540" s="500"/>
      <c r="Q540" s="502"/>
      <c r="R540" s="503"/>
      <c r="S540" s="504"/>
      <c r="T540" s="505"/>
      <c r="U540" s="500"/>
      <c r="V540" s="500" t="str">
        <f t="shared" si="98"/>
        <v>Commercial Showerhead Replacement_Fitness Center_precondition 1_70 to 1_79 gpm_efficient 1_50 gpm_Retail_Any Water Heating</v>
      </c>
      <c r="W540" s="506" t="s">
        <v>604</v>
      </c>
      <c r="X540" s="502">
        <f t="shared" si="99"/>
        <v>52.668415900293134</v>
      </c>
      <c r="Y540" s="500">
        <v>10</v>
      </c>
      <c r="Z540" s="507">
        <v>0</v>
      </c>
      <c r="AA540" s="500"/>
      <c r="AB540" s="506" t="s">
        <v>605</v>
      </c>
      <c r="AC540" s="505">
        <v>0</v>
      </c>
      <c r="AD540" s="500"/>
      <c r="AE540" s="500"/>
      <c r="AF540" s="500"/>
      <c r="AG540" s="500"/>
      <c r="AH540" s="500"/>
      <c r="AI540" s="500"/>
      <c r="AJ540" s="500">
        <v>0</v>
      </c>
      <c r="AK540" s="506" t="s">
        <v>605</v>
      </c>
    </row>
    <row r="541" spans="6:37">
      <c r="F541" s="500" t="str">
        <f t="shared" si="101"/>
        <v>Fitness Center</v>
      </c>
      <c r="G541" s="500" t="str">
        <f t="shared" si="101"/>
        <v>1_70 to 1_79 gpm</v>
      </c>
      <c r="H541" s="500" t="str">
        <f t="shared" si="101"/>
        <v>Direct Install</v>
      </c>
      <c r="I541" s="500" t="str">
        <f t="shared" si="101"/>
        <v>2_00</v>
      </c>
      <c r="J541" s="500" t="str">
        <f t="shared" si="101"/>
        <v>Electric Water Heating</v>
      </c>
      <c r="K541" s="500" t="str">
        <f t="shared" si="97"/>
        <v>Commercial Showerhead Replacement_Fitness Center_precondition 1_70 to 1_79 gpm_efficient 2_00 gpm_Direct Install_Electric Water Heating - Embedded Water Energy</v>
      </c>
      <c r="L541" s="500"/>
      <c r="M541" s="501"/>
      <c r="N541" s="500"/>
      <c r="O541" s="500"/>
      <c r="P541" s="500"/>
      <c r="Q541" s="502"/>
      <c r="R541" s="503"/>
      <c r="S541" s="504"/>
      <c r="T541" s="505"/>
      <c r="U541" s="500"/>
      <c r="V541" s="500" t="str">
        <f t="shared" si="98"/>
        <v>Commercial Showerhead Replacement_Fitness Center_precondition 1_70 to 1_79 gpm_efficient 2_00 gpm_Direct Install_Electric Water Heating</v>
      </c>
      <c r="W541" s="506" t="s">
        <v>604</v>
      </c>
      <c r="X541" s="502">
        <f t="shared" si="99"/>
        <v>0</v>
      </c>
      <c r="Y541" s="500">
        <v>10</v>
      </c>
      <c r="Z541" s="507">
        <v>0</v>
      </c>
      <c r="AA541" s="500"/>
      <c r="AB541" s="506" t="s">
        <v>605</v>
      </c>
      <c r="AC541" s="505">
        <v>0</v>
      </c>
      <c r="AD541" s="500"/>
      <c r="AE541" s="500"/>
      <c r="AF541" s="500"/>
      <c r="AG541" s="500"/>
      <c r="AH541" s="500"/>
      <c r="AI541" s="500"/>
      <c r="AJ541" s="500">
        <v>0</v>
      </c>
      <c r="AK541" s="506" t="s">
        <v>605</v>
      </c>
    </row>
    <row r="542" spans="6:37">
      <c r="F542" s="500" t="str">
        <f t="shared" si="101"/>
        <v>Fitness Center</v>
      </c>
      <c r="G542" s="500" t="str">
        <f t="shared" si="101"/>
        <v>1_70 to 1_79 gpm</v>
      </c>
      <c r="H542" s="500" t="str">
        <f t="shared" si="101"/>
        <v>Direct Install</v>
      </c>
      <c r="I542" s="500" t="str">
        <f t="shared" si="101"/>
        <v>2_00</v>
      </c>
      <c r="J542" s="500" t="str">
        <f t="shared" si="101"/>
        <v>Gas Water Heating</v>
      </c>
      <c r="K542" s="500" t="str">
        <f t="shared" si="97"/>
        <v>Commercial Showerhead Replacement_Fitness Center_precondition 1_70 to 1_79 gpm_efficient 2_00 gpm_Direct Install_Gas Water Heating - Embedded Water Energy</v>
      </c>
      <c r="L542" s="500"/>
      <c r="M542" s="501"/>
      <c r="N542" s="500"/>
      <c r="O542" s="500"/>
      <c r="P542" s="500"/>
      <c r="Q542" s="502"/>
      <c r="R542" s="503"/>
      <c r="S542" s="504"/>
      <c r="T542" s="505"/>
      <c r="U542" s="500"/>
      <c r="V542" s="500" t="str">
        <f t="shared" si="98"/>
        <v>Commercial Showerhead Replacement_Fitness Center_precondition 1_70 to 1_79 gpm_efficient 2_00 gpm_Direct Install_Gas Water Heating</v>
      </c>
      <c r="W542" s="506" t="s">
        <v>604</v>
      </c>
      <c r="X542" s="502">
        <f t="shared" si="99"/>
        <v>0</v>
      </c>
      <c r="Y542" s="500">
        <v>10</v>
      </c>
      <c r="Z542" s="507">
        <v>0</v>
      </c>
      <c r="AA542" s="500"/>
      <c r="AB542" s="506" t="s">
        <v>605</v>
      </c>
      <c r="AC542" s="505">
        <v>0</v>
      </c>
      <c r="AD542" s="500"/>
      <c r="AE542" s="500"/>
      <c r="AF542" s="500"/>
      <c r="AG542" s="500"/>
      <c r="AH542" s="500"/>
      <c r="AI542" s="500"/>
      <c r="AJ542" s="500">
        <v>0</v>
      </c>
      <c r="AK542" s="506" t="s">
        <v>605</v>
      </c>
    </row>
    <row r="543" spans="6:37">
      <c r="F543" s="500" t="str">
        <f t="shared" si="101"/>
        <v>Fitness Center</v>
      </c>
      <c r="G543" s="500" t="str">
        <f t="shared" si="101"/>
        <v>1_70 to 1_79 gpm</v>
      </c>
      <c r="H543" s="500" t="str">
        <f t="shared" si="101"/>
        <v>Direct Install</v>
      </c>
      <c r="I543" s="500" t="str">
        <f t="shared" si="101"/>
        <v>2_00</v>
      </c>
      <c r="J543" s="500" t="str">
        <f t="shared" si="101"/>
        <v>Any Water Heating</v>
      </c>
      <c r="K543" s="500" t="str">
        <f t="shared" si="97"/>
        <v>Commercial Showerhead Replacement_Fitness Center_precondition 1_70 to 1_79 gpm_efficient 2_00 gpm_Direct Install_Any Water Heating - Embedded Water Energy</v>
      </c>
      <c r="L543" s="500"/>
      <c r="M543" s="501"/>
      <c r="N543" s="500"/>
      <c r="O543" s="500"/>
      <c r="P543" s="500"/>
      <c r="Q543" s="502"/>
      <c r="R543" s="503"/>
      <c r="S543" s="504"/>
      <c r="T543" s="505"/>
      <c r="U543" s="500"/>
      <c r="V543" s="500" t="str">
        <f t="shared" si="98"/>
        <v>Commercial Showerhead Replacement_Fitness Center_precondition 1_70 to 1_79 gpm_efficient 2_00 gpm_Direct Install_Any Water Heating</v>
      </c>
      <c r="W543" s="506" t="s">
        <v>604</v>
      </c>
      <c r="X543" s="502">
        <f t="shared" si="99"/>
        <v>0</v>
      </c>
      <c r="Y543" s="500">
        <v>10</v>
      </c>
      <c r="Z543" s="507">
        <v>0</v>
      </c>
      <c r="AA543" s="500"/>
      <c r="AB543" s="506" t="s">
        <v>605</v>
      </c>
      <c r="AC543" s="505">
        <v>0</v>
      </c>
      <c r="AD543" s="500"/>
      <c r="AE543" s="500"/>
      <c r="AF543" s="500"/>
      <c r="AG543" s="500"/>
      <c r="AH543" s="500"/>
      <c r="AI543" s="500"/>
      <c r="AJ543" s="500">
        <v>0</v>
      </c>
      <c r="AK543" s="506" t="s">
        <v>605</v>
      </c>
    </row>
    <row r="544" spans="6:37">
      <c r="F544" s="500" t="str">
        <f t="shared" si="101"/>
        <v>Fitness Center</v>
      </c>
      <c r="G544" s="500" t="str">
        <f t="shared" si="101"/>
        <v>1_70 to 1_79 gpm</v>
      </c>
      <c r="H544" s="500" t="str">
        <f t="shared" si="101"/>
        <v>Direct Install</v>
      </c>
      <c r="I544" s="500" t="str">
        <f t="shared" si="101"/>
        <v>1_75</v>
      </c>
      <c r="J544" s="500" t="str">
        <f t="shared" si="101"/>
        <v>Electric Water Heating</v>
      </c>
      <c r="K544" s="500" t="str">
        <f t="shared" si="97"/>
        <v>Commercial Showerhead Replacement_Fitness Center_precondition 1_70 to 1_79 gpm_efficient 1_75 gpm_Direct Install_Electric Water Heating - Embedded Water Energy</v>
      </c>
      <c r="L544" s="500"/>
      <c r="M544" s="501"/>
      <c r="N544" s="500"/>
      <c r="O544" s="500"/>
      <c r="P544" s="500"/>
      <c r="Q544" s="502"/>
      <c r="R544" s="503"/>
      <c r="S544" s="504"/>
      <c r="T544" s="505"/>
      <c r="U544" s="500"/>
      <c r="V544" s="500" t="str">
        <f t="shared" si="98"/>
        <v>Commercial Showerhead Replacement_Fitness Center_precondition 1_70 to 1_79 gpm_efficient 1_75 gpm_Direct Install_Electric Water Heating</v>
      </c>
      <c r="W544" s="506" t="s">
        <v>604</v>
      </c>
      <c r="X544" s="502">
        <f t="shared" si="99"/>
        <v>0</v>
      </c>
      <c r="Y544" s="500">
        <v>10</v>
      </c>
      <c r="Z544" s="507">
        <v>0</v>
      </c>
      <c r="AA544" s="500"/>
      <c r="AB544" s="506" t="s">
        <v>605</v>
      </c>
      <c r="AC544" s="505">
        <v>0</v>
      </c>
      <c r="AD544" s="500"/>
      <c r="AE544" s="500"/>
      <c r="AF544" s="500"/>
      <c r="AG544" s="500"/>
      <c r="AH544" s="500"/>
      <c r="AI544" s="500"/>
      <c r="AJ544" s="500">
        <v>0</v>
      </c>
      <c r="AK544" s="506" t="s">
        <v>605</v>
      </c>
    </row>
    <row r="545" spans="6:37">
      <c r="F545" s="500" t="str">
        <f t="shared" si="101"/>
        <v>Fitness Center</v>
      </c>
      <c r="G545" s="500" t="str">
        <f t="shared" si="101"/>
        <v>1_70 to 1_79 gpm</v>
      </c>
      <c r="H545" s="500" t="str">
        <f t="shared" si="101"/>
        <v>Direct Install</v>
      </c>
      <c r="I545" s="500" t="str">
        <f t="shared" si="101"/>
        <v>1_75</v>
      </c>
      <c r="J545" s="500" t="str">
        <f t="shared" si="101"/>
        <v>Gas Water Heating</v>
      </c>
      <c r="K545" s="500" t="str">
        <f t="shared" si="97"/>
        <v>Commercial Showerhead Replacement_Fitness Center_precondition 1_70 to 1_79 gpm_efficient 1_75 gpm_Direct Install_Gas Water Heating - Embedded Water Energy</v>
      </c>
      <c r="L545" s="500"/>
      <c r="M545" s="501"/>
      <c r="N545" s="500"/>
      <c r="O545" s="500"/>
      <c r="P545" s="500"/>
      <c r="Q545" s="502"/>
      <c r="R545" s="503"/>
      <c r="S545" s="504"/>
      <c r="T545" s="505"/>
      <c r="U545" s="500"/>
      <c r="V545" s="500" t="str">
        <f t="shared" si="98"/>
        <v>Commercial Showerhead Replacement_Fitness Center_precondition 1_70 to 1_79 gpm_efficient 1_75 gpm_Direct Install_Gas Water Heating</v>
      </c>
      <c r="W545" s="506" t="s">
        <v>604</v>
      </c>
      <c r="X545" s="502">
        <f t="shared" si="99"/>
        <v>0</v>
      </c>
      <c r="Y545" s="500">
        <v>10</v>
      </c>
      <c r="Z545" s="507">
        <v>0</v>
      </c>
      <c r="AA545" s="500"/>
      <c r="AB545" s="506" t="s">
        <v>605</v>
      </c>
      <c r="AC545" s="505">
        <v>0</v>
      </c>
      <c r="AD545" s="500"/>
      <c r="AE545" s="500"/>
      <c r="AF545" s="500"/>
      <c r="AG545" s="500"/>
      <c r="AH545" s="500"/>
      <c r="AI545" s="500"/>
      <c r="AJ545" s="500">
        <v>0</v>
      </c>
      <c r="AK545" s="506" t="s">
        <v>605</v>
      </c>
    </row>
    <row r="546" spans="6:37">
      <c r="F546" s="500" t="str">
        <f t="shared" si="101"/>
        <v>Fitness Center</v>
      </c>
      <c r="G546" s="500" t="str">
        <f t="shared" si="101"/>
        <v>1_70 to 1_79 gpm</v>
      </c>
      <c r="H546" s="500" t="str">
        <f t="shared" si="101"/>
        <v>Direct Install</v>
      </c>
      <c r="I546" s="500" t="str">
        <f t="shared" si="101"/>
        <v>1_75</v>
      </c>
      <c r="J546" s="500" t="str">
        <f t="shared" si="101"/>
        <v>Any Water Heating</v>
      </c>
      <c r="K546" s="500" t="str">
        <f t="shared" si="97"/>
        <v>Commercial Showerhead Replacement_Fitness Center_precondition 1_70 to 1_79 gpm_efficient 1_75 gpm_Direct Install_Any Water Heating - Embedded Water Energy</v>
      </c>
      <c r="L546" s="500"/>
      <c r="M546" s="501"/>
      <c r="N546" s="500"/>
      <c r="O546" s="500"/>
      <c r="P546" s="500"/>
      <c r="Q546" s="502"/>
      <c r="R546" s="503"/>
      <c r="S546" s="504"/>
      <c r="T546" s="505"/>
      <c r="U546" s="500"/>
      <c r="V546" s="500" t="str">
        <f t="shared" si="98"/>
        <v>Commercial Showerhead Replacement_Fitness Center_precondition 1_70 to 1_79 gpm_efficient 1_75 gpm_Direct Install_Any Water Heating</v>
      </c>
      <c r="W546" s="506" t="s">
        <v>604</v>
      </c>
      <c r="X546" s="502">
        <f t="shared" si="99"/>
        <v>0</v>
      </c>
      <c r="Y546" s="500">
        <v>10</v>
      </c>
      <c r="Z546" s="507">
        <v>0</v>
      </c>
      <c r="AA546" s="500"/>
      <c r="AB546" s="506" t="s">
        <v>605</v>
      </c>
      <c r="AC546" s="505">
        <v>0</v>
      </c>
      <c r="AD546" s="500"/>
      <c r="AE546" s="500"/>
      <c r="AF546" s="500"/>
      <c r="AG546" s="500"/>
      <c r="AH546" s="500"/>
      <c r="AI546" s="500"/>
      <c r="AJ546" s="500">
        <v>0</v>
      </c>
      <c r="AK546" s="506" t="s">
        <v>605</v>
      </c>
    </row>
    <row r="547" spans="6:37">
      <c r="F547" s="500" t="str">
        <f t="shared" si="101"/>
        <v>Fitness Center</v>
      </c>
      <c r="G547" s="500" t="str">
        <f t="shared" si="101"/>
        <v>1_70 to 1_79 gpm</v>
      </c>
      <c r="H547" s="500" t="str">
        <f t="shared" si="101"/>
        <v>Direct Install</v>
      </c>
      <c r="I547" s="500" t="str">
        <f t="shared" si="101"/>
        <v>1_50</v>
      </c>
      <c r="J547" s="500" t="str">
        <f t="shared" si="101"/>
        <v>Electric Water Heating</v>
      </c>
      <c r="K547" s="500" t="str">
        <f t="shared" si="97"/>
        <v>Commercial Showerhead Replacement_Fitness Center_precondition 1_70 to 1_79 gpm_efficient 1_50 gpm_Direct Install_Electric Water Heating - Embedded Water Energy</v>
      </c>
      <c r="L547" s="500"/>
      <c r="M547" s="501"/>
      <c r="N547" s="500"/>
      <c r="O547" s="500"/>
      <c r="P547" s="500"/>
      <c r="Q547" s="502"/>
      <c r="R547" s="503"/>
      <c r="S547" s="504"/>
      <c r="T547" s="505"/>
      <c r="U547" s="500"/>
      <c r="V547" s="500" t="str">
        <f t="shared" si="98"/>
        <v>Commercial Showerhead Replacement_Fitness Center_precondition 1_70 to 1_79 gpm_efficient 1_50 gpm_Direct Install_Electric Water Heating</v>
      </c>
      <c r="W547" s="506" t="s">
        <v>604</v>
      </c>
      <c r="X547" s="502">
        <f t="shared" si="99"/>
        <v>67.716534728948318</v>
      </c>
      <c r="Y547" s="500">
        <v>10</v>
      </c>
      <c r="Z547" s="507">
        <v>0</v>
      </c>
      <c r="AA547" s="500"/>
      <c r="AB547" s="506" t="s">
        <v>605</v>
      </c>
      <c r="AC547" s="505">
        <v>0</v>
      </c>
      <c r="AD547" s="500"/>
      <c r="AE547" s="500"/>
      <c r="AF547" s="500"/>
      <c r="AG547" s="500"/>
      <c r="AH547" s="500"/>
      <c r="AI547" s="500"/>
      <c r="AJ547" s="500">
        <v>0</v>
      </c>
      <c r="AK547" s="506" t="s">
        <v>605</v>
      </c>
    </row>
    <row r="548" spans="6:37">
      <c r="F548" s="500" t="str">
        <f t="shared" si="101"/>
        <v>Fitness Center</v>
      </c>
      <c r="G548" s="500" t="str">
        <f t="shared" si="101"/>
        <v>1_70 to 1_79 gpm</v>
      </c>
      <c r="H548" s="500" t="str">
        <f t="shared" si="101"/>
        <v>Direct Install</v>
      </c>
      <c r="I548" s="500" t="str">
        <f t="shared" si="101"/>
        <v>1_50</v>
      </c>
      <c r="J548" s="500" t="str">
        <f t="shared" si="101"/>
        <v>Gas Water Heating</v>
      </c>
      <c r="K548" s="500" t="str">
        <f t="shared" si="97"/>
        <v>Commercial Showerhead Replacement_Fitness Center_precondition 1_70 to 1_79 gpm_efficient 1_50 gpm_Direct Install_Gas Water Heating - Embedded Water Energy</v>
      </c>
      <c r="L548" s="500"/>
      <c r="M548" s="501"/>
      <c r="N548" s="500"/>
      <c r="O548" s="500"/>
      <c r="P548" s="500"/>
      <c r="Q548" s="502"/>
      <c r="R548" s="503"/>
      <c r="S548" s="504"/>
      <c r="T548" s="505"/>
      <c r="U548" s="500"/>
      <c r="V548" s="500" t="str">
        <f t="shared" si="98"/>
        <v>Commercial Showerhead Replacement_Fitness Center_precondition 1_70 to 1_79 gpm_efficient 1_50 gpm_Direct Install_Gas Water Heating</v>
      </c>
      <c r="W548" s="506" t="s">
        <v>604</v>
      </c>
      <c r="X548" s="502">
        <f t="shared" si="99"/>
        <v>67.716534728948318</v>
      </c>
      <c r="Y548" s="500">
        <v>10</v>
      </c>
      <c r="Z548" s="507">
        <v>0</v>
      </c>
      <c r="AA548" s="500"/>
      <c r="AB548" s="506" t="s">
        <v>605</v>
      </c>
      <c r="AC548" s="505">
        <v>0</v>
      </c>
      <c r="AD548" s="500"/>
      <c r="AE548" s="500"/>
      <c r="AF548" s="500"/>
      <c r="AG548" s="500"/>
      <c r="AH548" s="500"/>
      <c r="AI548" s="500"/>
      <c r="AJ548" s="500">
        <v>0</v>
      </c>
      <c r="AK548" s="506" t="s">
        <v>605</v>
      </c>
    </row>
    <row r="549" spans="6:37">
      <c r="F549" s="500" t="str">
        <f t="shared" si="101"/>
        <v>Fitness Center</v>
      </c>
      <c r="G549" s="500" t="str">
        <f t="shared" si="101"/>
        <v>1_70 to 1_79 gpm</v>
      </c>
      <c r="H549" s="500" t="str">
        <f t="shared" si="101"/>
        <v>Direct Install</v>
      </c>
      <c r="I549" s="500" t="str">
        <f t="shared" si="101"/>
        <v>1_50</v>
      </c>
      <c r="J549" s="500" t="str">
        <f t="shared" si="101"/>
        <v>Any Water Heating</v>
      </c>
      <c r="K549" s="500" t="str">
        <f t="shared" si="97"/>
        <v>Commercial Showerhead Replacement_Fitness Center_precondition 1_70 to 1_79 gpm_efficient 1_50 gpm_Direct Install_Any Water Heating - Embedded Water Energy</v>
      </c>
      <c r="L549" s="500"/>
      <c r="M549" s="501"/>
      <c r="N549" s="500"/>
      <c r="O549" s="500"/>
      <c r="P549" s="500"/>
      <c r="Q549" s="502"/>
      <c r="R549" s="503"/>
      <c r="S549" s="504"/>
      <c r="T549" s="505"/>
      <c r="U549" s="500"/>
      <c r="V549" s="500" t="str">
        <f t="shared" si="98"/>
        <v>Commercial Showerhead Replacement_Fitness Center_precondition 1_70 to 1_79 gpm_efficient 1_50 gpm_Direct Install_Any Water Heating</v>
      </c>
      <c r="W549" s="506" t="s">
        <v>604</v>
      </c>
      <c r="X549" s="502">
        <f t="shared" si="99"/>
        <v>67.716534728948318</v>
      </c>
      <c r="Y549" s="500">
        <v>10</v>
      </c>
      <c r="Z549" s="507">
        <v>0</v>
      </c>
      <c r="AA549" s="500"/>
      <c r="AB549" s="506" t="s">
        <v>605</v>
      </c>
      <c r="AC549" s="505">
        <v>0</v>
      </c>
      <c r="AD549" s="500"/>
      <c r="AE549" s="500"/>
      <c r="AF549" s="500"/>
      <c r="AG549" s="500"/>
      <c r="AH549" s="500"/>
      <c r="AI549" s="500"/>
      <c r="AJ549" s="500">
        <v>0</v>
      </c>
      <c r="AK549" s="506" t="s">
        <v>605</v>
      </c>
    </row>
    <row r="550" spans="6:37">
      <c r="F550" s="500" t="str">
        <f t="shared" si="101"/>
        <v>Fitness Center</v>
      </c>
      <c r="G550" s="500" t="str">
        <f t="shared" si="101"/>
        <v>1_70 to 1_79 gpm</v>
      </c>
      <c r="H550" s="500" t="str">
        <f t="shared" si="101"/>
        <v>Mail-by-Request</v>
      </c>
      <c r="I550" s="500" t="str">
        <f t="shared" si="101"/>
        <v>2_00</v>
      </c>
      <c r="J550" s="500" t="str">
        <f t="shared" si="101"/>
        <v>Electric Water Heating</v>
      </c>
      <c r="K550" s="500" t="str">
        <f t="shared" si="97"/>
        <v>Commercial Showerhead Replacement_Fitness Center_precondition 1_70 to 1_79 gpm_efficient 2_00 gpm_Mail-by-Request_Electric Water Heating - Embedded Water Energy</v>
      </c>
      <c r="L550" s="500"/>
      <c r="M550" s="501"/>
      <c r="N550" s="500"/>
      <c r="O550" s="500"/>
      <c r="P550" s="500"/>
      <c r="Q550" s="502"/>
      <c r="R550" s="503"/>
      <c r="S550" s="504"/>
      <c r="T550" s="505"/>
      <c r="U550" s="500"/>
      <c r="V550" s="500" t="str">
        <f t="shared" si="98"/>
        <v>Commercial Showerhead Replacement_Fitness Center_precondition 1_70 to 1_79 gpm_efficient 2_00 gpm_Mail-by-Request_Electric Water Heating</v>
      </c>
      <c r="W550" s="506" t="s">
        <v>604</v>
      </c>
      <c r="X550" s="502">
        <f t="shared" si="99"/>
        <v>0</v>
      </c>
      <c r="Y550" s="500">
        <v>10</v>
      </c>
      <c r="Z550" s="507">
        <v>0</v>
      </c>
      <c r="AA550" s="500"/>
      <c r="AB550" s="506" t="s">
        <v>605</v>
      </c>
      <c r="AC550" s="505">
        <v>0</v>
      </c>
      <c r="AD550" s="500"/>
      <c r="AE550" s="500"/>
      <c r="AF550" s="500"/>
      <c r="AG550" s="500"/>
      <c r="AH550" s="500"/>
      <c r="AI550" s="500"/>
      <c r="AJ550" s="500">
        <v>0</v>
      </c>
      <c r="AK550" s="506" t="s">
        <v>605</v>
      </c>
    </row>
    <row r="551" spans="6:37">
      <c r="F551" s="500" t="str">
        <f t="shared" si="101"/>
        <v>Fitness Center</v>
      </c>
      <c r="G551" s="500" t="str">
        <f t="shared" si="101"/>
        <v>1_70 to 1_79 gpm</v>
      </c>
      <c r="H551" s="500" t="str">
        <f t="shared" si="101"/>
        <v>Mail-by-Request</v>
      </c>
      <c r="I551" s="500" t="str">
        <f t="shared" si="101"/>
        <v>2_00</v>
      </c>
      <c r="J551" s="500" t="str">
        <f t="shared" si="101"/>
        <v>Gas Water Heating</v>
      </c>
      <c r="K551" s="500" t="str">
        <f t="shared" si="97"/>
        <v>Commercial Showerhead Replacement_Fitness Center_precondition 1_70 to 1_79 gpm_efficient 2_00 gpm_Mail-by-Request_Gas Water Heating - Embedded Water Energy</v>
      </c>
      <c r="L551" s="500"/>
      <c r="M551" s="501"/>
      <c r="N551" s="500"/>
      <c r="O551" s="500"/>
      <c r="P551" s="500"/>
      <c r="Q551" s="502"/>
      <c r="R551" s="503"/>
      <c r="S551" s="504"/>
      <c r="T551" s="505"/>
      <c r="U551" s="500"/>
      <c r="V551" s="500" t="str">
        <f t="shared" si="98"/>
        <v>Commercial Showerhead Replacement_Fitness Center_precondition 1_70 to 1_79 gpm_efficient 2_00 gpm_Mail-by-Request_Gas Water Heating</v>
      </c>
      <c r="W551" s="506" t="s">
        <v>604</v>
      </c>
      <c r="X551" s="502">
        <f t="shared" si="99"/>
        <v>0</v>
      </c>
      <c r="Y551" s="500">
        <v>10</v>
      </c>
      <c r="Z551" s="507">
        <v>0</v>
      </c>
      <c r="AA551" s="500"/>
      <c r="AB551" s="506" t="s">
        <v>605</v>
      </c>
      <c r="AC551" s="505">
        <v>0</v>
      </c>
      <c r="AD551" s="500"/>
      <c r="AE551" s="500"/>
      <c r="AF551" s="500"/>
      <c r="AG551" s="500"/>
      <c r="AH551" s="500"/>
      <c r="AI551" s="500"/>
      <c r="AJ551" s="500">
        <v>0</v>
      </c>
      <c r="AK551" s="506" t="s">
        <v>605</v>
      </c>
    </row>
    <row r="552" spans="6:37">
      <c r="F552" s="500" t="str">
        <f t="shared" si="101"/>
        <v>Fitness Center</v>
      </c>
      <c r="G552" s="500" t="str">
        <f t="shared" si="101"/>
        <v>1_70 to 1_79 gpm</v>
      </c>
      <c r="H552" s="500" t="str">
        <f t="shared" si="101"/>
        <v>Mail-by-Request</v>
      </c>
      <c r="I552" s="500" t="str">
        <f t="shared" si="101"/>
        <v>2_00</v>
      </c>
      <c r="J552" s="500" t="str">
        <f t="shared" si="101"/>
        <v>Any Water Heating</v>
      </c>
      <c r="K552" s="500" t="str">
        <f t="shared" si="97"/>
        <v>Commercial Showerhead Replacement_Fitness Center_precondition 1_70 to 1_79 gpm_efficient 2_00 gpm_Mail-by-Request_Any Water Heating - Embedded Water Energy</v>
      </c>
      <c r="L552" s="500"/>
      <c r="M552" s="501"/>
      <c r="N552" s="500"/>
      <c r="O552" s="500"/>
      <c r="P552" s="500"/>
      <c r="Q552" s="502"/>
      <c r="R552" s="503"/>
      <c r="S552" s="504"/>
      <c r="T552" s="505"/>
      <c r="U552" s="500"/>
      <c r="V552" s="500" t="str">
        <f t="shared" si="98"/>
        <v>Commercial Showerhead Replacement_Fitness Center_precondition 1_70 to 1_79 gpm_efficient 2_00 gpm_Mail-by-Request_Any Water Heating</v>
      </c>
      <c r="W552" s="506" t="s">
        <v>604</v>
      </c>
      <c r="X552" s="502">
        <f t="shared" si="99"/>
        <v>0</v>
      </c>
      <c r="Y552" s="500">
        <v>10</v>
      </c>
      <c r="Z552" s="507">
        <v>0</v>
      </c>
      <c r="AA552" s="500"/>
      <c r="AB552" s="506" t="s">
        <v>605</v>
      </c>
      <c r="AC552" s="505">
        <v>0</v>
      </c>
      <c r="AD552" s="500"/>
      <c r="AE552" s="500"/>
      <c r="AF552" s="500"/>
      <c r="AG552" s="500"/>
      <c r="AH552" s="500"/>
      <c r="AI552" s="500"/>
      <c r="AJ552" s="500">
        <v>0</v>
      </c>
      <c r="AK552" s="506" t="s">
        <v>605</v>
      </c>
    </row>
    <row r="553" spans="6:37">
      <c r="F553" s="500" t="str">
        <f t="shared" si="101"/>
        <v>Fitness Center</v>
      </c>
      <c r="G553" s="500" t="str">
        <f t="shared" si="101"/>
        <v>1_70 to 1_79 gpm</v>
      </c>
      <c r="H553" s="500" t="str">
        <f t="shared" si="101"/>
        <v>Mail-by-Request</v>
      </c>
      <c r="I553" s="500" t="str">
        <f t="shared" si="101"/>
        <v>1_75</v>
      </c>
      <c r="J553" s="500" t="str">
        <f t="shared" si="101"/>
        <v>Electric Water Heating</v>
      </c>
      <c r="K553" s="500" t="str">
        <f t="shared" si="97"/>
        <v>Commercial Showerhead Replacement_Fitness Center_precondition 1_70 to 1_79 gpm_efficient 1_75 gpm_Mail-by-Request_Electric Water Heating - Embedded Water Energy</v>
      </c>
      <c r="L553" s="500"/>
      <c r="M553" s="501"/>
      <c r="N553" s="500"/>
      <c r="O553" s="500"/>
      <c r="P553" s="500"/>
      <c r="Q553" s="502"/>
      <c r="R553" s="503"/>
      <c r="S553" s="504"/>
      <c r="T553" s="505"/>
      <c r="U553" s="500"/>
      <c r="V553" s="500" t="str">
        <f t="shared" si="98"/>
        <v>Commercial Showerhead Replacement_Fitness Center_precondition 1_70 to 1_79 gpm_efficient 1_75 gpm_Mail-by-Request_Electric Water Heating</v>
      </c>
      <c r="W553" s="506" t="s">
        <v>604</v>
      </c>
      <c r="X553" s="502">
        <f t="shared" si="99"/>
        <v>0</v>
      </c>
      <c r="Y553" s="500">
        <v>10</v>
      </c>
      <c r="Z553" s="507">
        <v>0</v>
      </c>
      <c r="AA553" s="500"/>
      <c r="AB553" s="506" t="s">
        <v>605</v>
      </c>
      <c r="AC553" s="505">
        <v>0</v>
      </c>
      <c r="AD553" s="500"/>
      <c r="AE553" s="500"/>
      <c r="AF553" s="500"/>
      <c r="AG553" s="500"/>
      <c r="AH553" s="500"/>
      <c r="AI553" s="500"/>
      <c r="AJ553" s="500">
        <v>0</v>
      </c>
      <c r="AK553" s="506" t="s">
        <v>605</v>
      </c>
    </row>
    <row r="554" spans="6:37">
      <c r="F554" s="500" t="str">
        <f t="shared" si="101"/>
        <v>Fitness Center</v>
      </c>
      <c r="G554" s="500" t="str">
        <f t="shared" si="101"/>
        <v>1_70 to 1_79 gpm</v>
      </c>
      <c r="H554" s="500" t="str">
        <f t="shared" si="101"/>
        <v>Mail-by-Request</v>
      </c>
      <c r="I554" s="500" t="str">
        <f t="shared" si="101"/>
        <v>1_75</v>
      </c>
      <c r="J554" s="500" t="str">
        <f t="shared" si="101"/>
        <v>Gas Water Heating</v>
      </c>
      <c r="K554" s="500" t="str">
        <f t="shared" si="97"/>
        <v>Commercial Showerhead Replacement_Fitness Center_precondition 1_70 to 1_79 gpm_efficient 1_75 gpm_Mail-by-Request_Gas Water Heating - Embedded Water Energy</v>
      </c>
      <c r="L554" s="500"/>
      <c r="M554" s="501"/>
      <c r="N554" s="500"/>
      <c r="O554" s="500"/>
      <c r="P554" s="500"/>
      <c r="Q554" s="502"/>
      <c r="R554" s="503"/>
      <c r="S554" s="504"/>
      <c r="T554" s="505"/>
      <c r="U554" s="500"/>
      <c r="V554" s="500" t="str">
        <f t="shared" si="98"/>
        <v>Commercial Showerhead Replacement_Fitness Center_precondition 1_70 to 1_79 gpm_efficient 1_75 gpm_Mail-by-Request_Gas Water Heating</v>
      </c>
      <c r="W554" s="506" t="s">
        <v>604</v>
      </c>
      <c r="X554" s="502">
        <f t="shared" si="99"/>
        <v>0</v>
      </c>
      <c r="Y554" s="500">
        <v>10</v>
      </c>
      <c r="Z554" s="507">
        <v>0</v>
      </c>
      <c r="AA554" s="500"/>
      <c r="AB554" s="506" t="s">
        <v>605</v>
      </c>
      <c r="AC554" s="505">
        <v>0</v>
      </c>
      <c r="AD554" s="500"/>
      <c r="AE554" s="500"/>
      <c r="AF554" s="500"/>
      <c r="AG554" s="500"/>
      <c r="AH554" s="500"/>
      <c r="AI554" s="500"/>
      <c r="AJ554" s="500">
        <v>0</v>
      </c>
      <c r="AK554" s="506" t="s">
        <v>605</v>
      </c>
    </row>
    <row r="555" spans="6:37">
      <c r="F555" s="500" t="str">
        <f t="shared" si="101"/>
        <v>Fitness Center</v>
      </c>
      <c r="G555" s="500" t="str">
        <f t="shared" si="101"/>
        <v>1_70 to 1_79 gpm</v>
      </c>
      <c r="H555" s="500" t="str">
        <f t="shared" si="101"/>
        <v>Mail-by-Request</v>
      </c>
      <c r="I555" s="500" t="str">
        <f t="shared" si="101"/>
        <v>1_75</v>
      </c>
      <c r="J555" s="500" t="str">
        <f t="shared" si="101"/>
        <v>Any Water Heating</v>
      </c>
      <c r="K555" s="500" t="str">
        <f t="shared" si="97"/>
        <v>Commercial Showerhead Replacement_Fitness Center_precondition 1_70 to 1_79 gpm_efficient 1_75 gpm_Mail-by-Request_Any Water Heating - Embedded Water Energy</v>
      </c>
      <c r="L555" s="500"/>
      <c r="M555" s="501"/>
      <c r="N555" s="500"/>
      <c r="O555" s="500"/>
      <c r="P555" s="500"/>
      <c r="Q555" s="502"/>
      <c r="R555" s="503"/>
      <c r="S555" s="504"/>
      <c r="T555" s="505"/>
      <c r="U555" s="500"/>
      <c r="V555" s="500" t="str">
        <f t="shared" si="98"/>
        <v>Commercial Showerhead Replacement_Fitness Center_precondition 1_70 to 1_79 gpm_efficient 1_75 gpm_Mail-by-Request_Any Water Heating</v>
      </c>
      <c r="W555" s="506" t="s">
        <v>604</v>
      </c>
      <c r="X555" s="502">
        <f t="shared" si="99"/>
        <v>0</v>
      </c>
      <c r="Y555" s="500">
        <v>10</v>
      </c>
      <c r="Z555" s="507">
        <v>0</v>
      </c>
      <c r="AA555" s="500"/>
      <c r="AB555" s="506" t="s">
        <v>605</v>
      </c>
      <c r="AC555" s="505">
        <v>0</v>
      </c>
      <c r="AD555" s="500"/>
      <c r="AE555" s="500"/>
      <c r="AF555" s="500"/>
      <c r="AG555" s="500"/>
      <c r="AH555" s="500"/>
      <c r="AI555" s="500"/>
      <c r="AJ555" s="500">
        <v>0</v>
      </c>
      <c r="AK555" s="506" t="s">
        <v>605</v>
      </c>
    </row>
    <row r="556" spans="6:37">
      <c r="F556" s="500" t="str">
        <f t="shared" ref="F556:J571" si="102">F259</f>
        <v>Fitness Center</v>
      </c>
      <c r="G556" s="500" t="str">
        <f t="shared" si="102"/>
        <v>1_70 to 1_79 gpm</v>
      </c>
      <c r="H556" s="500" t="str">
        <f t="shared" si="102"/>
        <v>Mail-by-Request</v>
      </c>
      <c r="I556" s="500" t="str">
        <f t="shared" si="102"/>
        <v>1_50</v>
      </c>
      <c r="J556" s="500" t="str">
        <f t="shared" si="102"/>
        <v>Electric Water Heating</v>
      </c>
      <c r="K556" s="500" t="str">
        <f t="shared" si="97"/>
        <v>Commercial Showerhead Replacement_Fitness Center_precondition 1_70 to 1_79 gpm_efficient 1_50 gpm_Mail-by-Request_Electric Water Heating - Embedded Water Energy</v>
      </c>
      <c r="L556" s="500"/>
      <c r="M556" s="501"/>
      <c r="N556" s="500"/>
      <c r="O556" s="500"/>
      <c r="P556" s="500"/>
      <c r="Q556" s="502"/>
      <c r="R556" s="503"/>
      <c r="S556" s="504"/>
      <c r="T556" s="505"/>
      <c r="U556" s="500"/>
      <c r="V556" s="500" t="str">
        <f t="shared" si="98"/>
        <v>Commercial Showerhead Replacement_Fitness Center_precondition 1_70 to 1_79 gpm_efficient 1_50 gpm_Mail-by-Request_Electric Water Heating</v>
      </c>
      <c r="W556" s="506" t="s">
        <v>604</v>
      </c>
      <c r="X556" s="502">
        <f t="shared" si="99"/>
        <v>45.144356485965545</v>
      </c>
      <c r="Y556" s="500">
        <v>10</v>
      </c>
      <c r="Z556" s="507">
        <v>0</v>
      </c>
      <c r="AA556" s="500"/>
      <c r="AB556" s="506" t="s">
        <v>605</v>
      </c>
      <c r="AC556" s="505">
        <v>0</v>
      </c>
      <c r="AD556" s="500"/>
      <c r="AE556" s="500"/>
      <c r="AF556" s="500"/>
      <c r="AG556" s="500"/>
      <c r="AH556" s="500"/>
      <c r="AI556" s="500"/>
      <c r="AJ556" s="500">
        <v>0</v>
      </c>
      <c r="AK556" s="506" t="s">
        <v>605</v>
      </c>
    </row>
    <row r="557" spans="6:37">
      <c r="F557" s="500" t="str">
        <f t="shared" si="102"/>
        <v>Fitness Center</v>
      </c>
      <c r="G557" s="500" t="str">
        <f t="shared" si="102"/>
        <v>1_70 to 1_79 gpm</v>
      </c>
      <c r="H557" s="500" t="str">
        <f t="shared" si="102"/>
        <v>Mail-by-Request</v>
      </c>
      <c r="I557" s="500" t="str">
        <f t="shared" si="102"/>
        <v>1_50</v>
      </c>
      <c r="J557" s="500" t="str">
        <f t="shared" si="102"/>
        <v>Gas Water Heating</v>
      </c>
      <c r="K557" s="500" t="str">
        <f t="shared" si="97"/>
        <v>Commercial Showerhead Replacement_Fitness Center_precondition 1_70 to 1_79 gpm_efficient 1_50 gpm_Mail-by-Request_Gas Water Heating - Embedded Water Energy</v>
      </c>
      <c r="L557" s="500"/>
      <c r="M557" s="501"/>
      <c r="N557" s="500"/>
      <c r="O557" s="500"/>
      <c r="P557" s="500"/>
      <c r="Q557" s="502"/>
      <c r="R557" s="503"/>
      <c r="S557" s="504"/>
      <c r="T557" s="505"/>
      <c r="U557" s="500"/>
      <c r="V557" s="500" t="str">
        <f t="shared" si="98"/>
        <v>Commercial Showerhead Replacement_Fitness Center_precondition 1_70 to 1_79 gpm_efficient 1_50 gpm_Mail-by-Request_Gas Water Heating</v>
      </c>
      <c r="W557" s="506" t="s">
        <v>604</v>
      </c>
      <c r="X557" s="502">
        <f t="shared" si="99"/>
        <v>45.144356485965545</v>
      </c>
      <c r="Y557" s="500">
        <v>10</v>
      </c>
      <c r="Z557" s="507">
        <v>0</v>
      </c>
      <c r="AA557" s="500"/>
      <c r="AB557" s="506" t="s">
        <v>605</v>
      </c>
      <c r="AC557" s="505">
        <v>0</v>
      </c>
      <c r="AD557" s="500"/>
      <c r="AE557" s="500"/>
      <c r="AF557" s="500"/>
      <c r="AG557" s="500"/>
      <c r="AH557" s="500"/>
      <c r="AI557" s="500"/>
      <c r="AJ557" s="500">
        <v>0</v>
      </c>
      <c r="AK557" s="506" t="s">
        <v>605</v>
      </c>
    </row>
    <row r="558" spans="6:37">
      <c r="F558" s="500" t="str">
        <f t="shared" si="102"/>
        <v>Fitness Center</v>
      </c>
      <c r="G558" s="500" t="str">
        <f t="shared" si="102"/>
        <v>1_70 to 1_79 gpm</v>
      </c>
      <c r="H558" s="500" t="str">
        <f t="shared" si="102"/>
        <v>Mail-by-Request</v>
      </c>
      <c r="I558" s="500" t="str">
        <f t="shared" si="102"/>
        <v>1_50</v>
      </c>
      <c r="J558" s="500" t="str">
        <f t="shared" si="102"/>
        <v>Any Water Heating</v>
      </c>
      <c r="K558" s="500" t="str">
        <f t="shared" si="97"/>
        <v>Commercial Showerhead Replacement_Fitness Center_precondition 1_70 to 1_79 gpm_efficient 1_50 gpm_Mail-by-Request_Any Water Heating - Embedded Water Energy</v>
      </c>
      <c r="L558" s="500"/>
      <c r="M558" s="501"/>
      <c r="N558" s="500"/>
      <c r="O558" s="500"/>
      <c r="P558" s="500"/>
      <c r="Q558" s="502"/>
      <c r="R558" s="503"/>
      <c r="S558" s="504"/>
      <c r="T558" s="505"/>
      <c r="U558" s="500"/>
      <c r="V558" s="500" t="str">
        <f t="shared" si="98"/>
        <v>Commercial Showerhead Replacement_Fitness Center_precondition 1_70 to 1_79 gpm_efficient 1_50 gpm_Mail-by-Request_Any Water Heating</v>
      </c>
      <c r="W558" s="506" t="s">
        <v>604</v>
      </c>
      <c r="X558" s="502">
        <f t="shared" si="99"/>
        <v>45.144356485965545</v>
      </c>
      <c r="Y558" s="500">
        <v>10</v>
      </c>
      <c r="Z558" s="507">
        <v>0</v>
      </c>
      <c r="AA558" s="500"/>
      <c r="AB558" s="506" t="s">
        <v>605</v>
      </c>
      <c r="AC558" s="505">
        <v>0</v>
      </c>
      <c r="AD558" s="500"/>
      <c r="AE558" s="500"/>
      <c r="AF558" s="500"/>
      <c r="AG558" s="500"/>
      <c r="AH558" s="500"/>
      <c r="AI558" s="500"/>
      <c r="AJ558" s="500">
        <v>0</v>
      </c>
      <c r="AK558" s="506" t="s">
        <v>605</v>
      </c>
    </row>
    <row r="559" spans="6:37">
      <c r="F559" s="500" t="str">
        <f t="shared" si="102"/>
        <v>Fitness Center</v>
      </c>
      <c r="G559" s="500" t="str">
        <f t="shared" si="102"/>
        <v>1_60 to 1_69 gpm</v>
      </c>
      <c r="H559" s="500" t="str">
        <f t="shared" si="102"/>
        <v>Retail</v>
      </c>
      <c r="I559" s="500" t="str">
        <f t="shared" si="102"/>
        <v>2_00</v>
      </c>
      <c r="J559" s="500" t="str">
        <f t="shared" si="102"/>
        <v>Electric Water Heating</v>
      </c>
      <c r="K559" s="500" t="str">
        <f t="shared" si="97"/>
        <v>Commercial Showerhead Replacement_Fitness Center_precondition 1_60 to 1_69 gpm_efficient 2_00 gpm_Retail_Electric Water Heating - Embedded Water Energy</v>
      </c>
      <c r="L559" s="500"/>
      <c r="M559" s="501"/>
      <c r="N559" s="500"/>
      <c r="O559" s="500"/>
      <c r="P559" s="500"/>
      <c r="Q559" s="502"/>
      <c r="R559" s="503"/>
      <c r="S559" s="504"/>
      <c r="T559" s="505"/>
      <c r="U559" s="500"/>
      <c r="V559" s="500" t="str">
        <f t="shared" si="98"/>
        <v>Commercial Showerhead Replacement_Fitness Center_precondition 1_60 to 1_69 gpm_efficient 2_00 gpm_Retail_Electric Water Heating</v>
      </c>
      <c r="W559" s="506" t="s">
        <v>604</v>
      </c>
      <c r="X559" s="502">
        <f t="shared" si="99"/>
        <v>0</v>
      </c>
      <c r="Y559" s="500">
        <v>10</v>
      </c>
      <c r="Z559" s="507">
        <v>0</v>
      </c>
      <c r="AA559" s="500"/>
      <c r="AB559" s="506" t="s">
        <v>605</v>
      </c>
      <c r="AC559" s="505">
        <v>0</v>
      </c>
      <c r="AD559" s="500"/>
      <c r="AE559" s="500"/>
      <c r="AF559" s="500"/>
      <c r="AG559" s="500"/>
      <c r="AH559" s="500"/>
      <c r="AI559" s="500"/>
      <c r="AJ559" s="500">
        <v>0</v>
      </c>
      <c r="AK559" s="506" t="s">
        <v>605</v>
      </c>
    </row>
    <row r="560" spans="6:37">
      <c r="F560" s="500" t="str">
        <f t="shared" si="102"/>
        <v>Fitness Center</v>
      </c>
      <c r="G560" s="500" t="str">
        <f t="shared" si="102"/>
        <v>1_60 to 1_69 gpm</v>
      </c>
      <c r="H560" s="500" t="str">
        <f t="shared" si="102"/>
        <v>Retail</v>
      </c>
      <c r="I560" s="500" t="str">
        <f t="shared" si="102"/>
        <v>2_00</v>
      </c>
      <c r="J560" s="500" t="str">
        <f t="shared" si="102"/>
        <v>Gas Water Heating</v>
      </c>
      <c r="K560" s="500" t="str">
        <f t="shared" si="97"/>
        <v>Commercial Showerhead Replacement_Fitness Center_precondition 1_60 to 1_69 gpm_efficient 2_00 gpm_Retail_Gas Water Heating - Embedded Water Energy</v>
      </c>
      <c r="L560" s="500"/>
      <c r="M560" s="501"/>
      <c r="N560" s="500"/>
      <c r="O560" s="500"/>
      <c r="P560" s="500"/>
      <c r="Q560" s="502"/>
      <c r="R560" s="503"/>
      <c r="S560" s="504"/>
      <c r="T560" s="505"/>
      <c r="U560" s="500"/>
      <c r="V560" s="500" t="str">
        <f t="shared" si="98"/>
        <v>Commercial Showerhead Replacement_Fitness Center_precondition 1_60 to 1_69 gpm_efficient 2_00 gpm_Retail_Gas Water Heating</v>
      </c>
      <c r="W560" s="506" t="s">
        <v>604</v>
      </c>
      <c r="X560" s="502">
        <f t="shared" si="99"/>
        <v>0</v>
      </c>
      <c r="Y560" s="500">
        <v>10</v>
      </c>
      <c r="Z560" s="507">
        <v>0</v>
      </c>
      <c r="AA560" s="500"/>
      <c r="AB560" s="506" t="s">
        <v>605</v>
      </c>
      <c r="AC560" s="505">
        <v>0</v>
      </c>
      <c r="AD560" s="500"/>
      <c r="AE560" s="500"/>
      <c r="AF560" s="500"/>
      <c r="AG560" s="500"/>
      <c r="AH560" s="500"/>
      <c r="AI560" s="500"/>
      <c r="AJ560" s="500">
        <v>0</v>
      </c>
      <c r="AK560" s="506" t="s">
        <v>605</v>
      </c>
    </row>
    <row r="561" spans="6:37">
      <c r="F561" s="500" t="str">
        <f t="shared" si="102"/>
        <v>Fitness Center</v>
      </c>
      <c r="G561" s="500" t="str">
        <f t="shared" si="102"/>
        <v>1_60 to 1_69 gpm</v>
      </c>
      <c r="H561" s="500" t="str">
        <f t="shared" si="102"/>
        <v>Retail</v>
      </c>
      <c r="I561" s="500" t="str">
        <f t="shared" si="102"/>
        <v>2_00</v>
      </c>
      <c r="J561" s="500" t="str">
        <f t="shared" si="102"/>
        <v>Any Water Heating</v>
      </c>
      <c r="K561" s="500" t="str">
        <f t="shared" si="97"/>
        <v>Commercial Showerhead Replacement_Fitness Center_precondition 1_60 to 1_69 gpm_efficient 2_00 gpm_Retail_Any Water Heating - Embedded Water Energy</v>
      </c>
      <c r="L561" s="500"/>
      <c r="M561" s="501"/>
      <c r="N561" s="500"/>
      <c r="O561" s="500"/>
      <c r="P561" s="500"/>
      <c r="Q561" s="502"/>
      <c r="R561" s="503"/>
      <c r="S561" s="504"/>
      <c r="T561" s="505"/>
      <c r="U561" s="500"/>
      <c r="V561" s="500" t="str">
        <f t="shared" si="98"/>
        <v>Commercial Showerhead Replacement_Fitness Center_precondition 1_60 to 1_69 gpm_efficient 2_00 gpm_Retail_Any Water Heating</v>
      </c>
      <c r="W561" s="506" t="s">
        <v>604</v>
      </c>
      <c r="X561" s="502">
        <f t="shared" si="99"/>
        <v>0</v>
      </c>
      <c r="Y561" s="500">
        <v>10</v>
      </c>
      <c r="Z561" s="507">
        <v>0</v>
      </c>
      <c r="AA561" s="500"/>
      <c r="AB561" s="506" t="s">
        <v>605</v>
      </c>
      <c r="AC561" s="505">
        <v>0</v>
      </c>
      <c r="AD561" s="500"/>
      <c r="AE561" s="500"/>
      <c r="AF561" s="500"/>
      <c r="AG561" s="500"/>
      <c r="AH561" s="500"/>
      <c r="AI561" s="500"/>
      <c r="AJ561" s="500">
        <v>0</v>
      </c>
      <c r="AK561" s="506" t="s">
        <v>605</v>
      </c>
    </row>
    <row r="562" spans="6:37">
      <c r="F562" s="500" t="str">
        <f t="shared" si="102"/>
        <v>Fitness Center</v>
      </c>
      <c r="G562" s="500" t="str">
        <f t="shared" si="102"/>
        <v>1_60 to 1_69 gpm</v>
      </c>
      <c r="H562" s="500" t="str">
        <f t="shared" si="102"/>
        <v>Retail</v>
      </c>
      <c r="I562" s="500" t="str">
        <f t="shared" si="102"/>
        <v>1_75</v>
      </c>
      <c r="J562" s="500" t="str">
        <f t="shared" si="102"/>
        <v>Electric Water Heating</v>
      </c>
      <c r="K562" s="500" t="str">
        <f t="shared" si="97"/>
        <v>Commercial Showerhead Replacement_Fitness Center_precondition 1_60 to 1_69 gpm_efficient 1_75 gpm_Retail_Electric Water Heating - Embedded Water Energy</v>
      </c>
      <c r="L562" s="500"/>
      <c r="M562" s="501"/>
      <c r="N562" s="500"/>
      <c r="O562" s="500"/>
      <c r="P562" s="500"/>
      <c r="Q562" s="502"/>
      <c r="R562" s="503"/>
      <c r="S562" s="504"/>
      <c r="T562" s="505"/>
      <c r="U562" s="500"/>
      <c r="V562" s="500" t="str">
        <f t="shared" si="98"/>
        <v>Commercial Showerhead Replacement_Fitness Center_precondition 1_60 to 1_69 gpm_efficient 1_75 gpm_Retail_Electric Water Heating</v>
      </c>
      <c r="W562" s="506" t="s">
        <v>604</v>
      </c>
      <c r="X562" s="502">
        <f t="shared" si="99"/>
        <v>0</v>
      </c>
      <c r="Y562" s="500">
        <v>10</v>
      </c>
      <c r="Z562" s="507">
        <v>0</v>
      </c>
      <c r="AA562" s="500"/>
      <c r="AB562" s="506" t="s">
        <v>605</v>
      </c>
      <c r="AC562" s="505">
        <v>0</v>
      </c>
      <c r="AD562" s="500"/>
      <c r="AE562" s="500"/>
      <c r="AF562" s="500"/>
      <c r="AG562" s="500"/>
      <c r="AH562" s="500"/>
      <c r="AI562" s="500"/>
      <c r="AJ562" s="500">
        <v>0</v>
      </c>
      <c r="AK562" s="506" t="s">
        <v>605</v>
      </c>
    </row>
    <row r="563" spans="6:37">
      <c r="F563" s="500" t="str">
        <f t="shared" si="102"/>
        <v>Fitness Center</v>
      </c>
      <c r="G563" s="500" t="str">
        <f t="shared" si="102"/>
        <v>1_60 to 1_69 gpm</v>
      </c>
      <c r="H563" s="500" t="str">
        <f t="shared" si="102"/>
        <v>Retail</v>
      </c>
      <c r="I563" s="500" t="str">
        <f t="shared" si="102"/>
        <v>1_75</v>
      </c>
      <c r="J563" s="500" t="str">
        <f t="shared" si="102"/>
        <v>Gas Water Heating</v>
      </c>
      <c r="K563" s="500" t="str">
        <f t="shared" si="97"/>
        <v>Commercial Showerhead Replacement_Fitness Center_precondition 1_60 to 1_69 gpm_efficient 1_75 gpm_Retail_Gas Water Heating - Embedded Water Energy</v>
      </c>
      <c r="L563" s="500"/>
      <c r="M563" s="501"/>
      <c r="N563" s="500"/>
      <c r="O563" s="500"/>
      <c r="P563" s="500"/>
      <c r="Q563" s="502"/>
      <c r="R563" s="503"/>
      <c r="S563" s="504"/>
      <c r="T563" s="505"/>
      <c r="U563" s="500"/>
      <c r="V563" s="500" t="str">
        <f t="shared" si="98"/>
        <v>Commercial Showerhead Replacement_Fitness Center_precondition 1_60 to 1_69 gpm_efficient 1_75 gpm_Retail_Gas Water Heating</v>
      </c>
      <c r="W563" s="506" t="s">
        <v>604</v>
      </c>
      <c r="X563" s="502">
        <f t="shared" si="99"/>
        <v>0</v>
      </c>
      <c r="Y563" s="500">
        <v>10</v>
      </c>
      <c r="Z563" s="507">
        <v>0</v>
      </c>
      <c r="AA563" s="500"/>
      <c r="AB563" s="506" t="s">
        <v>605</v>
      </c>
      <c r="AC563" s="505">
        <v>0</v>
      </c>
      <c r="AD563" s="500"/>
      <c r="AE563" s="500"/>
      <c r="AF563" s="500"/>
      <c r="AG563" s="500"/>
      <c r="AH563" s="500"/>
      <c r="AI563" s="500"/>
      <c r="AJ563" s="500">
        <v>0</v>
      </c>
      <c r="AK563" s="506" t="s">
        <v>605</v>
      </c>
    </row>
    <row r="564" spans="6:37">
      <c r="F564" s="500" t="str">
        <f t="shared" si="102"/>
        <v>Fitness Center</v>
      </c>
      <c r="G564" s="500" t="str">
        <f t="shared" si="102"/>
        <v>1_60 to 1_69 gpm</v>
      </c>
      <c r="H564" s="500" t="str">
        <f t="shared" si="102"/>
        <v>Retail</v>
      </c>
      <c r="I564" s="500" t="str">
        <f t="shared" si="102"/>
        <v>1_75</v>
      </c>
      <c r="J564" s="500" t="str">
        <f t="shared" si="102"/>
        <v>Any Water Heating</v>
      </c>
      <c r="K564" s="500" t="str">
        <f t="shared" si="97"/>
        <v>Commercial Showerhead Replacement_Fitness Center_precondition 1_60 to 1_69 gpm_efficient 1_75 gpm_Retail_Any Water Heating - Embedded Water Energy</v>
      </c>
      <c r="L564" s="500"/>
      <c r="M564" s="501"/>
      <c r="N564" s="500"/>
      <c r="O564" s="500"/>
      <c r="P564" s="500"/>
      <c r="Q564" s="502"/>
      <c r="R564" s="503"/>
      <c r="S564" s="504"/>
      <c r="T564" s="505"/>
      <c r="U564" s="500"/>
      <c r="V564" s="500" t="str">
        <f t="shared" si="98"/>
        <v>Commercial Showerhead Replacement_Fitness Center_precondition 1_60 to 1_69 gpm_efficient 1_75 gpm_Retail_Any Water Heating</v>
      </c>
      <c r="W564" s="506" t="s">
        <v>604</v>
      </c>
      <c r="X564" s="502">
        <f t="shared" si="99"/>
        <v>0</v>
      </c>
      <c r="Y564" s="500">
        <v>10</v>
      </c>
      <c r="Z564" s="507">
        <v>0</v>
      </c>
      <c r="AA564" s="500"/>
      <c r="AB564" s="506" t="s">
        <v>605</v>
      </c>
      <c r="AC564" s="505">
        <v>0</v>
      </c>
      <c r="AD564" s="500"/>
      <c r="AE564" s="500"/>
      <c r="AF564" s="500"/>
      <c r="AG564" s="500"/>
      <c r="AH564" s="500"/>
      <c r="AI564" s="500"/>
      <c r="AJ564" s="500">
        <v>0</v>
      </c>
      <c r="AK564" s="506" t="s">
        <v>605</v>
      </c>
    </row>
    <row r="565" spans="6:37">
      <c r="F565" s="500" t="str">
        <f t="shared" si="102"/>
        <v>Fitness Center</v>
      </c>
      <c r="G565" s="500" t="str">
        <f t="shared" si="102"/>
        <v>1_60 to 1_69 gpm</v>
      </c>
      <c r="H565" s="500" t="str">
        <f t="shared" si="102"/>
        <v>Retail</v>
      </c>
      <c r="I565" s="500" t="str">
        <f t="shared" si="102"/>
        <v>1_50</v>
      </c>
      <c r="J565" s="500" t="str">
        <f t="shared" si="102"/>
        <v>Electric Water Heating</v>
      </c>
      <c r="K565" s="500" t="str">
        <f t="shared" si="97"/>
        <v>Commercial Showerhead Replacement_Fitness Center_precondition 1_60 to 1_69 gpm_efficient 1_50 gpm_Retail_Electric Water Heating - Embedded Water Energy</v>
      </c>
      <c r="L565" s="500"/>
      <c r="M565" s="501"/>
      <c r="N565" s="500"/>
      <c r="O565" s="500"/>
      <c r="P565" s="500"/>
      <c r="Q565" s="502"/>
      <c r="R565" s="503"/>
      <c r="S565" s="504"/>
      <c r="T565" s="505"/>
      <c r="U565" s="500"/>
      <c r="V565" s="500" t="str">
        <f t="shared" si="98"/>
        <v>Commercial Showerhead Replacement_Fitness Center_precondition 1_60 to 1_69 gpm_efficient 1_50 gpm_Retail_Electric Water Heating</v>
      </c>
      <c r="W565" s="506" t="s">
        <v>604</v>
      </c>
      <c r="X565" s="502">
        <f t="shared" si="99"/>
        <v>31.601049540175804</v>
      </c>
      <c r="Y565" s="500">
        <v>10</v>
      </c>
      <c r="Z565" s="507">
        <v>0</v>
      </c>
      <c r="AA565" s="500"/>
      <c r="AB565" s="506" t="s">
        <v>605</v>
      </c>
      <c r="AC565" s="505">
        <v>0</v>
      </c>
      <c r="AD565" s="500"/>
      <c r="AE565" s="500"/>
      <c r="AF565" s="500"/>
      <c r="AG565" s="500"/>
      <c r="AH565" s="500"/>
      <c r="AI565" s="500"/>
      <c r="AJ565" s="500">
        <v>0</v>
      </c>
      <c r="AK565" s="506" t="s">
        <v>605</v>
      </c>
    </row>
    <row r="566" spans="6:37">
      <c r="F566" s="500" t="str">
        <f t="shared" si="102"/>
        <v>Fitness Center</v>
      </c>
      <c r="G566" s="500" t="str">
        <f t="shared" si="102"/>
        <v>1_60 to 1_69 gpm</v>
      </c>
      <c r="H566" s="500" t="str">
        <f t="shared" si="102"/>
        <v>Retail</v>
      </c>
      <c r="I566" s="500" t="str">
        <f t="shared" si="102"/>
        <v>1_50</v>
      </c>
      <c r="J566" s="500" t="str">
        <f t="shared" si="102"/>
        <v>Gas Water Heating</v>
      </c>
      <c r="K566" s="500" t="str">
        <f t="shared" si="97"/>
        <v>Commercial Showerhead Replacement_Fitness Center_precondition 1_60 to 1_69 gpm_efficient 1_50 gpm_Retail_Gas Water Heating - Embedded Water Energy</v>
      </c>
      <c r="L566" s="500"/>
      <c r="M566" s="501"/>
      <c r="N566" s="500"/>
      <c r="O566" s="500"/>
      <c r="P566" s="500"/>
      <c r="Q566" s="502"/>
      <c r="R566" s="503"/>
      <c r="S566" s="504"/>
      <c r="T566" s="505"/>
      <c r="U566" s="500"/>
      <c r="V566" s="500" t="str">
        <f t="shared" si="98"/>
        <v>Commercial Showerhead Replacement_Fitness Center_precondition 1_60 to 1_69 gpm_efficient 1_50 gpm_Retail_Gas Water Heating</v>
      </c>
      <c r="W566" s="506" t="s">
        <v>604</v>
      </c>
      <c r="X566" s="502">
        <f t="shared" si="99"/>
        <v>31.601049540175804</v>
      </c>
      <c r="Y566" s="500">
        <v>10</v>
      </c>
      <c r="Z566" s="507">
        <v>0</v>
      </c>
      <c r="AA566" s="500"/>
      <c r="AB566" s="506" t="s">
        <v>605</v>
      </c>
      <c r="AC566" s="505">
        <v>0</v>
      </c>
      <c r="AD566" s="500"/>
      <c r="AE566" s="500"/>
      <c r="AF566" s="500"/>
      <c r="AG566" s="500"/>
      <c r="AH566" s="500"/>
      <c r="AI566" s="500"/>
      <c r="AJ566" s="500">
        <v>0</v>
      </c>
      <c r="AK566" s="506" t="s">
        <v>605</v>
      </c>
    </row>
    <row r="567" spans="6:37">
      <c r="F567" s="500" t="str">
        <f t="shared" si="102"/>
        <v>Fitness Center</v>
      </c>
      <c r="G567" s="500" t="str">
        <f t="shared" si="102"/>
        <v>1_60 to 1_69 gpm</v>
      </c>
      <c r="H567" s="500" t="str">
        <f t="shared" si="102"/>
        <v>Retail</v>
      </c>
      <c r="I567" s="500" t="str">
        <f t="shared" si="102"/>
        <v>1_50</v>
      </c>
      <c r="J567" s="500" t="str">
        <f t="shared" si="102"/>
        <v>Any Water Heating</v>
      </c>
      <c r="K567" s="500" t="str">
        <f t="shared" si="97"/>
        <v>Commercial Showerhead Replacement_Fitness Center_precondition 1_60 to 1_69 gpm_efficient 1_50 gpm_Retail_Any Water Heating - Embedded Water Energy</v>
      </c>
      <c r="L567" s="500"/>
      <c r="M567" s="501"/>
      <c r="N567" s="500"/>
      <c r="O567" s="500"/>
      <c r="P567" s="500"/>
      <c r="Q567" s="502"/>
      <c r="R567" s="503"/>
      <c r="S567" s="504"/>
      <c r="T567" s="505"/>
      <c r="U567" s="500"/>
      <c r="V567" s="500" t="str">
        <f t="shared" si="98"/>
        <v>Commercial Showerhead Replacement_Fitness Center_precondition 1_60 to 1_69 gpm_efficient 1_50 gpm_Retail_Any Water Heating</v>
      </c>
      <c r="W567" s="506" t="s">
        <v>604</v>
      </c>
      <c r="X567" s="502">
        <f t="shared" si="99"/>
        <v>31.601049540175804</v>
      </c>
      <c r="Y567" s="500">
        <v>10</v>
      </c>
      <c r="Z567" s="507">
        <v>0</v>
      </c>
      <c r="AA567" s="500"/>
      <c r="AB567" s="506" t="s">
        <v>605</v>
      </c>
      <c r="AC567" s="505">
        <v>0</v>
      </c>
      <c r="AD567" s="500"/>
      <c r="AE567" s="500"/>
      <c r="AF567" s="500"/>
      <c r="AG567" s="500"/>
      <c r="AH567" s="500"/>
      <c r="AI567" s="500"/>
      <c r="AJ567" s="500">
        <v>0</v>
      </c>
      <c r="AK567" s="506" t="s">
        <v>605</v>
      </c>
    </row>
    <row r="568" spans="6:37">
      <c r="F568" s="500" t="str">
        <f t="shared" si="102"/>
        <v>Fitness Center</v>
      </c>
      <c r="G568" s="500" t="str">
        <f t="shared" si="102"/>
        <v>1_60 to 1_69 gpm</v>
      </c>
      <c r="H568" s="500" t="str">
        <f t="shared" si="102"/>
        <v>Direct Install</v>
      </c>
      <c r="I568" s="500" t="str">
        <f t="shared" si="102"/>
        <v>2_00</v>
      </c>
      <c r="J568" s="500" t="str">
        <f t="shared" si="102"/>
        <v>Electric Water Heating</v>
      </c>
      <c r="K568" s="500" t="str">
        <f t="shared" si="97"/>
        <v>Commercial Showerhead Replacement_Fitness Center_precondition 1_60 to 1_69 gpm_efficient 2_00 gpm_Direct Install_Electric Water Heating - Embedded Water Energy</v>
      </c>
      <c r="L568" s="500"/>
      <c r="M568" s="501"/>
      <c r="N568" s="500"/>
      <c r="O568" s="500"/>
      <c r="P568" s="500"/>
      <c r="Q568" s="502"/>
      <c r="R568" s="503"/>
      <c r="S568" s="504"/>
      <c r="T568" s="505"/>
      <c r="U568" s="500"/>
      <c r="V568" s="500" t="str">
        <f t="shared" si="98"/>
        <v>Commercial Showerhead Replacement_Fitness Center_precondition 1_60 to 1_69 gpm_efficient 2_00 gpm_Direct Install_Electric Water Heating</v>
      </c>
      <c r="W568" s="506" t="s">
        <v>604</v>
      </c>
      <c r="X568" s="502">
        <f t="shared" si="99"/>
        <v>0</v>
      </c>
      <c r="Y568" s="500">
        <v>10</v>
      </c>
      <c r="Z568" s="507">
        <v>0</v>
      </c>
      <c r="AA568" s="500"/>
      <c r="AB568" s="506" t="s">
        <v>605</v>
      </c>
      <c r="AC568" s="505">
        <v>0</v>
      </c>
      <c r="AD568" s="500"/>
      <c r="AE568" s="500"/>
      <c r="AF568" s="500"/>
      <c r="AG568" s="500"/>
      <c r="AH568" s="500"/>
      <c r="AI568" s="500"/>
      <c r="AJ568" s="500">
        <v>0</v>
      </c>
      <c r="AK568" s="506" t="s">
        <v>605</v>
      </c>
    </row>
    <row r="569" spans="6:37">
      <c r="F569" s="500" t="str">
        <f t="shared" si="102"/>
        <v>Fitness Center</v>
      </c>
      <c r="G569" s="500" t="str">
        <f t="shared" si="102"/>
        <v>1_60 to 1_69 gpm</v>
      </c>
      <c r="H569" s="500" t="str">
        <f t="shared" si="102"/>
        <v>Direct Install</v>
      </c>
      <c r="I569" s="500" t="str">
        <f t="shared" si="102"/>
        <v>2_00</v>
      </c>
      <c r="J569" s="500" t="str">
        <f t="shared" si="102"/>
        <v>Gas Water Heating</v>
      </c>
      <c r="K569" s="500" t="str">
        <f t="shared" si="97"/>
        <v>Commercial Showerhead Replacement_Fitness Center_precondition 1_60 to 1_69 gpm_efficient 2_00 gpm_Direct Install_Gas Water Heating - Embedded Water Energy</v>
      </c>
      <c r="L569" s="500"/>
      <c r="M569" s="501"/>
      <c r="N569" s="500"/>
      <c r="O569" s="500"/>
      <c r="P569" s="500"/>
      <c r="Q569" s="502"/>
      <c r="R569" s="503"/>
      <c r="S569" s="504"/>
      <c r="T569" s="505"/>
      <c r="U569" s="500"/>
      <c r="V569" s="500" t="str">
        <f t="shared" si="98"/>
        <v>Commercial Showerhead Replacement_Fitness Center_precondition 1_60 to 1_69 gpm_efficient 2_00 gpm_Direct Install_Gas Water Heating</v>
      </c>
      <c r="W569" s="506" t="s">
        <v>604</v>
      </c>
      <c r="X569" s="502">
        <f t="shared" si="99"/>
        <v>0</v>
      </c>
      <c r="Y569" s="500">
        <v>10</v>
      </c>
      <c r="Z569" s="507">
        <v>0</v>
      </c>
      <c r="AA569" s="500"/>
      <c r="AB569" s="506" t="s">
        <v>605</v>
      </c>
      <c r="AC569" s="505">
        <v>0</v>
      </c>
      <c r="AD569" s="500"/>
      <c r="AE569" s="500"/>
      <c r="AF569" s="500"/>
      <c r="AG569" s="500"/>
      <c r="AH569" s="500"/>
      <c r="AI569" s="500"/>
      <c r="AJ569" s="500">
        <v>0</v>
      </c>
      <c r="AK569" s="506" t="s">
        <v>605</v>
      </c>
    </row>
    <row r="570" spans="6:37">
      <c r="F570" s="500" t="str">
        <f t="shared" si="102"/>
        <v>Fitness Center</v>
      </c>
      <c r="G570" s="500" t="str">
        <f t="shared" si="102"/>
        <v>1_60 to 1_69 gpm</v>
      </c>
      <c r="H570" s="500" t="str">
        <f t="shared" si="102"/>
        <v>Direct Install</v>
      </c>
      <c r="I570" s="500" t="str">
        <f t="shared" si="102"/>
        <v>2_00</v>
      </c>
      <c r="J570" s="500" t="str">
        <f t="shared" si="102"/>
        <v>Any Water Heating</v>
      </c>
      <c r="K570" s="500" t="str">
        <f t="shared" si="97"/>
        <v>Commercial Showerhead Replacement_Fitness Center_precondition 1_60 to 1_69 gpm_efficient 2_00 gpm_Direct Install_Any Water Heating - Embedded Water Energy</v>
      </c>
      <c r="L570" s="500"/>
      <c r="M570" s="501"/>
      <c r="N570" s="500"/>
      <c r="O570" s="500"/>
      <c r="P570" s="500"/>
      <c r="Q570" s="502"/>
      <c r="R570" s="503"/>
      <c r="S570" s="504"/>
      <c r="T570" s="505"/>
      <c r="U570" s="500"/>
      <c r="V570" s="500" t="str">
        <f t="shared" si="98"/>
        <v>Commercial Showerhead Replacement_Fitness Center_precondition 1_60 to 1_69 gpm_efficient 2_00 gpm_Direct Install_Any Water Heating</v>
      </c>
      <c r="W570" s="506" t="s">
        <v>604</v>
      </c>
      <c r="X570" s="502">
        <f t="shared" si="99"/>
        <v>0</v>
      </c>
      <c r="Y570" s="500">
        <v>10</v>
      </c>
      <c r="Z570" s="507">
        <v>0</v>
      </c>
      <c r="AA570" s="500"/>
      <c r="AB570" s="506" t="s">
        <v>605</v>
      </c>
      <c r="AC570" s="505">
        <v>0</v>
      </c>
      <c r="AD570" s="500"/>
      <c r="AE570" s="500"/>
      <c r="AF570" s="500"/>
      <c r="AG570" s="500"/>
      <c r="AH570" s="500"/>
      <c r="AI570" s="500"/>
      <c r="AJ570" s="500">
        <v>0</v>
      </c>
      <c r="AK570" s="506" t="s">
        <v>605</v>
      </c>
    </row>
    <row r="571" spans="6:37">
      <c r="F571" s="500" t="str">
        <f t="shared" si="102"/>
        <v>Fitness Center</v>
      </c>
      <c r="G571" s="500" t="str">
        <f t="shared" si="102"/>
        <v>1_60 to 1_69 gpm</v>
      </c>
      <c r="H571" s="500" t="str">
        <f t="shared" si="102"/>
        <v>Direct Install</v>
      </c>
      <c r="I571" s="500" t="str">
        <f t="shared" si="102"/>
        <v>1_75</v>
      </c>
      <c r="J571" s="500" t="str">
        <f t="shared" si="102"/>
        <v>Electric Water Heating</v>
      </c>
      <c r="K571" s="500" t="str">
        <f t="shared" si="97"/>
        <v>Commercial Showerhead Replacement_Fitness Center_precondition 1_60 to 1_69 gpm_efficient 1_75 gpm_Direct Install_Electric Water Heating - Embedded Water Energy</v>
      </c>
      <c r="L571" s="500"/>
      <c r="M571" s="501"/>
      <c r="N571" s="500"/>
      <c r="O571" s="500"/>
      <c r="P571" s="500"/>
      <c r="Q571" s="502"/>
      <c r="R571" s="503"/>
      <c r="S571" s="504"/>
      <c r="T571" s="505"/>
      <c r="U571" s="500"/>
      <c r="V571" s="500" t="str">
        <f t="shared" si="98"/>
        <v>Commercial Showerhead Replacement_Fitness Center_precondition 1_60 to 1_69 gpm_efficient 1_75 gpm_Direct Install_Electric Water Heating</v>
      </c>
      <c r="W571" s="506" t="s">
        <v>604</v>
      </c>
      <c r="X571" s="502">
        <f t="shared" si="99"/>
        <v>0</v>
      </c>
      <c r="Y571" s="500">
        <v>10</v>
      </c>
      <c r="Z571" s="507">
        <v>0</v>
      </c>
      <c r="AA571" s="500"/>
      <c r="AB571" s="506" t="s">
        <v>605</v>
      </c>
      <c r="AC571" s="505">
        <v>0</v>
      </c>
      <c r="AD571" s="500"/>
      <c r="AE571" s="500"/>
      <c r="AF571" s="500"/>
      <c r="AG571" s="500"/>
      <c r="AH571" s="500"/>
      <c r="AI571" s="500"/>
      <c r="AJ571" s="500">
        <v>0</v>
      </c>
      <c r="AK571" s="506" t="s">
        <v>605</v>
      </c>
    </row>
    <row r="572" spans="6:37">
      <c r="F572" s="500" t="str">
        <f t="shared" ref="F572:J587" si="103">F275</f>
        <v>Fitness Center</v>
      </c>
      <c r="G572" s="500" t="str">
        <f t="shared" si="103"/>
        <v>1_60 to 1_69 gpm</v>
      </c>
      <c r="H572" s="500" t="str">
        <f t="shared" si="103"/>
        <v>Direct Install</v>
      </c>
      <c r="I572" s="500" t="str">
        <f t="shared" si="103"/>
        <v>1_75</v>
      </c>
      <c r="J572" s="500" t="str">
        <f t="shared" si="103"/>
        <v>Gas Water Heating</v>
      </c>
      <c r="K572" s="500" t="str">
        <f t="shared" ref="K572:K612" si="104">K275 &amp; " - Embedded Water Energy"</f>
        <v>Commercial Showerhead Replacement_Fitness Center_precondition 1_60 to 1_69 gpm_efficient 1_75 gpm_Direct Install_Gas Water Heating - Embedded Water Energy</v>
      </c>
      <c r="L572" s="500"/>
      <c r="M572" s="501"/>
      <c r="N572" s="500"/>
      <c r="O572" s="500"/>
      <c r="P572" s="500"/>
      <c r="Q572" s="502"/>
      <c r="R572" s="503"/>
      <c r="S572" s="504"/>
      <c r="T572" s="505"/>
      <c r="U572" s="500"/>
      <c r="V572" s="500" t="str">
        <f t="shared" ref="V572:V612" si="105">V275</f>
        <v>Commercial Showerhead Replacement_Fitness Center_precondition 1_60 to 1_69 gpm_efficient 1_75 gpm_Direct Install_Gas Water Heating</v>
      </c>
      <c r="W572" s="506" t="s">
        <v>604</v>
      </c>
      <c r="X572" s="502">
        <f t="shared" ref="X572:X612" si="106">IF(S275&gt;0,Q275,0)</f>
        <v>0</v>
      </c>
      <c r="Y572" s="500">
        <v>10</v>
      </c>
      <c r="Z572" s="507">
        <v>0</v>
      </c>
      <c r="AA572" s="500"/>
      <c r="AB572" s="506" t="s">
        <v>605</v>
      </c>
      <c r="AC572" s="505">
        <v>0</v>
      </c>
      <c r="AD572" s="500"/>
      <c r="AE572" s="500"/>
      <c r="AF572" s="500"/>
      <c r="AG572" s="500"/>
      <c r="AH572" s="500"/>
      <c r="AI572" s="500"/>
      <c r="AJ572" s="500">
        <v>0</v>
      </c>
      <c r="AK572" s="506" t="s">
        <v>605</v>
      </c>
    </row>
    <row r="573" spans="6:37">
      <c r="F573" s="500" t="str">
        <f t="shared" si="103"/>
        <v>Fitness Center</v>
      </c>
      <c r="G573" s="500" t="str">
        <f t="shared" si="103"/>
        <v>1_60 to 1_69 gpm</v>
      </c>
      <c r="H573" s="500" t="str">
        <f t="shared" si="103"/>
        <v>Direct Install</v>
      </c>
      <c r="I573" s="500" t="str">
        <f t="shared" si="103"/>
        <v>1_75</v>
      </c>
      <c r="J573" s="500" t="str">
        <f t="shared" si="103"/>
        <v>Any Water Heating</v>
      </c>
      <c r="K573" s="500" t="str">
        <f t="shared" si="104"/>
        <v>Commercial Showerhead Replacement_Fitness Center_precondition 1_60 to 1_69 gpm_efficient 1_75 gpm_Direct Install_Any Water Heating - Embedded Water Energy</v>
      </c>
      <c r="L573" s="500"/>
      <c r="M573" s="501"/>
      <c r="N573" s="500"/>
      <c r="O573" s="500"/>
      <c r="P573" s="500"/>
      <c r="Q573" s="502"/>
      <c r="R573" s="503"/>
      <c r="S573" s="504"/>
      <c r="T573" s="505"/>
      <c r="U573" s="500"/>
      <c r="V573" s="500" t="str">
        <f t="shared" si="105"/>
        <v>Commercial Showerhead Replacement_Fitness Center_precondition 1_60 to 1_69 gpm_efficient 1_75 gpm_Direct Install_Any Water Heating</v>
      </c>
      <c r="W573" s="506" t="s">
        <v>604</v>
      </c>
      <c r="X573" s="502">
        <f t="shared" si="106"/>
        <v>0</v>
      </c>
      <c r="Y573" s="500">
        <v>10</v>
      </c>
      <c r="Z573" s="507">
        <v>0</v>
      </c>
      <c r="AA573" s="500"/>
      <c r="AB573" s="506" t="s">
        <v>605</v>
      </c>
      <c r="AC573" s="505">
        <v>0</v>
      </c>
      <c r="AD573" s="500"/>
      <c r="AE573" s="500"/>
      <c r="AF573" s="500"/>
      <c r="AG573" s="500"/>
      <c r="AH573" s="500"/>
      <c r="AI573" s="500"/>
      <c r="AJ573" s="500">
        <v>0</v>
      </c>
      <c r="AK573" s="506" t="s">
        <v>605</v>
      </c>
    </row>
    <row r="574" spans="6:37">
      <c r="F574" s="500" t="str">
        <f t="shared" si="103"/>
        <v>Fitness Center</v>
      </c>
      <c r="G574" s="500" t="str">
        <f t="shared" si="103"/>
        <v>1_60 to 1_69 gpm</v>
      </c>
      <c r="H574" s="500" t="str">
        <f t="shared" si="103"/>
        <v>Direct Install</v>
      </c>
      <c r="I574" s="500" t="str">
        <f t="shared" si="103"/>
        <v>1_50</v>
      </c>
      <c r="J574" s="500" t="str">
        <f t="shared" si="103"/>
        <v>Electric Water Heating</v>
      </c>
      <c r="K574" s="500" t="str">
        <f t="shared" si="104"/>
        <v>Commercial Showerhead Replacement_Fitness Center_precondition 1_60 to 1_69 gpm_efficient 1_50 gpm_Direct Install_Electric Water Heating - Embedded Water Energy</v>
      </c>
      <c r="L574" s="500"/>
      <c r="M574" s="501"/>
      <c r="N574" s="500"/>
      <c r="O574" s="500"/>
      <c r="P574" s="500"/>
      <c r="Q574" s="502"/>
      <c r="R574" s="503"/>
      <c r="S574" s="504"/>
      <c r="T574" s="505"/>
      <c r="U574" s="500"/>
      <c r="V574" s="500" t="str">
        <f t="shared" si="105"/>
        <v>Commercial Showerhead Replacement_Fitness Center_precondition 1_60 to 1_69 gpm_efficient 1_50 gpm_Direct Install_Electric Water Heating</v>
      </c>
      <c r="W574" s="506" t="s">
        <v>604</v>
      </c>
      <c r="X574" s="502">
        <f t="shared" si="106"/>
        <v>40.629920837368893</v>
      </c>
      <c r="Y574" s="500">
        <v>10</v>
      </c>
      <c r="Z574" s="507">
        <v>0</v>
      </c>
      <c r="AA574" s="500"/>
      <c r="AB574" s="506" t="s">
        <v>605</v>
      </c>
      <c r="AC574" s="505">
        <v>0</v>
      </c>
      <c r="AD574" s="500"/>
      <c r="AE574" s="500"/>
      <c r="AF574" s="500"/>
      <c r="AG574" s="500"/>
      <c r="AH574" s="500"/>
      <c r="AI574" s="500"/>
      <c r="AJ574" s="500">
        <v>0</v>
      </c>
      <c r="AK574" s="506" t="s">
        <v>605</v>
      </c>
    </row>
    <row r="575" spans="6:37">
      <c r="F575" s="500" t="str">
        <f t="shared" si="103"/>
        <v>Fitness Center</v>
      </c>
      <c r="G575" s="500" t="str">
        <f t="shared" si="103"/>
        <v>1_60 to 1_69 gpm</v>
      </c>
      <c r="H575" s="500" t="str">
        <f t="shared" si="103"/>
        <v>Direct Install</v>
      </c>
      <c r="I575" s="500" t="str">
        <f t="shared" si="103"/>
        <v>1_50</v>
      </c>
      <c r="J575" s="500" t="str">
        <f t="shared" si="103"/>
        <v>Gas Water Heating</v>
      </c>
      <c r="K575" s="500" t="str">
        <f t="shared" si="104"/>
        <v>Commercial Showerhead Replacement_Fitness Center_precondition 1_60 to 1_69 gpm_efficient 1_50 gpm_Direct Install_Gas Water Heating - Embedded Water Energy</v>
      </c>
      <c r="L575" s="500"/>
      <c r="M575" s="501"/>
      <c r="N575" s="500"/>
      <c r="O575" s="500"/>
      <c r="P575" s="500"/>
      <c r="Q575" s="502"/>
      <c r="R575" s="503"/>
      <c r="S575" s="504"/>
      <c r="T575" s="505"/>
      <c r="U575" s="500"/>
      <c r="V575" s="500" t="str">
        <f t="shared" si="105"/>
        <v>Commercial Showerhead Replacement_Fitness Center_precondition 1_60 to 1_69 gpm_efficient 1_50 gpm_Direct Install_Gas Water Heating</v>
      </c>
      <c r="W575" s="506" t="s">
        <v>604</v>
      </c>
      <c r="X575" s="502">
        <f t="shared" si="106"/>
        <v>40.629920837368893</v>
      </c>
      <c r="Y575" s="500">
        <v>10</v>
      </c>
      <c r="Z575" s="507">
        <v>0</v>
      </c>
      <c r="AA575" s="500"/>
      <c r="AB575" s="506" t="s">
        <v>605</v>
      </c>
      <c r="AC575" s="505">
        <v>0</v>
      </c>
      <c r="AD575" s="500"/>
      <c r="AE575" s="500"/>
      <c r="AF575" s="500"/>
      <c r="AG575" s="500"/>
      <c r="AH575" s="500"/>
      <c r="AI575" s="500"/>
      <c r="AJ575" s="500">
        <v>0</v>
      </c>
      <c r="AK575" s="506" t="s">
        <v>605</v>
      </c>
    </row>
    <row r="576" spans="6:37">
      <c r="F576" s="500" t="str">
        <f t="shared" si="103"/>
        <v>Fitness Center</v>
      </c>
      <c r="G576" s="500" t="str">
        <f t="shared" si="103"/>
        <v>1_60 to 1_69 gpm</v>
      </c>
      <c r="H576" s="500" t="str">
        <f t="shared" si="103"/>
        <v>Direct Install</v>
      </c>
      <c r="I576" s="500" t="str">
        <f t="shared" si="103"/>
        <v>1_50</v>
      </c>
      <c r="J576" s="500" t="str">
        <f t="shared" si="103"/>
        <v>Any Water Heating</v>
      </c>
      <c r="K576" s="500" t="str">
        <f t="shared" si="104"/>
        <v>Commercial Showerhead Replacement_Fitness Center_precondition 1_60 to 1_69 gpm_efficient 1_50 gpm_Direct Install_Any Water Heating - Embedded Water Energy</v>
      </c>
      <c r="L576" s="500"/>
      <c r="M576" s="501"/>
      <c r="N576" s="500"/>
      <c r="O576" s="500"/>
      <c r="P576" s="500"/>
      <c r="Q576" s="502"/>
      <c r="R576" s="503"/>
      <c r="S576" s="504"/>
      <c r="T576" s="505"/>
      <c r="U576" s="500"/>
      <c r="V576" s="500" t="str">
        <f t="shared" si="105"/>
        <v>Commercial Showerhead Replacement_Fitness Center_precondition 1_60 to 1_69 gpm_efficient 1_50 gpm_Direct Install_Any Water Heating</v>
      </c>
      <c r="W576" s="506" t="s">
        <v>604</v>
      </c>
      <c r="X576" s="502">
        <f t="shared" si="106"/>
        <v>40.629920837368893</v>
      </c>
      <c r="Y576" s="500">
        <v>10</v>
      </c>
      <c r="Z576" s="507">
        <v>0</v>
      </c>
      <c r="AA576" s="500"/>
      <c r="AB576" s="506" t="s">
        <v>605</v>
      </c>
      <c r="AC576" s="505">
        <v>0</v>
      </c>
      <c r="AD576" s="500"/>
      <c r="AE576" s="500"/>
      <c r="AF576" s="500"/>
      <c r="AG576" s="500"/>
      <c r="AH576" s="500"/>
      <c r="AI576" s="500"/>
      <c r="AJ576" s="500">
        <v>0</v>
      </c>
      <c r="AK576" s="506" t="s">
        <v>605</v>
      </c>
    </row>
    <row r="577" spans="6:37">
      <c r="F577" s="500" t="str">
        <f t="shared" si="103"/>
        <v>Fitness Center</v>
      </c>
      <c r="G577" s="500" t="str">
        <f t="shared" si="103"/>
        <v>1_60 to 1_69 gpm</v>
      </c>
      <c r="H577" s="500" t="str">
        <f t="shared" si="103"/>
        <v>Mail-by-Request</v>
      </c>
      <c r="I577" s="500" t="str">
        <f t="shared" si="103"/>
        <v>2_00</v>
      </c>
      <c r="J577" s="500" t="str">
        <f t="shared" si="103"/>
        <v>Electric Water Heating</v>
      </c>
      <c r="K577" s="500" t="str">
        <f t="shared" si="104"/>
        <v>Commercial Showerhead Replacement_Fitness Center_precondition 1_60 to 1_69 gpm_efficient 2_00 gpm_Mail-by-Request_Electric Water Heating - Embedded Water Energy</v>
      </c>
      <c r="L577" s="500"/>
      <c r="M577" s="501"/>
      <c r="N577" s="500"/>
      <c r="O577" s="500"/>
      <c r="P577" s="500"/>
      <c r="Q577" s="502"/>
      <c r="R577" s="503"/>
      <c r="S577" s="504"/>
      <c r="T577" s="505"/>
      <c r="U577" s="500"/>
      <c r="V577" s="500" t="str">
        <f t="shared" si="105"/>
        <v>Commercial Showerhead Replacement_Fitness Center_precondition 1_60 to 1_69 gpm_efficient 2_00 gpm_Mail-by-Request_Electric Water Heating</v>
      </c>
      <c r="W577" s="506" t="s">
        <v>604</v>
      </c>
      <c r="X577" s="502">
        <f t="shared" si="106"/>
        <v>0</v>
      </c>
      <c r="Y577" s="500">
        <v>10</v>
      </c>
      <c r="Z577" s="507">
        <v>0</v>
      </c>
      <c r="AA577" s="500"/>
      <c r="AB577" s="506" t="s">
        <v>605</v>
      </c>
      <c r="AC577" s="505">
        <v>0</v>
      </c>
      <c r="AD577" s="500"/>
      <c r="AE577" s="500"/>
      <c r="AF577" s="500"/>
      <c r="AG577" s="500"/>
      <c r="AH577" s="500"/>
      <c r="AI577" s="500"/>
      <c r="AJ577" s="500">
        <v>0</v>
      </c>
      <c r="AK577" s="506" t="s">
        <v>605</v>
      </c>
    </row>
    <row r="578" spans="6:37">
      <c r="F578" s="500" t="str">
        <f t="shared" si="103"/>
        <v>Fitness Center</v>
      </c>
      <c r="G578" s="500" t="str">
        <f t="shared" si="103"/>
        <v>1_60 to 1_69 gpm</v>
      </c>
      <c r="H578" s="500" t="str">
        <f t="shared" si="103"/>
        <v>Mail-by-Request</v>
      </c>
      <c r="I578" s="500" t="str">
        <f t="shared" si="103"/>
        <v>2_00</v>
      </c>
      <c r="J578" s="500" t="str">
        <f t="shared" si="103"/>
        <v>Gas Water Heating</v>
      </c>
      <c r="K578" s="500" t="str">
        <f t="shared" si="104"/>
        <v>Commercial Showerhead Replacement_Fitness Center_precondition 1_60 to 1_69 gpm_efficient 2_00 gpm_Mail-by-Request_Gas Water Heating - Embedded Water Energy</v>
      </c>
      <c r="L578" s="500"/>
      <c r="M578" s="501"/>
      <c r="N578" s="500"/>
      <c r="O578" s="500"/>
      <c r="P578" s="500"/>
      <c r="Q578" s="502"/>
      <c r="R578" s="503"/>
      <c r="S578" s="504"/>
      <c r="T578" s="505"/>
      <c r="U578" s="500"/>
      <c r="V578" s="500" t="str">
        <f t="shared" si="105"/>
        <v>Commercial Showerhead Replacement_Fitness Center_precondition 1_60 to 1_69 gpm_efficient 2_00 gpm_Mail-by-Request_Gas Water Heating</v>
      </c>
      <c r="W578" s="506" t="s">
        <v>604</v>
      </c>
      <c r="X578" s="502">
        <f t="shared" si="106"/>
        <v>0</v>
      </c>
      <c r="Y578" s="500">
        <v>10</v>
      </c>
      <c r="Z578" s="507">
        <v>0</v>
      </c>
      <c r="AA578" s="500"/>
      <c r="AB578" s="506" t="s">
        <v>605</v>
      </c>
      <c r="AC578" s="505">
        <v>0</v>
      </c>
      <c r="AD578" s="500"/>
      <c r="AE578" s="500"/>
      <c r="AF578" s="500"/>
      <c r="AG578" s="500"/>
      <c r="AH578" s="500"/>
      <c r="AI578" s="500"/>
      <c r="AJ578" s="500">
        <v>0</v>
      </c>
      <c r="AK578" s="506" t="s">
        <v>605</v>
      </c>
    </row>
    <row r="579" spans="6:37">
      <c r="F579" s="500" t="str">
        <f t="shared" si="103"/>
        <v>Fitness Center</v>
      </c>
      <c r="G579" s="500" t="str">
        <f t="shared" si="103"/>
        <v>1_60 to 1_69 gpm</v>
      </c>
      <c r="H579" s="500" t="str">
        <f t="shared" si="103"/>
        <v>Mail-by-Request</v>
      </c>
      <c r="I579" s="500" t="str">
        <f t="shared" si="103"/>
        <v>2_00</v>
      </c>
      <c r="J579" s="500" t="str">
        <f t="shared" si="103"/>
        <v>Any Water Heating</v>
      </c>
      <c r="K579" s="500" t="str">
        <f t="shared" si="104"/>
        <v>Commercial Showerhead Replacement_Fitness Center_precondition 1_60 to 1_69 gpm_efficient 2_00 gpm_Mail-by-Request_Any Water Heating - Embedded Water Energy</v>
      </c>
      <c r="L579" s="500"/>
      <c r="M579" s="501"/>
      <c r="N579" s="500"/>
      <c r="O579" s="500"/>
      <c r="P579" s="500"/>
      <c r="Q579" s="502"/>
      <c r="R579" s="503"/>
      <c r="S579" s="504"/>
      <c r="T579" s="505"/>
      <c r="U579" s="500"/>
      <c r="V579" s="500" t="str">
        <f t="shared" si="105"/>
        <v>Commercial Showerhead Replacement_Fitness Center_precondition 1_60 to 1_69 gpm_efficient 2_00 gpm_Mail-by-Request_Any Water Heating</v>
      </c>
      <c r="W579" s="506" t="s">
        <v>604</v>
      </c>
      <c r="X579" s="502">
        <f t="shared" si="106"/>
        <v>0</v>
      </c>
      <c r="Y579" s="500">
        <v>10</v>
      </c>
      <c r="Z579" s="507">
        <v>0</v>
      </c>
      <c r="AA579" s="500"/>
      <c r="AB579" s="506" t="s">
        <v>605</v>
      </c>
      <c r="AC579" s="505">
        <v>0</v>
      </c>
      <c r="AD579" s="500"/>
      <c r="AE579" s="500"/>
      <c r="AF579" s="500"/>
      <c r="AG579" s="500"/>
      <c r="AH579" s="500"/>
      <c r="AI579" s="500"/>
      <c r="AJ579" s="500">
        <v>0</v>
      </c>
      <c r="AK579" s="506" t="s">
        <v>605</v>
      </c>
    </row>
    <row r="580" spans="6:37">
      <c r="F580" s="500" t="str">
        <f t="shared" si="103"/>
        <v>Fitness Center</v>
      </c>
      <c r="G580" s="500" t="str">
        <f t="shared" si="103"/>
        <v>1_60 to 1_69 gpm</v>
      </c>
      <c r="H580" s="500" t="str">
        <f t="shared" si="103"/>
        <v>Mail-by-Request</v>
      </c>
      <c r="I580" s="500" t="str">
        <f t="shared" si="103"/>
        <v>1_75</v>
      </c>
      <c r="J580" s="500" t="str">
        <f t="shared" si="103"/>
        <v>Electric Water Heating</v>
      </c>
      <c r="K580" s="500" t="str">
        <f t="shared" si="104"/>
        <v>Commercial Showerhead Replacement_Fitness Center_precondition 1_60 to 1_69 gpm_efficient 1_75 gpm_Mail-by-Request_Electric Water Heating - Embedded Water Energy</v>
      </c>
      <c r="L580" s="500"/>
      <c r="M580" s="501"/>
      <c r="N580" s="500"/>
      <c r="O580" s="500"/>
      <c r="P580" s="500"/>
      <c r="Q580" s="502"/>
      <c r="R580" s="503"/>
      <c r="S580" s="504"/>
      <c r="T580" s="505"/>
      <c r="U580" s="500"/>
      <c r="V580" s="500" t="str">
        <f t="shared" si="105"/>
        <v>Commercial Showerhead Replacement_Fitness Center_precondition 1_60 to 1_69 gpm_efficient 1_75 gpm_Mail-by-Request_Electric Water Heating</v>
      </c>
      <c r="W580" s="506" t="s">
        <v>604</v>
      </c>
      <c r="X580" s="502">
        <f t="shared" si="106"/>
        <v>0</v>
      </c>
      <c r="Y580" s="500">
        <v>10</v>
      </c>
      <c r="Z580" s="507">
        <v>0</v>
      </c>
      <c r="AA580" s="500"/>
      <c r="AB580" s="506" t="s">
        <v>605</v>
      </c>
      <c r="AC580" s="505">
        <v>0</v>
      </c>
      <c r="AD580" s="500"/>
      <c r="AE580" s="500"/>
      <c r="AF580" s="500"/>
      <c r="AG580" s="500"/>
      <c r="AH580" s="500"/>
      <c r="AI580" s="500"/>
      <c r="AJ580" s="500">
        <v>0</v>
      </c>
      <c r="AK580" s="506" t="s">
        <v>605</v>
      </c>
    </row>
    <row r="581" spans="6:37">
      <c r="F581" s="500" t="str">
        <f t="shared" si="103"/>
        <v>Fitness Center</v>
      </c>
      <c r="G581" s="500" t="str">
        <f t="shared" si="103"/>
        <v>1_60 to 1_69 gpm</v>
      </c>
      <c r="H581" s="500" t="str">
        <f t="shared" si="103"/>
        <v>Mail-by-Request</v>
      </c>
      <c r="I581" s="500" t="str">
        <f t="shared" si="103"/>
        <v>1_75</v>
      </c>
      <c r="J581" s="500" t="str">
        <f t="shared" si="103"/>
        <v>Gas Water Heating</v>
      </c>
      <c r="K581" s="500" t="str">
        <f t="shared" si="104"/>
        <v>Commercial Showerhead Replacement_Fitness Center_precondition 1_60 to 1_69 gpm_efficient 1_75 gpm_Mail-by-Request_Gas Water Heating - Embedded Water Energy</v>
      </c>
      <c r="L581" s="500"/>
      <c r="M581" s="501"/>
      <c r="N581" s="500"/>
      <c r="O581" s="500"/>
      <c r="P581" s="500"/>
      <c r="Q581" s="502"/>
      <c r="R581" s="503"/>
      <c r="S581" s="504"/>
      <c r="T581" s="505"/>
      <c r="U581" s="500"/>
      <c r="V581" s="500" t="str">
        <f t="shared" si="105"/>
        <v>Commercial Showerhead Replacement_Fitness Center_precondition 1_60 to 1_69 gpm_efficient 1_75 gpm_Mail-by-Request_Gas Water Heating</v>
      </c>
      <c r="W581" s="506" t="s">
        <v>604</v>
      </c>
      <c r="X581" s="502">
        <f t="shared" si="106"/>
        <v>0</v>
      </c>
      <c r="Y581" s="500">
        <v>10</v>
      </c>
      <c r="Z581" s="507">
        <v>0</v>
      </c>
      <c r="AA581" s="500"/>
      <c r="AB581" s="506" t="s">
        <v>605</v>
      </c>
      <c r="AC581" s="505">
        <v>0</v>
      </c>
      <c r="AD581" s="500"/>
      <c r="AE581" s="500"/>
      <c r="AF581" s="500"/>
      <c r="AG581" s="500"/>
      <c r="AH581" s="500"/>
      <c r="AI581" s="500"/>
      <c r="AJ581" s="500">
        <v>0</v>
      </c>
      <c r="AK581" s="506" t="s">
        <v>605</v>
      </c>
    </row>
    <row r="582" spans="6:37">
      <c r="F582" s="500" t="str">
        <f t="shared" si="103"/>
        <v>Fitness Center</v>
      </c>
      <c r="G582" s="500" t="str">
        <f t="shared" si="103"/>
        <v>1_60 to 1_69 gpm</v>
      </c>
      <c r="H582" s="500" t="str">
        <f t="shared" si="103"/>
        <v>Mail-by-Request</v>
      </c>
      <c r="I582" s="500" t="str">
        <f t="shared" si="103"/>
        <v>1_75</v>
      </c>
      <c r="J582" s="500" t="str">
        <f t="shared" si="103"/>
        <v>Any Water Heating</v>
      </c>
      <c r="K582" s="500" t="str">
        <f t="shared" si="104"/>
        <v>Commercial Showerhead Replacement_Fitness Center_precondition 1_60 to 1_69 gpm_efficient 1_75 gpm_Mail-by-Request_Any Water Heating - Embedded Water Energy</v>
      </c>
      <c r="L582" s="500"/>
      <c r="M582" s="501"/>
      <c r="N582" s="500"/>
      <c r="O582" s="500"/>
      <c r="P582" s="500"/>
      <c r="Q582" s="502"/>
      <c r="R582" s="503"/>
      <c r="S582" s="504"/>
      <c r="T582" s="505"/>
      <c r="U582" s="500"/>
      <c r="V582" s="500" t="str">
        <f t="shared" si="105"/>
        <v>Commercial Showerhead Replacement_Fitness Center_precondition 1_60 to 1_69 gpm_efficient 1_75 gpm_Mail-by-Request_Any Water Heating</v>
      </c>
      <c r="W582" s="506" t="s">
        <v>604</v>
      </c>
      <c r="X582" s="502">
        <f t="shared" si="106"/>
        <v>0</v>
      </c>
      <c r="Y582" s="500">
        <v>10</v>
      </c>
      <c r="Z582" s="507">
        <v>0</v>
      </c>
      <c r="AA582" s="500"/>
      <c r="AB582" s="506" t="s">
        <v>605</v>
      </c>
      <c r="AC582" s="505">
        <v>0</v>
      </c>
      <c r="AD582" s="500"/>
      <c r="AE582" s="500"/>
      <c r="AF582" s="500"/>
      <c r="AG582" s="500"/>
      <c r="AH582" s="500"/>
      <c r="AI582" s="500"/>
      <c r="AJ582" s="500">
        <v>0</v>
      </c>
      <c r="AK582" s="506" t="s">
        <v>605</v>
      </c>
    </row>
    <row r="583" spans="6:37">
      <c r="F583" s="500" t="str">
        <f t="shared" si="103"/>
        <v>Fitness Center</v>
      </c>
      <c r="G583" s="500" t="str">
        <f t="shared" si="103"/>
        <v>1_60 to 1_69 gpm</v>
      </c>
      <c r="H583" s="500" t="str">
        <f t="shared" si="103"/>
        <v>Mail-by-Request</v>
      </c>
      <c r="I583" s="500" t="str">
        <f t="shared" si="103"/>
        <v>1_50</v>
      </c>
      <c r="J583" s="500" t="str">
        <f t="shared" si="103"/>
        <v>Electric Water Heating</v>
      </c>
      <c r="K583" s="500" t="str">
        <f t="shared" si="104"/>
        <v>Commercial Showerhead Replacement_Fitness Center_precondition 1_60 to 1_69 gpm_efficient 1_50 gpm_Mail-by-Request_Electric Water Heating - Embedded Water Energy</v>
      </c>
      <c r="L583" s="500"/>
      <c r="M583" s="501"/>
      <c r="N583" s="500"/>
      <c r="O583" s="500"/>
      <c r="P583" s="500"/>
      <c r="Q583" s="502"/>
      <c r="R583" s="503"/>
      <c r="S583" s="504"/>
      <c r="T583" s="505"/>
      <c r="U583" s="500"/>
      <c r="V583" s="500" t="str">
        <f t="shared" si="105"/>
        <v>Commercial Showerhead Replacement_Fitness Center_precondition 1_60 to 1_69 gpm_efficient 1_50 gpm_Mail-by-Request_Electric Water Heating</v>
      </c>
      <c r="W583" s="506" t="s">
        <v>604</v>
      </c>
      <c r="X583" s="502">
        <f t="shared" si="106"/>
        <v>27.086613891579262</v>
      </c>
      <c r="Y583" s="500">
        <v>10</v>
      </c>
      <c r="Z583" s="507">
        <v>0</v>
      </c>
      <c r="AA583" s="500"/>
      <c r="AB583" s="506" t="s">
        <v>605</v>
      </c>
      <c r="AC583" s="505">
        <v>0</v>
      </c>
      <c r="AD583" s="500"/>
      <c r="AE583" s="500"/>
      <c r="AF583" s="500"/>
      <c r="AG583" s="500"/>
      <c r="AH583" s="500"/>
      <c r="AI583" s="500"/>
      <c r="AJ583" s="500">
        <v>0</v>
      </c>
      <c r="AK583" s="506" t="s">
        <v>605</v>
      </c>
    </row>
    <row r="584" spans="6:37">
      <c r="F584" s="500" t="str">
        <f t="shared" si="103"/>
        <v>Fitness Center</v>
      </c>
      <c r="G584" s="500" t="str">
        <f t="shared" si="103"/>
        <v>1_60 to 1_69 gpm</v>
      </c>
      <c r="H584" s="500" t="str">
        <f t="shared" si="103"/>
        <v>Mail-by-Request</v>
      </c>
      <c r="I584" s="500" t="str">
        <f t="shared" si="103"/>
        <v>1_50</v>
      </c>
      <c r="J584" s="500" t="str">
        <f t="shared" si="103"/>
        <v>Gas Water Heating</v>
      </c>
      <c r="K584" s="500" t="str">
        <f t="shared" si="104"/>
        <v>Commercial Showerhead Replacement_Fitness Center_precondition 1_60 to 1_69 gpm_efficient 1_50 gpm_Mail-by-Request_Gas Water Heating - Embedded Water Energy</v>
      </c>
      <c r="L584" s="500"/>
      <c r="M584" s="501"/>
      <c r="N584" s="500"/>
      <c r="O584" s="500"/>
      <c r="P584" s="500"/>
      <c r="Q584" s="502"/>
      <c r="R584" s="503"/>
      <c r="S584" s="504"/>
      <c r="T584" s="505"/>
      <c r="U584" s="500"/>
      <c r="V584" s="500" t="str">
        <f t="shared" si="105"/>
        <v>Commercial Showerhead Replacement_Fitness Center_precondition 1_60 to 1_69 gpm_efficient 1_50 gpm_Mail-by-Request_Gas Water Heating</v>
      </c>
      <c r="W584" s="506" t="s">
        <v>604</v>
      </c>
      <c r="X584" s="502">
        <f t="shared" si="106"/>
        <v>27.086613891579262</v>
      </c>
      <c r="Y584" s="500">
        <v>10</v>
      </c>
      <c r="Z584" s="507">
        <v>0</v>
      </c>
      <c r="AA584" s="500"/>
      <c r="AB584" s="506" t="s">
        <v>605</v>
      </c>
      <c r="AC584" s="505">
        <v>0</v>
      </c>
      <c r="AD584" s="500"/>
      <c r="AE584" s="500"/>
      <c r="AF584" s="500"/>
      <c r="AG584" s="500"/>
      <c r="AH584" s="500"/>
      <c r="AI584" s="500"/>
      <c r="AJ584" s="500">
        <v>0</v>
      </c>
      <c r="AK584" s="506" t="s">
        <v>605</v>
      </c>
    </row>
    <row r="585" spans="6:37">
      <c r="F585" s="500" t="str">
        <f t="shared" si="103"/>
        <v>Fitness Center</v>
      </c>
      <c r="G585" s="500" t="str">
        <f t="shared" si="103"/>
        <v>1_60 to 1_69 gpm</v>
      </c>
      <c r="H585" s="500" t="str">
        <f t="shared" si="103"/>
        <v>Mail-by-Request</v>
      </c>
      <c r="I585" s="500" t="str">
        <f t="shared" si="103"/>
        <v>1_50</v>
      </c>
      <c r="J585" s="500" t="str">
        <f t="shared" si="103"/>
        <v>Any Water Heating</v>
      </c>
      <c r="K585" s="500" t="str">
        <f t="shared" si="104"/>
        <v>Commercial Showerhead Replacement_Fitness Center_precondition 1_60 to 1_69 gpm_efficient 1_50 gpm_Mail-by-Request_Any Water Heating - Embedded Water Energy</v>
      </c>
      <c r="L585" s="500"/>
      <c r="M585" s="501"/>
      <c r="N585" s="500"/>
      <c r="O585" s="500"/>
      <c r="P585" s="500"/>
      <c r="Q585" s="502"/>
      <c r="R585" s="503"/>
      <c r="S585" s="504"/>
      <c r="T585" s="505"/>
      <c r="U585" s="500"/>
      <c r="V585" s="500" t="str">
        <f t="shared" si="105"/>
        <v>Commercial Showerhead Replacement_Fitness Center_precondition 1_60 to 1_69 gpm_efficient 1_50 gpm_Mail-by-Request_Any Water Heating</v>
      </c>
      <c r="W585" s="506" t="s">
        <v>604</v>
      </c>
      <c r="X585" s="502">
        <f t="shared" si="106"/>
        <v>27.086613891579262</v>
      </c>
      <c r="Y585" s="500">
        <v>10</v>
      </c>
      <c r="Z585" s="507">
        <v>0</v>
      </c>
      <c r="AA585" s="500"/>
      <c r="AB585" s="506" t="s">
        <v>605</v>
      </c>
      <c r="AC585" s="505">
        <v>0</v>
      </c>
      <c r="AD585" s="500"/>
      <c r="AE585" s="500"/>
      <c r="AF585" s="500"/>
      <c r="AG585" s="500"/>
      <c r="AH585" s="500"/>
      <c r="AI585" s="500"/>
      <c r="AJ585" s="500">
        <v>0</v>
      </c>
      <c r="AK585" s="506" t="s">
        <v>605</v>
      </c>
    </row>
    <row r="586" spans="6:37">
      <c r="F586" s="500" t="str">
        <f t="shared" si="103"/>
        <v>Fitness Center</v>
      </c>
      <c r="G586" s="500" t="str">
        <f t="shared" si="103"/>
        <v>1_50 to 1_59 gpm</v>
      </c>
      <c r="H586" s="500" t="str">
        <f t="shared" si="103"/>
        <v>Retail</v>
      </c>
      <c r="I586" s="500" t="str">
        <f t="shared" si="103"/>
        <v>2_00</v>
      </c>
      <c r="J586" s="500" t="str">
        <f t="shared" si="103"/>
        <v>Electric Water Heating</v>
      </c>
      <c r="K586" s="500" t="str">
        <f t="shared" si="104"/>
        <v>Commercial Showerhead Replacement_Fitness Center_precondition 1_50 to 1_59 gpm_efficient 2_00 gpm_Retail_Electric Water Heating - Embedded Water Energy</v>
      </c>
      <c r="L586" s="500"/>
      <c r="M586" s="501"/>
      <c r="N586" s="500"/>
      <c r="O586" s="500"/>
      <c r="P586" s="500"/>
      <c r="Q586" s="502"/>
      <c r="R586" s="503"/>
      <c r="S586" s="504"/>
      <c r="T586" s="505"/>
      <c r="U586" s="500"/>
      <c r="V586" s="500" t="str">
        <f t="shared" si="105"/>
        <v>Commercial Showerhead Replacement_Fitness Center_precondition 1_50 to 1_59 gpm_efficient 2_00 gpm_Retail_Electric Water Heating</v>
      </c>
      <c r="W586" s="506" t="s">
        <v>604</v>
      </c>
      <c r="X586" s="502">
        <f t="shared" si="106"/>
        <v>0</v>
      </c>
      <c r="Y586" s="500">
        <v>10</v>
      </c>
      <c r="Z586" s="507">
        <v>0</v>
      </c>
      <c r="AA586" s="500"/>
      <c r="AB586" s="506" t="s">
        <v>605</v>
      </c>
      <c r="AC586" s="505">
        <v>0</v>
      </c>
      <c r="AD586" s="500"/>
      <c r="AE586" s="500"/>
      <c r="AF586" s="500"/>
      <c r="AG586" s="500"/>
      <c r="AH586" s="500"/>
      <c r="AI586" s="500"/>
      <c r="AJ586" s="500">
        <v>0</v>
      </c>
      <c r="AK586" s="506" t="s">
        <v>605</v>
      </c>
    </row>
    <row r="587" spans="6:37">
      <c r="F587" s="500" t="str">
        <f t="shared" si="103"/>
        <v>Fitness Center</v>
      </c>
      <c r="G587" s="500" t="str">
        <f t="shared" si="103"/>
        <v>1_50 to 1_59 gpm</v>
      </c>
      <c r="H587" s="500" t="str">
        <f t="shared" si="103"/>
        <v>Retail</v>
      </c>
      <c r="I587" s="500" t="str">
        <f t="shared" si="103"/>
        <v>2_00</v>
      </c>
      <c r="J587" s="500" t="str">
        <f t="shared" si="103"/>
        <v>Gas Water Heating</v>
      </c>
      <c r="K587" s="500" t="str">
        <f t="shared" si="104"/>
        <v>Commercial Showerhead Replacement_Fitness Center_precondition 1_50 to 1_59 gpm_efficient 2_00 gpm_Retail_Gas Water Heating - Embedded Water Energy</v>
      </c>
      <c r="L587" s="500"/>
      <c r="M587" s="501"/>
      <c r="N587" s="500"/>
      <c r="O587" s="500"/>
      <c r="P587" s="500"/>
      <c r="Q587" s="502"/>
      <c r="R587" s="503"/>
      <c r="S587" s="504"/>
      <c r="T587" s="505"/>
      <c r="U587" s="500"/>
      <c r="V587" s="500" t="str">
        <f t="shared" si="105"/>
        <v>Commercial Showerhead Replacement_Fitness Center_precondition 1_50 to 1_59 gpm_efficient 2_00 gpm_Retail_Gas Water Heating</v>
      </c>
      <c r="W587" s="506" t="s">
        <v>604</v>
      </c>
      <c r="X587" s="502">
        <f t="shared" si="106"/>
        <v>0</v>
      </c>
      <c r="Y587" s="500">
        <v>10</v>
      </c>
      <c r="Z587" s="507">
        <v>0</v>
      </c>
      <c r="AA587" s="500"/>
      <c r="AB587" s="506" t="s">
        <v>605</v>
      </c>
      <c r="AC587" s="505">
        <v>0</v>
      </c>
      <c r="AD587" s="500"/>
      <c r="AE587" s="500"/>
      <c r="AF587" s="500"/>
      <c r="AG587" s="500"/>
      <c r="AH587" s="500"/>
      <c r="AI587" s="500"/>
      <c r="AJ587" s="500">
        <v>0</v>
      </c>
      <c r="AK587" s="506" t="s">
        <v>605</v>
      </c>
    </row>
    <row r="588" spans="6:37">
      <c r="F588" s="500" t="str">
        <f t="shared" ref="F588:J603" si="107">F291</f>
        <v>Fitness Center</v>
      </c>
      <c r="G588" s="500" t="str">
        <f t="shared" si="107"/>
        <v>1_50 to 1_59 gpm</v>
      </c>
      <c r="H588" s="500" t="str">
        <f t="shared" si="107"/>
        <v>Retail</v>
      </c>
      <c r="I588" s="500" t="str">
        <f t="shared" si="107"/>
        <v>2_00</v>
      </c>
      <c r="J588" s="500" t="str">
        <f t="shared" si="107"/>
        <v>Any Water Heating</v>
      </c>
      <c r="K588" s="500" t="str">
        <f t="shared" si="104"/>
        <v>Commercial Showerhead Replacement_Fitness Center_precondition 1_50 to 1_59 gpm_efficient 2_00 gpm_Retail_Any Water Heating - Embedded Water Energy</v>
      </c>
      <c r="L588" s="500"/>
      <c r="M588" s="501"/>
      <c r="N588" s="500"/>
      <c r="O588" s="500"/>
      <c r="P588" s="500"/>
      <c r="Q588" s="502"/>
      <c r="R588" s="503"/>
      <c r="S588" s="504"/>
      <c r="T588" s="505"/>
      <c r="U588" s="500"/>
      <c r="V588" s="500" t="str">
        <f t="shared" si="105"/>
        <v>Commercial Showerhead Replacement_Fitness Center_precondition 1_50 to 1_59 gpm_efficient 2_00 gpm_Retail_Any Water Heating</v>
      </c>
      <c r="W588" s="506" t="s">
        <v>604</v>
      </c>
      <c r="X588" s="502">
        <f t="shared" si="106"/>
        <v>0</v>
      </c>
      <c r="Y588" s="500">
        <v>10</v>
      </c>
      <c r="Z588" s="507">
        <v>0</v>
      </c>
      <c r="AA588" s="500"/>
      <c r="AB588" s="506" t="s">
        <v>605</v>
      </c>
      <c r="AC588" s="505">
        <v>0</v>
      </c>
      <c r="AD588" s="500"/>
      <c r="AE588" s="500"/>
      <c r="AF588" s="500"/>
      <c r="AG588" s="500"/>
      <c r="AH588" s="500"/>
      <c r="AI588" s="500"/>
      <c r="AJ588" s="500">
        <v>0</v>
      </c>
      <c r="AK588" s="506" t="s">
        <v>605</v>
      </c>
    </row>
    <row r="589" spans="6:37">
      <c r="F589" s="500" t="str">
        <f t="shared" si="107"/>
        <v>Fitness Center</v>
      </c>
      <c r="G589" s="500" t="str">
        <f t="shared" si="107"/>
        <v>1_50 to 1_59 gpm</v>
      </c>
      <c r="H589" s="500" t="str">
        <f t="shared" si="107"/>
        <v>Retail</v>
      </c>
      <c r="I589" s="500" t="str">
        <f t="shared" si="107"/>
        <v>1_75</v>
      </c>
      <c r="J589" s="500" t="str">
        <f t="shared" si="107"/>
        <v>Electric Water Heating</v>
      </c>
      <c r="K589" s="500" t="str">
        <f t="shared" si="104"/>
        <v>Commercial Showerhead Replacement_Fitness Center_precondition 1_50 to 1_59 gpm_efficient 1_75 gpm_Retail_Electric Water Heating - Embedded Water Energy</v>
      </c>
      <c r="L589" s="500"/>
      <c r="M589" s="501"/>
      <c r="N589" s="500"/>
      <c r="O589" s="500"/>
      <c r="P589" s="500"/>
      <c r="Q589" s="502"/>
      <c r="R589" s="503"/>
      <c r="S589" s="504"/>
      <c r="T589" s="505"/>
      <c r="U589" s="500"/>
      <c r="V589" s="500" t="str">
        <f t="shared" si="105"/>
        <v>Commercial Showerhead Replacement_Fitness Center_precondition 1_50 to 1_59 gpm_efficient 1_75 gpm_Retail_Electric Water Heating</v>
      </c>
      <c r="W589" s="506" t="s">
        <v>604</v>
      </c>
      <c r="X589" s="502">
        <f t="shared" si="106"/>
        <v>0</v>
      </c>
      <c r="Y589" s="500">
        <v>10</v>
      </c>
      <c r="Z589" s="507">
        <v>0</v>
      </c>
      <c r="AA589" s="500"/>
      <c r="AB589" s="506" t="s">
        <v>605</v>
      </c>
      <c r="AC589" s="505">
        <v>0</v>
      </c>
      <c r="AD589" s="500"/>
      <c r="AE589" s="500"/>
      <c r="AF589" s="500"/>
      <c r="AG589" s="500"/>
      <c r="AH589" s="500"/>
      <c r="AI589" s="500"/>
      <c r="AJ589" s="500">
        <v>0</v>
      </c>
      <c r="AK589" s="506" t="s">
        <v>605</v>
      </c>
    </row>
    <row r="590" spans="6:37">
      <c r="F590" s="500" t="str">
        <f t="shared" si="107"/>
        <v>Fitness Center</v>
      </c>
      <c r="G590" s="500" t="str">
        <f t="shared" si="107"/>
        <v>1_50 to 1_59 gpm</v>
      </c>
      <c r="H590" s="500" t="str">
        <f t="shared" si="107"/>
        <v>Retail</v>
      </c>
      <c r="I590" s="500" t="str">
        <f t="shared" si="107"/>
        <v>1_75</v>
      </c>
      <c r="J590" s="500" t="str">
        <f t="shared" si="107"/>
        <v>Gas Water Heating</v>
      </c>
      <c r="K590" s="500" t="str">
        <f t="shared" si="104"/>
        <v>Commercial Showerhead Replacement_Fitness Center_precondition 1_50 to 1_59 gpm_efficient 1_75 gpm_Retail_Gas Water Heating - Embedded Water Energy</v>
      </c>
      <c r="L590" s="500"/>
      <c r="M590" s="501"/>
      <c r="N590" s="500"/>
      <c r="O590" s="500"/>
      <c r="P590" s="500"/>
      <c r="Q590" s="502"/>
      <c r="R590" s="503"/>
      <c r="S590" s="504"/>
      <c r="T590" s="505"/>
      <c r="U590" s="500"/>
      <c r="V590" s="500" t="str">
        <f t="shared" si="105"/>
        <v>Commercial Showerhead Replacement_Fitness Center_precondition 1_50 to 1_59 gpm_efficient 1_75 gpm_Retail_Gas Water Heating</v>
      </c>
      <c r="W590" s="506" t="s">
        <v>604</v>
      </c>
      <c r="X590" s="502">
        <f t="shared" si="106"/>
        <v>0</v>
      </c>
      <c r="Y590" s="500">
        <v>10</v>
      </c>
      <c r="Z590" s="507">
        <v>0</v>
      </c>
      <c r="AA590" s="500"/>
      <c r="AB590" s="506" t="s">
        <v>605</v>
      </c>
      <c r="AC590" s="505">
        <v>0</v>
      </c>
      <c r="AD590" s="500"/>
      <c r="AE590" s="500"/>
      <c r="AF590" s="500"/>
      <c r="AG590" s="500"/>
      <c r="AH590" s="500"/>
      <c r="AI590" s="500"/>
      <c r="AJ590" s="500">
        <v>0</v>
      </c>
      <c r="AK590" s="506" t="s">
        <v>605</v>
      </c>
    </row>
    <row r="591" spans="6:37">
      <c r="F591" s="500" t="str">
        <f t="shared" si="107"/>
        <v>Fitness Center</v>
      </c>
      <c r="G591" s="500" t="str">
        <f t="shared" si="107"/>
        <v>1_50 to 1_59 gpm</v>
      </c>
      <c r="H591" s="500" t="str">
        <f t="shared" si="107"/>
        <v>Retail</v>
      </c>
      <c r="I591" s="500" t="str">
        <f t="shared" si="107"/>
        <v>1_75</v>
      </c>
      <c r="J591" s="500" t="str">
        <f t="shared" si="107"/>
        <v>Any Water Heating</v>
      </c>
      <c r="K591" s="500" t="str">
        <f t="shared" si="104"/>
        <v>Commercial Showerhead Replacement_Fitness Center_precondition 1_50 to 1_59 gpm_efficient 1_75 gpm_Retail_Any Water Heating - Embedded Water Energy</v>
      </c>
      <c r="L591" s="500"/>
      <c r="M591" s="501"/>
      <c r="N591" s="500"/>
      <c r="O591" s="500"/>
      <c r="P591" s="500"/>
      <c r="Q591" s="502"/>
      <c r="R591" s="503"/>
      <c r="S591" s="504"/>
      <c r="T591" s="505"/>
      <c r="U591" s="500"/>
      <c r="V591" s="500" t="str">
        <f t="shared" si="105"/>
        <v>Commercial Showerhead Replacement_Fitness Center_precondition 1_50 to 1_59 gpm_efficient 1_75 gpm_Retail_Any Water Heating</v>
      </c>
      <c r="W591" s="506" t="s">
        <v>604</v>
      </c>
      <c r="X591" s="502">
        <f t="shared" si="106"/>
        <v>0</v>
      </c>
      <c r="Y591" s="500">
        <v>10</v>
      </c>
      <c r="Z591" s="507">
        <v>0</v>
      </c>
      <c r="AA591" s="500"/>
      <c r="AB591" s="506" t="s">
        <v>605</v>
      </c>
      <c r="AC591" s="505">
        <v>0</v>
      </c>
      <c r="AD591" s="500"/>
      <c r="AE591" s="500"/>
      <c r="AF591" s="500"/>
      <c r="AG591" s="500"/>
      <c r="AH591" s="500"/>
      <c r="AI591" s="500"/>
      <c r="AJ591" s="500">
        <v>0</v>
      </c>
      <c r="AK591" s="506" t="s">
        <v>605</v>
      </c>
    </row>
    <row r="592" spans="6:37">
      <c r="F592" s="500" t="str">
        <f t="shared" si="107"/>
        <v>Fitness Center</v>
      </c>
      <c r="G592" s="500" t="str">
        <f t="shared" si="107"/>
        <v>1_50 to 1_59 gpm</v>
      </c>
      <c r="H592" s="500" t="str">
        <f t="shared" si="107"/>
        <v>Retail</v>
      </c>
      <c r="I592" s="500" t="str">
        <f t="shared" si="107"/>
        <v>1_50</v>
      </c>
      <c r="J592" s="500" t="str">
        <f t="shared" si="107"/>
        <v>Electric Water Heating</v>
      </c>
      <c r="K592" s="500" t="str">
        <f t="shared" si="104"/>
        <v>Commercial Showerhead Replacement_Fitness Center_precondition 1_50 to 1_59 gpm_efficient 1_50 gpm_Retail_Electric Water Heating - Embedded Water Energy</v>
      </c>
      <c r="L592" s="500"/>
      <c r="M592" s="501"/>
      <c r="N592" s="500"/>
      <c r="O592" s="500"/>
      <c r="P592" s="500"/>
      <c r="Q592" s="502"/>
      <c r="R592" s="503"/>
      <c r="S592" s="504"/>
      <c r="T592" s="505"/>
      <c r="U592" s="500"/>
      <c r="V592" s="500" t="str">
        <f t="shared" si="105"/>
        <v>Commercial Showerhead Replacement_Fitness Center_precondition 1_50 to 1_59 gpm_efficient 1_50 gpm_Retail_Electric Water Heating</v>
      </c>
      <c r="W592" s="506" t="s">
        <v>604</v>
      </c>
      <c r="X592" s="502">
        <f t="shared" si="106"/>
        <v>10.533683180058475</v>
      </c>
      <c r="Y592" s="500">
        <v>10</v>
      </c>
      <c r="Z592" s="507">
        <v>0</v>
      </c>
      <c r="AA592" s="500"/>
      <c r="AB592" s="506" t="s">
        <v>605</v>
      </c>
      <c r="AC592" s="505">
        <v>0</v>
      </c>
      <c r="AD592" s="500"/>
      <c r="AE592" s="500"/>
      <c r="AF592" s="500"/>
      <c r="AG592" s="500"/>
      <c r="AH592" s="500"/>
      <c r="AI592" s="500"/>
      <c r="AJ592" s="500">
        <v>0</v>
      </c>
      <c r="AK592" s="506" t="s">
        <v>605</v>
      </c>
    </row>
    <row r="593" spans="6:37">
      <c r="F593" s="500" t="str">
        <f t="shared" si="107"/>
        <v>Fitness Center</v>
      </c>
      <c r="G593" s="500" t="str">
        <f t="shared" si="107"/>
        <v>1_50 to 1_59 gpm</v>
      </c>
      <c r="H593" s="500" t="str">
        <f t="shared" si="107"/>
        <v>Retail</v>
      </c>
      <c r="I593" s="500" t="str">
        <f t="shared" si="107"/>
        <v>1_50</v>
      </c>
      <c r="J593" s="500" t="str">
        <f t="shared" si="107"/>
        <v>Gas Water Heating</v>
      </c>
      <c r="K593" s="500" t="str">
        <f t="shared" si="104"/>
        <v>Commercial Showerhead Replacement_Fitness Center_precondition 1_50 to 1_59 gpm_efficient 1_50 gpm_Retail_Gas Water Heating - Embedded Water Energy</v>
      </c>
      <c r="L593" s="500"/>
      <c r="M593" s="501"/>
      <c r="N593" s="500"/>
      <c r="O593" s="500"/>
      <c r="P593" s="500"/>
      <c r="Q593" s="502"/>
      <c r="R593" s="503"/>
      <c r="S593" s="504"/>
      <c r="T593" s="505"/>
      <c r="U593" s="500"/>
      <c r="V593" s="500" t="str">
        <f t="shared" si="105"/>
        <v>Commercial Showerhead Replacement_Fitness Center_precondition 1_50 to 1_59 gpm_efficient 1_50 gpm_Retail_Gas Water Heating</v>
      </c>
      <c r="W593" s="506" t="s">
        <v>604</v>
      </c>
      <c r="X593" s="502">
        <f t="shared" si="106"/>
        <v>10.533683180058475</v>
      </c>
      <c r="Y593" s="500">
        <v>10</v>
      </c>
      <c r="Z593" s="507">
        <v>0</v>
      </c>
      <c r="AA593" s="500"/>
      <c r="AB593" s="506" t="s">
        <v>605</v>
      </c>
      <c r="AC593" s="505">
        <v>0</v>
      </c>
      <c r="AD593" s="500"/>
      <c r="AE593" s="500"/>
      <c r="AF593" s="500"/>
      <c r="AG593" s="500"/>
      <c r="AH593" s="500"/>
      <c r="AI593" s="500"/>
      <c r="AJ593" s="500">
        <v>0</v>
      </c>
      <c r="AK593" s="506" t="s">
        <v>605</v>
      </c>
    </row>
    <row r="594" spans="6:37">
      <c r="F594" s="500" t="str">
        <f t="shared" si="107"/>
        <v>Fitness Center</v>
      </c>
      <c r="G594" s="500" t="str">
        <f t="shared" si="107"/>
        <v>1_50 to 1_59 gpm</v>
      </c>
      <c r="H594" s="500" t="str">
        <f t="shared" si="107"/>
        <v>Retail</v>
      </c>
      <c r="I594" s="500" t="str">
        <f t="shared" si="107"/>
        <v>1_50</v>
      </c>
      <c r="J594" s="500" t="str">
        <f t="shared" si="107"/>
        <v>Any Water Heating</v>
      </c>
      <c r="K594" s="500" t="str">
        <f t="shared" si="104"/>
        <v>Commercial Showerhead Replacement_Fitness Center_precondition 1_50 to 1_59 gpm_efficient 1_50 gpm_Retail_Any Water Heating - Embedded Water Energy</v>
      </c>
      <c r="L594" s="500"/>
      <c r="M594" s="501"/>
      <c r="N594" s="500"/>
      <c r="O594" s="500"/>
      <c r="P594" s="500"/>
      <c r="Q594" s="502"/>
      <c r="R594" s="503"/>
      <c r="S594" s="504"/>
      <c r="T594" s="505"/>
      <c r="U594" s="500"/>
      <c r="V594" s="500" t="str">
        <f t="shared" si="105"/>
        <v>Commercial Showerhead Replacement_Fitness Center_precondition 1_50 to 1_59 gpm_efficient 1_50 gpm_Retail_Any Water Heating</v>
      </c>
      <c r="W594" s="506" t="s">
        <v>604</v>
      </c>
      <c r="X594" s="502">
        <f t="shared" si="106"/>
        <v>10.533683180058475</v>
      </c>
      <c r="Y594" s="500">
        <v>10</v>
      </c>
      <c r="Z594" s="507">
        <v>0</v>
      </c>
      <c r="AA594" s="500"/>
      <c r="AB594" s="506" t="s">
        <v>605</v>
      </c>
      <c r="AC594" s="505">
        <v>0</v>
      </c>
      <c r="AD594" s="500"/>
      <c r="AE594" s="500"/>
      <c r="AF594" s="500"/>
      <c r="AG594" s="500"/>
      <c r="AH594" s="500"/>
      <c r="AI594" s="500"/>
      <c r="AJ594" s="500">
        <v>0</v>
      </c>
      <c r="AK594" s="506" t="s">
        <v>605</v>
      </c>
    </row>
    <row r="595" spans="6:37">
      <c r="F595" s="500" t="str">
        <f t="shared" si="107"/>
        <v>Fitness Center</v>
      </c>
      <c r="G595" s="500" t="str">
        <f t="shared" si="107"/>
        <v>1_50 to 1_59 gpm</v>
      </c>
      <c r="H595" s="500" t="str">
        <f t="shared" si="107"/>
        <v>Direct Install</v>
      </c>
      <c r="I595" s="500" t="str">
        <f t="shared" si="107"/>
        <v>2_00</v>
      </c>
      <c r="J595" s="500" t="str">
        <f t="shared" si="107"/>
        <v>Electric Water Heating</v>
      </c>
      <c r="K595" s="500" t="str">
        <f t="shared" si="104"/>
        <v>Commercial Showerhead Replacement_Fitness Center_precondition 1_50 to 1_59 gpm_efficient 2_00 gpm_Direct Install_Electric Water Heating - Embedded Water Energy</v>
      </c>
      <c r="L595" s="500"/>
      <c r="M595" s="501"/>
      <c r="N595" s="500"/>
      <c r="O595" s="500"/>
      <c r="P595" s="500"/>
      <c r="Q595" s="502"/>
      <c r="R595" s="503"/>
      <c r="S595" s="504"/>
      <c r="T595" s="505"/>
      <c r="U595" s="500"/>
      <c r="V595" s="500" t="str">
        <f t="shared" si="105"/>
        <v>Commercial Showerhead Replacement_Fitness Center_precondition 1_50 to 1_59 gpm_efficient 2_00 gpm_Direct Install_Electric Water Heating</v>
      </c>
      <c r="W595" s="506" t="s">
        <v>604</v>
      </c>
      <c r="X595" s="502">
        <f t="shared" si="106"/>
        <v>0</v>
      </c>
      <c r="Y595" s="500">
        <v>10</v>
      </c>
      <c r="Z595" s="507">
        <v>0</v>
      </c>
      <c r="AA595" s="500"/>
      <c r="AB595" s="506" t="s">
        <v>605</v>
      </c>
      <c r="AC595" s="505">
        <v>0</v>
      </c>
      <c r="AD595" s="500"/>
      <c r="AE595" s="500"/>
      <c r="AF595" s="500"/>
      <c r="AG595" s="500"/>
      <c r="AH595" s="500"/>
      <c r="AI595" s="500"/>
      <c r="AJ595" s="500">
        <v>0</v>
      </c>
      <c r="AK595" s="506" t="s">
        <v>605</v>
      </c>
    </row>
    <row r="596" spans="6:37">
      <c r="F596" s="500" t="str">
        <f t="shared" si="107"/>
        <v>Fitness Center</v>
      </c>
      <c r="G596" s="500" t="str">
        <f t="shared" si="107"/>
        <v>1_50 to 1_59 gpm</v>
      </c>
      <c r="H596" s="500" t="str">
        <f t="shared" si="107"/>
        <v>Direct Install</v>
      </c>
      <c r="I596" s="500" t="str">
        <f t="shared" si="107"/>
        <v>2_00</v>
      </c>
      <c r="J596" s="500" t="str">
        <f t="shared" si="107"/>
        <v>Gas Water Heating</v>
      </c>
      <c r="K596" s="500" t="str">
        <f t="shared" si="104"/>
        <v>Commercial Showerhead Replacement_Fitness Center_precondition 1_50 to 1_59 gpm_efficient 2_00 gpm_Direct Install_Gas Water Heating - Embedded Water Energy</v>
      </c>
      <c r="L596" s="500"/>
      <c r="M596" s="501"/>
      <c r="N596" s="500"/>
      <c r="O596" s="500"/>
      <c r="P596" s="500"/>
      <c r="Q596" s="502"/>
      <c r="R596" s="503"/>
      <c r="S596" s="504"/>
      <c r="T596" s="505"/>
      <c r="U596" s="500"/>
      <c r="V596" s="500" t="str">
        <f t="shared" si="105"/>
        <v>Commercial Showerhead Replacement_Fitness Center_precondition 1_50 to 1_59 gpm_efficient 2_00 gpm_Direct Install_Gas Water Heating</v>
      </c>
      <c r="W596" s="506" t="s">
        <v>604</v>
      </c>
      <c r="X596" s="502">
        <f t="shared" si="106"/>
        <v>0</v>
      </c>
      <c r="Y596" s="500">
        <v>10</v>
      </c>
      <c r="Z596" s="507">
        <v>0</v>
      </c>
      <c r="AA596" s="500"/>
      <c r="AB596" s="506" t="s">
        <v>605</v>
      </c>
      <c r="AC596" s="505">
        <v>0</v>
      </c>
      <c r="AD596" s="500"/>
      <c r="AE596" s="500"/>
      <c r="AF596" s="500"/>
      <c r="AG596" s="500"/>
      <c r="AH596" s="500"/>
      <c r="AI596" s="500"/>
      <c r="AJ596" s="500">
        <v>0</v>
      </c>
      <c r="AK596" s="506" t="s">
        <v>605</v>
      </c>
    </row>
    <row r="597" spans="6:37">
      <c r="F597" s="500" t="str">
        <f t="shared" si="107"/>
        <v>Fitness Center</v>
      </c>
      <c r="G597" s="500" t="str">
        <f t="shared" si="107"/>
        <v>1_50 to 1_59 gpm</v>
      </c>
      <c r="H597" s="500" t="str">
        <f t="shared" si="107"/>
        <v>Direct Install</v>
      </c>
      <c r="I597" s="500" t="str">
        <f t="shared" si="107"/>
        <v>2_00</v>
      </c>
      <c r="J597" s="500" t="str">
        <f t="shared" si="107"/>
        <v>Any Water Heating</v>
      </c>
      <c r="K597" s="500" t="str">
        <f t="shared" si="104"/>
        <v>Commercial Showerhead Replacement_Fitness Center_precondition 1_50 to 1_59 gpm_efficient 2_00 gpm_Direct Install_Any Water Heating - Embedded Water Energy</v>
      </c>
      <c r="L597" s="500"/>
      <c r="M597" s="501"/>
      <c r="N597" s="500"/>
      <c r="O597" s="500"/>
      <c r="P597" s="500"/>
      <c r="Q597" s="502"/>
      <c r="R597" s="503"/>
      <c r="S597" s="504"/>
      <c r="T597" s="505"/>
      <c r="U597" s="500"/>
      <c r="V597" s="500" t="str">
        <f t="shared" si="105"/>
        <v>Commercial Showerhead Replacement_Fitness Center_precondition 1_50 to 1_59 gpm_efficient 2_00 gpm_Direct Install_Any Water Heating</v>
      </c>
      <c r="W597" s="506" t="s">
        <v>604</v>
      </c>
      <c r="X597" s="502">
        <f t="shared" si="106"/>
        <v>0</v>
      </c>
      <c r="Y597" s="500">
        <v>10</v>
      </c>
      <c r="Z597" s="507">
        <v>0</v>
      </c>
      <c r="AA597" s="500"/>
      <c r="AB597" s="506" t="s">
        <v>605</v>
      </c>
      <c r="AC597" s="505">
        <v>0</v>
      </c>
      <c r="AD597" s="500"/>
      <c r="AE597" s="500"/>
      <c r="AF597" s="500"/>
      <c r="AG597" s="500"/>
      <c r="AH597" s="500"/>
      <c r="AI597" s="500"/>
      <c r="AJ597" s="500">
        <v>0</v>
      </c>
      <c r="AK597" s="506" t="s">
        <v>605</v>
      </c>
    </row>
    <row r="598" spans="6:37">
      <c r="F598" s="500" t="str">
        <f t="shared" si="107"/>
        <v>Fitness Center</v>
      </c>
      <c r="G598" s="500" t="str">
        <f t="shared" si="107"/>
        <v>1_50 to 1_59 gpm</v>
      </c>
      <c r="H598" s="500" t="str">
        <f t="shared" si="107"/>
        <v>Direct Install</v>
      </c>
      <c r="I598" s="500" t="str">
        <f t="shared" si="107"/>
        <v>1_75</v>
      </c>
      <c r="J598" s="500" t="str">
        <f t="shared" si="107"/>
        <v>Electric Water Heating</v>
      </c>
      <c r="K598" s="500" t="str">
        <f t="shared" si="104"/>
        <v>Commercial Showerhead Replacement_Fitness Center_precondition 1_50 to 1_59 gpm_efficient 1_75 gpm_Direct Install_Electric Water Heating - Embedded Water Energy</v>
      </c>
      <c r="L598" s="500"/>
      <c r="M598" s="501"/>
      <c r="N598" s="500"/>
      <c r="O598" s="500"/>
      <c r="P598" s="500"/>
      <c r="Q598" s="502"/>
      <c r="R598" s="503"/>
      <c r="S598" s="504"/>
      <c r="T598" s="505"/>
      <c r="U598" s="500"/>
      <c r="V598" s="500" t="str">
        <f t="shared" si="105"/>
        <v>Commercial Showerhead Replacement_Fitness Center_precondition 1_50 to 1_59 gpm_efficient 1_75 gpm_Direct Install_Electric Water Heating</v>
      </c>
      <c r="W598" s="506" t="s">
        <v>604</v>
      </c>
      <c r="X598" s="502">
        <f t="shared" si="106"/>
        <v>0</v>
      </c>
      <c r="Y598" s="500">
        <v>10</v>
      </c>
      <c r="Z598" s="507">
        <v>0</v>
      </c>
      <c r="AA598" s="500"/>
      <c r="AB598" s="506" t="s">
        <v>605</v>
      </c>
      <c r="AC598" s="505">
        <v>0</v>
      </c>
      <c r="AD598" s="500"/>
      <c r="AE598" s="500"/>
      <c r="AF598" s="500"/>
      <c r="AG598" s="500"/>
      <c r="AH598" s="500"/>
      <c r="AI598" s="500"/>
      <c r="AJ598" s="500">
        <v>0</v>
      </c>
      <c r="AK598" s="506" t="s">
        <v>605</v>
      </c>
    </row>
    <row r="599" spans="6:37">
      <c r="F599" s="500" t="str">
        <f t="shared" si="107"/>
        <v>Fitness Center</v>
      </c>
      <c r="G599" s="500" t="str">
        <f t="shared" si="107"/>
        <v>1_50 to 1_59 gpm</v>
      </c>
      <c r="H599" s="500" t="str">
        <f t="shared" si="107"/>
        <v>Direct Install</v>
      </c>
      <c r="I599" s="500" t="str">
        <f t="shared" si="107"/>
        <v>1_75</v>
      </c>
      <c r="J599" s="500" t="str">
        <f t="shared" si="107"/>
        <v>Gas Water Heating</v>
      </c>
      <c r="K599" s="500" t="str">
        <f t="shared" si="104"/>
        <v>Commercial Showerhead Replacement_Fitness Center_precondition 1_50 to 1_59 gpm_efficient 1_75 gpm_Direct Install_Gas Water Heating - Embedded Water Energy</v>
      </c>
      <c r="L599" s="500"/>
      <c r="M599" s="501"/>
      <c r="N599" s="500"/>
      <c r="O599" s="500"/>
      <c r="P599" s="500"/>
      <c r="Q599" s="502"/>
      <c r="R599" s="503"/>
      <c r="S599" s="504"/>
      <c r="T599" s="505"/>
      <c r="U599" s="500"/>
      <c r="V599" s="500" t="str">
        <f t="shared" si="105"/>
        <v>Commercial Showerhead Replacement_Fitness Center_precondition 1_50 to 1_59 gpm_efficient 1_75 gpm_Direct Install_Gas Water Heating</v>
      </c>
      <c r="W599" s="506" t="s">
        <v>604</v>
      </c>
      <c r="X599" s="502">
        <f t="shared" si="106"/>
        <v>0</v>
      </c>
      <c r="Y599" s="500">
        <v>10</v>
      </c>
      <c r="Z599" s="507">
        <v>0</v>
      </c>
      <c r="AA599" s="500"/>
      <c r="AB599" s="506" t="s">
        <v>605</v>
      </c>
      <c r="AC599" s="505">
        <v>0</v>
      </c>
      <c r="AD599" s="500"/>
      <c r="AE599" s="500"/>
      <c r="AF599" s="500"/>
      <c r="AG599" s="500"/>
      <c r="AH599" s="500"/>
      <c r="AI599" s="500"/>
      <c r="AJ599" s="500">
        <v>0</v>
      </c>
      <c r="AK599" s="506" t="s">
        <v>605</v>
      </c>
    </row>
    <row r="600" spans="6:37">
      <c r="F600" s="500" t="str">
        <f t="shared" si="107"/>
        <v>Fitness Center</v>
      </c>
      <c r="G600" s="500" t="str">
        <f t="shared" si="107"/>
        <v>1_50 to 1_59 gpm</v>
      </c>
      <c r="H600" s="500" t="str">
        <f t="shared" si="107"/>
        <v>Direct Install</v>
      </c>
      <c r="I600" s="500" t="str">
        <f t="shared" si="107"/>
        <v>1_75</v>
      </c>
      <c r="J600" s="500" t="str">
        <f t="shared" si="107"/>
        <v>Any Water Heating</v>
      </c>
      <c r="K600" s="500" t="str">
        <f t="shared" si="104"/>
        <v>Commercial Showerhead Replacement_Fitness Center_precondition 1_50 to 1_59 gpm_efficient 1_75 gpm_Direct Install_Any Water Heating - Embedded Water Energy</v>
      </c>
      <c r="L600" s="500"/>
      <c r="M600" s="501"/>
      <c r="N600" s="500"/>
      <c r="O600" s="500"/>
      <c r="P600" s="500"/>
      <c r="Q600" s="502"/>
      <c r="R600" s="503"/>
      <c r="S600" s="504"/>
      <c r="T600" s="505"/>
      <c r="U600" s="500"/>
      <c r="V600" s="500" t="str">
        <f t="shared" si="105"/>
        <v>Commercial Showerhead Replacement_Fitness Center_precondition 1_50 to 1_59 gpm_efficient 1_75 gpm_Direct Install_Any Water Heating</v>
      </c>
      <c r="W600" s="506" t="s">
        <v>604</v>
      </c>
      <c r="X600" s="502">
        <f t="shared" si="106"/>
        <v>0</v>
      </c>
      <c r="Y600" s="500">
        <v>10</v>
      </c>
      <c r="Z600" s="507">
        <v>0</v>
      </c>
      <c r="AA600" s="500"/>
      <c r="AB600" s="506" t="s">
        <v>605</v>
      </c>
      <c r="AC600" s="505">
        <v>0</v>
      </c>
      <c r="AD600" s="500"/>
      <c r="AE600" s="500"/>
      <c r="AF600" s="500"/>
      <c r="AG600" s="500"/>
      <c r="AH600" s="500"/>
      <c r="AI600" s="500"/>
      <c r="AJ600" s="500">
        <v>0</v>
      </c>
      <c r="AK600" s="506" t="s">
        <v>605</v>
      </c>
    </row>
    <row r="601" spans="6:37">
      <c r="F601" s="500" t="str">
        <f t="shared" si="107"/>
        <v>Fitness Center</v>
      </c>
      <c r="G601" s="500" t="str">
        <f t="shared" si="107"/>
        <v>1_50 to 1_59 gpm</v>
      </c>
      <c r="H601" s="500" t="str">
        <f t="shared" si="107"/>
        <v>Direct Install</v>
      </c>
      <c r="I601" s="500" t="str">
        <f t="shared" si="107"/>
        <v>1_50</v>
      </c>
      <c r="J601" s="500" t="str">
        <f t="shared" si="107"/>
        <v>Electric Water Heating</v>
      </c>
      <c r="K601" s="500" t="str">
        <f t="shared" si="104"/>
        <v>Commercial Showerhead Replacement_Fitness Center_precondition 1_50 to 1_59 gpm_efficient 1_50 gpm_Direct Install_Electric Water Heating - Embedded Water Energy</v>
      </c>
      <c r="L601" s="500"/>
      <c r="M601" s="501"/>
      <c r="N601" s="500"/>
      <c r="O601" s="500"/>
      <c r="P601" s="500"/>
      <c r="Q601" s="502"/>
      <c r="R601" s="503"/>
      <c r="S601" s="504"/>
      <c r="T601" s="505"/>
      <c r="U601" s="500"/>
      <c r="V601" s="500" t="str">
        <f t="shared" si="105"/>
        <v>Commercial Showerhead Replacement_Fitness Center_precondition 1_50 to 1_59 gpm_efficient 1_50 gpm_Direct Install_Electric Water Heating</v>
      </c>
      <c r="W601" s="506" t="s">
        <v>604</v>
      </c>
      <c r="X601" s="502">
        <f t="shared" si="106"/>
        <v>13.543306945789469</v>
      </c>
      <c r="Y601" s="500">
        <v>10</v>
      </c>
      <c r="Z601" s="507">
        <v>0</v>
      </c>
      <c r="AA601" s="500"/>
      <c r="AB601" s="506" t="s">
        <v>605</v>
      </c>
      <c r="AC601" s="505">
        <v>0</v>
      </c>
      <c r="AD601" s="500"/>
      <c r="AE601" s="500"/>
      <c r="AF601" s="500"/>
      <c r="AG601" s="500"/>
      <c r="AH601" s="500"/>
      <c r="AI601" s="500"/>
      <c r="AJ601" s="500">
        <v>0</v>
      </c>
      <c r="AK601" s="506" t="s">
        <v>605</v>
      </c>
    </row>
    <row r="602" spans="6:37">
      <c r="F602" s="500" t="str">
        <f t="shared" si="107"/>
        <v>Fitness Center</v>
      </c>
      <c r="G602" s="500" t="str">
        <f t="shared" si="107"/>
        <v>1_50 to 1_59 gpm</v>
      </c>
      <c r="H602" s="500" t="str">
        <f t="shared" si="107"/>
        <v>Direct Install</v>
      </c>
      <c r="I602" s="500" t="str">
        <f t="shared" si="107"/>
        <v>1_50</v>
      </c>
      <c r="J602" s="500" t="str">
        <f t="shared" si="107"/>
        <v>Gas Water Heating</v>
      </c>
      <c r="K602" s="500" t="str">
        <f t="shared" si="104"/>
        <v>Commercial Showerhead Replacement_Fitness Center_precondition 1_50 to 1_59 gpm_efficient 1_50 gpm_Direct Install_Gas Water Heating - Embedded Water Energy</v>
      </c>
      <c r="L602" s="500"/>
      <c r="M602" s="501"/>
      <c r="N602" s="500"/>
      <c r="O602" s="500"/>
      <c r="P602" s="500"/>
      <c r="Q602" s="502"/>
      <c r="R602" s="503"/>
      <c r="S602" s="504"/>
      <c r="T602" s="505"/>
      <c r="U602" s="500"/>
      <c r="V602" s="500" t="str">
        <f t="shared" si="105"/>
        <v>Commercial Showerhead Replacement_Fitness Center_precondition 1_50 to 1_59 gpm_efficient 1_50 gpm_Direct Install_Gas Water Heating</v>
      </c>
      <c r="W602" s="506" t="s">
        <v>604</v>
      </c>
      <c r="X602" s="502">
        <f t="shared" si="106"/>
        <v>13.543306945789469</v>
      </c>
      <c r="Y602" s="500">
        <v>10</v>
      </c>
      <c r="Z602" s="507">
        <v>0</v>
      </c>
      <c r="AA602" s="500"/>
      <c r="AB602" s="506" t="s">
        <v>605</v>
      </c>
      <c r="AC602" s="505">
        <v>0</v>
      </c>
      <c r="AD602" s="500"/>
      <c r="AE602" s="500"/>
      <c r="AF602" s="500"/>
      <c r="AG602" s="500"/>
      <c r="AH602" s="500"/>
      <c r="AI602" s="500"/>
      <c r="AJ602" s="500">
        <v>0</v>
      </c>
      <c r="AK602" s="506" t="s">
        <v>605</v>
      </c>
    </row>
    <row r="603" spans="6:37">
      <c r="F603" s="500" t="str">
        <f t="shared" si="107"/>
        <v>Fitness Center</v>
      </c>
      <c r="G603" s="500" t="str">
        <f t="shared" si="107"/>
        <v>1_50 to 1_59 gpm</v>
      </c>
      <c r="H603" s="500" t="str">
        <f t="shared" si="107"/>
        <v>Direct Install</v>
      </c>
      <c r="I603" s="500" t="str">
        <f t="shared" si="107"/>
        <v>1_50</v>
      </c>
      <c r="J603" s="500" t="str">
        <f t="shared" si="107"/>
        <v>Any Water Heating</v>
      </c>
      <c r="K603" s="500" t="str">
        <f t="shared" si="104"/>
        <v>Commercial Showerhead Replacement_Fitness Center_precondition 1_50 to 1_59 gpm_efficient 1_50 gpm_Direct Install_Any Water Heating - Embedded Water Energy</v>
      </c>
      <c r="L603" s="500"/>
      <c r="M603" s="501"/>
      <c r="N603" s="500"/>
      <c r="O603" s="500"/>
      <c r="P603" s="500"/>
      <c r="Q603" s="502"/>
      <c r="R603" s="503"/>
      <c r="S603" s="504"/>
      <c r="T603" s="505"/>
      <c r="U603" s="500"/>
      <c r="V603" s="500" t="str">
        <f t="shared" si="105"/>
        <v>Commercial Showerhead Replacement_Fitness Center_precondition 1_50 to 1_59 gpm_efficient 1_50 gpm_Direct Install_Any Water Heating</v>
      </c>
      <c r="W603" s="506" t="s">
        <v>604</v>
      </c>
      <c r="X603" s="502">
        <f t="shared" si="106"/>
        <v>13.543306945789469</v>
      </c>
      <c r="Y603" s="500">
        <v>10</v>
      </c>
      <c r="Z603" s="507">
        <v>0</v>
      </c>
      <c r="AA603" s="500"/>
      <c r="AB603" s="506" t="s">
        <v>605</v>
      </c>
      <c r="AC603" s="505">
        <v>0</v>
      </c>
      <c r="AD603" s="500"/>
      <c r="AE603" s="500"/>
      <c r="AF603" s="500"/>
      <c r="AG603" s="500"/>
      <c r="AH603" s="500"/>
      <c r="AI603" s="500"/>
      <c r="AJ603" s="500">
        <v>0</v>
      </c>
      <c r="AK603" s="506" t="s">
        <v>605</v>
      </c>
    </row>
    <row r="604" spans="6:37">
      <c r="F604" s="500" t="str">
        <f t="shared" ref="F604:J612" si="108">F307</f>
        <v>Fitness Center</v>
      </c>
      <c r="G604" s="500" t="str">
        <f t="shared" si="108"/>
        <v>1_50 to 1_59 gpm</v>
      </c>
      <c r="H604" s="500" t="str">
        <f t="shared" si="108"/>
        <v>Mail-by-Request</v>
      </c>
      <c r="I604" s="500" t="str">
        <f t="shared" si="108"/>
        <v>2_00</v>
      </c>
      <c r="J604" s="500" t="str">
        <f t="shared" si="108"/>
        <v>Electric Water Heating</v>
      </c>
      <c r="K604" s="500" t="str">
        <f t="shared" si="104"/>
        <v>Commercial Showerhead Replacement_Fitness Center_precondition 1_50 to 1_59 gpm_efficient 2_00 gpm_Mail-by-Request_Electric Water Heating - Embedded Water Energy</v>
      </c>
      <c r="L604" s="500"/>
      <c r="M604" s="501"/>
      <c r="N604" s="500"/>
      <c r="O604" s="500"/>
      <c r="P604" s="500"/>
      <c r="Q604" s="502"/>
      <c r="R604" s="503"/>
      <c r="S604" s="504"/>
      <c r="T604" s="505"/>
      <c r="U604" s="500"/>
      <c r="V604" s="500" t="str">
        <f t="shared" si="105"/>
        <v>Commercial Showerhead Replacement_Fitness Center_precondition 1_50 to 1_59 gpm_efficient 2_00 gpm_Mail-by-Request_Electric Water Heating</v>
      </c>
      <c r="W604" s="506" t="s">
        <v>604</v>
      </c>
      <c r="X604" s="502">
        <f t="shared" si="106"/>
        <v>0</v>
      </c>
      <c r="Y604" s="500">
        <v>10</v>
      </c>
      <c r="Z604" s="507">
        <v>0</v>
      </c>
      <c r="AA604" s="500"/>
      <c r="AB604" s="506" t="s">
        <v>605</v>
      </c>
      <c r="AC604" s="505">
        <v>0</v>
      </c>
      <c r="AD604" s="500"/>
      <c r="AE604" s="500"/>
      <c r="AF604" s="500"/>
      <c r="AG604" s="500"/>
      <c r="AH604" s="500"/>
      <c r="AI604" s="500"/>
      <c r="AJ604" s="500">
        <v>0</v>
      </c>
      <c r="AK604" s="506" t="s">
        <v>605</v>
      </c>
    </row>
    <row r="605" spans="6:37">
      <c r="F605" s="500" t="str">
        <f t="shared" si="108"/>
        <v>Fitness Center</v>
      </c>
      <c r="G605" s="500" t="str">
        <f t="shared" si="108"/>
        <v>1_50 to 1_59 gpm</v>
      </c>
      <c r="H605" s="500" t="str">
        <f t="shared" si="108"/>
        <v>Mail-by-Request</v>
      </c>
      <c r="I605" s="500" t="str">
        <f t="shared" si="108"/>
        <v>2_00</v>
      </c>
      <c r="J605" s="500" t="str">
        <f t="shared" si="108"/>
        <v>Gas Water Heating</v>
      </c>
      <c r="K605" s="500" t="str">
        <f t="shared" si="104"/>
        <v>Commercial Showerhead Replacement_Fitness Center_precondition 1_50 to 1_59 gpm_efficient 2_00 gpm_Mail-by-Request_Gas Water Heating - Embedded Water Energy</v>
      </c>
      <c r="L605" s="500"/>
      <c r="M605" s="501"/>
      <c r="N605" s="500"/>
      <c r="O605" s="500"/>
      <c r="P605" s="500"/>
      <c r="Q605" s="502"/>
      <c r="R605" s="503"/>
      <c r="S605" s="504"/>
      <c r="T605" s="505"/>
      <c r="U605" s="500"/>
      <c r="V605" s="500" t="str">
        <f t="shared" si="105"/>
        <v>Commercial Showerhead Replacement_Fitness Center_precondition 1_50 to 1_59 gpm_efficient 2_00 gpm_Mail-by-Request_Gas Water Heating</v>
      </c>
      <c r="W605" s="506" t="s">
        <v>604</v>
      </c>
      <c r="X605" s="502">
        <f t="shared" si="106"/>
        <v>0</v>
      </c>
      <c r="Y605" s="500">
        <v>10</v>
      </c>
      <c r="Z605" s="507">
        <v>0</v>
      </c>
      <c r="AA605" s="500"/>
      <c r="AB605" s="506" t="s">
        <v>605</v>
      </c>
      <c r="AC605" s="505">
        <v>0</v>
      </c>
      <c r="AD605" s="500"/>
      <c r="AE605" s="500"/>
      <c r="AF605" s="500"/>
      <c r="AG605" s="500"/>
      <c r="AH605" s="500"/>
      <c r="AI605" s="500"/>
      <c r="AJ605" s="500">
        <v>0</v>
      </c>
      <c r="AK605" s="506" t="s">
        <v>605</v>
      </c>
    </row>
    <row r="606" spans="6:37">
      <c r="F606" s="500" t="str">
        <f t="shared" si="108"/>
        <v>Fitness Center</v>
      </c>
      <c r="G606" s="500" t="str">
        <f t="shared" si="108"/>
        <v>1_50 to 1_59 gpm</v>
      </c>
      <c r="H606" s="500" t="str">
        <f t="shared" si="108"/>
        <v>Mail-by-Request</v>
      </c>
      <c r="I606" s="500" t="str">
        <f t="shared" si="108"/>
        <v>2_00</v>
      </c>
      <c r="J606" s="500" t="str">
        <f t="shared" si="108"/>
        <v>Any Water Heating</v>
      </c>
      <c r="K606" s="500" t="str">
        <f t="shared" si="104"/>
        <v>Commercial Showerhead Replacement_Fitness Center_precondition 1_50 to 1_59 gpm_efficient 2_00 gpm_Mail-by-Request_Any Water Heating - Embedded Water Energy</v>
      </c>
      <c r="L606" s="500"/>
      <c r="M606" s="501"/>
      <c r="N606" s="500"/>
      <c r="O606" s="500"/>
      <c r="P606" s="500"/>
      <c r="Q606" s="502"/>
      <c r="R606" s="503"/>
      <c r="S606" s="504"/>
      <c r="T606" s="505"/>
      <c r="U606" s="500"/>
      <c r="V606" s="500" t="str">
        <f t="shared" si="105"/>
        <v>Commercial Showerhead Replacement_Fitness Center_precondition 1_50 to 1_59 gpm_efficient 2_00 gpm_Mail-by-Request_Any Water Heating</v>
      </c>
      <c r="W606" s="506" t="s">
        <v>604</v>
      </c>
      <c r="X606" s="502">
        <f t="shared" si="106"/>
        <v>0</v>
      </c>
      <c r="Y606" s="500">
        <v>10</v>
      </c>
      <c r="Z606" s="507">
        <v>0</v>
      </c>
      <c r="AA606" s="500"/>
      <c r="AB606" s="506" t="s">
        <v>605</v>
      </c>
      <c r="AC606" s="505">
        <v>0</v>
      </c>
      <c r="AD606" s="500"/>
      <c r="AE606" s="500"/>
      <c r="AF606" s="500"/>
      <c r="AG606" s="500"/>
      <c r="AH606" s="500"/>
      <c r="AI606" s="500"/>
      <c r="AJ606" s="500">
        <v>0</v>
      </c>
      <c r="AK606" s="506" t="s">
        <v>605</v>
      </c>
    </row>
    <row r="607" spans="6:37">
      <c r="F607" s="500" t="str">
        <f t="shared" si="108"/>
        <v>Fitness Center</v>
      </c>
      <c r="G607" s="500" t="str">
        <f t="shared" si="108"/>
        <v>1_50 to 1_59 gpm</v>
      </c>
      <c r="H607" s="500" t="str">
        <f t="shared" si="108"/>
        <v>Mail-by-Request</v>
      </c>
      <c r="I607" s="500" t="str">
        <f t="shared" si="108"/>
        <v>1_75</v>
      </c>
      <c r="J607" s="500" t="str">
        <f t="shared" si="108"/>
        <v>Electric Water Heating</v>
      </c>
      <c r="K607" s="500" t="str">
        <f t="shared" si="104"/>
        <v>Commercial Showerhead Replacement_Fitness Center_precondition 1_50 to 1_59 gpm_efficient 1_75 gpm_Mail-by-Request_Electric Water Heating - Embedded Water Energy</v>
      </c>
      <c r="L607" s="500"/>
      <c r="M607" s="501"/>
      <c r="N607" s="500"/>
      <c r="O607" s="500"/>
      <c r="P607" s="500"/>
      <c r="Q607" s="502"/>
      <c r="R607" s="503"/>
      <c r="S607" s="504"/>
      <c r="T607" s="505"/>
      <c r="U607" s="500"/>
      <c r="V607" s="500" t="str">
        <f t="shared" si="105"/>
        <v>Commercial Showerhead Replacement_Fitness Center_precondition 1_50 to 1_59 gpm_efficient 1_75 gpm_Mail-by-Request_Electric Water Heating</v>
      </c>
      <c r="W607" s="506" t="s">
        <v>604</v>
      </c>
      <c r="X607" s="502">
        <f t="shared" si="106"/>
        <v>0</v>
      </c>
      <c r="Y607" s="500">
        <v>10</v>
      </c>
      <c r="Z607" s="507">
        <v>0</v>
      </c>
      <c r="AA607" s="500"/>
      <c r="AB607" s="506" t="s">
        <v>605</v>
      </c>
      <c r="AC607" s="505">
        <v>0</v>
      </c>
      <c r="AD607" s="500"/>
      <c r="AE607" s="500"/>
      <c r="AF607" s="500"/>
      <c r="AG607" s="500"/>
      <c r="AH607" s="500"/>
      <c r="AI607" s="500"/>
      <c r="AJ607" s="500">
        <v>0</v>
      </c>
      <c r="AK607" s="506" t="s">
        <v>605</v>
      </c>
    </row>
    <row r="608" spans="6:37">
      <c r="F608" s="500" t="str">
        <f t="shared" si="108"/>
        <v>Fitness Center</v>
      </c>
      <c r="G608" s="500" t="str">
        <f t="shared" si="108"/>
        <v>1_50 to 1_59 gpm</v>
      </c>
      <c r="H608" s="500" t="str">
        <f t="shared" si="108"/>
        <v>Mail-by-Request</v>
      </c>
      <c r="I608" s="500" t="str">
        <f t="shared" si="108"/>
        <v>1_75</v>
      </c>
      <c r="J608" s="500" t="str">
        <f t="shared" si="108"/>
        <v>Gas Water Heating</v>
      </c>
      <c r="K608" s="500" t="str">
        <f t="shared" si="104"/>
        <v>Commercial Showerhead Replacement_Fitness Center_precondition 1_50 to 1_59 gpm_efficient 1_75 gpm_Mail-by-Request_Gas Water Heating - Embedded Water Energy</v>
      </c>
      <c r="L608" s="500"/>
      <c r="M608" s="501"/>
      <c r="N608" s="500"/>
      <c r="O608" s="500"/>
      <c r="P608" s="500"/>
      <c r="Q608" s="502"/>
      <c r="R608" s="503"/>
      <c r="S608" s="504"/>
      <c r="T608" s="505"/>
      <c r="U608" s="500"/>
      <c r="V608" s="500" t="str">
        <f t="shared" si="105"/>
        <v>Commercial Showerhead Replacement_Fitness Center_precondition 1_50 to 1_59 gpm_efficient 1_75 gpm_Mail-by-Request_Gas Water Heating</v>
      </c>
      <c r="W608" s="506" t="s">
        <v>604</v>
      </c>
      <c r="X608" s="502">
        <f t="shared" si="106"/>
        <v>0</v>
      </c>
      <c r="Y608" s="500">
        <v>10</v>
      </c>
      <c r="Z608" s="507">
        <v>0</v>
      </c>
      <c r="AA608" s="500"/>
      <c r="AB608" s="506" t="s">
        <v>605</v>
      </c>
      <c r="AC608" s="505">
        <v>0</v>
      </c>
      <c r="AD608" s="500"/>
      <c r="AE608" s="500"/>
      <c r="AF608" s="500"/>
      <c r="AG608" s="500"/>
      <c r="AH608" s="500"/>
      <c r="AI608" s="500"/>
      <c r="AJ608" s="500">
        <v>0</v>
      </c>
      <c r="AK608" s="506" t="s">
        <v>605</v>
      </c>
    </row>
    <row r="609" spans="6:37">
      <c r="F609" s="500" t="str">
        <f t="shared" si="108"/>
        <v>Fitness Center</v>
      </c>
      <c r="G609" s="500" t="str">
        <f t="shared" si="108"/>
        <v>1_50 to 1_59 gpm</v>
      </c>
      <c r="H609" s="500" t="str">
        <f t="shared" si="108"/>
        <v>Mail-by-Request</v>
      </c>
      <c r="I609" s="500" t="str">
        <f t="shared" si="108"/>
        <v>1_75</v>
      </c>
      <c r="J609" s="500" t="str">
        <f t="shared" si="108"/>
        <v>Any Water Heating</v>
      </c>
      <c r="K609" s="500" t="str">
        <f t="shared" si="104"/>
        <v>Commercial Showerhead Replacement_Fitness Center_precondition 1_50 to 1_59 gpm_efficient 1_75 gpm_Mail-by-Request_Any Water Heating - Embedded Water Energy</v>
      </c>
      <c r="L609" s="500"/>
      <c r="M609" s="501"/>
      <c r="N609" s="500"/>
      <c r="O609" s="500"/>
      <c r="P609" s="500"/>
      <c r="Q609" s="502"/>
      <c r="R609" s="503"/>
      <c r="S609" s="504"/>
      <c r="T609" s="505"/>
      <c r="U609" s="500"/>
      <c r="V609" s="500" t="str">
        <f t="shared" si="105"/>
        <v>Commercial Showerhead Replacement_Fitness Center_precondition 1_50 to 1_59 gpm_efficient 1_75 gpm_Mail-by-Request_Any Water Heating</v>
      </c>
      <c r="W609" s="506" t="s">
        <v>604</v>
      </c>
      <c r="X609" s="502">
        <f t="shared" si="106"/>
        <v>0</v>
      </c>
      <c r="Y609" s="500">
        <v>10</v>
      </c>
      <c r="Z609" s="507">
        <v>0</v>
      </c>
      <c r="AA609" s="500"/>
      <c r="AB609" s="506" t="s">
        <v>605</v>
      </c>
      <c r="AC609" s="505">
        <v>0</v>
      </c>
      <c r="AD609" s="500"/>
      <c r="AE609" s="500"/>
      <c r="AF609" s="500"/>
      <c r="AG609" s="500"/>
      <c r="AH609" s="500"/>
      <c r="AI609" s="500"/>
      <c r="AJ609" s="500">
        <v>0</v>
      </c>
      <c r="AK609" s="506" t="s">
        <v>605</v>
      </c>
    </row>
    <row r="610" spans="6:37">
      <c r="F610" s="500" t="str">
        <f t="shared" si="108"/>
        <v>Fitness Center</v>
      </c>
      <c r="G610" s="500" t="str">
        <f t="shared" si="108"/>
        <v>1_50 to 1_59 gpm</v>
      </c>
      <c r="H610" s="500" t="str">
        <f t="shared" si="108"/>
        <v>Mail-by-Request</v>
      </c>
      <c r="I610" s="500" t="str">
        <f t="shared" si="108"/>
        <v>1_50</v>
      </c>
      <c r="J610" s="500" t="str">
        <f t="shared" si="108"/>
        <v>Electric Water Heating</v>
      </c>
      <c r="K610" s="500" t="str">
        <f t="shared" si="104"/>
        <v>Commercial Showerhead Replacement_Fitness Center_precondition 1_50 to 1_59 gpm_efficient 1_50 gpm_Mail-by-Request_Electric Water Heating - Embedded Water Energy</v>
      </c>
      <c r="L610" s="500"/>
      <c r="M610" s="501"/>
      <c r="N610" s="500"/>
      <c r="O610" s="500"/>
      <c r="P610" s="500"/>
      <c r="Q610" s="502"/>
      <c r="R610" s="503"/>
      <c r="S610" s="504"/>
      <c r="T610" s="505"/>
      <c r="U610" s="500"/>
      <c r="V610" s="500" t="str">
        <f t="shared" si="105"/>
        <v>Commercial Showerhead Replacement_Fitness Center_precondition 1_50 to 1_59 gpm_efficient 1_50 gpm_Mail-by-Request_Electric Water Heating</v>
      </c>
      <c r="W610" s="506" t="s">
        <v>604</v>
      </c>
      <c r="X610" s="502">
        <f t="shared" si="106"/>
        <v>9.0288712971929783</v>
      </c>
      <c r="Y610" s="500">
        <v>10</v>
      </c>
      <c r="Z610" s="507">
        <v>0</v>
      </c>
      <c r="AA610" s="500"/>
      <c r="AB610" s="506" t="s">
        <v>605</v>
      </c>
      <c r="AC610" s="505">
        <v>0</v>
      </c>
      <c r="AD610" s="500"/>
      <c r="AE610" s="500"/>
      <c r="AF610" s="500"/>
      <c r="AG610" s="500"/>
      <c r="AH610" s="500"/>
      <c r="AI610" s="500"/>
      <c r="AJ610" s="500">
        <v>0</v>
      </c>
      <c r="AK610" s="506" t="s">
        <v>605</v>
      </c>
    </row>
    <row r="611" spans="6:37">
      <c r="F611" s="500" t="str">
        <f t="shared" si="108"/>
        <v>Fitness Center</v>
      </c>
      <c r="G611" s="500" t="str">
        <f t="shared" si="108"/>
        <v>1_50 to 1_59 gpm</v>
      </c>
      <c r="H611" s="500" t="str">
        <f t="shared" si="108"/>
        <v>Mail-by-Request</v>
      </c>
      <c r="I611" s="500" t="str">
        <f t="shared" si="108"/>
        <v>1_50</v>
      </c>
      <c r="J611" s="500" t="str">
        <f t="shared" si="108"/>
        <v>Gas Water Heating</v>
      </c>
      <c r="K611" s="500" t="str">
        <f t="shared" si="104"/>
        <v>Commercial Showerhead Replacement_Fitness Center_precondition 1_50 to 1_59 gpm_efficient 1_50 gpm_Mail-by-Request_Gas Water Heating - Embedded Water Energy</v>
      </c>
      <c r="L611" s="500"/>
      <c r="M611" s="501"/>
      <c r="N611" s="500"/>
      <c r="O611" s="500"/>
      <c r="P611" s="500"/>
      <c r="Q611" s="502"/>
      <c r="R611" s="503"/>
      <c r="S611" s="504"/>
      <c r="T611" s="505"/>
      <c r="U611" s="500"/>
      <c r="V611" s="500" t="str">
        <f t="shared" si="105"/>
        <v>Commercial Showerhead Replacement_Fitness Center_precondition 1_50 to 1_59 gpm_efficient 1_50 gpm_Mail-by-Request_Gas Water Heating</v>
      </c>
      <c r="W611" s="506" t="s">
        <v>604</v>
      </c>
      <c r="X611" s="502">
        <f t="shared" si="106"/>
        <v>9.0288712971929783</v>
      </c>
      <c r="Y611" s="500">
        <v>10</v>
      </c>
      <c r="Z611" s="507">
        <v>0</v>
      </c>
      <c r="AA611" s="500"/>
      <c r="AB611" s="506" t="s">
        <v>605</v>
      </c>
      <c r="AC611" s="505">
        <v>0</v>
      </c>
      <c r="AD611" s="500"/>
      <c r="AE611" s="500"/>
      <c r="AF611" s="500"/>
      <c r="AG611" s="500"/>
      <c r="AH611" s="500"/>
      <c r="AI611" s="500"/>
      <c r="AJ611" s="500">
        <v>0</v>
      </c>
      <c r="AK611" s="506" t="s">
        <v>605</v>
      </c>
    </row>
    <row r="612" spans="6:37">
      <c r="F612" s="500" t="str">
        <f t="shared" si="108"/>
        <v>Fitness Center</v>
      </c>
      <c r="G612" s="500" t="str">
        <f t="shared" si="108"/>
        <v>1_50 to 1_59 gpm</v>
      </c>
      <c r="H612" s="500" t="str">
        <f t="shared" si="108"/>
        <v>Mail-by-Request</v>
      </c>
      <c r="I612" s="500" t="str">
        <f t="shared" si="108"/>
        <v>1_50</v>
      </c>
      <c r="J612" s="500" t="str">
        <f t="shared" si="108"/>
        <v>Any Water Heating</v>
      </c>
      <c r="K612" s="500" t="str">
        <f t="shared" si="104"/>
        <v>Commercial Showerhead Replacement_Fitness Center_precondition 1_50 to 1_59 gpm_efficient 1_50 gpm_Mail-by-Request_Any Water Heating - Embedded Water Energy</v>
      </c>
      <c r="L612" s="500"/>
      <c r="M612" s="501"/>
      <c r="N612" s="500"/>
      <c r="O612" s="500"/>
      <c r="P612" s="500"/>
      <c r="Q612" s="502"/>
      <c r="R612" s="503"/>
      <c r="S612" s="504"/>
      <c r="T612" s="505"/>
      <c r="U612" s="500"/>
      <c r="V612" s="500" t="str">
        <f t="shared" si="105"/>
        <v>Commercial Showerhead Replacement_Fitness Center_precondition 1_50 to 1_59 gpm_efficient 1_50 gpm_Mail-by-Request_Any Water Heating</v>
      </c>
      <c r="W612" s="506" t="s">
        <v>604</v>
      </c>
      <c r="X612" s="502">
        <f t="shared" si="106"/>
        <v>9.0288712971929783</v>
      </c>
      <c r="Y612" s="500">
        <v>10</v>
      </c>
      <c r="Z612" s="507">
        <v>0</v>
      </c>
      <c r="AA612" s="500"/>
      <c r="AB612" s="506" t="s">
        <v>605</v>
      </c>
      <c r="AC612" s="505">
        <v>0</v>
      </c>
      <c r="AD612" s="500"/>
      <c r="AE612" s="500"/>
      <c r="AF612" s="500"/>
      <c r="AG612" s="500"/>
      <c r="AH612" s="500"/>
      <c r="AI612" s="500"/>
      <c r="AJ612" s="500">
        <v>0</v>
      </c>
      <c r="AK612" s="506" t="s">
        <v>605</v>
      </c>
    </row>
  </sheetData>
  <autoFilter ref="A18:AK612"/>
  <mergeCells count="2">
    <mergeCell ref="AD17:AI17"/>
    <mergeCell ref="AJ17:AK17"/>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9</vt:i4>
      </vt:variant>
    </vt:vector>
  </HeadingPairs>
  <TitlesOfParts>
    <vt:vector size="31" baseType="lpstr">
      <vt:lpstr>7PSourceSummary</vt:lpstr>
      <vt:lpstr>forRPM</vt:lpstr>
      <vt:lpstr>SC-New</vt:lpstr>
      <vt:lpstr>SC-Retro</vt:lpstr>
      <vt:lpstr>M_Input_Retro_Out</vt:lpstr>
      <vt:lpstr>M_Input_Retro</vt:lpstr>
      <vt:lpstr>MMap</vt:lpstr>
      <vt:lpstr>Savings &amp; Cost</vt:lpstr>
      <vt:lpstr>Summary</vt:lpstr>
      <vt:lpstr>Impacts</vt:lpstr>
      <vt:lpstr>Notes</vt:lpstr>
      <vt:lpstr>Measure_InputOutput</vt:lpstr>
      <vt:lpstr>Regional Potential Estimates</vt:lpstr>
      <vt:lpstr>WeightingForCommercialAvg</vt:lpstr>
      <vt:lpstr>Usage</vt:lpstr>
      <vt:lpstr>Fitness Centers Survey</vt:lpstr>
      <vt:lpstr>FlowRates</vt:lpstr>
      <vt:lpstr>EnergyPerGallon</vt:lpstr>
      <vt:lpstr>WaterCostAndEnergy</vt:lpstr>
      <vt:lpstr>InstallRatesCostAndLifetime</vt:lpstr>
      <vt:lpstr>InputForProCost</vt:lpstr>
      <vt:lpstr>InputForProCost_FitnessCenter</vt:lpstr>
      <vt:lpstr>MeasureOutputR</vt:lpstr>
      <vt:lpstr>M_Input_Retro!OutSCurve</vt:lpstr>
      <vt:lpstr>table_AnnualMinutes</vt:lpstr>
      <vt:lpstr>table_BaselineFlowRates</vt:lpstr>
      <vt:lpstr>table_ElectricSaturation</vt:lpstr>
      <vt:lpstr>table_EnergyIntensity</vt:lpstr>
      <vt:lpstr>table_FlowRates</vt:lpstr>
      <vt:lpstr>table_InstallationRates</vt:lpstr>
      <vt:lpstr>table_MeasureCosts</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2015-03-19T16:26:50Z</dcterms:modified>
</cp:coreProperties>
</file>